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825" yWindow="-180" windowWidth="19650" windowHeight="12420" tabRatio="945"/>
  </bookViews>
  <sheets>
    <sheet name="Intro" sheetId="7943" r:id="rId1"/>
    <sheet name="SP AusNet record of changes" sheetId="7947" r:id="rId2"/>
    <sheet name="Input" sheetId="1" r:id="rId3"/>
    <sheet name="Adjustment for previous period" sheetId="7942" r:id="rId4"/>
    <sheet name="Actual RAB roll forward" sheetId="18" r:id="rId5"/>
    <sheet name="Total actual RAB roll forward" sheetId="7941" r:id="rId6"/>
    <sheet name="Tax value roll forward" sheetId="7944" r:id="rId7"/>
    <sheet name="Asset lives roll forward" sheetId="7945" r:id="rId8"/>
    <sheet name="Output summary" sheetId="7946" r:id="rId9"/>
  </sheets>
  <definedNames>
    <definedName name="A10remlife">Input!$K$16</definedName>
    <definedName name="A10stdlife">Input!$L$16</definedName>
    <definedName name="A10taxremlife">Input!$V$16</definedName>
    <definedName name="A10taxstdlife">Input!$W$16</definedName>
    <definedName name="A10taxvalue">Input!$U$16</definedName>
    <definedName name="A10value">'Adjustment for previous period'!$H$455</definedName>
    <definedName name="A11remlife">Input!$K$17</definedName>
    <definedName name="A11stdlife">Input!$L$17</definedName>
    <definedName name="A11taxremlife">Input!$V$17</definedName>
    <definedName name="A11taxstdlife">Input!$W$17</definedName>
    <definedName name="A11taxvalue">Input!$U$17</definedName>
    <definedName name="A11value">'Adjustment for previous period'!$H$456</definedName>
    <definedName name="A12remlife">Input!$K$18</definedName>
    <definedName name="A12stdlife">Input!$L$18</definedName>
    <definedName name="A12taxremlife">Input!$V$18</definedName>
    <definedName name="A12taxstdlife">Input!$W$18</definedName>
    <definedName name="A12taxvalue">Input!$U$18</definedName>
    <definedName name="A12value">'Adjustment for previous period'!$H$457</definedName>
    <definedName name="A13remlife">Input!$K$19</definedName>
    <definedName name="A13stdlife">Input!$L$19</definedName>
    <definedName name="A13taxremlife">Input!$V$19</definedName>
    <definedName name="A13taxstdlife">Input!$W$19</definedName>
    <definedName name="A13taxvalue">Input!$U$19</definedName>
    <definedName name="A13value">'Adjustment for previous period'!$H$458</definedName>
    <definedName name="A14remlife">Input!$K$20</definedName>
    <definedName name="A14stdlife">Input!$L$20</definedName>
    <definedName name="A14taxremlife">Input!$V$20</definedName>
    <definedName name="A14taxstdlife">Input!$W$20</definedName>
    <definedName name="A14taxvalue">Input!$U$20</definedName>
    <definedName name="A14value">'Adjustment for previous period'!$H$459</definedName>
    <definedName name="A15remlife">Input!$K$21</definedName>
    <definedName name="A15stdlife">Input!$L$21</definedName>
    <definedName name="A15taxremlife">Input!$V$21</definedName>
    <definedName name="A15taxstdlife">Input!$W$21</definedName>
    <definedName name="A15taxvalue">Input!$U$21</definedName>
    <definedName name="A15value">'Adjustment for previous period'!$H$460</definedName>
    <definedName name="A16remlife">Input!$K$22</definedName>
    <definedName name="A16stdlife">Input!$L$22</definedName>
    <definedName name="A16taxremlife">Input!$V$22</definedName>
    <definedName name="A16taxstdlife">Input!$W$22</definedName>
    <definedName name="A16taxvalue">Input!$U$22</definedName>
    <definedName name="A16value">'Adjustment for previous period'!$H$461</definedName>
    <definedName name="A17remlife">Input!$K$23</definedName>
    <definedName name="A17stdlife">Input!$L$23</definedName>
    <definedName name="A17taxremlife">Input!$V$23</definedName>
    <definedName name="A17taxstdlife">Input!$W$23</definedName>
    <definedName name="A17taxvalue">Input!$U$23</definedName>
    <definedName name="A17value">'Adjustment for previous period'!$H$462</definedName>
    <definedName name="A18remlife">Input!$K$24</definedName>
    <definedName name="A18stdlife">Input!$L$24</definedName>
    <definedName name="A18taxremlife">Input!$V$24</definedName>
    <definedName name="A18taxstdlife">Input!$W$24</definedName>
    <definedName name="A18taxvalue">Input!$U$24</definedName>
    <definedName name="A18value">'Adjustment for previous period'!$H$463</definedName>
    <definedName name="A19remlife">Input!$K$25</definedName>
    <definedName name="A19stdlife">Input!$L$25</definedName>
    <definedName name="A19taxremlife">Input!$V$25</definedName>
    <definedName name="A19taxstdlife">Input!$W$25</definedName>
    <definedName name="A19taxvalue">Input!$U$25</definedName>
    <definedName name="A19value">'Adjustment for previous period'!$H$464</definedName>
    <definedName name="A1remlife">Input!$K$7</definedName>
    <definedName name="A1stdlife">Input!$L$7</definedName>
    <definedName name="A1taxremlife">Input!$V$7</definedName>
    <definedName name="A1taxstdlife">Input!$W$7</definedName>
    <definedName name="A1taxvalue">Input!$U$7</definedName>
    <definedName name="A1value">'Adjustment for previous period'!$H$446</definedName>
    <definedName name="A20remlife">Input!$K$26</definedName>
    <definedName name="A20stdlife">Input!$L$26</definedName>
    <definedName name="A20taxremlife">Input!$V$26</definedName>
    <definedName name="A20taxstdlife">Input!$W$26</definedName>
    <definedName name="A20taxvalue">Input!$U$26</definedName>
    <definedName name="A20value">'Adjustment for previous period'!$H$465</definedName>
    <definedName name="A21remlife">Input!$K$27</definedName>
    <definedName name="A21stdlife">Input!$L$27</definedName>
    <definedName name="A21taxremlife">Input!$V$27</definedName>
    <definedName name="A21taxstdlife">Input!$W$27</definedName>
    <definedName name="A21taxvalue">Input!$U$27</definedName>
    <definedName name="A21value">'Adjustment for previous period'!$H$466</definedName>
    <definedName name="A22remlife">Input!$K$28</definedName>
    <definedName name="A22stdlife">Input!$L$28</definedName>
    <definedName name="A22taxremlife">Input!$V$28</definedName>
    <definedName name="A22taxstdlife">Input!$W$28</definedName>
    <definedName name="A22taxvalue">Input!$U$28</definedName>
    <definedName name="A22value">'Adjustment for previous period'!$H$467</definedName>
    <definedName name="A23remlife">Input!$K$29</definedName>
    <definedName name="A23stdlife">Input!$L$29</definedName>
    <definedName name="A23taxremlife">Input!$V$29</definedName>
    <definedName name="A23taxstdlife">Input!$W$29</definedName>
    <definedName name="A23taxvalue">Input!$U$29</definedName>
    <definedName name="A23value">'Adjustment for previous period'!$H$468</definedName>
    <definedName name="A24remlife">Input!$K$30</definedName>
    <definedName name="A24stdlife">Input!$L$30</definedName>
    <definedName name="A24taxremlife">Input!$V$30</definedName>
    <definedName name="A24taxstdlife">Input!$W$30</definedName>
    <definedName name="A24taxvalue">Input!$U$30</definedName>
    <definedName name="A24value">'Adjustment for previous period'!$H$469</definedName>
    <definedName name="A25remlife">Input!$K$31</definedName>
    <definedName name="A25stdlife">Input!$L$31</definedName>
    <definedName name="A25taxremlife">Input!$V$31</definedName>
    <definedName name="A25taxstdlife">Input!$W$31</definedName>
    <definedName name="A25taxvalue">Input!$U$31</definedName>
    <definedName name="A25value">'Adjustment for previous period'!$H$470</definedName>
    <definedName name="A26remlife">Input!$K$32</definedName>
    <definedName name="A26stdlife">Input!$L$32</definedName>
    <definedName name="A26taxremlife">Input!$V$32</definedName>
    <definedName name="A26taxstdlife">Input!$W$32</definedName>
    <definedName name="A26taxvalue">Input!$U$32</definedName>
    <definedName name="A26value">'Adjustment for previous period'!$H$471</definedName>
    <definedName name="A27remlife">Input!$K$33</definedName>
    <definedName name="A27stdlife">Input!$L$33</definedName>
    <definedName name="A27taxremlife">Input!$V$33</definedName>
    <definedName name="A27taxstdlife">Input!$W$33</definedName>
    <definedName name="A27taxvalue">Input!$U$33</definedName>
    <definedName name="A27value">'Adjustment for previous period'!$H$472</definedName>
    <definedName name="A28remlife">Input!$K$34</definedName>
    <definedName name="A28stdlife">Input!$L$34</definedName>
    <definedName name="A28taxremlife">Input!$V$34</definedName>
    <definedName name="A28taxstdlife">Input!$W$34</definedName>
    <definedName name="A28taxvalue">Input!$U$34</definedName>
    <definedName name="A28value">'Adjustment for previous period'!$H$473</definedName>
    <definedName name="A29remlife">Input!$K$35</definedName>
    <definedName name="A29stdlife">Input!$L$35</definedName>
    <definedName name="A29taxremlife">Input!$V$35</definedName>
    <definedName name="A29taxstdlife">Input!$W$35</definedName>
    <definedName name="A29taxvalue">Input!$U$35</definedName>
    <definedName name="A29value">'Adjustment for previous period'!$H$474</definedName>
    <definedName name="A2remlife">Input!$K$8</definedName>
    <definedName name="A2stdlife">Input!$L$8</definedName>
    <definedName name="A2taxremlife">Input!$V$8</definedName>
    <definedName name="A2taxstdlife">Input!$W$8</definedName>
    <definedName name="A2taxvalue">Input!$U$8</definedName>
    <definedName name="A2value">'Adjustment for previous period'!$H$447</definedName>
    <definedName name="A30remlife">Input!$K$36</definedName>
    <definedName name="A30stdlife">Input!$L$36</definedName>
    <definedName name="A30taxremlife">Input!$V$36</definedName>
    <definedName name="A30taxstdlife">Input!$W$36</definedName>
    <definedName name="A30taxvalue">Input!$U$36</definedName>
    <definedName name="A30value">'Adjustment for previous period'!$H$475</definedName>
    <definedName name="A3remlife">Input!$K$9</definedName>
    <definedName name="A3stdlife">Input!$L$9</definedName>
    <definedName name="A3taxremlife">Input!$V$9</definedName>
    <definedName name="A3taxstdlife">Input!$W$9</definedName>
    <definedName name="A3taxvalue">Input!$U$9</definedName>
    <definedName name="A3value">'Adjustment for previous period'!$H$448</definedName>
    <definedName name="A4remlife">Input!$K$10</definedName>
    <definedName name="A4stdlife">Input!$L$10</definedName>
    <definedName name="A4taxremlife">Input!$V$10</definedName>
    <definedName name="A4taxstdlife">Input!$W$10</definedName>
    <definedName name="A4taxvalue">Input!$U$10</definedName>
    <definedName name="A4value">'Adjustment for previous period'!$H$449</definedName>
    <definedName name="A5remlife">Input!$K$11</definedName>
    <definedName name="A5stdlife">Input!$L$11</definedName>
    <definedName name="A5taxremlife">Input!$V$11</definedName>
    <definedName name="A5taxstdlife">Input!$W$11</definedName>
    <definedName name="A5taxvalue">Input!$U$11</definedName>
    <definedName name="A5value">'Adjustment for previous period'!$H$450</definedName>
    <definedName name="A6remlife">Input!$K$12</definedName>
    <definedName name="A6stdlife">Input!$L$12</definedName>
    <definedName name="A6taxremlife">Input!$V$12</definedName>
    <definedName name="A6taxstdlife">Input!$W$12</definedName>
    <definedName name="A6taxvalue">Input!$U$12</definedName>
    <definedName name="A6value">'Adjustment for previous period'!$H$451</definedName>
    <definedName name="A7remlife">Input!$K$13</definedName>
    <definedName name="A7stdlife">Input!$L$13</definedName>
    <definedName name="A7taxremlife">Input!$V$13</definedName>
    <definedName name="A7taxstdlife">Input!$W$13</definedName>
    <definedName name="A7taxvalue">Input!$U$13</definedName>
    <definedName name="A7value">'Adjustment for previous period'!$H$452</definedName>
    <definedName name="A8remlife">Input!$K$14</definedName>
    <definedName name="A8stdlife">Input!$L$14</definedName>
    <definedName name="A8taxremlife">Input!$V$14</definedName>
    <definedName name="A8taxstdlife">Input!$W$14</definedName>
    <definedName name="A8taxvalue">Input!$U$14</definedName>
    <definedName name="A8value">'Adjustment for previous period'!$H$453</definedName>
    <definedName name="A9remlife">Input!$K$15</definedName>
    <definedName name="A9stdlife">Input!$L$15</definedName>
    <definedName name="A9taxremlife">Input!$V$15</definedName>
    <definedName name="A9taxstdlife">Input!$W$15</definedName>
    <definedName name="A9taxvalue">Input!$U$15</definedName>
    <definedName name="A9value">'Adjustment for previous period'!$H$454</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Input!$G$252</definedName>
    <definedName name="_xlnm.Print_Area" localSheetId="4">'Actual RAB roll forward'!$C$1:$S$1018</definedName>
    <definedName name="_xlnm.Print_Area" localSheetId="3">'Adjustment for previous period'!$B$1:$R$635</definedName>
    <definedName name="_xlnm.Print_Area" localSheetId="7">'Asset lives roll forward'!$A$1:$L$426</definedName>
    <definedName name="_xlnm.Print_Area" localSheetId="2">Input!$F$1:$X$253</definedName>
    <definedName name="_xlnm.Print_Area" localSheetId="0">Intro!$A$1:$W$35</definedName>
    <definedName name="_xlnm.Print_Area" localSheetId="8">'Output summary'!$A$1:$M$5</definedName>
    <definedName name="_xlnm.Print_Area" localSheetId="6">'Tax value roll forward'!$A$1:$R$397</definedName>
    <definedName name="_xlnm.Print_Area" localSheetId="5">'Total actual RAB roll forward'!$C$1:$R$838</definedName>
    <definedName name="RAB">Input!$J$37</definedName>
    <definedName name="vanilla1">Input!$H$252</definedName>
    <definedName name="vanilla10">Input!$Q$252</definedName>
    <definedName name="vanilla2">Input!$I$252</definedName>
    <definedName name="vanilla3">Input!$J$252</definedName>
    <definedName name="vanilla4">Input!$K$252</definedName>
    <definedName name="vanilla5">Input!$L$252</definedName>
    <definedName name="vanilla6">Input!$M$252</definedName>
    <definedName name="vanilla7">Input!$N$252</definedName>
    <definedName name="vanilla8">Input!$O$252</definedName>
    <definedName name="vanilla9">Input!$P$252</definedName>
  </definedNames>
  <calcPr calcId="125725"/>
</workbook>
</file>

<file path=xl/calcChain.xml><?xml version="1.0" encoding="utf-8"?>
<calcChain xmlns="http://schemas.openxmlformats.org/spreadsheetml/2006/main">
  <c r="G470" i="18"/>
  <c r="G8" i="7941"/>
  <c r="G478" i="7942"/>
  <c r="G502" i="18"/>
  <c r="G40" i="7941"/>
  <c r="G574" i="7942"/>
  <c r="G598" i="18"/>
  <c r="G136" i="7941"/>
  <c r="G606" i="7942"/>
  <c r="G630" i="18"/>
  <c r="G168" i="7941"/>
  <c r="G542" i="7942"/>
  <c r="G566" i="18"/>
  <c r="G104" i="7941"/>
  <c r="G510" i="7942"/>
  <c r="G534" i="18"/>
  <c r="G72" i="7941"/>
  <c r="G200"/>
  <c r="H8"/>
  <c r="H246" i="1"/>
  <c r="H109"/>
  <c r="H251"/>
  <c r="H252"/>
  <c r="H12" i="18"/>
  <c r="H7"/>
  <c r="H502"/>
  <c r="H40" i="7941"/>
  <c r="G662" i="18"/>
  <c r="H470"/>
  <c r="H6"/>
  <c r="H728"/>
  <c r="H534"/>
  <c r="H72" i="7941"/>
  <c r="H235"/>
  <c r="I8"/>
  <c r="I246" i="1"/>
  <c r="I109"/>
  <c r="I251"/>
  <c r="I252"/>
  <c r="I12" i="18"/>
  <c r="I7"/>
  <c r="I502"/>
  <c r="I40" i="7941"/>
  <c r="I470" i="18"/>
  <c r="I6"/>
  <c r="I728"/>
  <c r="I534"/>
  <c r="I72" i="7941"/>
  <c r="I235"/>
  <c r="J8"/>
  <c r="J246" i="1"/>
  <c r="J109"/>
  <c r="J251"/>
  <c r="J252"/>
  <c r="J12" i="18"/>
  <c r="J7"/>
  <c r="J502"/>
  <c r="J40" i="7941"/>
  <c r="J470" i="18"/>
  <c r="J6"/>
  <c r="J728"/>
  <c r="J534"/>
  <c r="J72" i="7941"/>
  <c r="J235"/>
  <c r="K8"/>
  <c r="K246" i="1"/>
  <c r="K109"/>
  <c r="K251"/>
  <c r="K252"/>
  <c r="K12" i="18"/>
  <c r="K7"/>
  <c r="K502"/>
  <c r="K40" i="7941"/>
  <c r="K470" i="18"/>
  <c r="K6"/>
  <c r="K728"/>
  <c r="K534"/>
  <c r="K72" i="7941"/>
  <c r="K235"/>
  <c r="L8"/>
  <c r="L246" i="1"/>
  <c r="L109"/>
  <c r="L251"/>
  <c r="L252"/>
  <c r="L12" i="18"/>
  <c r="L7"/>
  <c r="L502"/>
  <c r="L40" i="7941"/>
  <c r="L470" i="18"/>
  <c r="L6"/>
  <c r="L728"/>
  <c r="L534"/>
  <c r="L72" i="7941"/>
  <c r="L235"/>
  <c r="M8"/>
  <c r="M246" i="1"/>
  <c r="M109"/>
  <c r="M251"/>
  <c r="M252"/>
  <c r="M12" i="18"/>
  <c r="M7"/>
  <c r="M502"/>
  <c r="M40" i="7941"/>
  <c r="M470" i="18"/>
  <c r="M6"/>
  <c r="M728"/>
  <c r="M534"/>
  <c r="M72" i="7941"/>
  <c r="M235"/>
  <c r="N235"/>
  <c r="G471" i="18"/>
  <c r="G9" i="7941"/>
  <c r="G479" i="7942"/>
  <c r="G503" i="18"/>
  <c r="G41" i="7941"/>
  <c r="G575" i="7942"/>
  <c r="G599" i="18"/>
  <c r="G137" i="7941"/>
  <c r="G607" i="7942"/>
  <c r="G631" i="18"/>
  <c r="G169" i="7941"/>
  <c r="G543" i="7942"/>
  <c r="G567" i="18"/>
  <c r="G105" i="7941"/>
  <c r="G511" i="7942"/>
  <c r="G535" i="18"/>
  <c r="G73" i="7941"/>
  <c r="G201"/>
  <c r="H9"/>
  <c r="H110" i="1"/>
  <c r="H13" i="18"/>
  <c r="H503"/>
  <c r="H41" i="7941"/>
  <c r="G663" i="18"/>
  <c r="H471"/>
  <c r="H729"/>
  <c r="H535"/>
  <c r="H73" i="7941"/>
  <c r="H236"/>
  <c r="I9"/>
  <c r="I110" i="1"/>
  <c r="I13" i="18"/>
  <c r="I503"/>
  <c r="I41" i="7941"/>
  <c r="I471" i="18"/>
  <c r="I729"/>
  <c r="I535"/>
  <c r="I73" i="7941"/>
  <c r="I236"/>
  <c r="J9"/>
  <c r="J110" i="1"/>
  <c r="J13" i="18"/>
  <c r="J503"/>
  <c r="J41" i="7941"/>
  <c r="J471" i="18"/>
  <c r="J729"/>
  <c r="J535"/>
  <c r="J73" i="7941"/>
  <c r="J236"/>
  <c r="K9"/>
  <c r="K110" i="1"/>
  <c r="K13" i="18"/>
  <c r="K503"/>
  <c r="K41" i="7941"/>
  <c r="K471" i="18"/>
  <c r="K729"/>
  <c r="K535"/>
  <c r="K73" i="7941"/>
  <c r="K236"/>
  <c r="L9"/>
  <c r="L110" i="1"/>
  <c r="L13" i="18"/>
  <c r="L503"/>
  <c r="L41" i="7941"/>
  <c r="L471" i="18"/>
  <c r="L729"/>
  <c r="L535"/>
  <c r="L73" i="7941"/>
  <c r="L236"/>
  <c r="M9"/>
  <c r="M110" i="1"/>
  <c r="M13" i="18"/>
  <c r="M503"/>
  <c r="M41" i="7941"/>
  <c r="M471" i="18"/>
  <c r="M729"/>
  <c r="M535"/>
  <c r="M73" i="7941"/>
  <c r="M236"/>
  <c r="N236"/>
  <c r="G472" i="18"/>
  <c r="G10" i="7941"/>
  <c r="G480" i="7942"/>
  <c r="G504" i="18"/>
  <c r="G42" i="7941"/>
  <c r="G576" i="7942"/>
  <c r="G600" i="18"/>
  <c r="G138" i="7941"/>
  <c r="G608" i="7942"/>
  <c r="G632" i="18"/>
  <c r="G170" i="7941"/>
  <c r="G544" i="7942"/>
  <c r="G568" i="18"/>
  <c r="G106" i="7941"/>
  <c r="G512" i="7942"/>
  <c r="G536" i="18"/>
  <c r="G74" i="7941"/>
  <c r="G202"/>
  <c r="H10"/>
  <c r="H111" i="1"/>
  <c r="H14" i="18"/>
  <c r="H504"/>
  <c r="H42" i="7941"/>
  <c r="G664" i="18"/>
  <c r="H472"/>
  <c r="H730"/>
  <c r="H536"/>
  <c r="H74" i="7941"/>
  <c r="H237"/>
  <c r="I10"/>
  <c r="I111" i="1"/>
  <c r="I14" i="18"/>
  <c r="I504"/>
  <c r="I42" i="7941"/>
  <c r="I472" i="18"/>
  <c r="I730"/>
  <c r="I536"/>
  <c r="I74" i="7941"/>
  <c r="I237"/>
  <c r="J10"/>
  <c r="J111" i="1"/>
  <c r="J14" i="18"/>
  <c r="J504"/>
  <c r="J42" i="7941"/>
  <c r="J472" i="18"/>
  <c r="J730"/>
  <c r="J536"/>
  <c r="J74" i="7941"/>
  <c r="J237"/>
  <c r="K10"/>
  <c r="K111" i="1"/>
  <c r="K14" i="18"/>
  <c r="K504"/>
  <c r="K42" i="7941"/>
  <c r="K472" i="18"/>
  <c r="K730"/>
  <c r="K536"/>
  <c r="K74" i="7941"/>
  <c r="K237"/>
  <c r="L10"/>
  <c r="L111" i="1"/>
  <c r="L14" i="18"/>
  <c r="L504"/>
  <c r="L42" i="7941"/>
  <c r="L472" i="18"/>
  <c r="L730"/>
  <c r="L536"/>
  <c r="L74" i="7941"/>
  <c r="L237"/>
  <c r="M10"/>
  <c r="M111" i="1"/>
  <c r="M14" i="18"/>
  <c r="M504"/>
  <c r="M42" i="7941"/>
  <c r="M472" i="18"/>
  <c r="M730"/>
  <c r="M536"/>
  <c r="M74" i="7941"/>
  <c r="M237"/>
  <c r="N237"/>
  <c r="G473" i="18"/>
  <c r="G11" i="7941"/>
  <c r="G481" i="7942"/>
  <c r="G505" i="18"/>
  <c r="G43" i="7941"/>
  <c r="G577" i="7942"/>
  <c r="G601" i="18"/>
  <c r="G139" i="7941"/>
  <c r="G609" i="7942"/>
  <c r="G633" i="18"/>
  <c r="G171" i="7941"/>
  <c r="G545" i="7942"/>
  <c r="G569" i="18"/>
  <c r="G107" i="7941"/>
  <c r="G513" i="7942"/>
  <c r="G537" i="18"/>
  <c r="G75" i="7941"/>
  <c r="G203"/>
  <c r="H11"/>
  <c r="H112" i="1"/>
  <c r="H15" i="18"/>
  <c r="H505"/>
  <c r="H43" i="7941"/>
  <c r="G665" i="18"/>
  <c r="H473"/>
  <c r="H731"/>
  <c r="H537"/>
  <c r="H75" i="7941"/>
  <c r="H238"/>
  <c r="I11"/>
  <c r="I112" i="1"/>
  <c r="I15" i="18"/>
  <c r="I505"/>
  <c r="I43" i="7941"/>
  <c r="I473" i="18"/>
  <c r="I731"/>
  <c r="I537"/>
  <c r="I75" i="7941"/>
  <c r="I238"/>
  <c r="J11"/>
  <c r="J112" i="1"/>
  <c r="J15" i="18"/>
  <c r="J505"/>
  <c r="J43" i="7941"/>
  <c r="J473" i="18"/>
  <c r="J731"/>
  <c r="J537"/>
  <c r="J75" i="7941"/>
  <c r="J238"/>
  <c r="K11"/>
  <c r="K112" i="1"/>
  <c r="K15" i="18"/>
  <c r="K505"/>
  <c r="K43" i="7941"/>
  <c r="K473" i="18"/>
  <c r="K731"/>
  <c r="K537"/>
  <c r="K75" i="7941"/>
  <c r="K238"/>
  <c r="L11"/>
  <c r="L112" i="1"/>
  <c r="L15" i="18"/>
  <c r="L505"/>
  <c r="L43" i="7941"/>
  <c r="L473" i="18"/>
  <c r="L731"/>
  <c r="L537"/>
  <c r="L75" i="7941"/>
  <c r="L238"/>
  <c r="M11"/>
  <c r="M112" i="1"/>
  <c r="M15" i="18"/>
  <c r="M505"/>
  <c r="M43" i="7941"/>
  <c r="M473" i="18"/>
  <c r="M731"/>
  <c r="M537"/>
  <c r="M75" i="7941"/>
  <c r="M238"/>
  <c r="N238"/>
  <c r="G474" i="18"/>
  <c r="G12" i="7941"/>
  <c r="G482" i="7942"/>
  <c r="G506" i="18"/>
  <c r="G44" i="7941"/>
  <c r="G578" i="7942"/>
  <c r="G602" i="18"/>
  <c r="G140" i="7941"/>
  <c r="G610" i="7942"/>
  <c r="G634" i="18"/>
  <c r="G172" i="7941"/>
  <c r="G546" i="7942"/>
  <c r="G570" i="18"/>
  <c r="G108" i="7941"/>
  <c r="G514" i="7942"/>
  <c r="G538" i="18"/>
  <c r="G76" i="7941"/>
  <c r="G204"/>
  <c r="H12"/>
  <c r="H113" i="1"/>
  <c r="H16" i="18"/>
  <c r="H506"/>
  <c r="H44" i="7941"/>
  <c r="G666" i="18"/>
  <c r="H474"/>
  <c r="H732"/>
  <c r="H538"/>
  <c r="H76" i="7941"/>
  <c r="H239"/>
  <c r="I12"/>
  <c r="I113" i="1"/>
  <c r="I16" i="18"/>
  <c r="I506"/>
  <c r="I44" i="7941"/>
  <c r="I474" i="18"/>
  <c r="I732"/>
  <c r="I538"/>
  <c r="I76" i="7941"/>
  <c r="I239"/>
  <c r="J12"/>
  <c r="J113" i="1"/>
  <c r="J16" i="18"/>
  <c r="J506"/>
  <c r="J44" i="7941"/>
  <c r="J474" i="18"/>
  <c r="J732"/>
  <c r="J538"/>
  <c r="J76" i="7941"/>
  <c r="J239"/>
  <c r="K12"/>
  <c r="K113" i="1"/>
  <c r="K16" i="18"/>
  <c r="K506"/>
  <c r="K44" i="7941"/>
  <c r="K474" i="18"/>
  <c r="K732"/>
  <c r="K538"/>
  <c r="K76" i="7941"/>
  <c r="K239"/>
  <c r="L12"/>
  <c r="L113" i="1"/>
  <c r="L16" i="18"/>
  <c r="L506"/>
  <c r="L44" i="7941"/>
  <c r="L474" i="18"/>
  <c r="L732"/>
  <c r="L538"/>
  <c r="L76" i="7941"/>
  <c r="L239"/>
  <c r="M12"/>
  <c r="M113" i="1"/>
  <c r="M16" i="18"/>
  <c r="M506"/>
  <c r="M44" i="7941"/>
  <c r="M474" i="18"/>
  <c r="M732"/>
  <c r="M538"/>
  <c r="M76" i="7941"/>
  <c r="M239"/>
  <c r="N239"/>
  <c r="G475" i="18"/>
  <c r="G13" i="7941"/>
  <c r="G483" i="7942"/>
  <c r="G507" i="18"/>
  <c r="G45" i="7941"/>
  <c r="G579" i="7942"/>
  <c r="G603" i="18"/>
  <c r="G141" i="7941"/>
  <c r="G611" i="7942"/>
  <c r="G635" i="18"/>
  <c r="G173" i="7941"/>
  <c r="G547" i="7942"/>
  <c r="G571" i="18"/>
  <c r="G109" i="7941"/>
  <c r="G515" i="7942"/>
  <c r="G539" i="18"/>
  <c r="G77" i="7941"/>
  <c r="G205"/>
  <c r="H13"/>
  <c r="H114" i="1"/>
  <c r="H17" i="18"/>
  <c r="H507"/>
  <c r="H45" i="7941"/>
  <c r="G667" i="18"/>
  <c r="H475"/>
  <c r="H733"/>
  <c r="H539"/>
  <c r="H77" i="7941"/>
  <c r="H240"/>
  <c r="I13"/>
  <c r="I114" i="1"/>
  <c r="I17" i="18"/>
  <c r="I507"/>
  <c r="I45" i="7941"/>
  <c r="I475" i="18"/>
  <c r="I733"/>
  <c r="I539"/>
  <c r="I77" i="7941"/>
  <c r="I240"/>
  <c r="J13"/>
  <c r="J114" i="1"/>
  <c r="J17" i="18"/>
  <c r="J507"/>
  <c r="J45" i="7941"/>
  <c r="J475" i="18"/>
  <c r="J733"/>
  <c r="J539"/>
  <c r="J77" i="7941"/>
  <c r="J240"/>
  <c r="K13"/>
  <c r="K114" i="1"/>
  <c r="K17" i="18"/>
  <c r="K507"/>
  <c r="K45" i="7941"/>
  <c r="K475" i="18"/>
  <c r="K733"/>
  <c r="K539"/>
  <c r="K77" i="7941"/>
  <c r="K240"/>
  <c r="L13"/>
  <c r="L114" i="1"/>
  <c r="L17" i="18"/>
  <c r="L507"/>
  <c r="L45" i="7941"/>
  <c r="L475" i="18"/>
  <c r="L733"/>
  <c r="L539"/>
  <c r="L77" i="7941"/>
  <c r="L240"/>
  <c r="M13"/>
  <c r="M114" i="1"/>
  <c r="M17" i="18"/>
  <c r="M507"/>
  <c r="M45" i="7941"/>
  <c r="M475" i="18"/>
  <c r="M733"/>
  <c r="M539"/>
  <c r="M77" i="7941"/>
  <c r="M240"/>
  <c r="N240"/>
  <c r="G476" i="18"/>
  <c r="G14" i="7941"/>
  <c r="G484" i="7942"/>
  <c r="G508" i="18"/>
  <c r="G46" i="7941"/>
  <c r="G580" i="7942"/>
  <c r="G604" i="18"/>
  <c r="G142" i="7941"/>
  <c r="G612" i="7942"/>
  <c r="G636" i="18"/>
  <c r="G174" i="7941"/>
  <c r="G548" i="7942"/>
  <c r="G572" i="18"/>
  <c r="G110" i="7941"/>
  <c r="G516" i="7942"/>
  <c r="G540" i="18"/>
  <c r="G78" i="7941"/>
  <c r="G206"/>
  <c r="H14"/>
  <c r="H115" i="1"/>
  <c r="H18" i="18"/>
  <c r="H508"/>
  <c r="H46" i="7941"/>
  <c r="G668" i="18"/>
  <c r="H476"/>
  <c r="H734"/>
  <c r="H540"/>
  <c r="H78" i="7941"/>
  <c r="H241"/>
  <c r="I14"/>
  <c r="I115" i="1"/>
  <c r="I18" i="18"/>
  <c r="I508"/>
  <c r="I46" i="7941"/>
  <c r="I476" i="18"/>
  <c r="I734"/>
  <c r="I540"/>
  <c r="I78" i="7941"/>
  <c r="I241"/>
  <c r="J14"/>
  <c r="J115" i="1"/>
  <c r="J18" i="18"/>
  <c r="J508"/>
  <c r="J46" i="7941"/>
  <c r="J476" i="18"/>
  <c r="J734"/>
  <c r="J540"/>
  <c r="J78" i="7941"/>
  <c r="J241"/>
  <c r="K14"/>
  <c r="K115" i="1"/>
  <c r="K18" i="18"/>
  <c r="K508"/>
  <c r="K46" i="7941"/>
  <c r="K476" i="18"/>
  <c r="K734"/>
  <c r="K540"/>
  <c r="K78" i="7941"/>
  <c r="K241"/>
  <c r="L14"/>
  <c r="L115" i="1"/>
  <c r="L18" i="18"/>
  <c r="L508"/>
  <c r="L46" i="7941"/>
  <c r="L476" i="18"/>
  <c r="L734"/>
  <c r="L540"/>
  <c r="L78" i="7941"/>
  <c r="L241"/>
  <c r="M14"/>
  <c r="M115" i="1"/>
  <c r="M18" i="18"/>
  <c r="M508"/>
  <c r="M46" i="7941"/>
  <c r="M476" i="18"/>
  <c r="M734"/>
  <c r="M540"/>
  <c r="M78" i="7941"/>
  <c r="M241"/>
  <c r="N241"/>
  <c r="G477" i="18"/>
  <c r="G15" i="7941"/>
  <c r="G485" i="7942"/>
  <c r="G509" i="18"/>
  <c r="G47" i="7941"/>
  <c r="G581" i="7942"/>
  <c r="G605" i="18"/>
  <c r="G143" i="7941"/>
  <c r="G613" i="7942"/>
  <c r="G637" i="18"/>
  <c r="G175" i="7941"/>
  <c r="G549" i="7942"/>
  <c r="G573" i="18"/>
  <c r="G111" i="7941"/>
  <c r="G517" i="7942"/>
  <c r="G541" i="18"/>
  <c r="G79" i="7941"/>
  <c r="G207"/>
  <c r="H15"/>
  <c r="H116" i="1"/>
  <c r="H19" i="18"/>
  <c r="H509"/>
  <c r="H47" i="7941"/>
  <c r="G669" i="18"/>
  <c r="H477"/>
  <c r="H735"/>
  <c r="H541"/>
  <c r="H79" i="7941"/>
  <c r="H242"/>
  <c r="I15"/>
  <c r="I116" i="1"/>
  <c r="I19" i="18"/>
  <c r="I509"/>
  <c r="I47" i="7941"/>
  <c r="I477" i="18"/>
  <c r="I735"/>
  <c r="I541"/>
  <c r="I79" i="7941"/>
  <c r="I242"/>
  <c r="J15"/>
  <c r="J116" i="1"/>
  <c r="J19" i="18"/>
  <c r="J509"/>
  <c r="J47" i="7941"/>
  <c r="J477" i="18"/>
  <c r="J735"/>
  <c r="J541"/>
  <c r="J79" i="7941"/>
  <c r="J242"/>
  <c r="K15"/>
  <c r="K116" i="1"/>
  <c r="K19" i="18"/>
  <c r="K509"/>
  <c r="K47" i="7941"/>
  <c r="K477" i="18"/>
  <c r="K735"/>
  <c r="K541"/>
  <c r="K79" i="7941"/>
  <c r="K242"/>
  <c r="L15"/>
  <c r="L116" i="1"/>
  <c r="L19" i="18"/>
  <c r="L509"/>
  <c r="L47" i="7941"/>
  <c r="L477" i="18"/>
  <c r="L735"/>
  <c r="L541"/>
  <c r="L79" i="7941"/>
  <c r="L242"/>
  <c r="M15"/>
  <c r="M116" i="1"/>
  <c r="M19" i="18"/>
  <c r="M509"/>
  <c r="M47" i="7941"/>
  <c r="M477" i="18"/>
  <c r="M735"/>
  <c r="M541"/>
  <c r="M79" i="7941"/>
  <c r="M242"/>
  <c r="N242"/>
  <c r="G478" i="18"/>
  <c r="G16" i="7941"/>
  <c r="G486" i="7942"/>
  <c r="G510" i="18"/>
  <c r="G48" i="7941"/>
  <c r="G582" i="7942"/>
  <c r="G606" i="18"/>
  <c r="G144" i="7941"/>
  <c r="G614" i="7942"/>
  <c r="G638" i="18"/>
  <c r="G176" i="7941"/>
  <c r="G550" i="7942"/>
  <c r="G574" i="18"/>
  <c r="G112" i="7941"/>
  <c r="G518" i="7942"/>
  <c r="G542" i="18"/>
  <c r="G80" i="7941"/>
  <c r="G208"/>
  <c r="H16"/>
  <c r="H117" i="1"/>
  <c r="H20" i="18"/>
  <c r="H510"/>
  <c r="H48" i="7941"/>
  <c r="G670" i="18"/>
  <c r="H478"/>
  <c r="H736"/>
  <c r="H542"/>
  <c r="H80" i="7941"/>
  <c r="H243"/>
  <c r="I16"/>
  <c r="I117" i="1"/>
  <c r="I20" i="18"/>
  <c r="I510"/>
  <c r="I48" i="7941"/>
  <c r="I478" i="18"/>
  <c r="I736"/>
  <c r="I542"/>
  <c r="I80" i="7941"/>
  <c r="I243"/>
  <c r="J16"/>
  <c r="J117" i="1"/>
  <c r="J20" i="18"/>
  <c r="J510"/>
  <c r="J48" i="7941"/>
  <c r="J478" i="18"/>
  <c r="J736"/>
  <c r="J542"/>
  <c r="J80" i="7941"/>
  <c r="J243"/>
  <c r="K16"/>
  <c r="K117" i="1"/>
  <c r="K20" i="18"/>
  <c r="K510"/>
  <c r="K48" i="7941"/>
  <c r="K478" i="18"/>
  <c r="K736"/>
  <c r="K542"/>
  <c r="K80" i="7941"/>
  <c r="K243"/>
  <c r="L16"/>
  <c r="L117" i="1"/>
  <c r="L20" i="18"/>
  <c r="L510"/>
  <c r="L48" i="7941"/>
  <c r="L478" i="18"/>
  <c r="L736"/>
  <c r="L542"/>
  <c r="L80" i="7941"/>
  <c r="L243"/>
  <c r="M16"/>
  <c r="M117" i="1"/>
  <c r="M20" i="18"/>
  <c r="M510"/>
  <c r="M48" i="7941"/>
  <c r="M478" i="18"/>
  <c r="M736"/>
  <c r="M542"/>
  <c r="M80" i="7941"/>
  <c r="M243"/>
  <c r="N243"/>
  <c r="G479" i="18"/>
  <c r="G17" i="7941"/>
  <c r="G487" i="7942"/>
  <c r="G511" i="18"/>
  <c r="G49" i="7941"/>
  <c r="G583" i="7942"/>
  <c r="G607" i="18"/>
  <c r="G145" i="7941"/>
  <c r="G615" i="7942"/>
  <c r="G639" i="18"/>
  <c r="G177" i="7941"/>
  <c r="G551" i="7942"/>
  <c r="G575" i="18"/>
  <c r="G113" i="7941"/>
  <c r="G519" i="7942"/>
  <c r="G543" i="18"/>
  <c r="G81" i="7941"/>
  <c r="G209"/>
  <c r="H17"/>
  <c r="H118" i="1"/>
  <c r="H21" i="18"/>
  <c r="H511"/>
  <c r="H49" i="7941"/>
  <c r="G671" i="18"/>
  <c r="H479"/>
  <c r="H737"/>
  <c r="H543"/>
  <c r="H81" i="7941"/>
  <c r="H244"/>
  <c r="I17"/>
  <c r="I118" i="1"/>
  <c r="I21" i="18"/>
  <c r="I511"/>
  <c r="I49" i="7941"/>
  <c r="I479" i="18"/>
  <c r="I737"/>
  <c r="I543"/>
  <c r="I81" i="7941"/>
  <c r="I244"/>
  <c r="J17"/>
  <c r="J118" i="1"/>
  <c r="J21" i="18"/>
  <c r="J511"/>
  <c r="J49" i="7941"/>
  <c r="J479" i="18"/>
  <c r="J737"/>
  <c r="J543"/>
  <c r="J81" i="7941"/>
  <c r="J244"/>
  <c r="K17"/>
  <c r="K118" i="1"/>
  <c r="K21" i="18"/>
  <c r="K511"/>
  <c r="K49" i="7941"/>
  <c r="K479" i="18"/>
  <c r="K737"/>
  <c r="K543"/>
  <c r="K81" i="7941"/>
  <c r="K244"/>
  <c r="L17"/>
  <c r="L118" i="1"/>
  <c r="L21" i="18"/>
  <c r="L511"/>
  <c r="L49" i="7941"/>
  <c r="L479" i="18"/>
  <c r="L737"/>
  <c r="L543"/>
  <c r="L81" i="7941"/>
  <c r="L244"/>
  <c r="M17"/>
  <c r="M118" i="1"/>
  <c r="M21" i="18"/>
  <c r="M511"/>
  <c r="M49" i="7941"/>
  <c r="M479" i="18"/>
  <c r="M737"/>
  <c r="M543"/>
  <c r="M81" i="7941"/>
  <c r="M244"/>
  <c r="N244"/>
  <c r="G480" i="18"/>
  <c r="G18" i="7941"/>
  <c r="G488" i="7942"/>
  <c r="G512" i="18"/>
  <c r="G50" i="7941"/>
  <c r="G584" i="7942"/>
  <c r="G608" i="18"/>
  <c r="G146" i="7941"/>
  <c r="G616" i="7942"/>
  <c r="G640" i="18"/>
  <c r="G178" i="7941"/>
  <c r="G552" i="7942"/>
  <c r="G576" i="18"/>
  <c r="G114" i="7941"/>
  <c r="G520" i="7942"/>
  <c r="G544" i="18"/>
  <c r="G82" i="7941"/>
  <c r="H119" i="1"/>
  <c r="H22" i="18"/>
  <c r="H512"/>
  <c r="H50" i="7941"/>
  <c r="I119" i="1"/>
  <c r="I22" i="18"/>
  <c r="I512"/>
  <c r="I50" i="7941"/>
  <c r="J119" i="1"/>
  <c r="J22" i="18"/>
  <c r="J512"/>
  <c r="J50" i="7941"/>
  <c r="K119" i="1"/>
  <c r="K22" i="18"/>
  <c r="K512"/>
  <c r="K50" i="7941"/>
  <c r="L119" i="1"/>
  <c r="L22" i="18"/>
  <c r="L512"/>
  <c r="L50" i="7941"/>
  <c r="M119" i="1"/>
  <c r="M22" i="18"/>
  <c r="M512"/>
  <c r="M50" i="7941"/>
  <c r="G481" i="18"/>
  <c r="G19" i="7941"/>
  <c r="G489" i="7942"/>
  <c r="G513" i="18"/>
  <c r="G51" i="7941"/>
  <c r="G585" i="7942"/>
  <c r="G609" i="18"/>
  <c r="G147" i="7941"/>
  <c r="G553" i="7942"/>
  <c r="G577" i="18"/>
  <c r="G115" i="7941"/>
  <c r="G521" i="7942"/>
  <c r="G545" i="18"/>
  <c r="G83" i="7941"/>
  <c r="H120" i="1"/>
  <c r="H23" i="18"/>
  <c r="H513"/>
  <c r="H51" i="7941"/>
  <c r="I120" i="1"/>
  <c r="I23" i="18"/>
  <c r="I513"/>
  <c r="I51" i="7941"/>
  <c r="J120" i="1"/>
  <c r="J23" i="18"/>
  <c r="J513"/>
  <c r="J51" i="7941"/>
  <c r="K120" i="1"/>
  <c r="K23" i="18"/>
  <c r="K513"/>
  <c r="K51" i="7941"/>
  <c r="L120" i="1"/>
  <c r="L23" i="18"/>
  <c r="L513"/>
  <c r="L51" i="7941"/>
  <c r="M120" i="1"/>
  <c r="M23" i="18"/>
  <c r="M513"/>
  <c r="M51" i="7941"/>
  <c r="G482" i="18"/>
  <c r="G20" i="7941"/>
  <c r="G490" i="7942"/>
  <c r="G514" i="18"/>
  <c r="G52" i="7941"/>
  <c r="G586" i="7942"/>
  <c r="G610" i="18"/>
  <c r="G148" i="7941"/>
  <c r="G554" i="7942"/>
  <c r="G578" i="18"/>
  <c r="G116" i="7941"/>
  <c r="G522" i="7942"/>
  <c r="G546" i="18"/>
  <c r="G84" i="7941"/>
  <c r="H121" i="1"/>
  <c r="H24" i="18"/>
  <c r="H514"/>
  <c r="H52" i="7941"/>
  <c r="I121" i="1"/>
  <c r="I24" i="18"/>
  <c r="I514"/>
  <c r="I52" i="7941"/>
  <c r="J121" i="1"/>
  <c r="J24" i="18"/>
  <c r="J514"/>
  <c r="J52" i="7941"/>
  <c r="K121" i="1"/>
  <c r="K24" i="18"/>
  <c r="K514"/>
  <c r="K52" i="7941"/>
  <c r="L121" i="1"/>
  <c r="L24" i="18"/>
  <c r="L514"/>
  <c r="L52" i="7941"/>
  <c r="M121" i="1"/>
  <c r="M24" i="18"/>
  <c r="M514"/>
  <c r="M52" i="7941"/>
  <c r="G483" i="18"/>
  <c r="G21" i="7941"/>
  <c r="G491" i="7942"/>
  <c r="G515" i="18"/>
  <c r="G53" i="7941"/>
  <c r="G587" i="7942"/>
  <c r="G611" i="18"/>
  <c r="G149" i="7941"/>
  <c r="G555" i="7942"/>
  <c r="G579" i="18"/>
  <c r="G117" i="7941"/>
  <c r="G523" i="7942"/>
  <c r="G547" i="18"/>
  <c r="G85" i="7941"/>
  <c r="H122" i="1"/>
  <c r="H25" i="18"/>
  <c r="H515"/>
  <c r="H53" i="7941"/>
  <c r="I122" i="1"/>
  <c r="I25" i="18"/>
  <c r="I515"/>
  <c r="I53" i="7941"/>
  <c r="J122" i="1"/>
  <c r="J25" i="18"/>
  <c r="J515"/>
  <c r="J53" i="7941"/>
  <c r="K122" i="1"/>
  <c r="K25" i="18"/>
  <c r="K515"/>
  <c r="K53" i="7941"/>
  <c r="L122" i="1"/>
  <c r="L25" i="18"/>
  <c r="L515"/>
  <c r="L53" i="7941"/>
  <c r="M122" i="1"/>
  <c r="M25" i="18"/>
  <c r="M515"/>
  <c r="M53" i="7941"/>
  <c r="H123" i="1"/>
  <c r="H26" i="18"/>
  <c r="H516"/>
  <c r="H54" i="7941"/>
  <c r="H258" i="18"/>
  <c r="H270"/>
  <c r="H710"/>
  <c r="I123" i="1"/>
  <c r="I26" i="18"/>
  <c r="I516"/>
  <c r="I54" i="7941"/>
  <c r="I260" i="18"/>
  <c r="I258"/>
  <c r="I270"/>
  <c r="I710"/>
  <c r="J123" i="1"/>
  <c r="J26" i="18"/>
  <c r="J516"/>
  <c r="J54" i="7941"/>
  <c r="J260" i="18"/>
  <c r="J261"/>
  <c r="J258"/>
  <c r="J270"/>
  <c r="J710"/>
  <c r="K123" i="1"/>
  <c r="K26" i="18"/>
  <c r="K516"/>
  <c r="K54" i="7941"/>
  <c r="K260" i="18"/>
  <c r="K261"/>
  <c r="K262"/>
  <c r="K258"/>
  <c r="K270"/>
  <c r="K710"/>
  <c r="L123" i="1"/>
  <c r="L26" i="18"/>
  <c r="L516"/>
  <c r="L54" i="7941"/>
  <c r="L260" i="18"/>
  <c r="L261"/>
  <c r="L262"/>
  <c r="L263"/>
  <c r="L258"/>
  <c r="L270"/>
  <c r="L710"/>
  <c r="M123" i="1"/>
  <c r="M26" i="18"/>
  <c r="M516"/>
  <c r="M54" i="7941"/>
  <c r="M260" i="18"/>
  <c r="M261"/>
  <c r="M262"/>
  <c r="M263"/>
  <c r="M264"/>
  <c r="M258"/>
  <c r="M270"/>
  <c r="M710"/>
  <c r="H124" i="1"/>
  <c r="H27" i="18"/>
  <c r="H517"/>
  <c r="H55" i="7941"/>
  <c r="H271" i="18"/>
  <c r="H283"/>
  <c r="H711"/>
  <c r="I124" i="1"/>
  <c r="I27" i="18"/>
  <c r="I517"/>
  <c r="I55" i="7941"/>
  <c r="I273" i="18"/>
  <c r="I271"/>
  <c r="I283"/>
  <c r="I711"/>
  <c r="J124" i="1"/>
  <c r="J27" i="18"/>
  <c r="J517"/>
  <c r="J55" i="7941"/>
  <c r="J273" i="18"/>
  <c r="J274"/>
  <c r="J271"/>
  <c r="J283"/>
  <c r="J711"/>
  <c r="K124" i="1"/>
  <c r="K27" i="18"/>
  <c r="K517"/>
  <c r="K55" i="7941"/>
  <c r="K273" i="18"/>
  <c r="K274"/>
  <c r="K275"/>
  <c r="K271"/>
  <c r="K283"/>
  <c r="K711"/>
  <c r="L124" i="1"/>
  <c r="L27" i="18"/>
  <c r="L517"/>
  <c r="L55" i="7941"/>
  <c r="L273" i="18"/>
  <c r="L274"/>
  <c r="L275"/>
  <c r="L276"/>
  <c r="L271"/>
  <c r="L283"/>
  <c r="L711"/>
  <c r="M124" i="1"/>
  <c r="M27" i="18"/>
  <c r="M517"/>
  <c r="M55" i="7941"/>
  <c r="M273" i="18"/>
  <c r="M274"/>
  <c r="M275"/>
  <c r="M276"/>
  <c r="M277"/>
  <c r="M271"/>
  <c r="M283"/>
  <c r="M711"/>
  <c r="H125" i="1"/>
  <c r="H28" i="18"/>
  <c r="H518"/>
  <c r="H56" i="7941"/>
  <c r="H284" i="18"/>
  <c r="H296"/>
  <c r="H712"/>
  <c r="I125" i="1"/>
  <c r="I28" i="18"/>
  <c r="I518"/>
  <c r="I56" i="7941"/>
  <c r="I286" i="18"/>
  <c r="I284"/>
  <c r="I296"/>
  <c r="I712"/>
  <c r="J125" i="1"/>
  <c r="J28" i="18"/>
  <c r="J518"/>
  <c r="J56" i="7941"/>
  <c r="J286" i="18"/>
  <c r="J287"/>
  <c r="J284"/>
  <c r="J296"/>
  <c r="J712"/>
  <c r="K125" i="1"/>
  <c r="K28" i="18"/>
  <c r="K518"/>
  <c r="K56" i="7941"/>
  <c r="K286" i="18"/>
  <c r="K287"/>
  <c r="K288"/>
  <c r="K284"/>
  <c r="K296"/>
  <c r="K712"/>
  <c r="L125" i="1"/>
  <c r="L28" i="18"/>
  <c r="L518"/>
  <c r="L56" i="7941"/>
  <c r="L286" i="18"/>
  <c r="L287"/>
  <c r="L288"/>
  <c r="L289"/>
  <c r="L284"/>
  <c r="L296"/>
  <c r="L712"/>
  <c r="M125" i="1"/>
  <c r="M28" i="18"/>
  <c r="M518"/>
  <c r="M56" i="7941"/>
  <c r="M286" i="18"/>
  <c r="M287"/>
  <c r="M288"/>
  <c r="M289"/>
  <c r="M290"/>
  <c r="M284"/>
  <c r="M296"/>
  <c r="M712"/>
  <c r="H126" i="1"/>
  <c r="H29" i="18"/>
  <c r="H519"/>
  <c r="H57" i="7941"/>
  <c r="H297" i="18"/>
  <c r="H309"/>
  <c r="H713"/>
  <c r="I126" i="1"/>
  <c r="I29" i="18"/>
  <c r="I519"/>
  <c r="I57" i="7941"/>
  <c r="I299" i="18"/>
  <c r="I297"/>
  <c r="I309"/>
  <c r="I713"/>
  <c r="J126" i="1"/>
  <c r="J29" i="18"/>
  <c r="J519"/>
  <c r="J57" i="7941"/>
  <c r="J299" i="18"/>
  <c r="J300"/>
  <c r="J297"/>
  <c r="J309"/>
  <c r="J713"/>
  <c r="K126" i="1"/>
  <c r="K29" i="18"/>
  <c r="K519"/>
  <c r="K57" i="7941"/>
  <c r="K299" i="18"/>
  <c r="K300"/>
  <c r="K301"/>
  <c r="K297"/>
  <c r="K309"/>
  <c r="K713"/>
  <c r="L126" i="1"/>
  <c r="L29" i="18"/>
  <c r="L519"/>
  <c r="L57" i="7941"/>
  <c r="L299" i="18"/>
  <c r="L300"/>
  <c r="L301"/>
  <c r="L302"/>
  <c r="L297"/>
  <c r="L309"/>
  <c r="L713"/>
  <c r="M126" i="1"/>
  <c r="M29" i="18"/>
  <c r="M519"/>
  <c r="M57" i="7941"/>
  <c r="M299" i="18"/>
  <c r="M300"/>
  <c r="M301"/>
  <c r="M302"/>
  <c r="M303"/>
  <c r="M297"/>
  <c r="M309"/>
  <c r="M713"/>
  <c r="H127" i="1"/>
  <c r="H30" i="18"/>
  <c r="H520"/>
  <c r="H58" i="7941"/>
  <c r="H310" i="18"/>
  <c r="H322"/>
  <c r="H714"/>
  <c r="I127" i="1"/>
  <c r="I30" i="18"/>
  <c r="I520"/>
  <c r="I58" i="7941"/>
  <c r="I312" i="18"/>
  <c r="I310"/>
  <c r="I322"/>
  <c r="I714"/>
  <c r="J127" i="1"/>
  <c r="J30" i="18"/>
  <c r="J520"/>
  <c r="J58" i="7941"/>
  <c r="J312" i="18"/>
  <c r="J313"/>
  <c r="J310"/>
  <c r="J322"/>
  <c r="J714"/>
  <c r="K127" i="1"/>
  <c r="K30" i="18"/>
  <c r="K520"/>
  <c r="K58" i="7941"/>
  <c r="K312" i="18"/>
  <c r="K313"/>
  <c r="K314"/>
  <c r="K310"/>
  <c r="K322"/>
  <c r="K714"/>
  <c r="L127" i="1"/>
  <c r="L30" i="18"/>
  <c r="L520"/>
  <c r="L58" i="7941"/>
  <c r="L312" i="18"/>
  <c r="L313"/>
  <c r="L314"/>
  <c r="L315"/>
  <c r="L310"/>
  <c r="L322"/>
  <c r="L714"/>
  <c r="M127" i="1"/>
  <c r="M30" i="18"/>
  <c r="M520"/>
  <c r="M58" i="7941"/>
  <c r="M312" i="18"/>
  <c r="M313"/>
  <c r="M314"/>
  <c r="M315"/>
  <c r="M316"/>
  <c r="M310"/>
  <c r="M322"/>
  <c r="M714"/>
  <c r="H128" i="1"/>
  <c r="H31" i="18"/>
  <c r="H521"/>
  <c r="H59" i="7941"/>
  <c r="H323" i="18"/>
  <c r="H335"/>
  <c r="H715"/>
  <c r="I128" i="1"/>
  <c r="I31" i="18"/>
  <c r="I521"/>
  <c r="I59" i="7941"/>
  <c r="I325" i="18"/>
  <c r="I323"/>
  <c r="I335"/>
  <c r="I715"/>
  <c r="J128" i="1"/>
  <c r="J31" i="18"/>
  <c r="J521"/>
  <c r="J59" i="7941"/>
  <c r="J325" i="18"/>
  <c r="J326"/>
  <c r="J323"/>
  <c r="J335"/>
  <c r="J715"/>
  <c r="K128" i="1"/>
  <c r="K31" i="18"/>
  <c r="K521"/>
  <c r="K59" i="7941"/>
  <c r="K325" i="18"/>
  <c r="K326"/>
  <c r="K327"/>
  <c r="K323"/>
  <c r="K335"/>
  <c r="K715"/>
  <c r="L128" i="1"/>
  <c r="L31" i="18"/>
  <c r="L521"/>
  <c r="L59" i="7941"/>
  <c r="L325" i="18"/>
  <c r="L326"/>
  <c r="L327"/>
  <c r="L328"/>
  <c r="L323"/>
  <c r="L335"/>
  <c r="L715"/>
  <c r="M128" i="1"/>
  <c r="M31" i="18"/>
  <c r="M521"/>
  <c r="M59" i="7941"/>
  <c r="M325" i="18"/>
  <c r="M326"/>
  <c r="M327"/>
  <c r="M328"/>
  <c r="M329"/>
  <c r="M323"/>
  <c r="M335"/>
  <c r="M715"/>
  <c r="H129" i="1"/>
  <c r="H32" i="18"/>
  <c r="H522"/>
  <c r="H60" i="7941"/>
  <c r="H336" i="18"/>
  <c r="H348"/>
  <c r="H716"/>
  <c r="I129" i="1"/>
  <c r="I32" i="18"/>
  <c r="I522"/>
  <c r="I60" i="7941"/>
  <c r="I338" i="18"/>
  <c r="I336"/>
  <c r="I348"/>
  <c r="I716"/>
  <c r="J129" i="1"/>
  <c r="J32" i="18"/>
  <c r="J522"/>
  <c r="J60" i="7941"/>
  <c r="J338" i="18"/>
  <c r="J339"/>
  <c r="J336"/>
  <c r="J348"/>
  <c r="J716"/>
  <c r="K129" i="1"/>
  <c r="K32" i="18"/>
  <c r="K522"/>
  <c r="K60" i="7941"/>
  <c r="K338" i="18"/>
  <c r="K339"/>
  <c r="K340"/>
  <c r="K336"/>
  <c r="K348"/>
  <c r="K716"/>
  <c r="L129" i="1"/>
  <c r="L32" i="18"/>
  <c r="L522"/>
  <c r="L60" i="7941"/>
  <c r="L338" i="18"/>
  <c r="L339"/>
  <c r="L340"/>
  <c r="L341"/>
  <c r="L336"/>
  <c r="L348"/>
  <c r="L716"/>
  <c r="M129" i="1"/>
  <c r="M32" i="18"/>
  <c r="M522"/>
  <c r="M60" i="7941"/>
  <c r="M338" i="18"/>
  <c r="M339"/>
  <c r="M340"/>
  <c r="M341"/>
  <c r="M342"/>
  <c r="M336"/>
  <c r="M348"/>
  <c r="M716"/>
  <c r="H130" i="1"/>
  <c r="H33" i="18"/>
  <c r="H523"/>
  <c r="H61" i="7941"/>
  <c r="H349" i="18"/>
  <c r="H361"/>
  <c r="H717"/>
  <c r="I130" i="1"/>
  <c r="I33" i="18"/>
  <c r="I523"/>
  <c r="I61" i="7941"/>
  <c r="I351" i="18"/>
  <c r="I349"/>
  <c r="I361"/>
  <c r="I717"/>
  <c r="J130" i="1"/>
  <c r="J33" i="18"/>
  <c r="J523"/>
  <c r="J61" i="7941"/>
  <c r="J351" i="18"/>
  <c r="J352"/>
  <c r="J349"/>
  <c r="J361"/>
  <c r="J717"/>
  <c r="K130" i="1"/>
  <c r="K33" i="18"/>
  <c r="K523"/>
  <c r="K61" i="7941"/>
  <c r="K351" i="18"/>
  <c r="K352"/>
  <c r="K353"/>
  <c r="K349"/>
  <c r="K361"/>
  <c r="K717"/>
  <c r="L130" i="1"/>
  <c r="L33" i="18"/>
  <c r="L523"/>
  <c r="L61" i="7941"/>
  <c r="L351" i="18"/>
  <c r="L352"/>
  <c r="L353"/>
  <c r="L354"/>
  <c r="L349"/>
  <c r="L361"/>
  <c r="L717"/>
  <c r="M130" i="1"/>
  <c r="M33" i="18"/>
  <c r="M523"/>
  <c r="M61" i="7941"/>
  <c r="M351" i="18"/>
  <c r="M352"/>
  <c r="M353"/>
  <c r="M354"/>
  <c r="M355"/>
  <c r="M349"/>
  <c r="M361"/>
  <c r="M717"/>
  <c r="H131" i="1"/>
  <c r="H34" i="18"/>
  <c r="H524"/>
  <c r="H62" i="7941"/>
  <c r="H362" i="18"/>
  <c r="H374"/>
  <c r="H718"/>
  <c r="I131" i="1"/>
  <c r="I34" i="18"/>
  <c r="I524"/>
  <c r="I62" i="7941"/>
  <c r="I364" i="18"/>
  <c r="I362"/>
  <c r="I374"/>
  <c r="I718"/>
  <c r="J131" i="1"/>
  <c r="J34" i="18"/>
  <c r="J524"/>
  <c r="J62" i="7941"/>
  <c r="J364" i="18"/>
  <c r="J365"/>
  <c r="J362"/>
  <c r="J374"/>
  <c r="J718"/>
  <c r="K131" i="1"/>
  <c r="K34" i="18"/>
  <c r="K524"/>
  <c r="K62" i="7941"/>
  <c r="K364" i="18"/>
  <c r="K365"/>
  <c r="K366"/>
  <c r="K362"/>
  <c r="K374"/>
  <c r="K718"/>
  <c r="L131" i="1"/>
  <c r="L34" i="18"/>
  <c r="L524"/>
  <c r="L62" i="7941"/>
  <c r="L364" i="18"/>
  <c r="L365"/>
  <c r="L366"/>
  <c r="L367"/>
  <c r="L362"/>
  <c r="L374"/>
  <c r="L718"/>
  <c r="M131" i="1"/>
  <c r="M34" i="18"/>
  <c r="M524"/>
  <c r="M62" i="7941"/>
  <c r="M364" i="18"/>
  <c r="M365"/>
  <c r="M366"/>
  <c r="M367"/>
  <c r="M368"/>
  <c r="M362"/>
  <c r="M374"/>
  <c r="M718"/>
  <c r="H132" i="1"/>
  <c r="H35" i="18"/>
  <c r="H525"/>
  <c r="H63" i="7941"/>
  <c r="H375" i="18"/>
  <c r="H387"/>
  <c r="H719"/>
  <c r="I132" i="1"/>
  <c r="I35" i="18"/>
  <c r="I525"/>
  <c r="I63" i="7941"/>
  <c r="I377" i="18"/>
  <c r="I375"/>
  <c r="I387"/>
  <c r="I719"/>
  <c r="J132" i="1"/>
  <c r="J35" i="18"/>
  <c r="J525"/>
  <c r="J63" i="7941"/>
  <c r="J377" i="18"/>
  <c r="J378"/>
  <c r="J375"/>
  <c r="J387"/>
  <c r="J719"/>
  <c r="K132" i="1"/>
  <c r="K35" i="18"/>
  <c r="K525"/>
  <c r="K63" i="7941"/>
  <c r="K377" i="18"/>
  <c r="K378"/>
  <c r="K379"/>
  <c r="K375"/>
  <c r="K387"/>
  <c r="K719"/>
  <c r="L132" i="1"/>
  <c r="L35" i="18"/>
  <c r="L525"/>
  <c r="L63" i="7941"/>
  <c r="L377" i="18"/>
  <c r="L378"/>
  <c r="L379"/>
  <c r="L380"/>
  <c r="L375"/>
  <c r="L387"/>
  <c r="L719"/>
  <c r="M132" i="1"/>
  <c r="M35" i="18"/>
  <c r="M525"/>
  <c r="M63" i="7941"/>
  <c r="M377" i="18"/>
  <c r="M378"/>
  <c r="M379"/>
  <c r="M380"/>
  <c r="M381"/>
  <c r="M375"/>
  <c r="M387"/>
  <c r="M719"/>
  <c r="H133" i="1"/>
  <c r="H36" i="18"/>
  <c r="H526"/>
  <c r="H64" i="7941"/>
  <c r="H388" i="18"/>
  <c r="H400"/>
  <c r="H720"/>
  <c r="I133" i="1"/>
  <c r="I36" i="18"/>
  <c r="I526"/>
  <c r="I64" i="7941"/>
  <c r="I390" i="18"/>
  <c r="I388"/>
  <c r="I400"/>
  <c r="I720"/>
  <c r="J133" i="1"/>
  <c r="J36" i="18"/>
  <c r="J526"/>
  <c r="J64" i="7941"/>
  <c r="J390" i="18"/>
  <c r="J391"/>
  <c r="J388"/>
  <c r="J400"/>
  <c r="J720"/>
  <c r="K133" i="1"/>
  <c r="K36" i="18"/>
  <c r="K526"/>
  <c r="K64" i="7941"/>
  <c r="K390" i="18"/>
  <c r="K391"/>
  <c r="K392"/>
  <c r="K388"/>
  <c r="K400"/>
  <c r="K720"/>
  <c r="L133" i="1"/>
  <c r="L36" i="18"/>
  <c r="L526"/>
  <c r="L64" i="7941"/>
  <c r="L390" i="18"/>
  <c r="L391"/>
  <c r="L392"/>
  <c r="L393"/>
  <c r="L388"/>
  <c r="L400"/>
  <c r="L720"/>
  <c r="M133" i="1"/>
  <c r="M36" i="18"/>
  <c r="M526"/>
  <c r="M64" i="7941"/>
  <c r="M390" i="18"/>
  <c r="M391"/>
  <c r="M392"/>
  <c r="M393"/>
  <c r="M394"/>
  <c r="M388"/>
  <c r="M400"/>
  <c r="M720"/>
  <c r="H134" i="1"/>
  <c r="H37" i="18"/>
  <c r="H527"/>
  <c r="H65" i="7941"/>
  <c r="H401" i="18"/>
  <c r="H413"/>
  <c r="H721"/>
  <c r="I134" i="1"/>
  <c r="I37" i="18"/>
  <c r="I527"/>
  <c r="I65" i="7941"/>
  <c r="I403" i="18"/>
  <c r="I401"/>
  <c r="I413"/>
  <c r="I721"/>
  <c r="J134" i="1"/>
  <c r="J37" i="18"/>
  <c r="J527"/>
  <c r="J65" i="7941"/>
  <c r="J403" i="18"/>
  <c r="J404"/>
  <c r="J401"/>
  <c r="J413"/>
  <c r="J721"/>
  <c r="K134" i="1"/>
  <c r="K37" i="18"/>
  <c r="K527"/>
  <c r="K65" i="7941"/>
  <c r="K403" i="18"/>
  <c r="K404"/>
  <c r="K405"/>
  <c r="K401"/>
  <c r="K413"/>
  <c r="K721"/>
  <c r="L134" i="1"/>
  <c r="L37" i="18"/>
  <c r="L527"/>
  <c r="L65" i="7941"/>
  <c r="L403" i="18"/>
  <c r="L404"/>
  <c r="L405"/>
  <c r="L406"/>
  <c r="L401"/>
  <c r="L413"/>
  <c r="L721"/>
  <c r="M134" i="1"/>
  <c r="M37" i="18"/>
  <c r="M527"/>
  <c r="M65" i="7941"/>
  <c r="M403" i="18"/>
  <c r="M404"/>
  <c r="M405"/>
  <c r="M406"/>
  <c r="M407"/>
  <c r="M401"/>
  <c r="M413"/>
  <c r="M721"/>
  <c r="H135" i="1"/>
  <c r="H38" i="18"/>
  <c r="H528"/>
  <c r="H66" i="7941"/>
  <c r="H414" i="18"/>
  <c r="H426"/>
  <c r="H722"/>
  <c r="I135" i="1"/>
  <c r="I38" i="18"/>
  <c r="I528"/>
  <c r="I66" i="7941"/>
  <c r="I416" i="18"/>
  <c r="I414"/>
  <c r="I426"/>
  <c r="I722"/>
  <c r="J135" i="1"/>
  <c r="J38" i="18"/>
  <c r="J528"/>
  <c r="J66" i="7941"/>
  <c r="J416" i="18"/>
  <c r="J417"/>
  <c r="J414"/>
  <c r="J426"/>
  <c r="J722"/>
  <c r="K135" i="1"/>
  <c r="K38" i="18"/>
  <c r="K528"/>
  <c r="K66" i="7941"/>
  <c r="K416" i="18"/>
  <c r="K417"/>
  <c r="K418"/>
  <c r="K414"/>
  <c r="K426"/>
  <c r="K722"/>
  <c r="L135" i="1"/>
  <c r="L38" i="18"/>
  <c r="L528"/>
  <c r="L66" i="7941"/>
  <c r="L416" i="18"/>
  <c r="L417"/>
  <c r="L418"/>
  <c r="L419"/>
  <c r="L414"/>
  <c r="L426"/>
  <c r="L722"/>
  <c r="M135" i="1"/>
  <c r="M38" i="18"/>
  <c r="M528"/>
  <c r="M66" i="7941"/>
  <c r="M416" i="18"/>
  <c r="M417"/>
  <c r="M418"/>
  <c r="M419"/>
  <c r="M420"/>
  <c r="M414"/>
  <c r="M426"/>
  <c r="M722"/>
  <c r="H136" i="1"/>
  <c r="H39" i="18"/>
  <c r="H529"/>
  <c r="H67" i="7941"/>
  <c r="H427" i="18"/>
  <c r="H439"/>
  <c r="H723"/>
  <c r="I136" i="1"/>
  <c r="I39" i="18"/>
  <c r="I529"/>
  <c r="I67" i="7941"/>
  <c r="I429" i="18"/>
  <c r="I427"/>
  <c r="I439"/>
  <c r="I723"/>
  <c r="J136" i="1"/>
  <c r="J39" i="18"/>
  <c r="J529"/>
  <c r="J67" i="7941"/>
  <c r="J429" i="18"/>
  <c r="J430"/>
  <c r="J427"/>
  <c r="J439"/>
  <c r="J723"/>
  <c r="K136" i="1"/>
  <c r="K39" i="18"/>
  <c r="K529"/>
  <c r="K67" i="7941"/>
  <c r="K429" i="18"/>
  <c r="K430"/>
  <c r="K431"/>
  <c r="K427"/>
  <c r="K439"/>
  <c r="K723"/>
  <c r="L136" i="1"/>
  <c r="L39" i="18"/>
  <c r="L529"/>
  <c r="L67" i="7941"/>
  <c r="L429" i="18"/>
  <c r="L430"/>
  <c r="L431"/>
  <c r="L432"/>
  <c r="L427"/>
  <c r="L439"/>
  <c r="L723"/>
  <c r="M136" i="1"/>
  <c r="M39" i="18"/>
  <c r="M529"/>
  <c r="M67" i="7941"/>
  <c r="M429" i="18"/>
  <c r="M430"/>
  <c r="M431"/>
  <c r="M432"/>
  <c r="M433"/>
  <c r="M427"/>
  <c r="M439"/>
  <c r="M723"/>
  <c r="H137" i="1"/>
  <c r="H40" i="18"/>
  <c r="H530"/>
  <c r="H68" i="7941"/>
  <c r="H440" i="18"/>
  <c r="H452"/>
  <c r="H724"/>
  <c r="I137" i="1"/>
  <c r="I40" i="18"/>
  <c r="I530"/>
  <c r="I68" i="7941"/>
  <c r="I442" i="18"/>
  <c r="I440"/>
  <c r="I452"/>
  <c r="I724"/>
  <c r="J137" i="1"/>
  <c r="J40" i="18"/>
  <c r="J530"/>
  <c r="J68" i="7941"/>
  <c r="J442" i="18"/>
  <c r="J443"/>
  <c r="J440"/>
  <c r="J452"/>
  <c r="J724"/>
  <c r="K137" i="1"/>
  <c r="K40" i="18"/>
  <c r="K530"/>
  <c r="K68" i="7941"/>
  <c r="K442" i="18"/>
  <c r="K443"/>
  <c r="K444"/>
  <c r="K440"/>
  <c r="K452"/>
  <c r="K724"/>
  <c r="L137" i="1"/>
  <c r="L40" i="18"/>
  <c r="L530"/>
  <c r="L68" i="7941"/>
  <c r="L442" i="18"/>
  <c r="L443"/>
  <c r="L444"/>
  <c r="L445"/>
  <c r="L440"/>
  <c r="L452"/>
  <c r="L724"/>
  <c r="M137" i="1"/>
  <c r="M40" i="18"/>
  <c r="M530"/>
  <c r="M68" i="7941"/>
  <c r="M442" i="18"/>
  <c r="M443"/>
  <c r="M444"/>
  <c r="M445"/>
  <c r="M446"/>
  <c r="M440"/>
  <c r="M452"/>
  <c r="M724"/>
  <c r="H138" i="1"/>
  <c r="H41" i="18"/>
  <c r="H531"/>
  <c r="H69" i="7941"/>
  <c r="H453" i="18"/>
  <c r="H465"/>
  <c r="H725"/>
  <c r="I138" i="1"/>
  <c r="I41" i="18"/>
  <c r="I531"/>
  <c r="I69" i="7941"/>
  <c r="I455" i="18"/>
  <c r="I453"/>
  <c r="I465"/>
  <c r="I725"/>
  <c r="J138" i="1"/>
  <c r="J41" i="18"/>
  <c r="J531"/>
  <c r="J69" i="7941"/>
  <c r="J455" i="18"/>
  <c r="J456"/>
  <c r="J453"/>
  <c r="J465"/>
  <c r="J725"/>
  <c r="K138" i="1"/>
  <c r="K41" i="18"/>
  <c r="K531"/>
  <c r="K69" i="7941"/>
  <c r="K455" i="18"/>
  <c r="K456"/>
  <c r="K457"/>
  <c r="K453"/>
  <c r="K465"/>
  <c r="K725"/>
  <c r="L138" i="1"/>
  <c r="L41" i="18"/>
  <c r="L531"/>
  <c r="L69" i="7941"/>
  <c r="L455" i="18"/>
  <c r="L456"/>
  <c r="L457"/>
  <c r="L458"/>
  <c r="L453"/>
  <c r="L465"/>
  <c r="L725"/>
  <c r="M138" i="1"/>
  <c r="M41" i="18"/>
  <c r="M531"/>
  <c r="M69" i="7941"/>
  <c r="M455" i="18"/>
  <c r="M456"/>
  <c r="M457"/>
  <c r="M458"/>
  <c r="M459"/>
  <c r="M453"/>
  <c r="M465"/>
  <c r="M725"/>
  <c r="G109" i="1"/>
  <c r="G251"/>
  <c r="G252"/>
  <c r="G44" i="7942"/>
  <c r="G6"/>
  <c r="G12"/>
  <c r="G76"/>
  <c r="H7"/>
  <c r="H108"/>
  <c r="I7"/>
  <c r="I108"/>
  <c r="J7"/>
  <c r="J108"/>
  <c r="K7"/>
  <c r="K108"/>
  <c r="L7"/>
  <c r="L108"/>
  <c r="M7"/>
  <c r="M108"/>
  <c r="M109"/>
  <c r="G205"/>
  <c r="G173"/>
  <c r="G237"/>
  <c r="H269"/>
  <c r="I269"/>
  <c r="J269"/>
  <c r="K269"/>
  <c r="L269"/>
  <c r="M269"/>
  <c r="M270"/>
  <c r="G356"/>
  <c r="G334"/>
  <c r="G378"/>
  <c r="H400"/>
  <c r="I400"/>
  <c r="J400"/>
  <c r="K400"/>
  <c r="L400"/>
  <c r="M400"/>
  <c r="N252" i="1"/>
  <c r="N7" i="7942"/>
  <c r="N400"/>
  <c r="M401"/>
  <c r="G110" i="1"/>
  <c r="G45" i="7942"/>
  <c r="G13"/>
  <c r="G77"/>
  <c r="H110"/>
  <c r="I110"/>
  <c r="J110"/>
  <c r="K110"/>
  <c r="L110"/>
  <c r="M110"/>
  <c r="M111"/>
  <c r="G206"/>
  <c r="G174"/>
  <c r="G238"/>
  <c r="H271"/>
  <c r="I271"/>
  <c r="J271"/>
  <c r="K271"/>
  <c r="L271"/>
  <c r="M271"/>
  <c r="M272"/>
  <c r="G357"/>
  <c r="G335"/>
  <c r="G379"/>
  <c r="H402"/>
  <c r="I402"/>
  <c r="J402"/>
  <c r="K402"/>
  <c r="L402"/>
  <c r="M402"/>
  <c r="N402"/>
  <c r="M403"/>
  <c r="G111" i="1"/>
  <c r="G46" i="7942"/>
  <c r="G14"/>
  <c r="G78"/>
  <c r="H112"/>
  <c r="I112"/>
  <c r="J112"/>
  <c r="K112"/>
  <c r="L112"/>
  <c r="M112"/>
  <c r="M113"/>
  <c r="G207"/>
  <c r="G175"/>
  <c r="G239"/>
  <c r="H273"/>
  <c r="I273"/>
  <c r="J273"/>
  <c r="K273"/>
  <c r="L273"/>
  <c r="M273"/>
  <c r="M274"/>
  <c r="G358"/>
  <c r="G336"/>
  <c r="G380"/>
  <c r="H404"/>
  <c r="I404"/>
  <c r="J404"/>
  <c r="K404"/>
  <c r="L404"/>
  <c r="M404"/>
  <c r="N404"/>
  <c r="M405"/>
  <c r="G112" i="1"/>
  <c r="G47" i="7942"/>
  <c r="G15"/>
  <c r="G79"/>
  <c r="H114"/>
  <c r="I114"/>
  <c r="J114"/>
  <c r="K114"/>
  <c r="L114"/>
  <c r="M114"/>
  <c r="M115"/>
  <c r="G208"/>
  <c r="G176"/>
  <c r="G240"/>
  <c r="H275"/>
  <c r="I275"/>
  <c r="J275"/>
  <c r="K275"/>
  <c r="L275"/>
  <c r="M275"/>
  <c r="M276"/>
  <c r="G359"/>
  <c r="G337"/>
  <c r="G381"/>
  <c r="H406"/>
  <c r="I406"/>
  <c r="J406"/>
  <c r="K406"/>
  <c r="L406"/>
  <c r="M406"/>
  <c r="N406"/>
  <c r="M407"/>
  <c r="G113" i="1"/>
  <c r="G48" i="7942"/>
  <c r="G16"/>
  <c r="G80"/>
  <c r="H116"/>
  <c r="I116"/>
  <c r="J116"/>
  <c r="K116"/>
  <c r="L116"/>
  <c r="M116"/>
  <c r="M117"/>
  <c r="G209"/>
  <c r="G177"/>
  <c r="G241"/>
  <c r="H277"/>
  <c r="I277"/>
  <c r="J277"/>
  <c r="K277"/>
  <c r="L277"/>
  <c r="M277"/>
  <c r="M278"/>
  <c r="G360"/>
  <c r="G338"/>
  <c r="G382"/>
  <c r="H408"/>
  <c r="I408"/>
  <c r="J408"/>
  <c r="K408"/>
  <c r="L408"/>
  <c r="M408"/>
  <c r="N408"/>
  <c r="M409"/>
  <c r="G114" i="1"/>
  <c r="G49" i="7942"/>
  <c r="G17"/>
  <c r="G81"/>
  <c r="H118"/>
  <c r="I118"/>
  <c r="J118"/>
  <c r="K118"/>
  <c r="L118"/>
  <c r="M118"/>
  <c r="M119"/>
  <c r="G210"/>
  <c r="G178"/>
  <c r="G242"/>
  <c r="H279"/>
  <c r="I279"/>
  <c r="J279"/>
  <c r="K279"/>
  <c r="L279"/>
  <c r="M279"/>
  <c r="M280"/>
  <c r="G361"/>
  <c r="G339"/>
  <c r="G383"/>
  <c r="H410"/>
  <c r="I410"/>
  <c r="J410"/>
  <c r="K410"/>
  <c r="L410"/>
  <c r="M410"/>
  <c r="N410"/>
  <c r="M411"/>
  <c r="G115" i="1"/>
  <c r="G50" i="7942"/>
  <c r="G18"/>
  <c r="G82"/>
  <c r="H120"/>
  <c r="I120"/>
  <c r="J120"/>
  <c r="K120"/>
  <c r="L120"/>
  <c r="M120"/>
  <c r="M121"/>
  <c r="G211"/>
  <c r="G179"/>
  <c r="G243"/>
  <c r="H281"/>
  <c r="I281"/>
  <c r="J281"/>
  <c r="K281"/>
  <c r="L281"/>
  <c r="M281"/>
  <c r="M282"/>
  <c r="G362"/>
  <c r="G340"/>
  <c r="G384"/>
  <c r="H412"/>
  <c r="I412"/>
  <c r="J412"/>
  <c r="K412"/>
  <c r="L412"/>
  <c r="M412"/>
  <c r="N412"/>
  <c r="M413"/>
  <c r="G116" i="1"/>
  <c r="G51" i="7942"/>
  <c r="G19"/>
  <c r="G83"/>
  <c r="H122"/>
  <c r="I122"/>
  <c r="J122"/>
  <c r="K122"/>
  <c r="L122"/>
  <c r="M122"/>
  <c r="M123"/>
  <c r="G212"/>
  <c r="G180"/>
  <c r="G244"/>
  <c r="H283"/>
  <c r="I283"/>
  <c r="J283"/>
  <c r="K283"/>
  <c r="L283"/>
  <c r="M283"/>
  <c r="M284"/>
  <c r="G363"/>
  <c r="G341"/>
  <c r="G385"/>
  <c r="H414"/>
  <c r="I414"/>
  <c r="J414"/>
  <c r="K414"/>
  <c r="L414"/>
  <c r="M414"/>
  <c r="N414"/>
  <c r="M415"/>
  <c r="G117" i="1"/>
  <c r="G52" i="7942"/>
  <c r="G20"/>
  <c r="G84"/>
  <c r="H124"/>
  <c r="I124"/>
  <c r="J124"/>
  <c r="K124"/>
  <c r="L124"/>
  <c r="M124"/>
  <c r="M125"/>
  <c r="G213"/>
  <c r="G181"/>
  <c r="G245"/>
  <c r="H285"/>
  <c r="I285"/>
  <c r="J285"/>
  <c r="K285"/>
  <c r="L285"/>
  <c r="M285"/>
  <c r="M286"/>
  <c r="G364"/>
  <c r="G342"/>
  <c r="G386"/>
  <c r="H416"/>
  <c r="I416"/>
  <c r="J416"/>
  <c r="K416"/>
  <c r="L416"/>
  <c r="M416"/>
  <c r="N416"/>
  <c r="M417"/>
  <c r="G118" i="1"/>
  <c r="G53" i="7942"/>
  <c r="G21"/>
  <c r="G85"/>
  <c r="H126"/>
  <c r="I126"/>
  <c r="J126"/>
  <c r="K126"/>
  <c r="L126"/>
  <c r="M126"/>
  <c r="M127"/>
  <c r="G214"/>
  <c r="G182"/>
  <c r="G246"/>
  <c r="H287"/>
  <c r="I287"/>
  <c r="J287"/>
  <c r="K287"/>
  <c r="L287"/>
  <c r="M287"/>
  <c r="M288"/>
  <c r="G365"/>
  <c r="G343"/>
  <c r="G387"/>
  <c r="H418"/>
  <c r="I418"/>
  <c r="J418"/>
  <c r="K418"/>
  <c r="L418"/>
  <c r="M418"/>
  <c r="N418"/>
  <c r="M419"/>
  <c r="G119" i="1"/>
  <c r="G54" i="7942"/>
  <c r="G22"/>
  <c r="G86"/>
  <c r="H128"/>
  <c r="I128"/>
  <c r="J128"/>
  <c r="K128"/>
  <c r="L128"/>
  <c r="M128"/>
  <c r="M129"/>
  <c r="G215"/>
  <c r="G183"/>
  <c r="G247"/>
  <c r="H289"/>
  <c r="I289"/>
  <c r="J289"/>
  <c r="K289"/>
  <c r="L289"/>
  <c r="M289"/>
  <c r="M290"/>
  <c r="G366"/>
  <c r="G120" i="1"/>
  <c r="G55" i="7942"/>
  <c r="G23"/>
  <c r="G87"/>
  <c r="H130"/>
  <c r="I130"/>
  <c r="J130"/>
  <c r="K130"/>
  <c r="L130"/>
  <c r="M130"/>
  <c r="M131"/>
  <c r="G216"/>
  <c r="G367"/>
  <c r="G121" i="1"/>
  <c r="G56" i="7942"/>
  <c r="G24"/>
  <c r="G88"/>
  <c r="H132"/>
  <c r="I132"/>
  <c r="J132"/>
  <c r="K132"/>
  <c r="L132"/>
  <c r="M132"/>
  <c r="M133"/>
  <c r="G368"/>
  <c r="G122" i="1"/>
  <c r="G57" i="7942"/>
  <c r="G25"/>
  <c r="G89"/>
  <c r="H134"/>
  <c r="I134"/>
  <c r="J134"/>
  <c r="K134"/>
  <c r="L134"/>
  <c r="M134"/>
  <c r="M135"/>
  <c r="G369"/>
  <c r="H150" i="7944"/>
  <c r="I150"/>
  <c r="J150"/>
  <c r="K150"/>
  <c r="L150"/>
  <c r="M150"/>
  <c r="J92" i="7945"/>
  <c r="H46" i="7944"/>
  <c r="I152"/>
  <c r="J152"/>
  <c r="K152"/>
  <c r="L152"/>
  <c r="M152"/>
  <c r="J93" i="7945"/>
  <c r="I46" i="7944"/>
  <c r="J153"/>
  <c r="K153"/>
  <c r="L153"/>
  <c r="M153"/>
  <c r="J94" i="7945"/>
  <c r="J46" i="7944"/>
  <c r="K154"/>
  <c r="L154"/>
  <c r="M154"/>
  <c r="J95" i="7945"/>
  <c r="K46" i="7944"/>
  <c r="L155"/>
  <c r="M155"/>
  <c r="J96" i="7945"/>
  <c r="L46" i="7944"/>
  <c r="M156"/>
  <c r="J97" i="7945"/>
  <c r="M46" i="7944"/>
  <c r="J98" i="7945"/>
  <c r="N46" i="7944"/>
  <c r="J99" i="7945"/>
  <c r="O46" i="7944"/>
  <c r="J100" i="7945"/>
  <c r="P46" i="7944"/>
  <c r="J101" i="7945"/>
  <c r="Q46" i="7944"/>
  <c r="J102" i="7945"/>
  <c r="J103"/>
  <c r="K93"/>
  <c r="K94"/>
  <c r="K95"/>
  <c r="K96"/>
  <c r="K97"/>
  <c r="K98"/>
  <c r="K99"/>
  <c r="K100"/>
  <c r="K101"/>
  <c r="K102"/>
  <c r="K92"/>
  <c r="K103"/>
  <c r="O13" i="7946"/>
  <c r="H111" i="7944"/>
  <c r="I111"/>
  <c r="J111"/>
  <c r="K111"/>
  <c r="L111"/>
  <c r="M111"/>
  <c r="J50" i="7945"/>
  <c r="H43" i="7944"/>
  <c r="I113"/>
  <c r="J113"/>
  <c r="K113"/>
  <c r="L113"/>
  <c r="M113"/>
  <c r="J51" i="7945"/>
  <c r="I43" i="7944"/>
  <c r="J114"/>
  <c r="K114"/>
  <c r="L114"/>
  <c r="M114"/>
  <c r="J52" i="7945"/>
  <c r="J43" i="7944"/>
  <c r="K115"/>
  <c r="L115"/>
  <c r="M115"/>
  <c r="J53" i="7945"/>
  <c r="K43" i="7944"/>
  <c r="L116"/>
  <c r="M116"/>
  <c r="J54" i="7945"/>
  <c r="L43" i="7944"/>
  <c r="M117"/>
  <c r="J55" i="7945"/>
  <c r="M43" i="7944"/>
  <c r="J56" i="7945"/>
  <c r="N43" i="7944"/>
  <c r="J57" i="7945"/>
  <c r="O43" i="7944"/>
  <c r="J58" i="7945"/>
  <c r="P43" i="7944"/>
  <c r="J59" i="7945"/>
  <c r="Q43" i="7944"/>
  <c r="J60" i="7945"/>
  <c r="J61"/>
  <c r="K51"/>
  <c r="K52"/>
  <c r="K53"/>
  <c r="K54"/>
  <c r="K55"/>
  <c r="K56"/>
  <c r="K57"/>
  <c r="K58"/>
  <c r="K59"/>
  <c r="K60"/>
  <c r="K50"/>
  <c r="K61"/>
  <c r="O10" i="7946"/>
  <c r="H21" i="7944"/>
  <c r="H53"/>
  <c r="H241"/>
  <c r="H253"/>
  <c r="I21"/>
  <c r="I53"/>
  <c r="I243"/>
  <c r="I241"/>
  <c r="I253"/>
  <c r="J21"/>
  <c r="J53"/>
  <c r="J243"/>
  <c r="J244"/>
  <c r="J241"/>
  <c r="J253"/>
  <c r="K21"/>
  <c r="K53"/>
  <c r="K243"/>
  <c r="K244"/>
  <c r="K245"/>
  <c r="K241"/>
  <c r="K253"/>
  <c r="L21"/>
  <c r="L53"/>
  <c r="L243"/>
  <c r="L244"/>
  <c r="L245"/>
  <c r="L246"/>
  <c r="L241"/>
  <c r="L253"/>
  <c r="M21"/>
  <c r="M53"/>
  <c r="M243"/>
  <c r="M244"/>
  <c r="M245"/>
  <c r="M246"/>
  <c r="M247"/>
  <c r="M241"/>
  <c r="M253"/>
  <c r="N21"/>
  <c r="N20" i="7946"/>
  <c r="H137" i="7944"/>
  <c r="I137"/>
  <c r="J137"/>
  <c r="K137"/>
  <c r="L137"/>
  <c r="M137"/>
  <c r="J78" i="7945"/>
  <c r="H45" i="7944"/>
  <c r="I139"/>
  <c r="J139"/>
  <c r="K139"/>
  <c r="L139"/>
  <c r="M139"/>
  <c r="J79" i="7945"/>
  <c r="I45" i="7944"/>
  <c r="J140"/>
  <c r="K140"/>
  <c r="L140"/>
  <c r="M140"/>
  <c r="J80" i="7945"/>
  <c r="J45" i="7944"/>
  <c r="K141"/>
  <c r="L141"/>
  <c r="M141"/>
  <c r="J81" i="7945"/>
  <c r="K45" i="7944"/>
  <c r="L142"/>
  <c r="M142"/>
  <c r="J82" i="7945"/>
  <c r="L45" i="7944"/>
  <c r="M143"/>
  <c r="J83" i="7945"/>
  <c r="M45" i="7944"/>
  <c r="J84" i="7945"/>
  <c r="N45" i="7944"/>
  <c r="J85" i="7945"/>
  <c r="O45" i="7944"/>
  <c r="J86" i="7945"/>
  <c r="P45" i="7944"/>
  <c r="J87" i="7945"/>
  <c r="Q45" i="7944"/>
  <c r="J88" i="7945"/>
  <c r="J89"/>
  <c r="K79"/>
  <c r="K80"/>
  <c r="K81"/>
  <c r="K82"/>
  <c r="K83"/>
  <c r="K84"/>
  <c r="K85"/>
  <c r="K86"/>
  <c r="K87"/>
  <c r="K88"/>
  <c r="K78"/>
  <c r="K89"/>
  <c r="O12" i="7946"/>
  <c r="H163" i="7944"/>
  <c r="I163"/>
  <c r="J163"/>
  <c r="K163"/>
  <c r="L163"/>
  <c r="M163"/>
  <c r="J106" i="7945"/>
  <c r="H47" i="7944"/>
  <c r="I165"/>
  <c r="J165"/>
  <c r="K165"/>
  <c r="L165"/>
  <c r="M165"/>
  <c r="J107" i="7945"/>
  <c r="I47" i="7944"/>
  <c r="J166"/>
  <c r="K166"/>
  <c r="L166"/>
  <c r="M166"/>
  <c r="J108" i="7945"/>
  <c r="J47" i="7944"/>
  <c r="K167"/>
  <c r="L167"/>
  <c r="M167"/>
  <c r="J109" i="7945"/>
  <c r="K47" i="7944"/>
  <c r="L168"/>
  <c r="M168"/>
  <c r="J110" i="7945"/>
  <c r="L47" i="7944"/>
  <c r="M169"/>
  <c r="J111" i="7945"/>
  <c r="M47" i="7944"/>
  <c r="J112" i="7945"/>
  <c r="N47" i="7944"/>
  <c r="J113" i="7945"/>
  <c r="O47" i="7944"/>
  <c r="J114" i="7945"/>
  <c r="P47" i="7944"/>
  <c r="J115" i="7945"/>
  <c r="Q47" i="7944"/>
  <c r="J116" i="7945"/>
  <c r="J117"/>
  <c r="J190"/>
  <c r="J191"/>
  <c r="J192"/>
  <c r="J193"/>
  <c r="J194"/>
  <c r="J195"/>
  <c r="J196"/>
  <c r="N53" i="7944"/>
  <c r="J197" i="7945"/>
  <c r="O53" i="7944"/>
  <c r="J198" i="7945"/>
  <c r="P53" i="7944"/>
  <c r="J199" i="7945"/>
  <c r="Q53" i="7944"/>
  <c r="J200" i="7945"/>
  <c r="J201"/>
  <c r="H228" i="7944"/>
  <c r="I228"/>
  <c r="J228"/>
  <c r="K228"/>
  <c r="L228"/>
  <c r="M228"/>
  <c r="J176" i="7945"/>
  <c r="H52" i="7944"/>
  <c r="I230"/>
  <c r="J230"/>
  <c r="K230"/>
  <c r="L230"/>
  <c r="M230"/>
  <c r="J177" i="7945"/>
  <c r="I52" i="7944"/>
  <c r="J231"/>
  <c r="K231"/>
  <c r="L231"/>
  <c r="M231"/>
  <c r="J178" i="7945"/>
  <c r="J52" i="7944"/>
  <c r="K232"/>
  <c r="L232"/>
  <c r="M232"/>
  <c r="J179" i="7945"/>
  <c r="K52" i="7944"/>
  <c r="L233"/>
  <c r="M233"/>
  <c r="J180" i="7945"/>
  <c r="L52" i="7944"/>
  <c r="M234"/>
  <c r="J181" i="7945"/>
  <c r="M52" i="7944"/>
  <c r="J182" i="7945"/>
  <c r="N52" i="7944"/>
  <c r="J183" i="7945"/>
  <c r="O52" i="7944"/>
  <c r="J184" i="7945"/>
  <c r="P52" i="7944"/>
  <c r="J185" i="7945"/>
  <c r="Q52" i="7944"/>
  <c r="J186" i="7945"/>
  <c r="J187"/>
  <c r="H124" i="7944"/>
  <c r="I124"/>
  <c r="J124"/>
  <c r="K124"/>
  <c r="L124"/>
  <c r="M124"/>
  <c r="J64" i="7945"/>
  <c r="H44" i="7944"/>
  <c r="I126"/>
  <c r="J126"/>
  <c r="K126"/>
  <c r="L126"/>
  <c r="M126"/>
  <c r="J65" i="7945"/>
  <c r="I44" i="7944"/>
  <c r="J127"/>
  <c r="K127"/>
  <c r="L127"/>
  <c r="M127"/>
  <c r="J66" i="7945"/>
  <c r="J44" i="7944"/>
  <c r="K128"/>
  <c r="L128"/>
  <c r="M128"/>
  <c r="J67" i="7945"/>
  <c r="K44" i="7944"/>
  <c r="L129"/>
  <c r="M129"/>
  <c r="J68" i="7945"/>
  <c r="L44" i="7944"/>
  <c r="M130"/>
  <c r="J69" i="7945"/>
  <c r="M44" i="7944"/>
  <c r="J70" i="7945"/>
  <c r="N44" i="7944"/>
  <c r="J71" i="7945"/>
  <c r="O44" i="7944"/>
  <c r="J72" i="7945"/>
  <c r="P44" i="7944"/>
  <c r="J73" i="7945"/>
  <c r="Q44" i="7944"/>
  <c r="J74" i="7945"/>
  <c r="J75"/>
  <c r="K65"/>
  <c r="K66"/>
  <c r="K67"/>
  <c r="K68"/>
  <c r="K69"/>
  <c r="K70"/>
  <c r="K71"/>
  <c r="K72"/>
  <c r="K73"/>
  <c r="K74"/>
  <c r="K64"/>
  <c r="K75"/>
  <c r="O11" i="7946"/>
  <c r="H20" i="7944"/>
  <c r="H240"/>
  <c r="I20"/>
  <c r="I240"/>
  <c r="J20"/>
  <c r="J240"/>
  <c r="K20"/>
  <c r="K240"/>
  <c r="L20"/>
  <c r="L240"/>
  <c r="M20"/>
  <c r="M240"/>
  <c r="N20"/>
  <c r="N19" i="7946"/>
  <c r="H215" i="7944"/>
  <c r="I215"/>
  <c r="J215"/>
  <c r="K215"/>
  <c r="L215"/>
  <c r="M215"/>
  <c r="J162" i="7945"/>
  <c r="H51" i="7944"/>
  <c r="I217"/>
  <c r="J217"/>
  <c r="K217"/>
  <c r="L217"/>
  <c r="M217"/>
  <c r="J163" i="7945"/>
  <c r="I51" i="7944"/>
  <c r="J218"/>
  <c r="K218"/>
  <c r="L218"/>
  <c r="M218"/>
  <c r="J164" i="7945"/>
  <c r="J51" i="7944"/>
  <c r="K219"/>
  <c r="L219"/>
  <c r="M219"/>
  <c r="J165" i="7945"/>
  <c r="K51" i="7944"/>
  <c r="L220"/>
  <c r="M220"/>
  <c r="J166" i="7945"/>
  <c r="L51" i="7944"/>
  <c r="M221"/>
  <c r="J167" i="7945"/>
  <c r="M51" i="7944"/>
  <c r="J168" i="7945"/>
  <c r="N51" i="7944"/>
  <c r="J169" i="7945"/>
  <c r="O51" i="7944"/>
  <c r="J170" i="7945"/>
  <c r="P51" i="7944"/>
  <c r="J171" i="7945"/>
  <c r="Q51" i="7944"/>
  <c r="J172" i="7945"/>
  <c r="J173"/>
  <c r="K163"/>
  <c r="K164"/>
  <c r="K165"/>
  <c r="K166"/>
  <c r="K167"/>
  <c r="K168"/>
  <c r="K169"/>
  <c r="K170"/>
  <c r="K171"/>
  <c r="K172"/>
  <c r="K162"/>
  <c r="K173"/>
  <c r="O18" i="7946"/>
  <c r="H13" i="7944"/>
  <c r="H149"/>
  <c r="I13"/>
  <c r="I149"/>
  <c r="J13"/>
  <c r="J149"/>
  <c r="K13"/>
  <c r="K149"/>
  <c r="L13"/>
  <c r="L149"/>
  <c r="M13"/>
  <c r="M149"/>
  <c r="N13"/>
  <c r="N12" i="7946"/>
  <c r="H12" i="7944"/>
  <c r="H136"/>
  <c r="I12"/>
  <c r="I136"/>
  <c r="J12"/>
  <c r="J136"/>
  <c r="K12"/>
  <c r="K136"/>
  <c r="L12"/>
  <c r="L136"/>
  <c r="M12"/>
  <c r="M136"/>
  <c r="N12"/>
  <c r="N11" i="7946"/>
  <c r="H189" i="7944"/>
  <c r="I189"/>
  <c r="J189"/>
  <c r="K189"/>
  <c r="L189"/>
  <c r="M189"/>
  <c r="J134" i="7945"/>
  <c r="H49" i="7944"/>
  <c r="I191"/>
  <c r="J191"/>
  <c r="K191"/>
  <c r="L191"/>
  <c r="M191"/>
  <c r="J135" i="7945"/>
  <c r="I49" i="7944"/>
  <c r="J192"/>
  <c r="K192"/>
  <c r="L192"/>
  <c r="M192"/>
  <c r="J136" i="7945"/>
  <c r="J49" i="7944"/>
  <c r="K193"/>
  <c r="L193"/>
  <c r="M193"/>
  <c r="J137" i="7945"/>
  <c r="K49" i="7944"/>
  <c r="L194"/>
  <c r="M194"/>
  <c r="J138" i="7945"/>
  <c r="L49" i="7944"/>
  <c r="M195"/>
  <c r="J139" i="7945"/>
  <c r="M49" i="7944"/>
  <c r="J140" i="7945"/>
  <c r="N49" i="7944"/>
  <c r="J141" i="7945"/>
  <c r="O49" i="7944"/>
  <c r="J142" i="7945"/>
  <c r="P49" i="7944"/>
  <c r="J143" i="7945"/>
  <c r="Q49" i="7944"/>
  <c r="J144" i="7945"/>
  <c r="J145"/>
  <c r="K135"/>
  <c r="K136"/>
  <c r="K137"/>
  <c r="K138"/>
  <c r="K139"/>
  <c r="K140"/>
  <c r="K141"/>
  <c r="K142"/>
  <c r="K143"/>
  <c r="K144"/>
  <c r="K134"/>
  <c r="K145"/>
  <c r="O16" i="7946"/>
  <c r="H98" i="7944"/>
  <c r="I98"/>
  <c r="J98"/>
  <c r="K98"/>
  <c r="L98"/>
  <c r="M98"/>
  <c r="J36" i="7945"/>
  <c r="H42" i="7944"/>
  <c r="I100"/>
  <c r="J100"/>
  <c r="K100"/>
  <c r="L100"/>
  <c r="M100"/>
  <c r="J37" i="7945"/>
  <c r="I42" i="7944"/>
  <c r="J101"/>
  <c r="K101"/>
  <c r="L101"/>
  <c r="M101"/>
  <c r="J38" i="7945"/>
  <c r="J42" i="7944"/>
  <c r="K102"/>
  <c r="L102"/>
  <c r="M102"/>
  <c r="J39" i="7945"/>
  <c r="K42" i="7944"/>
  <c r="L103"/>
  <c r="M103"/>
  <c r="J40" i="7945"/>
  <c r="L42" i="7944"/>
  <c r="M104"/>
  <c r="J41" i="7945"/>
  <c r="M42" i="7944"/>
  <c r="J42" i="7945"/>
  <c r="N42" i="7944"/>
  <c r="J43" i="7945"/>
  <c r="O42" i="7944"/>
  <c r="J44" i="7945"/>
  <c r="P42" i="7944"/>
  <c r="J45" i="7945"/>
  <c r="Q42" i="7944"/>
  <c r="J46" i="7945"/>
  <c r="J47"/>
  <c r="K37"/>
  <c r="K38"/>
  <c r="K39"/>
  <c r="K40"/>
  <c r="K41"/>
  <c r="K42"/>
  <c r="K43"/>
  <c r="K44"/>
  <c r="K45"/>
  <c r="K46"/>
  <c r="K36"/>
  <c r="K47"/>
  <c r="O9" i="7946"/>
  <c r="H19" i="7944"/>
  <c r="H227"/>
  <c r="I19"/>
  <c r="I227"/>
  <c r="J19"/>
  <c r="J227"/>
  <c r="K19"/>
  <c r="K227"/>
  <c r="L19"/>
  <c r="L227"/>
  <c r="M19"/>
  <c r="M227"/>
  <c r="N19"/>
  <c r="N18" i="7946"/>
  <c r="H72" i="7944"/>
  <c r="I72"/>
  <c r="J72"/>
  <c r="K72"/>
  <c r="L72"/>
  <c r="M72"/>
  <c r="J8" i="7945"/>
  <c r="H40" i="7944"/>
  <c r="I74"/>
  <c r="J74"/>
  <c r="K74"/>
  <c r="L74"/>
  <c r="M74"/>
  <c r="J9" i="7945"/>
  <c r="I40" i="7944"/>
  <c r="J75"/>
  <c r="K75"/>
  <c r="L75"/>
  <c r="M75"/>
  <c r="J10" i="7945"/>
  <c r="J40" i="7944"/>
  <c r="K76"/>
  <c r="L76"/>
  <c r="M76"/>
  <c r="J11" i="7945"/>
  <c r="K40" i="7944"/>
  <c r="L77"/>
  <c r="M77"/>
  <c r="J12" i="7945"/>
  <c r="L40" i="7944"/>
  <c r="M78"/>
  <c r="J13" i="7945"/>
  <c r="M40" i="7944"/>
  <c r="J14" i="7945"/>
  <c r="N40" i="7944"/>
  <c r="J15" i="7945"/>
  <c r="O40" i="7944"/>
  <c r="J16" i="7945"/>
  <c r="P40" i="7944"/>
  <c r="J17" i="7945"/>
  <c r="Q40" i="7944"/>
  <c r="J18" i="7945"/>
  <c r="J19"/>
  <c r="K9"/>
  <c r="K10"/>
  <c r="K11"/>
  <c r="K12"/>
  <c r="K13"/>
  <c r="K14"/>
  <c r="K15"/>
  <c r="K16"/>
  <c r="K17"/>
  <c r="K18"/>
  <c r="K8"/>
  <c r="K19"/>
  <c r="O7" i="7946"/>
  <c r="H14" i="7944"/>
  <c r="H162"/>
  <c r="I14"/>
  <c r="I162"/>
  <c r="J14"/>
  <c r="J162"/>
  <c r="K14"/>
  <c r="K162"/>
  <c r="L14"/>
  <c r="L162"/>
  <c r="M14"/>
  <c r="M162"/>
  <c r="N14"/>
  <c r="N13" i="7946"/>
  <c r="H202" i="7944"/>
  <c r="I202"/>
  <c r="J202"/>
  <c r="K202"/>
  <c r="L202"/>
  <c r="M202"/>
  <c r="J148" i="7945"/>
  <c r="H50" i="7944"/>
  <c r="I204"/>
  <c r="J204"/>
  <c r="K204"/>
  <c r="L204"/>
  <c r="M204"/>
  <c r="J149" i="7945"/>
  <c r="I50" i="7944"/>
  <c r="J205"/>
  <c r="K205"/>
  <c r="L205"/>
  <c r="M205"/>
  <c r="J150" i="7945"/>
  <c r="J50" i="7944"/>
  <c r="K206"/>
  <c r="L206"/>
  <c r="M206"/>
  <c r="J151" i="7945"/>
  <c r="K50" i="7944"/>
  <c r="L207"/>
  <c r="M207"/>
  <c r="J152" i="7945"/>
  <c r="L50" i="7944"/>
  <c r="M208"/>
  <c r="J153" i="7945"/>
  <c r="M50" i="7944"/>
  <c r="J154" i="7945"/>
  <c r="N50" i="7944"/>
  <c r="J155" i="7945"/>
  <c r="O50" i="7944"/>
  <c r="J156" i="7945"/>
  <c r="P50" i="7944"/>
  <c r="J157" i="7945"/>
  <c r="Q50" i="7944"/>
  <c r="J158" i="7945"/>
  <c r="J159"/>
  <c r="K149"/>
  <c r="K150"/>
  <c r="K151"/>
  <c r="K152"/>
  <c r="K153"/>
  <c r="K154"/>
  <c r="K155"/>
  <c r="K156"/>
  <c r="K157"/>
  <c r="K158"/>
  <c r="K148"/>
  <c r="K159"/>
  <c r="O17" i="7946"/>
  <c r="H85" i="7944"/>
  <c r="I85"/>
  <c r="J85"/>
  <c r="K85"/>
  <c r="L85"/>
  <c r="M85"/>
  <c r="J22" i="7945"/>
  <c r="H41" i="7944"/>
  <c r="I87"/>
  <c r="J87"/>
  <c r="K87"/>
  <c r="L87"/>
  <c r="M87"/>
  <c r="J23" i="7945"/>
  <c r="I41" i="7944"/>
  <c r="J88"/>
  <c r="K88"/>
  <c r="L88"/>
  <c r="M88"/>
  <c r="J24" i="7945"/>
  <c r="J41" i="7944"/>
  <c r="K89"/>
  <c r="L89"/>
  <c r="M89"/>
  <c r="J25" i="7945"/>
  <c r="K41" i="7944"/>
  <c r="L90"/>
  <c r="M90"/>
  <c r="J26" i="7945"/>
  <c r="L41" i="7944"/>
  <c r="M91"/>
  <c r="J27" i="7945"/>
  <c r="M41" i="7944"/>
  <c r="J28" i="7945"/>
  <c r="N41" i="7944"/>
  <c r="J29" i="7945"/>
  <c r="O41" i="7944"/>
  <c r="J30" i="7945"/>
  <c r="P41" i="7944"/>
  <c r="J31" i="7945"/>
  <c r="Q41" i="7944"/>
  <c r="J32" i="7945"/>
  <c r="J33"/>
  <c r="K23"/>
  <c r="K24"/>
  <c r="K25"/>
  <c r="K26"/>
  <c r="K27"/>
  <c r="K28"/>
  <c r="K29"/>
  <c r="K30"/>
  <c r="K31"/>
  <c r="K32"/>
  <c r="K22"/>
  <c r="K33"/>
  <c r="O8" i="7946"/>
  <c r="H11" i="7944"/>
  <c r="H123"/>
  <c r="I11"/>
  <c r="I123"/>
  <c r="J11"/>
  <c r="J123"/>
  <c r="K11"/>
  <c r="K123"/>
  <c r="L11"/>
  <c r="L123"/>
  <c r="M11"/>
  <c r="M123"/>
  <c r="N11"/>
  <c r="N10" i="7946"/>
  <c r="H16" i="7944"/>
  <c r="H48"/>
  <c r="H176"/>
  <c r="H188"/>
  <c r="I16"/>
  <c r="I48"/>
  <c r="I178"/>
  <c r="I176"/>
  <c r="I188"/>
  <c r="J16"/>
  <c r="J48"/>
  <c r="J178"/>
  <c r="J179"/>
  <c r="J176"/>
  <c r="J188"/>
  <c r="K16"/>
  <c r="K48"/>
  <c r="K178"/>
  <c r="K179"/>
  <c r="K180"/>
  <c r="K176"/>
  <c r="K188"/>
  <c r="L16"/>
  <c r="L48"/>
  <c r="L178"/>
  <c r="L179"/>
  <c r="L180"/>
  <c r="L181"/>
  <c r="L176"/>
  <c r="L188"/>
  <c r="M16"/>
  <c r="M48"/>
  <c r="M178"/>
  <c r="M179"/>
  <c r="M180"/>
  <c r="M181"/>
  <c r="M182"/>
  <c r="M176"/>
  <c r="M188"/>
  <c r="N16"/>
  <c r="N15" i="7946"/>
  <c r="H17" i="7944"/>
  <c r="H201"/>
  <c r="I17"/>
  <c r="I201"/>
  <c r="J17"/>
  <c r="J201"/>
  <c r="K17"/>
  <c r="K201"/>
  <c r="L17"/>
  <c r="L201"/>
  <c r="M17"/>
  <c r="M201"/>
  <c r="N17"/>
  <c r="N16" i="7946"/>
  <c r="H18" i="7944"/>
  <c r="H214"/>
  <c r="I18"/>
  <c r="I214"/>
  <c r="J18"/>
  <c r="J214"/>
  <c r="K18"/>
  <c r="K214"/>
  <c r="L18"/>
  <c r="L214"/>
  <c r="M18"/>
  <c r="M214"/>
  <c r="N18"/>
  <c r="N17" i="7946"/>
  <c r="J120" i="7945"/>
  <c r="J121"/>
  <c r="J122"/>
  <c r="J123"/>
  <c r="J124"/>
  <c r="J125"/>
  <c r="J126"/>
  <c r="N48" i="7944"/>
  <c r="J127" i="7945"/>
  <c r="O48" i="7944"/>
  <c r="J128" i="7945"/>
  <c r="P48" i="7944"/>
  <c r="J129" i="7945"/>
  <c r="Q48" i="7944"/>
  <c r="J130" i="7945"/>
  <c r="J131"/>
  <c r="K121"/>
  <c r="K122"/>
  <c r="K123"/>
  <c r="K124"/>
  <c r="K125"/>
  <c r="K126"/>
  <c r="K127"/>
  <c r="K128"/>
  <c r="K129"/>
  <c r="K130"/>
  <c r="K120"/>
  <c r="K131"/>
  <c r="O15" i="7946"/>
  <c r="H9" i="7944"/>
  <c r="H97"/>
  <c r="I9"/>
  <c r="I97"/>
  <c r="J9"/>
  <c r="J97"/>
  <c r="K9"/>
  <c r="K97"/>
  <c r="L9"/>
  <c r="L97"/>
  <c r="M9"/>
  <c r="M97"/>
  <c r="N9"/>
  <c r="N8" i="7946"/>
  <c r="H10" i="7944"/>
  <c r="H110"/>
  <c r="I10"/>
  <c r="I110"/>
  <c r="J10"/>
  <c r="J110"/>
  <c r="K10"/>
  <c r="K110"/>
  <c r="L10"/>
  <c r="L110"/>
  <c r="M10"/>
  <c r="M110"/>
  <c r="N10"/>
  <c r="N9" i="7946"/>
  <c r="H15" i="7944"/>
  <c r="H175"/>
  <c r="I15"/>
  <c r="I175"/>
  <c r="J15"/>
  <c r="J175"/>
  <c r="K15"/>
  <c r="K175"/>
  <c r="L15"/>
  <c r="L175"/>
  <c r="M15"/>
  <c r="M175"/>
  <c r="N15"/>
  <c r="N14" i="7946"/>
  <c r="H8" i="7944"/>
  <c r="H84"/>
  <c r="I8"/>
  <c r="I84"/>
  <c r="J8"/>
  <c r="J84"/>
  <c r="K8"/>
  <c r="K84"/>
  <c r="L8"/>
  <c r="L84"/>
  <c r="M8"/>
  <c r="M84"/>
  <c r="N8"/>
  <c r="N7" i="7946"/>
  <c r="G458" i="7942"/>
  <c r="H232" i="18"/>
  <c r="I232"/>
  <c r="J232"/>
  <c r="K232"/>
  <c r="L232"/>
  <c r="M232"/>
  <c r="H223" i="1"/>
  <c r="H56" i="18"/>
  <c r="I234"/>
  <c r="J234"/>
  <c r="K234"/>
  <c r="L234"/>
  <c r="M234"/>
  <c r="E177" i="7945"/>
  <c r="I223" i="1"/>
  <c r="I56" i="18"/>
  <c r="J235"/>
  <c r="K235"/>
  <c r="L235"/>
  <c r="M235"/>
  <c r="E178" i="7945"/>
  <c r="J223" i="1"/>
  <c r="J56" i="18"/>
  <c r="K236"/>
  <c r="L236"/>
  <c r="M236"/>
  <c r="E179" i="7945"/>
  <c r="K223" i="1"/>
  <c r="K56" i="18"/>
  <c r="L237"/>
  <c r="M237"/>
  <c r="E180" i="7945"/>
  <c r="L223" i="1"/>
  <c r="L56" i="18"/>
  <c r="M238"/>
  <c r="E181" i="7945"/>
  <c r="M223" i="1"/>
  <c r="M56" i="18"/>
  <c r="E182" i="7945"/>
  <c r="N246" i="1"/>
  <c r="N223"/>
  <c r="N56" i="18"/>
  <c r="E183" i="7945"/>
  <c r="O246" i="1"/>
  <c r="O223"/>
  <c r="O252"/>
  <c r="O56" i="18"/>
  <c r="E184" i="7945"/>
  <c r="P246" i="1"/>
  <c r="P223"/>
  <c r="P252"/>
  <c r="P56" i="18"/>
  <c r="E185" i="7945"/>
  <c r="Q246" i="1"/>
  <c r="Q223"/>
  <c r="Q252"/>
  <c r="Q56" i="18"/>
  <c r="E186" i="7945"/>
  <c r="G459" i="7942"/>
  <c r="H245" i="18"/>
  <c r="I245"/>
  <c r="J245"/>
  <c r="K245"/>
  <c r="L245"/>
  <c r="M245"/>
  <c r="H224" i="1"/>
  <c r="H57" i="18"/>
  <c r="I247"/>
  <c r="J247"/>
  <c r="K247"/>
  <c r="L247"/>
  <c r="M247"/>
  <c r="E191" i="7945"/>
  <c r="I224" i="1"/>
  <c r="I57" i="18"/>
  <c r="J248"/>
  <c r="K248"/>
  <c r="L248"/>
  <c r="M248"/>
  <c r="E192" i="7945"/>
  <c r="J224" i="1"/>
  <c r="J57" i="18"/>
  <c r="K249"/>
  <c r="L249"/>
  <c r="M249"/>
  <c r="E193" i="7945"/>
  <c r="K224" i="1"/>
  <c r="K57" i="18"/>
  <c r="L250"/>
  <c r="M250"/>
  <c r="E194" i="7945"/>
  <c r="L224" i="1"/>
  <c r="L57" i="18"/>
  <c r="M251"/>
  <c r="E195" i="7945"/>
  <c r="M224" i="1"/>
  <c r="M57" i="18"/>
  <c r="E196" i="7945"/>
  <c r="N224" i="1"/>
  <c r="N57" i="18"/>
  <c r="E197" i="7945"/>
  <c r="O224" i="1"/>
  <c r="O57" i="18"/>
  <c r="E198" i="7945"/>
  <c r="P224" i="1"/>
  <c r="P57" i="18"/>
  <c r="E199" i="7945"/>
  <c r="Q224" i="1"/>
  <c r="Q57" i="18"/>
  <c r="E200" i="7945"/>
  <c r="G453" i="7942"/>
  <c r="G645"/>
  <c r="H453"/>
  <c r="H167" i="18"/>
  <c r="I167"/>
  <c r="J167"/>
  <c r="K167"/>
  <c r="L167"/>
  <c r="M167"/>
  <c r="E106" i="7945"/>
  <c r="H218" i="1"/>
  <c r="H51" i="18"/>
  <c r="I169"/>
  <c r="J169"/>
  <c r="K169"/>
  <c r="L169"/>
  <c r="M169"/>
  <c r="E107" i="7945"/>
  <c r="I218" i="1"/>
  <c r="I51" i="18"/>
  <c r="J170"/>
  <c r="K170"/>
  <c r="L170"/>
  <c r="M170"/>
  <c r="E108" i="7945"/>
  <c r="J218" i="1"/>
  <c r="J51" i="18"/>
  <c r="K171"/>
  <c r="L171"/>
  <c r="M171"/>
  <c r="E109" i="7945"/>
  <c r="K218" i="1"/>
  <c r="K51" i="18"/>
  <c r="L172"/>
  <c r="M172"/>
  <c r="E110" i="7945"/>
  <c r="L218" i="1"/>
  <c r="L51" i="18"/>
  <c r="M173"/>
  <c r="E111" i="7945"/>
  <c r="M218" i="1"/>
  <c r="M51" i="18"/>
  <c r="E112" i="7945"/>
  <c r="N218" i="1"/>
  <c r="N51" i="18"/>
  <c r="E113" i="7945"/>
  <c r="O218" i="1"/>
  <c r="O51" i="18"/>
  <c r="E114" i="7945"/>
  <c r="P218" i="1"/>
  <c r="P51" i="18"/>
  <c r="E115" i="7945"/>
  <c r="Q218" i="1"/>
  <c r="Q51" i="18"/>
  <c r="E116" i="7945"/>
  <c r="E117"/>
  <c r="G454" i="7942"/>
  <c r="G646"/>
  <c r="H454"/>
  <c r="H180" i="18"/>
  <c r="I180"/>
  <c r="J180"/>
  <c r="K180"/>
  <c r="L180"/>
  <c r="M180"/>
  <c r="E120" i="7945"/>
  <c r="H219" i="1"/>
  <c r="H52" i="18"/>
  <c r="I182"/>
  <c r="J182"/>
  <c r="K182"/>
  <c r="L182"/>
  <c r="M182"/>
  <c r="E121" i="7945"/>
  <c r="I219" i="1"/>
  <c r="I52" i="18"/>
  <c r="J183"/>
  <c r="K183"/>
  <c r="L183"/>
  <c r="M183"/>
  <c r="E122" i="7945"/>
  <c r="J219" i="1"/>
  <c r="J52" i="18"/>
  <c r="K184"/>
  <c r="L184"/>
  <c r="M184"/>
  <c r="E123" i="7945"/>
  <c r="K219" i="1"/>
  <c r="K52" i="18"/>
  <c r="L185"/>
  <c r="M185"/>
  <c r="E124" i="7945"/>
  <c r="L219" i="1"/>
  <c r="L52" i="18"/>
  <c r="M186"/>
  <c r="E125" i="7945"/>
  <c r="M219" i="1"/>
  <c r="M52" i="18"/>
  <c r="E126" i="7945"/>
  <c r="N219" i="1"/>
  <c r="N52" i="18"/>
  <c r="E127" i="7945"/>
  <c r="O219" i="1"/>
  <c r="O52" i="18"/>
  <c r="E128" i="7945"/>
  <c r="P219" i="1"/>
  <c r="P52" i="18"/>
  <c r="E129" i="7945"/>
  <c r="Q219" i="1"/>
  <c r="Q52" i="18"/>
  <c r="E130" i="7945"/>
  <c r="E131"/>
  <c r="F121"/>
  <c r="F122"/>
  <c r="F123"/>
  <c r="F124"/>
  <c r="F125"/>
  <c r="F126"/>
  <c r="F127"/>
  <c r="F128"/>
  <c r="F129"/>
  <c r="F130"/>
  <c r="F120"/>
  <c r="F131"/>
  <c r="L15" i="7946"/>
  <c r="G452" i="7942"/>
  <c r="G644"/>
  <c r="H452"/>
  <c r="H154" i="18"/>
  <c r="I154"/>
  <c r="J154"/>
  <c r="K154"/>
  <c r="L154"/>
  <c r="M154"/>
  <c r="E92" i="7945"/>
  <c r="H217" i="1"/>
  <c r="H50" i="18"/>
  <c r="I156"/>
  <c r="J156"/>
  <c r="K156"/>
  <c r="L156"/>
  <c r="M156"/>
  <c r="E93" i="7945"/>
  <c r="I217" i="1"/>
  <c r="I50" i="18"/>
  <c r="J157"/>
  <c r="K157"/>
  <c r="L157"/>
  <c r="M157"/>
  <c r="E94" i="7945"/>
  <c r="J217" i="1"/>
  <c r="J50" i="18"/>
  <c r="K158"/>
  <c r="L158"/>
  <c r="M158"/>
  <c r="E95" i="7945"/>
  <c r="K217" i="1"/>
  <c r="K50" i="18"/>
  <c r="L159"/>
  <c r="M159"/>
  <c r="E96" i="7945"/>
  <c r="L217" i="1"/>
  <c r="L50" i="18"/>
  <c r="M160"/>
  <c r="E97" i="7945"/>
  <c r="M217" i="1"/>
  <c r="M50" i="18"/>
  <c r="E98" i="7945"/>
  <c r="N217" i="1"/>
  <c r="N50" i="18"/>
  <c r="E99" i="7945"/>
  <c r="O217" i="1"/>
  <c r="O50" i="18"/>
  <c r="E100" i="7945"/>
  <c r="P217" i="1"/>
  <c r="P50" i="18"/>
  <c r="E101" i="7945"/>
  <c r="Q217" i="1"/>
  <c r="Q50" i="18"/>
  <c r="E102" i="7945"/>
  <c r="E103"/>
  <c r="F93"/>
  <c r="F94"/>
  <c r="F95"/>
  <c r="F96"/>
  <c r="F97"/>
  <c r="F98"/>
  <c r="F99"/>
  <c r="F100"/>
  <c r="F101"/>
  <c r="F102"/>
  <c r="F92"/>
  <c r="F103"/>
  <c r="L13" i="7946"/>
  <c r="G448" i="7942"/>
  <c r="G640"/>
  <c r="H448"/>
  <c r="H102" i="18"/>
  <c r="I102"/>
  <c r="J102"/>
  <c r="K102"/>
  <c r="L102"/>
  <c r="M102"/>
  <c r="E36" i="7945"/>
  <c r="H213" i="1"/>
  <c r="H46" i="18"/>
  <c r="I104"/>
  <c r="J104"/>
  <c r="K104"/>
  <c r="L104"/>
  <c r="M104"/>
  <c r="E37" i="7945"/>
  <c r="I213" i="1"/>
  <c r="I46" i="18"/>
  <c r="J105"/>
  <c r="K105"/>
  <c r="L105"/>
  <c r="M105"/>
  <c r="E38" i="7945"/>
  <c r="J213" i="1"/>
  <c r="J46" i="18"/>
  <c r="K106"/>
  <c r="L106"/>
  <c r="M106"/>
  <c r="E39" i="7945"/>
  <c r="K213" i="1"/>
  <c r="K46" i="18"/>
  <c r="L107"/>
  <c r="M107"/>
  <c r="E40" i="7945"/>
  <c r="L213" i="1"/>
  <c r="L46" i="18"/>
  <c r="M108"/>
  <c r="E41" i="7945"/>
  <c r="M213" i="1"/>
  <c r="M46" i="18"/>
  <c r="E42" i="7945"/>
  <c r="N213" i="1"/>
  <c r="N46" i="18"/>
  <c r="E43" i="7945"/>
  <c r="O213" i="1"/>
  <c r="O46" i="18"/>
  <c r="E44" i="7945"/>
  <c r="P213" i="1"/>
  <c r="P46" i="18"/>
  <c r="E45" i="7945"/>
  <c r="Q213" i="1"/>
  <c r="Q46" i="18"/>
  <c r="E46" i="7945"/>
  <c r="E47"/>
  <c r="F37"/>
  <c r="F38"/>
  <c r="F39"/>
  <c r="F40"/>
  <c r="F41"/>
  <c r="F42"/>
  <c r="F43"/>
  <c r="F44"/>
  <c r="F45"/>
  <c r="F46"/>
  <c r="F36"/>
  <c r="F47"/>
  <c r="L9" i="7946"/>
  <c r="G456" i="7942"/>
  <c r="H221" i="1"/>
  <c r="H54" i="18"/>
  <c r="I208"/>
  <c r="J208"/>
  <c r="K208"/>
  <c r="L208"/>
  <c r="M208"/>
  <c r="E149" i="7945"/>
  <c r="I221" i="1"/>
  <c r="I54" i="18"/>
  <c r="J209"/>
  <c r="K209"/>
  <c r="L209"/>
  <c r="M209"/>
  <c r="E150" i="7945"/>
  <c r="J221" i="1"/>
  <c r="J54" i="18"/>
  <c r="K210"/>
  <c r="L210"/>
  <c r="M210"/>
  <c r="E151" i="7945"/>
  <c r="K221" i="1"/>
  <c r="K54" i="18"/>
  <c r="L211"/>
  <c r="M211"/>
  <c r="E152" i="7945"/>
  <c r="L221" i="1"/>
  <c r="L54" i="18"/>
  <c r="M212"/>
  <c r="E153" i="7945"/>
  <c r="M221" i="1"/>
  <c r="M54" i="18"/>
  <c r="E154" i="7945"/>
  <c r="N221" i="1"/>
  <c r="N54" i="18"/>
  <c r="E155" i="7945"/>
  <c r="O221" i="1"/>
  <c r="O54" i="18"/>
  <c r="E156" i="7945"/>
  <c r="P221" i="1"/>
  <c r="P54" i="18"/>
  <c r="E157" i="7945"/>
  <c r="Q221" i="1"/>
  <c r="Q54" i="18"/>
  <c r="E158" i="7945"/>
  <c r="F149"/>
  <c r="F150"/>
  <c r="F151"/>
  <c r="F152"/>
  <c r="F153"/>
  <c r="F154"/>
  <c r="F155"/>
  <c r="F156"/>
  <c r="F157"/>
  <c r="F158"/>
  <c r="F148"/>
  <c r="G457" i="7942"/>
  <c r="H222" i="1"/>
  <c r="H55" i="18"/>
  <c r="I221"/>
  <c r="J221"/>
  <c r="K221"/>
  <c r="L221"/>
  <c r="M221"/>
  <c r="E163" i="7945"/>
  <c r="I222" i="1"/>
  <c r="I55" i="18"/>
  <c r="J222"/>
  <c r="K222"/>
  <c r="L222"/>
  <c r="M222"/>
  <c r="E164" i="7945"/>
  <c r="J222" i="1"/>
  <c r="J55" i="18"/>
  <c r="K223"/>
  <c r="L223"/>
  <c r="M223"/>
  <c r="E165" i="7945"/>
  <c r="K222" i="1"/>
  <c r="K55" i="18"/>
  <c r="L224"/>
  <c r="M224"/>
  <c r="E166" i="7945"/>
  <c r="L222" i="1"/>
  <c r="L55" i="18"/>
  <c r="M225"/>
  <c r="E167" i="7945"/>
  <c r="M222" i="1"/>
  <c r="M55" i="18"/>
  <c r="E168" i="7945"/>
  <c r="N222" i="1"/>
  <c r="N55" i="18"/>
  <c r="E169" i="7945"/>
  <c r="O222" i="1"/>
  <c r="O55" i="18"/>
  <c r="E170" i="7945"/>
  <c r="P222" i="1"/>
  <c r="P55" i="18"/>
  <c r="E171" i="7945"/>
  <c r="Q222" i="1"/>
  <c r="Q55" i="18"/>
  <c r="E172" i="7945"/>
  <c r="F163"/>
  <c r="F164"/>
  <c r="F165"/>
  <c r="F166"/>
  <c r="F167"/>
  <c r="F168"/>
  <c r="F169"/>
  <c r="F170"/>
  <c r="F171"/>
  <c r="F172"/>
  <c r="F162"/>
  <c r="G449" i="7942"/>
  <c r="G641"/>
  <c r="H449"/>
  <c r="H115" i="18"/>
  <c r="I115"/>
  <c r="J115"/>
  <c r="K115"/>
  <c r="L115"/>
  <c r="M115"/>
  <c r="E50" i="7945"/>
  <c r="H214" i="1"/>
  <c r="H47" i="18"/>
  <c r="I117"/>
  <c r="J117"/>
  <c r="K117"/>
  <c r="L117"/>
  <c r="M117"/>
  <c r="E51" i="7945"/>
  <c r="I214" i="1"/>
  <c r="I47" i="18"/>
  <c r="J118"/>
  <c r="K118"/>
  <c r="L118"/>
  <c r="M118"/>
  <c r="E52" i="7945"/>
  <c r="J214" i="1"/>
  <c r="J47" i="18"/>
  <c r="K119"/>
  <c r="L119"/>
  <c r="M119"/>
  <c r="E53" i="7945"/>
  <c r="K214" i="1"/>
  <c r="K47" i="18"/>
  <c r="L120"/>
  <c r="M120"/>
  <c r="E54" i="7945"/>
  <c r="L214" i="1"/>
  <c r="L47" i="18"/>
  <c r="M121"/>
  <c r="E55" i="7945"/>
  <c r="M214" i="1"/>
  <c r="M47" i="18"/>
  <c r="E56" i="7945"/>
  <c r="N214" i="1"/>
  <c r="N47" i="18"/>
  <c r="E57" i="7945"/>
  <c r="O214" i="1"/>
  <c r="O47" i="18"/>
  <c r="E58" i="7945"/>
  <c r="P214" i="1"/>
  <c r="P47" i="18"/>
  <c r="E59" i="7945"/>
  <c r="Q214" i="1"/>
  <c r="Q47" i="18"/>
  <c r="E60" i="7945"/>
  <c r="E61"/>
  <c r="F51"/>
  <c r="F52"/>
  <c r="F53"/>
  <c r="F54"/>
  <c r="F55"/>
  <c r="F56"/>
  <c r="F57"/>
  <c r="F58"/>
  <c r="F59"/>
  <c r="F60"/>
  <c r="F50"/>
  <c r="F61"/>
  <c r="L10" i="7946"/>
  <c r="G450" i="7942"/>
  <c r="G642"/>
  <c r="H450"/>
  <c r="H128" i="18"/>
  <c r="I128"/>
  <c r="J128"/>
  <c r="K128"/>
  <c r="L128"/>
  <c r="M128"/>
  <c r="E64" i="7945"/>
  <c r="H215" i="1"/>
  <c r="H48" i="18"/>
  <c r="I130"/>
  <c r="J130"/>
  <c r="K130"/>
  <c r="L130"/>
  <c r="M130"/>
  <c r="E65" i="7945"/>
  <c r="I215" i="1"/>
  <c r="I48" i="18"/>
  <c r="J131"/>
  <c r="K131"/>
  <c r="L131"/>
  <c r="M131"/>
  <c r="E66" i="7945"/>
  <c r="J215" i="1"/>
  <c r="J48" i="18"/>
  <c r="K132"/>
  <c r="L132"/>
  <c r="M132"/>
  <c r="E67" i="7945"/>
  <c r="K215" i="1"/>
  <c r="K48" i="18"/>
  <c r="L133"/>
  <c r="M133"/>
  <c r="E68" i="7945"/>
  <c r="L215" i="1"/>
  <c r="L48" i="18"/>
  <c r="M134"/>
  <c r="E69" i="7945"/>
  <c r="M215" i="1"/>
  <c r="M48" i="18"/>
  <c r="E70" i="7945"/>
  <c r="N215" i="1"/>
  <c r="N48" i="18"/>
  <c r="E71" i="7945"/>
  <c r="O215" i="1"/>
  <c r="O48" i="18"/>
  <c r="E72" i="7945"/>
  <c r="P215" i="1"/>
  <c r="P48" i="18"/>
  <c r="E73" i="7945"/>
  <c r="Q215" i="1"/>
  <c r="Q48" i="18"/>
  <c r="E74" i="7945"/>
  <c r="E75"/>
  <c r="F65"/>
  <c r="F66"/>
  <c r="F67"/>
  <c r="F68"/>
  <c r="F69"/>
  <c r="F70"/>
  <c r="F71"/>
  <c r="F72"/>
  <c r="F73"/>
  <c r="F74"/>
  <c r="F64"/>
  <c r="F75"/>
  <c r="L11" i="7946"/>
  <c r="G447" i="7942"/>
  <c r="G639"/>
  <c r="H447"/>
  <c r="H89" i="18"/>
  <c r="I89"/>
  <c r="J89"/>
  <c r="K89"/>
  <c r="L89"/>
  <c r="M89"/>
  <c r="E22" i="7945"/>
  <c r="H212" i="1"/>
  <c r="H45" i="18"/>
  <c r="I91"/>
  <c r="J91"/>
  <c r="K91"/>
  <c r="L91"/>
  <c r="M91"/>
  <c r="E23" i="7945"/>
  <c r="I212" i="1"/>
  <c r="I45" i="18"/>
  <c r="J92"/>
  <c r="K92"/>
  <c r="L92"/>
  <c r="M92"/>
  <c r="E24" i="7945"/>
  <c r="J212" i="1"/>
  <c r="J45" i="18"/>
  <c r="K93"/>
  <c r="L93"/>
  <c r="M93"/>
  <c r="E25" i="7945"/>
  <c r="K212" i="1"/>
  <c r="K45" i="18"/>
  <c r="L94"/>
  <c r="M94"/>
  <c r="E26" i="7945"/>
  <c r="L212" i="1"/>
  <c r="L45" i="18"/>
  <c r="M95"/>
  <c r="E27" i="7945"/>
  <c r="M212" i="1"/>
  <c r="M45" i="18"/>
  <c r="E28" i="7945"/>
  <c r="N212" i="1"/>
  <c r="N45" i="18"/>
  <c r="E29" i="7945"/>
  <c r="O212" i="1"/>
  <c r="O45" i="18"/>
  <c r="E30" i="7945"/>
  <c r="P212" i="1"/>
  <c r="P45" i="18"/>
  <c r="E31" i="7945"/>
  <c r="Q212" i="1"/>
  <c r="Q45" i="18"/>
  <c r="E32" i="7945"/>
  <c r="E33"/>
  <c r="F23"/>
  <c r="F24"/>
  <c r="F25"/>
  <c r="F26"/>
  <c r="F27"/>
  <c r="F28"/>
  <c r="F29"/>
  <c r="F30"/>
  <c r="F31"/>
  <c r="F32"/>
  <c r="F22"/>
  <c r="F33"/>
  <c r="L8" i="7946"/>
  <c r="G455" i="7942"/>
  <c r="G647"/>
  <c r="H455"/>
  <c r="H193" i="18"/>
  <c r="I193"/>
  <c r="J193"/>
  <c r="K193"/>
  <c r="L193"/>
  <c r="M193"/>
  <c r="E134" i="7945"/>
  <c r="H220" i="1"/>
  <c r="H53" i="18"/>
  <c r="I195"/>
  <c r="J195"/>
  <c r="K195"/>
  <c r="L195"/>
  <c r="M195"/>
  <c r="E135" i="7945"/>
  <c r="I220" i="1"/>
  <c r="I53" i="18"/>
  <c r="J196"/>
  <c r="K196"/>
  <c r="L196"/>
  <c r="M196"/>
  <c r="E136" i="7945"/>
  <c r="J220" i="1"/>
  <c r="J53" i="18"/>
  <c r="K197"/>
  <c r="L197"/>
  <c r="M197"/>
  <c r="E137" i="7945"/>
  <c r="K220" i="1"/>
  <c r="K53" i="18"/>
  <c r="L198"/>
  <c r="M198"/>
  <c r="E138" i="7945"/>
  <c r="L220" i="1"/>
  <c r="L53" i="18"/>
  <c r="M199"/>
  <c r="E139" i="7945"/>
  <c r="M220" i="1"/>
  <c r="M53" i="18"/>
  <c r="E140" i="7945"/>
  <c r="N220" i="1"/>
  <c r="N53" i="18"/>
  <c r="E141" i="7945"/>
  <c r="O220" i="1"/>
  <c r="O53" i="18"/>
  <c r="E142" i="7945"/>
  <c r="P220" i="1"/>
  <c r="P53" i="18"/>
  <c r="E143" i="7945"/>
  <c r="Q220" i="1"/>
  <c r="Q53" i="18"/>
  <c r="E144" i="7945"/>
  <c r="E145"/>
  <c r="F135"/>
  <c r="F136"/>
  <c r="F137"/>
  <c r="F138"/>
  <c r="F139"/>
  <c r="F140"/>
  <c r="F141"/>
  <c r="F142"/>
  <c r="F143"/>
  <c r="F144"/>
  <c r="F134"/>
  <c r="F145"/>
  <c r="L16" i="7946"/>
  <c r="G451" i="7942"/>
  <c r="G643"/>
  <c r="H451"/>
  <c r="H141" i="18"/>
  <c r="I141"/>
  <c r="J141"/>
  <c r="K141"/>
  <c r="L141"/>
  <c r="M141"/>
  <c r="E78" i="7945"/>
  <c r="H216" i="1"/>
  <c r="H49" i="18"/>
  <c r="I143"/>
  <c r="J143"/>
  <c r="K143"/>
  <c r="L143"/>
  <c r="M143"/>
  <c r="E79" i="7945"/>
  <c r="I216" i="1"/>
  <c r="I49" i="18"/>
  <c r="J144"/>
  <c r="K144"/>
  <c r="L144"/>
  <c r="M144"/>
  <c r="E80" i="7945"/>
  <c r="J216" i="1"/>
  <c r="J49" i="18"/>
  <c r="K145"/>
  <c r="L145"/>
  <c r="M145"/>
  <c r="E81" i="7945"/>
  <c r="K216" i="1"/>
  <c r="K49" i="18"/>
  <c r="L146"/>
  <c r="M146"/>
  <c r="E82" i="7945"/>
  <c r="L216" i="1"/>
  <c r="L49" i="18"/>
  <c r="M147"/>
  <c r="E83" i="7945"/>
  <c r="M216" i="1"/>
  <c r="M49" i="18"/>
  <c r="E84" i="7945"/>
  <c r="N216" i="1"/>
  <c r="N49" i="18"/>
  <c r="E85" i="7945"/>
  <c r="O216" i="1"/>
  <c r="O49" i="18"/>
  <c r="E86" i="7945"/>
  <c r="P216" i="1"/>
  <c r="P49" i="18"/>
  <c r="E87" i="7945"/>
  <c r="Q216" i="1"/>
  <c r="Q49" i="18"/>
  <c r="E88" i="7945"/>
  <c r="E89"/>
  <c r="F79"/>
  <c r="F80"/>
  <c r="F81"/>
  <c r="F82"/>
  <c r="F83"/>
  <c r="F84"/>
  <c r="F85"/>
  <c r="F86"/>
  <c r="F87"/>
  <c r="F88"/>
  <c r="F78"/>
  <c r="F89"/>
  <c r="L12" i="7946"/>
  <c r="G446" i="7942"/>
  <c r="G638"/>
  <c r="H446"/>
  <c r="H76" i="18"/>
  <c r="I76"/>
  <c r="J76"/>
  <c r="K76"/>
  <c r="L76"/>
  <c r="M76"/>
  <c r="E8" i="7945"/>
  <c r="H211" i="1"/>
  <c r="H44" i="18"/>
  <c r="I78"/>
  <c r="J78"/>
  <c r="K78"/>
  <c r="L78"/>
  <c r="M78"/>
  <c r="E9" i="7945"/>
  <c r="I211" i="1"/>
  <c r="I44" i="18"/>
  <c r="J79"/>
  <c r="K79"/>
  <c r="L79"/>
  <c r="M79"/>
  <c r="E10" i="7945"/>
  <c r="J211" i="1"/>
  <c r="J44" i="18"/>
  <c r="K80"/>
  <c r="L80"/>
  <c r="M80"/>
  <c r="E11" i="7945"/>
  <c r="K211" i="1"/>
  <c r="K44" i="18"/>
  <c r="L81"/>
  <c r="M81"/>
  <c r="E12" i="7945"/>
  <c r="L211" i="1"/>
  <c r="L44" i="18"/>
  <c r="M82"/>
  <c r="E13" i="7945"/>
  <c r="M211" i="1"/>
  <c r="M44" i="18"/>
  <c r="E14" i="7945"/>
  <c r="N211" i="1"/>
  <c r="N44" i="18"/>
  <c r="E15" i="7945"/>
  <c r="O211" i="1"/>
  <c r="O44" i="18"/>
  <c r="E16" i="7945"/>
  <c r="P211" i="1"/>
  <c r="P44" i="18"/>
  <c r="E17" i="7945"/>
  <c r="Q211" i="1"/>
  <c r="Q44" i="18"/>
  <c r="E18" i="7945"/>
  <c r="E19"/>
  <c r="F9"/>
  <c r="F10"/>
  <c r="F11"/>
  <c r="F12"/>
  <c r="F13"/>
  <c r="F14"/>
  <c r="F15"/>
  <c r="F16"/>
  <c r="F17"/>
  <c r="F18"/>
  <c r="F8"/>
  <c r="F19"/>
  <c r="L7" i="7946"/>
  <c r="G762" i="18"/>
  <c r="G473" i="7941"/>
  <c r="G794" i="18"/>
  <c r="G505" i="7941"/>
  <c r="G890" i="18"/>
  <c r="G601" i="7941"/>
  <c r="G858" i="18"/>
  <c r="G569" i="7941"/>
  <c r="G826" i="18"/>
  <c r="G537" i="7941"/>
  <c r="G633"/>
  <c r="H473"/>
  <c r="H794" i="18"/>
  <c r="H505" i="7941"/>
  <c r="G922" i="18"/>
  <c r="H762"/>
  <c r="H988"/>
  <c r="H826"/>
  <c r="H537" i="7941"/>
  <c r="H667"/>
  <c r="I473"/>
  <c r="I794" i="18"/>
  <c r="I505" i="7941"/>
  <c r="I762" i="18"/>
  <c r="I988"/>
  <c r="I826"/>
  <c r="I537" i="7941"/>
  <c r="I667"/>
  <c r="J473"/>
  <c r="J794" i="18"/>
  <c r="J505" i="7941"/>
  <c r="J762" i="18"/>
  <c r="J988"/>
  <c r="J826"/>
  <c r="J537" i="7941"/>
  <c r="J667"/>
  <c r="K473"/>
  <c r="K794" i="18"/>
  <c r="K505" i="7941"/>
  <c r="K762" i="18"/>
  <c r="K988"/>
  <c r="K826"/>
  <c r="K537" i="7941"/>
  <c r="K667"/>
  <c r="L473"/>
  <c r="L794" i="18"/>
  <c r="L505" i="7941"/>
  <c r="L762" i="18"/>
  <c r="L988"/>
  <c r="L826"/>
  <c r="L537" i="7941"/>
  <c r="L667"/>
  <c r="M473"/>
  <c r="M794" i="18"/>
  <c r="M505" i="7941"/>
  <c r="M762" i="18"/>
  <c r="M988"/>
  <c r="M826"/>
  <c r="M537" i="7941"/>
  <c r="M667"/>
  <c r="N667"/>
  <c r="G763" i="18"/>
  <c r="G474" i="7941"/>
  <c r="G795" i="18"/>
  <c r="G506" i="7941"/>
  <c r="G891" i="18"/>
  <c r="G602" i="7941"/>
  <c r="G859" i="18"/>
  <c r="G570" i="7941"/>
  <c r="G827" i="18"/>
  <c r="G538" i="7941"/>
  <c r="G634"/>
  <c r="H474"/>
  <c r="H795" i="18"/>
  <c r="H506" i="7941"/>
  <c r="G923" i="18"/>
  <c r="H763"/>
  <c r="H989"/>
  <c r="H827"/>
  <c r="H538" i="7941"/>
  <c r="H668"/>
  <c r="I474"/>
  <c r="I795" i="18"/>
  <c r="I506" i="7941"/>
  <c r="I763" i="18"/>
  <c r="I989"/>
  <c r="I827"/>
  <c r="I538" i="7941"/>
  <c r="I668"/>
  <c r="J474"/>
  <c r="J795" i="18"/>
  <c r="J506" i="7941"/>
  <c r="J763" i="18"/>
  <c r="J989"/>
  <c r="J827"/>
  <c r="J538" i="7941"/>
  <c r="J668"/>
  <c r="K474"/>
  <c r="K795" i="18"/>
  <c r="K506" i="7941"/>
  <c r="K763" i="18"/>
  <c r="K989"/>
  <c r="K827"/>
  <c r="K538" i="7941"/>
  <c r="K668"/>
  <c r="L474"/>
  <c r="L795" i="18"/>
  <c r="L506" i="7941"/>
  <c r="L763" i="18"/>
  <c r="L989"/>
  <c r="L827"/>
  <c r="L538" i="7941"/>
  <c r="L668"/>
  <c r="M474"/>
  <c r="M795" i="18"/>
  <c r="M506" i="7941"/>
  <c r="M763" i="18"/>
  <c r="M989"/>
  <c r="M827"/>
  <c r="M538" i="7941"/>
  <c r="M668"/>
  <c r="N668"/>
  <c r="G764" i="18"/>
  <c r="G475" i="7941"/>
  <c r="G796" i="18"/>
  <c r="G507" i="7941"/>
  <c r="G892" i="18"/>
  <c r="G603" i="7941"/>
  <c r="G860" i="18"/>
  <c r="G571" i="7941"/>
  <c r="G828" i="18"/>
  <c r="G539" i="7941"/>
  <c r="G635"/>
  <c r="H475"/>
  <c r="H796" i="18"/>
  <c r="H507" i="7941"/>
  <c r="G924" i="18"/>
  <c r="H764"/>
  <c r="H990"/>
  <c r="H828"/>
  <c r="H539" i="7941"/>
  <c r="H669"/>
  <c r="I475"/>
  <c r="I796" i="18"/>
  <c r="I507" i="7941"/>
  <c r="I764" i="18"/>
  <c r="I990"/>
  <c r="I828"/>
  <c r="I539" i="7941"/>
  <c r="I669"/>
  <c r="J475"/>
  <c r="J796" i="18"/>
  <c r="J507" i="7941"/>
  <c r="J764" i="18"/>
  <c r="J990"/>
  <c r="J828"/>
  <c r="J539" i="7941"/>
  <c r="J669"/>
  <c r="K475"/>
  <c r="K796" i="18"/>
  <c r="K507" i="7941"/>
  <c r="K764" i="18"/>
  <c r="K990"/>
  <c r="K828"/>
  <c r="K539" i="7941"/>
  <c r="K669"/>
  <c r="L475"/>
  <c r="L796" i="18"/>
  <c r="L507" i="7941"/>
  <c r="L764" i="18"/>
  <c r="L990"/>
  <c r="L828"/>
  <c r="L539" i="7941"/>
  <c r="L669"/>
  <c r="M475"/>
  <c r="M796" i="18"/>
  <c r="M507" i="7941"/>
  <c r="M764" i="18"/>
  <c r="M990"/>
  <c r="M828"/>
  <c r="M539" i="7941"/>
  <c r="M669"/>
  <c r="N669"/>
  <c r="G765" i="18"/>
  <c r="G476" i="7941"/>
  <c r="G797" i="18"/>
  <c r="G508" i="7941"/>
  <c r="G893" i="18"/>
  <c r="G604" i="7941"/>
  <c r="G861" i="18"/>
  <c r="G572" i="7941"/>
  <c r="G829" i="18"/>
  <c r="G540" i="7941"/>
  <c r="G636"/>
  <c r="H476"/>
  <c r="H797" i="18"/>
  <c r="H508" i="7941"/>
  <c r="G925" i="18"/>
  <c r="H765"/>
  <c r="H991"/>
  <c r="H829"/>
  <c r="H540" i="7941"/>
  <c r="H670"/>
  <c r="I476"/>
  <c r="I797" i="18"/>
  <c r="I508" i="7941"/>
  <c r="I765" i="18"/>
  <c r="I991"/>
  <c r="I829"/>
  <c r="I540" i="7941"/>
  <c r="I670"/>
  <c r="J476"/>
  <c r="J797" i="18"/>
  <c r="J508" i="7941"/>
  <c r="J765" i="18"/>
  <c r="J991"/>
  <c r="J829"/>
  <c r="J540" i="7941"/>
  <c r="J670"/>
  <c r="K476"/>
  <c r="K797" i="18"/>
  <c r="K508" i="7941"/>
  <c r="K765" i="18"/>
  <c r="K991"/>
  <c r="K829"/>
  <c r="K540" i="7941"/>
  <c r="K670"/>
  <c r="L476"/>
  <c r="L797" i="18"/>
  <c r="L508" i="7941"/>
  <c r="L765" i="18"/>
  <c r="L991"/>
  <c r="L829"/>
  <c r="L540" i="7941"/>
  <c r="L670"/>
  <c r="M476"/>
  <c r="M797" i="18"/>
  <c r="M508" i="7941"/>
  <c r="M765" i="18"/>
  <c r="M991"/>
  <c r="M829"/>
  <c r="M540" i="7941"/>
  <c r="M670"/>
  <c r="N670"/>
  <c r="G766" i="18"/>
  <c r="G477" i="7941"/>
  <c r="G798" i="18"/>
  <c r="G509" i="7941"/>
  <c r="G894" i="18"/>
  <c r="G605" i="7941"/>
  <c r="G862" i="18"/>
  <c r="G573" i="7941"/>
  <c r="G830" i="18"/>
  <c r="G541" i="7941"/>
  <c r="G637"/>
  <c r="H477"/>
  <c r="H798" i="18"/>
  <c r="H509" i="7941"/>
  <c r="G926" i="18"/>
  <c r="H766"/>
  <c r="H992"/>
  <c r="H830"/>
  <c r="H541" i="7941"/>
  <c r="H671"/>
  <c r="I477"/>
  <c r="I798" i="18"/>
  <c r="I509" i="7941"/>
  <c r="I766" i="18"/>
  <c r="I992"/>
  <c r="I830"/>
  <c r="I541" i="7941"/>
  <c r="I671"/>
  <c r="J477"/>
  <c r="J798" i="18"/>
  <c r="J509" i="7941"/>
  <c r="J766" i="18"/>
  <c r="J992"/>
  <c r="J830"/>
  <c r="J541" i="7941"/>
  <c r="J671"/>
  <c r="K477"/>
  <c r="K798" i="18"/>
  <c r="K509" i="7941"/>
  <c r="K766" i="18"/>
  <c r="K992"/>
  <c r="K830"/>
  <c r="K541" i="7941"/>
  <c r="K671"/>
  <c r="L477"/>
  <c r="L798" i="18"/>
  <c r="L509" i="7941"/>
  <c r="L766" i="18"/>
  <c r="L992"/>
  <c r="L830"/>
  <c r="L541" i="7941"/>
  <c r="L671"/>
  <c r="M477"/>
  <c r="M798" i="18"/>
  <c r="M509" i="7941"/>
  <c r="M766" i="18"/>
  <c r="M992"/>
  <c r="M830"/>
  <c r="M541" i="7941"/>
  <c r="M671"/>
  <c r="N671"/>
  <c r="G767" i="18"/>
  <c r="G478" i="7941"/>
  <c r="G799" i="18"/>
  <c r="G510" i="7941"/>
  <c r="G895" i="18"/>
  <c r="G606" i="7941"/>
  <c r="G863" i="18"/>
  <c r="G574" i="7941"/>
  <c r="G831" i="18"/>
  <c r="G542" i="7941"/>
  <c r="G638"/>
  <c r="H478"/>
  <c r="H799" i="18"/>
  <c r="H510" i="7941"/>
  <c r="G927" i="18"/>
  <c r="H767"/>
  <c r="H993"/>
  <c r="H831"/>
  <c r="H542" i="7941"/>
  <c r="H672"/>
  <c r="I478"/>
  <c r="I799" i="18"/>
  <c r="I510" i="7941"/>
  <c r="I767" i="18"/>
  <c r="I993"/>
  <c r="I831"/>
  <c r="I542" i="7941"/>
  <c r="I672"/>
  <c r="J478"/>
  <c r="J799" i="18"/>
  <c r="J510" i="7941"/>
  <c r="J767" i="18"/>
  <c r="J993"/>
  <c r="J831"/>
  <c r="J542" i="7941"/>
  <c r="J672"/>
  <c r="K478"/>
  <c r="K799" i="18"/>
  <c r="K510" i="7941"/>
  <c r="K767" i="18"/>
  <c r="K993"/>
  <c r="K831"/>
  <c r="K542" i="7941"/>
  <c r="K672"/>
  <c r="L478"/>
  <c r="L799" i="18"/>
  <c r="L510" i="7941"/>
  <c r="L767" i="18"/>
  <c r="L993"/>
  <c r="L831"/>
  <c r="L542" i="7941"/>
  <c r="L672"/>
  <c r="M478"/>
  <c r="M799" i="18"/>
  <c r="M510" i="7941"/>
  <c r="M767" i="18"/>
  <c r="M993"/>
  <c r="M831"/>
  <c r="M542" i="7941"/>
  <c r="M672"/>
  <c r="N672"/>
  <c r="G768" i="18"/>
  <c r="G479" i="7941"/>
  <c r="G800" i="18"/>
  <c r="G511" i="7941"/>
  <c r="G896" i="18"/>
  <c r="G607" i="7941"/>
  <c r="G864" i="18"/>
  <c r="G575" i="7941"/>
  <c r="G832" i="18"/>
  <c r="G543" i="7941"/>
  <c r="G639"/>
  <c r="H479"/>
  <c r="H800" i="18"/>
  <c r="H511" i="7941"/>
  <c r="G928" i="18"/>
  <c r="H768"/>
  <c r="H994"/>
  <c r="H832"/>
  <c r="H543" i="7941"/>
  <c r="H673"/>
  <c r="I479"/>
  <c r="I800" i="18"/>
  <c r="I511" i="7941"/>
  <c r="I768" i="18"/>
  <c r="I994"/>
  <c r="I832"/>
  <c r="I543" i="7941"/>
  <c r="I673"/>
  <c r="J479"/>
  <c r="J800" i="18"/>
  <c r="J511" i="7941"/>
  <c r="J768" i="18"/>
  <c r="J994"/>
  <c r="J832"/>
  <c r="J543" i="7941"/>
  <c r="J673"/>
  <c r="K479"/>
  <c r="K800" i="18"/>
  <c r="K511" i="7941"/>
  <c r="K768" i="18"/>
  <c r="K994"/>
  <c r="K832"/>
  <c r="K543" i="7941"/>
  <c r="K673"/>
  <c r="L479"/>
  <c r="L800" i="18"/>
  <c r="L511" i="7941"/>
  <c r="L768" i="18"/>
  <c r="L994"/>
  <c r="L832"/>
  <c r="L543" i="7941"/>
  <c r="L673"/>
  <c r="M479"/>
  <c r="M800" i="18"/>
  <c r="M511" i="7941"/>
  <c r="M768" i="18"/>
  <c r="M994"/>
  <c r="M832"/>
  <c r="M543" i="7941"/>
  <c r="M673"/>
  <c r="N673"/>
  <c r="G769" i="18"/>
  <c r="G480" i="7941"/>
  <c r="G801" i="18"/>
  <c r="G512" i="7941"/>
  <c r="G897" i="18"/>
  <c r="G608" i="7941"/>
  <c r="G865" i="18"/>
  <c r="G576" i="7941"/>
  <c r="G833" i="18"/>
  <c r="G544" i="7941"/>
  <c r="G640"/>
  <c r="H480"/>
  <c r="H801" i="18"/>
  <c r="H512" i="7941"/>
  <c r="G929" i="18"/>
  <c r="H769"/>
  <c r="H995"/>
  <c r="H833"/>
  <c r="H544" i="7941"/>
  <c r="H674"/>
  <c r="I480"/>
  <c r="I801" i="18"/>
  <c r="I512" i="7941"/>
  <c r="I769" i="18"/>
  <c r="I995"/>
  <c r="I833"/>
  <c r="I544" i="7941"/>
  <c r="I674"/>
  <c r="J480"/>
  <c r="J801" i="18"/>
  <c r="J512" i="7941"/>
  <c r="J769" i="18"/>
  <c r="J995"/>
  <c r="J833"/>
  <c r="J544" i="7941"/>
  <c r="J674"/>
  <c r="K480"/>
  <c r="K801" i="18"/>
  <c r="K512" i="7941"/>
  <c r="K769" i="18"/>
  <c r="K995"/>
  <c r="K833"/>
  <c r="K544" i="7941"/>
  <c r="K674"/>
  <c r="L480"/>
  <c r="L801" i="18"/>
  <c r="L512" i="7941"/>
  <c r="L769" i="18"/>
  <c r="L995"/>
  <c r="L833"/>
  <c r="L544" i="7941"/>
  <c r="L674"/>
  <c r="M480"/>
  <c r="M801" i="18"/>
  <c r="M512" i="7941"/>
  <c r="M769" i="18"/>
  <c r="M995"/>
  <c r="M833"/>
  <c r="M544" i="7941"/>
  <c r="M674"/>
  <c r="N674"/>
  <c r="G770" i="18"/>
  <c r="G481" i="7941"/>
  <c r="G802" i="18"/>
  <c r="G513" i="7941"/>
  <c r="G898" i="18"/>
  <c r="G609" i="7941"/>
  <c r="G866" i="18"/>
  <c r="G577" i="7941"/>
  <c r="G834" i="18"/>
  <c r="G545" i="7941"/>
  <c r="G641"/>
  <c r="H481"/>
  <c r="H802" i="18"/>
  <c r="H513" i="7941"/>
  <c r="G930" i="18"/>
  <c r="H770"/>
  <c r="H996"/>
  <c r="H834"/>
  <c r="H545" i="7941"/>
  <c r="H675"/>
  <c r="I481"/>
  <c r="I802" i="18"/>
  <c r="I513" i="7941"/>
  <c r="I770" i="18"/>
  <c r="I996"/>
  <c r="I834"/>
  <c r="I545" i="7941"/>
  <c r="I675"/>
  <c r="J481"/>
  <c r="J802" i="18"/>
  <c r="J513" i="7941"/>
  <c r="J770" i="18"/>
  <c r="J996"/>
  <c r="J834"/>
  <c r="J545" i="7941"/>
  <c r="J675"/>
  <c r="K481"/>
  <c r="K802" i="18"/>
  <c r="K513" i="7941"/>
  <c r="K770" i="18"/>
  <c r="K996"/>
  <c r="K834"/>
  <c r="K545" i="7941"/>
  <c r="K675"/>
  <c r="L481"/>
  <c r="L802" i="18"/>
  <c r="L513" i="7941"/>
  <c r="L770" i="18"/>
  <c r="L996"/>
  <c r="L834"/>
  <c r="L545" i="7941"/>
  <c r="L675"/>
  <c r="M481"/>
  <c r="M802" i="18"/>
  <c r="M513" i="7941"/>
  <c r="M770" i="18"/>
  <c r="M996"/>
  <c r="M834"/>
  <c r="M545" i="7941"/>
  <c r="M675"/>
  <c r="N675"/>
  <c r="G771" i="18"/>
  <c r="G482" i="7941"/>
  <c r="G803" i="18"/>
  <c r="G514" i="7941"/>
  <c r="G899" i="18"/>
  <c r="G610" i="7941"/>
  <c r="G867" i="18"/>
  <c r="G578" i="7941"/>
  <c r="G835" i="18"/>
  <c r="G546" i="7941"/>
  <c r="G642"/>
  <c r="H482"/>
  <c r="H803" i="18"/>
  <c r="H514" i="7941"/>
  <c r="G931" i="18"/>
  <c r="H771"/>
  <c r="H997"/>
  <c r="H835"/>
  <c r="H546" i="7941"/>
  <c r="H676"/>
  <c r="I482"/>
  <c r="I803" i="18"/>
  <c r="I514" i="7941"/>
  <c r="I771" i="18"/>
  <c r="I997"/>
  <c r="I835"/>
  <c r="I546" i="7941"/>
  <c r="I676"/>
  <c r="J482"/>
  <c r="J803" i="18"/>
  <c r="J514" i="7941"/>
  <c r="J771" i="18"/>
  <c r="J997"/>
  <c r="J835"/>
  <c r="J546" i="7941"/>
  <c r="J676"/>
  <c r="K482"/>
  <c r="K803" i="18"/>
  <c r="K514" i="7941"/>
  <c r="K771" i="18"/>
  <c r="K997"/>
  <c r="K835"/>
  <c r="K546" i="7941"/>
  <c r="K676"/>
  <c r="L482"/>
  <c r="L803" i="18"/>
  <c r="L514" i="7941"/>
  <c r="L771" i="18"/>
  <c r="L997"/>
  <c r="L835"/>
  <c r="L546" i="7941"/>
  <c r="L676"/>
  <c r="M482"/>
  <c r="M803" i="18"/>
  <c r="M514" i="7941"/>
  <c r="M771" i="18"/>
  <c r="M997"/>
  <c r="M835"/>
  <c r="M546" i="7941"/>
  <c r="M676"/>
  <c r="N676"/>
  <c r="G772" i="18"/>
  <c r="G483" i="7941"/>
  <c r="G804" i="18"/>
  <c r="G515" i="7941"/>
  <c r="G900" i="18"/>
  <c r="G611" i="7941"/>
  <c r="G868" i="18"/>
  <c r="G579" i="7941"/>
  <c r="G836" i="18"/>
  <c r="G547" i="7941"/>
  <c r="H804" i="18"/>
  <c r="H515" i="7941"/>
  <c r="I804" i="18"/>
  <c r="I515" i="7941"/>
  <c r="J804" i="18"/>
  <c r="J515" i="7941"/>
  <c r="K804" i="18"/>
  <c r="K515" i="7941"/>
  <c r="L804" i="18"/>
  <c r="L515" i="7941"/>
  <c r="M804" i="18"/>
  <c r="M515" i="7941"/>
  <c r="G773" i="18"/>
  <c r="G484" i="7941"/>
  <c r="G805" i="18"/>
  <c r="G516" i="7941"/>
  <c r="G901" i="18"/>
  <c r="G612" i="7941"/>
  <c r="G869" i="18"/>
  <c r="G580" i="7941"/>
  <c r="G837" i="18"/>
  <c r="G548" i="7941"/>
  <c r="H805" i="18"/>
  <c r="H516" i="7941"/>
  <c r="I805" i="18"/>
  <c r="I516" i="7941"/>
  <c r="J805" i="18"/>
  <c r="J516" i="7941"/>
  <c r="K805" i="18"/>
  <c r="K516" i="7941"/>
  <c r="L805" i="18"/>
  <c r="L516" i="7941"/>
  <c r="M805" i="18"/>
  <c r="M516" i="7941"/>
  <c r="G774" i="18"/>
  <c r="G485" i="7941"/>
  <c r="G806" i="18"/>
  <c r="G517" i="7941"/>
  <c r="G902" i="18"/>
  <c r="G613" i="7941"/>
  <c r="G870" i="18"/>
  <c r="G581" i="7941"/>
  <c r="G838" i="18"/>
  <c r="G549" i="7941"/>
  <c r="H806" i="18"/>
  <c r="H517" i="7941"/>
  <c r="I806" i="18"/>
  <c r="I517" i="7941"/>
  <c r="J806" i="18"/>
  <c r="J517" i="7941"/>
  <c r="K806" i="18"/>
  <c r="K517" i="7941"/>
  <c r="L806" i="18"/>
  <c r="L517" i="7941"/>
  <c r="M806" i="18"/>
  <c r="M517" i="7941"/>
  <c r="G775" i="18"/>
  <c r="G486" i="7941"/>
  <c r="G807" i="18"/>
  <c r="G518" i="7941"/>
  <c r="G903" i="18"/>
  <c r="G614" i="7941"/>
  <c r="G871" i="18"/>
  <c r="G582" i="7941"/>
  <c r="G839" i="18"/>
  <c r="G550" i="7941"/>
  <c r="H807" i="18"/>
  <c r="H518" i="7941"/>
  <c r="I807" i="18"/>
  <c r="I518" i="7941"/>
  <c r="J807" i="18"/>
  <c r="J518" i="7941"/>
  <c r="K807" i="18"/>
  <c r="K518" i="7941"/>
  <c r="L807" i="18"/>
  <c r="L518" i="7941"/>
  <c r="M807" i="18"/>
  <c r="M518" i="7941"/>
  <c r="H225" i="1"/>
  <c r="H58" i="18"/>
  <c r="H808"/>
  <c r="H519" i="7941"/>
  <c r="H970" i="18"/>
  <c r="I225" i="1"/>
  <c r="I58" i="18"/>
  <c r="I808"/>
  <c r="I519" i="7941"/>
  <c r="I970" i="18"/>
  <c r="J225" i="1"/>
  <c r="J58" i="18"/>
  <c r="J808"/>
  <c r="J519" i="7941"/>
  <c r="J970" i="18"/>
  <c r="K225" i="1"/>
  <c r="K58" i="18"/>
  <c r="K808"/>
  <c r="K519" i="7941"/>
  <c r="K970" i="18"/>
  <c r="L225" i="1"/>
  <c r="L58" i="18"/>
  <c r="L808"/>
  <c r="L519" i="7941"/>
  <c r="L970" i="18"/>
  <c r="M225" i="1"/>
  <c r="M58" i="18"/>
  <c r="M808"/>
  <c r="M519" i="7941"/>
  <c r="M970" i="18"/>
  <c r="H226" i="1"/>
  <c r="H59" i="18"/>
  <c r="H809"/>
  <c r="H520" i="7941"/>
  <c r="H971" i="18"/>
  <c r="I226" i="1"/>
  <c r="I59" i="18"/>
  <c r="I809"/>
  <c r="I520" i="7941"/>
  <c r="I971" i="18"/>
  <c r="J226" i="1"/>
  <c r="J59" i="18"/>
  <c r="J809"/>
  <c r="J520" i="7941"/>
  <c r="J971" i="18"/>
  <c r="K226" i="1"/>
  <c r="K59" i="18"/>
  <c r="K809"/>
  <c r="K520" i="7941"/>
  <c r="K971" i="18"/>
  <c r="L226" i="1"/>
  <c r="L59" i="18"/>
  <c r="L809"/>
  <c r="L520" i="7941"/>
  <c r="L971" i="18"/>
  <c r="M226" i="1"/>
  <c r="M59" i="18"/>
  <c r="M809"/>
  <c r="M520" i="7941"/>
  <c r="M971" i="18"/>
  <c r="H227" i="1"/>
  <c r="H60" i="18"/>
  <c r="H810"/>
  <c r="H521" i="7941"/>
  <c r="H972" i="18"/>
  <c r="I227" i="1"/>
  <c r="I60" i="18"/>
  <c r="I810"/>
  <c r="I521" i="7941"/>
  <c r="I972" i="18"/>
  <c r="J227" i="1"/>
  <c r="J60" i="18"/>
  <c r="J810"/>
  <c r="J521" i="7941"/>
  <c r="J972" i="18"/>
  <c r="K227" i="1"/>
  <c r="K60" i="18"/>
  <c r="K810"/>
  <c r="K521" i="7941"/>
  <c r="K972" i="18"/>
  <c r="L227" i="1"/>
  <c r="L60" i="18"/>
  <c r="L810"/>
  <c r="L521" i="7941"/>
  <c r="L972" i="18"/>
  <c r="M227" i="1"/>
  <c r="M60" i="18"/>
  <c r="M810"/>
  <c r="M521" i="7941"/>
  <c r="M972" i="18"/>
  <c r="H228" i="1"/>
  <c r="H61" i="18"/>
  <c r="H811"/>
  <c r="H522" i="7941"/>
  <c r="H973" i="18"/>
  <c r="I228" i="1"/>
  <c r="I61" i="18"/>
  <c r="I811"/>
  <c r="I522" i="7941"/>
  <c r="I973" i="18"/>
  <c r="J228" i="1"/>
  <c r="J61" i="18"/>
  <c r="J811"/>
  <c r="J522" i="7941"/>
  <c r="J973" i="18"/>
  <c r="K228" i="1"/>
  <c r="K61" i="18"/>
  <c r="K811"/>
  <c r="K522" i="7941"/>
  <c r="K973" i="18"/>
  <c r="L228" i="1"/>
  <c r="L61" i="18"/>
  <c r="L811"/>
  <c r="L522" i="7941"/>
  <c r="L973" i="18"/>
  <c r="M228" i="1"/>
  <c r="M61" i="18"/>
  <c r="M811"/>
  <c r="M522" i="7941"/>
  <c r="M973" i="18"/>
  <c r="H229" i="1"/>
  <c r="H62" i="18"/>
  <c r="H812"/>
  <c r="H523" i="7941"/>
  <c r="H974" i="18"/>
  <c r="I229" i="1"/>
  <c r="I62" i="18"/>
  <c r="I812"/>
  <c r="I523" i="7941"/>
  <c r="I974" i="18"/>
  <c r="J229" i="1"/>
  <c r="J62" i="18"/>
  <c r="J812"/>
  <c r="J523" i="7941"/>
  <c r="J974" i="18"/>
  <c r="K229" i="1"/>
  <c r="K62" i="18"/>
  <c r="K812"/>
  <c r="K523" i="7941"/>
  <c r="K974" i="18"/>
  <c r="L229" i="1"/>
  <c r="L62" i="18"/>
  <c r="L812"/>
  <c r="L523" i="7941"/>
  <c r="L974" i="18"/>
  <c r="M229" i="1"/>
  <c r="M62" i="18"/>
  <c r="M812"/>
  <c r="M523" i="7941"/>
  <c r="M974" i="18"/>
  <c r="H230" i="1"/>
  <c r="H63" i="18"/>
  <c r="H813"/>
  <c r="H524" i="7941"/>
  <c r="H975" i="18"/>
  <c r="I230" i="1"/>
  <c r="I63" i="18"/>
  <c r="I813"/>
  <c r="I524" i="7941"/>
  <c r="I975" i="18"/>
  <c r="J230" i="1"/>
  <c r="J63" i="18"/>
  <c r="J813"/>
  <c r="J524" i="7941"/>
  <c r="J975" i="18"/>
  <c r="K230" i="1"/>
  <c r="K63" i="18"/>
  <c r="K813"/>
  <c r="K524" i="7941"/>
  <c r="K975" i="18"/>
  <c r="L230" i="1"/>
  <c r="L63" i="18"/>
  <c r="L813"/>
  <c r="L524" i="7941"/>
  <c r="L975" i="18"/>
  <c r="M230" i="1"/>
  <c r="M63" i="18"/>
  <c r="M813"/>
  <c r="M524" i="7941"/>
  <c r="M975" i="18"/>
  <c r="H231" i="1"/>
  <c r="H64" i="18"/>
  <c r="H814"/>
  <c r="H525" i="7941"/>
  <c r="H976" i="18"/>
  <c r="I231" i="1"/>
  <c r="I64" i="18"/>
  <c r="I814"/>
  <c r="I525" i="7941"/>
  <c r="I976" i="18"/>
  <c r="J231" i="1"/>
  <c r="J64" i="18"/>
  <c r="J814"/>
  <c r="J525" i="7941"/>
  <c r="J976" i="18"/>
  <c r="K231" i="1"/>
  <c r="K64" i="18"/>
  <c r="K814"/>
  <c r="K525" i="7941"/>
  <c r="K976" i="18"/>
  <c r="L231" i="1"/>
  <c r="L64" i="18"/>
  <c r="L814"/>
  <c r="L525" i="7941"/>
  <c r="L976" i="18"/>
  <c r="M231" i="1"/>
  <c r="M64" i="18"/>
  <c r="M814"/>
  <c r="M525" i="7941"/>
  <c r="M976" i="18"/>
  <c r="H232" i="1"/>
  <c r="H65" i="18"/>
  <c r="H815"/>
  <c r="H526" i="7941"/>
  <c r="H977" i="18"/>
  <c r="I232" i="1"/>
  <c r="I65" i="18"/>
  <c r="I815"/>
  <c r="I526" i="7941"/>
  <c r="I977" i="18"/>
  <c r="J232" i="1"/>
  <c r="J65" i="18"/>
  <c r="J815"/>
  <c r="J526" i="7941"/>
  <c r="J977" i="18"/>
  <c r="K232" i="1"/>
  <c r="K65" i="18"/>
  <c r="K815"/>
  <c r="K526" i="7941"/>
  <c r="K977" i="18"/>
  <c r="L232" i="1"/>
  <c r="L65" i="18"/>
  <c r="L815"/>
  <c r="L526" i="7941"/>
  <c r="L977" i="18"/>
  <c r="M232" i="1"/>
  <c r="M65" i="18"/>
  <c r="M815"/>
  <c r="M526" i="7941"/>
  <c r="M977" i="18"/>
  <c r="H233" i="1"/>
  <c r="H66" i="18"/>
  <c r="H816"/>
  <c r="H527" i="7941"/>
  <c r="H978" i="18"/>
  <c r="I233" i="1"/>
  <c r="I66" i="18"/>
  <c r="I816"/>
  <c r="I527" i="7941"/>
  <c r="I978" i="18"/>
  <c r="J233" i="1"/>
  <c r="J66" i="18"/>
  <c r="J816"/>
  <c r="J527" i="7941"/>
  <c r="J978" i="18"/>
  <c r="K233" i="1"/>
  <c r="K66" i="18"/>
  <c r="K816"/>
  <c r="K527" i="7941"/>
  <c r="K978" i="18"/>
  <c r="L233" i="1"/>
  <c r="L66" i="18"/>
  <c r="L816"/>
  <c r="L527" i="7941"/>
  <c r="L978" i="18"/>
  <c r="M233" i="1"/>
  <c r="M66" i="18"/>
  <c r="M816"/>
  <c r="M527" i="7941"/>
  <c r="M978" i="18"/>
  <c r="H234" i="1"/>
  <c r="H67" i="18"/>
  <c r="H817"/>
  <c r="H528" i="7941"/>
  <c r="H979" i="18"/>
  <c r="I234" i="1"/>
  <c r="I67" i="18"/>
  <c r="I817"/>
  <c r="I528" i="7941"/>
  <c r="I979" i="18"/>
  <c r="J234" i="1"/>
  <c r="J67" i="18"/>
  <c r="J817"/>
  <c r="J528" i="7941"/>
  <c r="J979" i="18"/>
  <c r="K234" i="1"/>
  <c r="K67" i="18"/>
  <c r="K817"/>
  <c r="K528" i="7941"/>
  <c r="K979" i="18"/>
  <c r="L234" i="1"/>
  <c r="L67" i="18"/>
  <c r="L817"/>
  <c r="L528" i="7941"/>
  <c r="L979" i="18"/>
  <c r="M234" i="1"/>
  <c r="M67" i="18"/>
  <c r="M817"/>
  <c r="M528" i="7941"/>
  <c r="M979" i="18"/>
  <c r="H235" i="1"/>
  <c r="H68" i="18"/>
  <c r="H818"/>
  <c r="H529" i="7941"/>
  <c r="H980" i="18"/>
  <c r="I235" i="1"/>
  <c r="I68" i="18"/>
  <c r="I818"/>
  <c r="I529" i="7941"/>
  <c r="I980" i="18"/>
  <c r="J235" i="1"/>
  <c r="J68" i="18"/>
  <c r="J818"/>
  <c r="J529" i="7941"/>
  <c r="J980" i="18"/>
  <c r="K235" i="1"/>
  <c r="K68" i="18"/>
  <c r="K818"/>
  <c r="K529" i="7941"/>
  <c r="K980" i="18"/>
  <c r="L235" i="1"/>
  <c r="L68" i="18"/>
  <c r="L818"/>
  <c r="L529" i="7941"/>
  <c r="L980" i="18"/>
  <c r="M235" i="1"/>
  <c r="M68" i="18"/>
  <c r="M818"/>
  <c r="M529" i="7941"/>
  <c r="M980" i="18"/>
  <c r="H236" i="1"/>
  <c r="H69" i="18"/>
  <c r="H819"/>
  <c r="H530" i="7941"/>
  <c r="H981" i="18"/>
  <c r="I236" i="1"/>
  <c r="I69" i="18"/>
  <c r="I819"/>
  <c r="I530" i="7941"/>
  <c r="I981" i="18"/>
  <c r="J236" i="1"/>
  <c r="J69" i="18"/>
  <c r="J819"/>
  <c r="J530" i="7941"/>
  <c r="J981" i="18"/>
  <c r="K236" i="1"/>
  <c r="K69" i="18"/>
  <c r="K819"/>
  <c r="K530" i="7941"/>
  <c r="K981" i="18"/>
  <c r="L236" i="1"/>
  <c r="L69" i="18"/>
  <c r="L819"/>
  <c r="L530" i="7941"/>
  <c r="L981" i="18"/>
  <c r="M236" i="1"/>
  <c r="M69" i="18"/>
  <c r="M819"/>
  <c r="M530" i="7941"/>
  <c r="M981" i="18"/>
  <c r="H237" i="1"/>
  <c r="H70" i="18"/>
  <c r="H820"/>
  <c r="H531" i="7941"/>
  <c r="H982" i="18"/>
  <c r="I237" i="1"/>
  <c r="I70" i="18"/>
  <c r="I820"/>
  <c r="I531" i="7941"/>
  <c r="I982" i="18"/>
  <c r="J237" i="1"/>
  <c r="J70" i="18"/>
  <c r="J820"/>
  <c r="J531" i="7941"/>
  <c r="J982" i="18"/>
  <c r="K237" i="1"/>
  <c r="K70" i="18"/>
  <c r="K820"/>
  <c r="K531" i="7941"/>
  <c r="K982" i="18"/>
  <c r="L237" i="1"/>
  <c r="L70" i="18"/>
  <c r="L820"/>
  <c r="L531" i="7941"/>
  <c r="L982" i="18"/>
  <c r="M237" i="1"/>
  <c r="M70" i="18"/>
  <c r="M820"/>
  <c r="M531" i="7941"/>
  <c r="M982" i="18"/>
  <c r="H238" i="1"/>
  <c r="H71" i="18"/>
  <c r="H821"/>
  <c r="H532" i="7941"/>
  <c r="H983" i="18"/>
  <c r="I238" i="1"/>
  <c r="I71" i="18"/>
  <c r="I821"/>
  <c r="I532" i="7941"/>
  <c r="I983" i="18"/>
  <c r="J238" i="1"/>
  <c r="J71" i="18"/>
  <c r="J821"/>
  <c r="J532" i="7941"/>
  <c r="J983" i="18"/>
  <c r="K238" i="1"/>
  <c r="K71" i="18"/>
  <c r="K821"/>
  <c r="K532" i="7941"/>
  <c r="K983" i="18"/>
  <c r="L238" i="1"/>
  <c r="L71" i="18"/>
  <c r="L821"/>
  <c r="L532" i="7941"/>
  <c r="L983" i="18"/>
  <c r="M238" i="1"/>
  <c r="M71" i="18"/>
  <c r="M821"/>
  <c r="M532" i="7941"/>
  <c r="M983" i="18"/>
  <c r="H239" i="1"/>
  <c r="H72" i="18"/>
  <c r="H822"/>
  <c r="H533" i="7941"/>
  <c r="H984" i="18"/>
  <c r="I239" i="1"/>
  <c r="I72" i="18"/>
  <c r="I822"/>
  <c r="I533" i="7941"/>
  <c r="I984" i="18"/>
  <c r="J239" i="1"/>
  <c r="J72" i="18"/>
  <c r="J822"/>
  <c r="J533" i="7941"/>
  <c r="J984" i="18"/>
  <c r="K239" i="1"/>
  <c r="K72" i="18"/>
  <c r="K822"/>
  <c r="K533" i="7941"/>
  <c r="K984" i="18"/>
  <c r="L239" i="1"/>
  <c r="L72" i="18"/>
  <c r="L822"/>
  <c r="L533" i="7941"/>
  <c r="L984" i="18"/>
  <c r="M239" i="1"/>
  <c r="M72" i="18"/>
  <c r="M822"/>
  <c r="M533" i="7941"/>
  <c r="M984" i="18"/>
  <c r="H240" i="1"/>
  <c r="H73" i="18"/>
  <c r="H823"/>
  <c r="H534" i="7941"/>
  <c r="H985" i="18"/>
  <c r="I240" i="1"/>
  <c r="I73" i="18"/>
  <c r="I823"/>
  <c r="I534" i="7941"/>
  <c r="I985" i="18"/>
  <c r="J240" i="1"/>
  <c r="J73" i="18"/>
  <c r="J823"/>
  <c r="J534" i="7941"/>
  <c r="J985" i="18"/>
  <c r="K240" i="1"/>
  <c r="K73" i="18"/>
  <c r="K823"/>
  <c r="K534" i="7941"/>
  <c r="K985" i="18"/>
  <c r="L240" i="1"/>
  <c r="L73" i="18"/>
  <c r="L823"/>
  <c r="L534" i="7941"/>
  <c r="L985" i="18"/>
  <c r="M240" i="1"/>
  <c r="M73" i="18"/>
  <c r="M823"/>
  <c r="M534" i="7941"/>
  <c r="M985" i="18"/>
  <c r="M71" i="1"/>
  <c r="L71"/>
  <c r="M173"/>
  <c r="L173"/>
  <c r="S37"/>
  <c r="P236" i="7944"/>
  <c r="P210"/>
  <c r="R37" i="1"/>
  <c r="Q37"/>
  <c r="P37"/>
  <c r="O37"/>
  <c r="G643" i="7941"/>
  <c r="H483" s="1"/>
  <c r="G932" i="18"/>
  <c r="H772" s="1"/>
  <c r="G644" i="7941"/>
  <c r="H484" s="1"/>
  <c r="G933" i="18"/>
  <c r="H773" s="1"/>
  <c r="G645" i="7941"/>
  <c r="H485" s="1"/>
  <c r="G934" i="18"/>
  <c r="H774" s="1"/>
  <c r="G646" i="7941"/>
  <c r="H486" s="1"/>
  <c r="G935" i="18"/>
  <c r="H775" s="1"/>
  <c r="G776"/>
  <c r="G492" i="7942"/>
  <c r="G524"/>
  <c r="G556"/>
  <c r="G588"/>
  <c r="G647" i="7941"/>
  <c r="G936" i="18"/>
  <c r="G777"/>
  <c r="G493" i="7942"/>
  <c r="G525"/>
  <c r="G557"/>
  <c r="G589"/>
  <c r="G648" i="7941"/>
  <c r="G937" i="18"/>
  <c r="G778"/>
  <c r="G494" i="7942"/>
  <c r="G526"/>
  <c r="G558"/>
  <c r="G590"/>
  <c r="G649" i="7941"/>
  <c r="G938" i="18"/>
  <c r="G779"/>
  <c r="G495" i="7942"/>
  <c r="G527"/>
  <c r="G559"/>
  <c r="G591"/>
  <c r="G650" i="7941"/>
  <c r="G939" i="18"/>
  <c r="G780"/>
  <c r="G496" i="7942"/>
  <c r="G528"/>
  <c r="G560"/>
  <c r="G592"/>
  <c r="G651" i="7941"/>
  <c r="G940" i="18"/>
  <c r="G781"/>
  <c r="G497" i="7942"/>
  <c r="G529"/>
  <c r="G561"/>
  <c r="G593"/>
  <c r="G652" i="7941"/>
  <c r="G941" i="18"/>
  <c r="G782"/>
  <c r="G498" i="7942"/>
  <c r="G530"/>
  <c r="G562"/>
  <c r="G594"/>
  <c r="G653" i="7941"/>
  <c r="G942" i="18"/>
  <c r="G783"/>
  <c r="G499" i="7942"/>
  <c r="G531"/>
  <c r="G563"/>
  <c r="G595"/>
  <c r="G654" i="7941"/>
  <c r="G943" i="18"/>
  <c r="G784"/>
  <c r="G500" i="7942"/>
  <c r="G532"/>
  <c r="G564"/>
  <c r="G596"/>
  <c r="G655" i="7941"/>
  <c r="G944" i="18"/>
  <c r="G785"/>
  <c r="G501" i="7942"/>
  <c r="G533"/>
  <c r="G565"/>
  <c r="G597"/>
  <c r="G656" i="7941"/>
  <c r="G945" i="18"/>
  <c r="G786"/>
  <c r="G502" i="7942"/>
  <c r="G534"/>
  <c r="G566"/>
  <c r="G598"/>
  <c r="G657" i="7941"/>
  <c r="G946" i="18"/>
  <c r="G787"/>
  <c r="G503" i="7942"/>
  <c r="G535"/>
  <c r="G567"/>
  <c r="G599"/>
  <c r="G658" i="7941"/>
  <c r="G947" i="18"/>
  <c r="G788"/>
  <c r="G504" i="7942"/>
  <c r="G528" i="18" s="1"/>
  <c r="G66" i="7941" s="1"/>
  <c r="G536" i="7942"/>
  <c r="G560" i="18" s="1"/>
  <c r="G98" i="7941" s="1"/>
  <c r="G568" i="7942"/>
  <c r="G592" i="18" s="1"/>
  <c r="G130" i="7941" s="1"/>
  <c r="G600" i="7942"/>
  <c r="G624" i="18" s="1"/>
  <c r="G162" i="7941" s="1"/>
  <c r="G659"/>
  <c r="G948" i="18"/>
  <c r="G789"/>
  <c r="G505" i="7942"/>
  <c r="G529" i="18" s="1"/>
  <c r="G67" i="7941" s="1"/>
  <c r="G537" i="7942"/>
  <c r="G561" i="18" s="1"/>
  <c r="G99" i="7941" s="1"/>
  <c r="G569" i="7942"/>
  <c r="G593" i="18" s="1"/>
  <c r="G131" i="7941" s="1"/>
  <c r="G601" i="7942"/>
  <c r="G625" i="18" s="1"/>
  <c r="G163" i="7941" s="1"/>
  <c r="G660"/>
  <c r="G949" i="18"/>
  <c r="G790"/>
  <c r="G506" i="7942"/>
  <c r="G530" i="18" s="1"/>
  <c r="G68" i="7941" s="1"/>
  <c r="G538" i="7942"/>
  <c r="G562" i="18" s="1"/>
  <c r="G100" i="7941" s="1"/>
  <c r="G570" i="7942"/>
  <c r="G594" i="18" s="1"/>
  <c r="G132" i="7941" s="1"/>
  <c r="G602" i="7942"/>
  <c r="G626" i="18" s="1"/>
  <c r="G164" i="7941" s="1"/>
  <c r="G661"/>
  <c r="G950" i="18"/>
  <c r="G791"/>
  <c r="G507" i="7942"/>
  <c r="G531" i="18" s="1"/>
  <c r="G69" i="7941" s="1"/>
  <c r="G539" i="7942"/>
  <c r="G563" i="18" s="1"/>
  <c r="G101" i="7941" s="1"/>
  <c r="G571" i="7942"/>
  <c r="G595" i="18" s="1"/>
  <c r="G133" i="7941" s="1"/>
  <c r="G603" i="7942"/>
  <c r="G627" i="18" s="1"/>
  <c r="G165" i="7941" s="1"/>
  <c r="G662"/>
  <c r="G951" i="18"/>
  <c r="G41" i="7942"/>
  <c r="G138" i="1"/>
  <c r="G40" i="7942"/>
  <c r="G137" i="1"/>
  <c r="G39" i="7942"/>
  <c r="G136" i="1"/>
  <c r="G38" i="7942"/>
  <c r="G135" i="1"/>
  <c r="G37" i="7942"/>
  <c r="G134" i="1"/>
  <c r="G36" i="7942"/>
  <c r="G133" i="1"/>
  <c r="G35" i="7942"/>
  <c r="G132" i="1"/>
  <c r="G34" i="7942"/>
  <c r="G131" i="1"/>
  <c r="G33" i="7942"/>
  <c r="G130" i="1"/>
  <c r="G32" i="7942"/>
  <c r="G129" i="1"/>
  <c r="G31" i="7942"/>
  <c r="G128" i="1"/>
  <c r="G375" i="7942"/>
  <c r="G353"/>
  <c r="G397"/>
  <c r="G210" i="7941"/>
  <c r="H18" s="1"/>
  <c r="G672" i="18"/>
  <c r="H480" s="1"/>
  <c r="G617" i="7942"/>
  <c r="G211" i="7941"/>
  <c r="G673" i="18"/>
  <c r="G618" i="7942"/>
  <c r="G212" i="7941"/>
  <c r="G674" i="18"/>
  <c r="G619" i="7942"/>
  <c r="G213" i="7941"/>
  <c r="G675" i="18"/>
  <c r="G484"/>
  <c r="G620" i="7942"/>
  <c r="G644" i="18" s="1"/>
  <c r="G182" i="7941" s="1"/>
  <c r="G214"/>
  <c r="G676" i="18"/>
  <c r="G485"/>
  <c r="G621" i="7942"/>
  <c r="G645" i="18" s="1"/>
  <c r="G183" i="7941" s="1"/>
  <c r="G215"/>
  <c r="G677" i="18"/>
  <c r="G486"/>
  <c r="G622" i="7942"/>
  <c r="G646" i="18" s="1"/>
  <c r="G184" i="7941" s="1"/>
  <c r="G216"/>
  <c r="G678" i="18"/>
  <c r="G487"/>
  <c r="G623" i="7942"/>
  <c r="G647" i="18" s="1"/>
  <c r="G185" i="7941" s="1"/>
  <c r="G217"/>
  <c r="G679" i="18"/>
  <c r="G488"/>
  <c r="G624" i="7942"/>
  <c r="G648" i="18" s="1"/>
  <c r="G186" i="7941" s="1"/>
  <c r="G218"/>
  <c r="G680" i="18"/>
  <c r="G489"/>
  <c r="G625" i="7942"/>
  <c r="G649" i="18" s="1"/>
  <c r="G187" i="7941" s="1"/>
  <c r="G219"/>
  <c r="G681" i="18"/>
  <c r="G490"/>
  <c r="G626" i="7942"/>
  <c r="G650" i="18" s="1"/>
  <c r="G188" i="7941" s="1"/>
  <c r="G220"/>
  <c r="G682" i="18"/>
  <c r="G491"/>
  <c r="G627" i="7942"/>
  <c r="G651" i="18" s="1"/>
  <c r="G189" i="7941" s="1"/>
  <c r="G221"/>
  <c r="G683" i="18"/>
  <c r="G492"/>
  <c r="G628" i="7942"/>
  <c r="G652" i="18" s="1"/>
  <c r="G190" i="7941" s="1"/>
  <c r="G222"/>
  <c r="G684" i="18"/>
  <c r="G493"/>
  <c r="G629" i="7942"/>
  <c r="G653" i="18" s="1"/>
  <c r="G191" i="7941" s="1"/>
  <c r="G223"/>
  <c r="G685" i="18"/>
  <c r="G494"/>
  <c r="G630" i="7942"/>
  <c r="G654" i="18" s="1"/>
  <c r="G192" i="7941" s="1"/>
  <c r="G224"/>
  <c r="G686" i="18"/>
  <c r="G495"/>
  <c r="G631" i="7942"/>
  <c r="G655" i="18" s="1"/>
  <c r="G193" i="7941" s="1"/>
  <c r="G225"/>
  <c r="G687" i="18"/>
  <c r="G496"/>
  <c r="G632" i="7942"/>
  <c r="G656" i="18" s="1"/>
  <c r="G194" i="7941" s="1"/>
  <c r="G226"/>
  <c r="G688" i="18"/>
  <c r="G497"/>
  <c r="G633" i="7942"/>
  <c r="G657" i="18" s="1"/>
  <c r="G195" i="7941" s="1"/>
  <c r="G227"/>
  <c r="G689" i="18"/>
  <c r="G498"/>
  <c r="G634" i="7942"/>
  <c r="G658" i="18" s="1"/>
  <c r="G196" i="7941" s="1"/>
  <c r="G228"/>
  <c r="G690" i="18"/>
  <c r="G499"/>
  <c r="G635" i="7942"/>
  <c r="G659" i="18" s="1"/>
  <c r="G197" i="7941" s="1"/>
  <c r="G229"/>
  <c r="G691" i="18"/>
  <c r="G374" i="7942"/>
  <c r="G352"/>
  <c r="G396"/>
  <c r="G30"/>
  <c r="G127" i="1"/>
  <c r="G373" i="7942"/>
  <c r="G351"/>
  <c r="G395"/>
  <c r="G29"/>
  <c r="G126" i="1"/>
  <c r="G28" i="7942"/>
  <c r="G125" i="1"/>
  <c r="G372" i="7942"/>
  <c r="G350"/>
  <c r="G394"/>
  <c r="G27"/>
  <c r="G124" i="1"/>
  <c r="G371" i="7942"/>
  <c r="G349"/>
  <c r="G393"/>
  <c r="G370"/>
  <c r="G348"/>
  <c r="G392"/>
  <c r="G347"/>
  <c r="G391" s="1"/>
  <c r="G346"/>
  <c r="G390" s="1"/>
  <c r="G345"/>
  <c r="G389" s="1"/>
  <c r="G344"/>
  <c r="G388" s="1"/>
  <c r="Q252" i="18"/>
  <c r="P252"/>
  <c r="O252"/>
  <c r="N252"/>
  <c r="D662" i="7941"/>
  <c r="D661"/>
  <c r="D660"/>
  <c r="D659"/>
  <c r="D658"/>
  <c r="D657"/>
  <c r="D656"/>
  <c r="D655"/>
  <c r="D654"/>
  <c r="D653"/>
  <c r="D652"/>
  <c r="D651"/>
  <c r="D650"/>
  <c r="D649"/>
  <c r="D648"/>
  <c r="D647"/>
  <c r="D646"/>
  <c r="D645"/>
  <c r="D644"/>
  <c r="D643"/>
  <c r="D642"/>
  <c r="D641"/>
  <c r="D640"/>
  <c r="D639"/>
  <c r="D638"/>
  <c r="D637"/>
  <c r="D636"/>
  <c r="D635"/>
  <c r="D634"/>
  <c r="D633"/>
  <c r="D229"/>
  <c r="D228"/>
  <c r="D227"/>
  <c r="D226"/>
  <c r="D225"/>
  <c r="D224"/>
  <c r="D223"/>
  <c r="D222"/>
  <c r="D221"/>
  <c r="D220"/>
  <c r="D219"/>
  <c r="D218"/>
  <c r="D217"/>
  <c r="D216"/>
  <c r="D215"/>
  <c r="D214"/>
  <c r="D213"/>
  <c r="D212"/>
  <c r="D211"/>
  <c r="D210"/>
  <c r="D209"/>
  <c r="D208"/>
  <c r="D207"/>
  <c r="D206"/>
  <c r="D205"/>
  <c r="D204"/>
  <c r="D203"/>
  <c r="D202"/>
  <c r="D201"/>
  <c r="D200"/>
  <c r="D951" i="18"/>
  <c r="D950"/>
  <c r="D949"/>
  <c r="D948"/>
  <c r="D947"/>
  <c r="D946"/>
  <c r="D945"/>
  <c r="D944"/>
  <c r="D943"/>
  <c r="D942"/>
  <c r="D941"/>
  <c r="D940"/>
  <c r="D939"/>
  <c r="D938"/>
  <c r="D937"/>
  <c r="D936"/>
  <c r="D935"/>
  <c r="D934"/>
  <c r="D933"/>
  <c r="D932"/>
  <c r="D931"/>
  <c r="D930"/>
  <c r="D929"/>
  <c r="D928"/>
  <c r="D927"/>
  <c r="D926"/>
  <c r="D925"/>
  <c r="D924"/>
  <c r="D923"/>
  <c r="D922"/>
  <c r="G6"/>
  <c r="G996"/>
  <c r="G964"/>
  <c r="G1003"/>
  <c r="G1011"/>
  <c r="G1015"/>
  <c r="D691"/>
  <c r="D690"/>
  <c r="D689"/>
  <c r="D688"/>
  <c r="D687"/>
  <c r="D686"/>
  <c r="D685"/>
  <c r="D684"/>
  <c r="D683"/>
  <c r="D682"/>
  <c r="D681"/>
  <c r="D680"/>
  <c r="D679"/>
  <c r="D678"/>
  <c r="D677"/>
  <c r="D676"/>
  <c r="D675"/>
  <c r="D674"/>
  <c r="D673"/>
  <c r="D672"/>
  <c r="D671"/>
  <c r="D670"/>
  <c r="D669"/>
  <c r="D668"/>
  <c r="D667"/>
  <c r="D666"/>
  <c r="D665"/>
  <c r="D664"/>
  <c r="D663"/>
  <c r="D662"/>
  <c r="C667" i="7942"/>
  <c r="C666"/>
  <c r="C665"/>
  <c r="C664"/>
  <c r="C663"/>
  <c r="C662"/>
  <c r="C661"/>
  <c r="C660"/>
  <c r="C659"/>
  <c r="C658"/>
  <c r="G658"/>
  <c r="G659"/>
  <c r="G660"/>
  <c r="G661"/>
  <c r="G662"/>
  <c r="G663"/>
  <c r="G664"/>
  <c r="G665"/>
  <c r="G666"/>
  <c r="G667"/>
  <c r="G743" i="18"/>
  <c r="G747"/>
  <c r="G751"/>
  <c r="G755"/>
  <c r="G723"/>
  <c r="G475" i="7942"/>
  <c r="H475"/>
  <c r="G474"/>
  <c r="H474"/>
  <c r="G473"/>
  <c r="H473"/>
  <c r="G472"/>
  <c r="H472"/>
  <c r="G471"/>
  <c r="H471"/>
  <c r="G470"/>
  <c r="H470"/>
  <c r="G469"/>
  <c r="H469"/>
  <c r="G468"/>
  <c r="H468"/>
  <c r="G467"/>
  <c r="H467"/>
  <c r="G466"/>
  <c r="H466"/>
  <c r="G465"/>
  <c r="G657"/>
  <c r="H465"/>
  <c r="G464"/>
  <c r="G656"/>
  <c r="H464"/>
  <c r="G463"/>
  <c r="G655"/>
  <c r="H463"/>
  <c r="G462"/>
  <c r="G654"/>
  <c r="H462"/>
  <c r="G461"/>
  <c r="G653"/>
  <c r="H461"/>
  <c r="G460"/>
  <c r="G652"/>
  <c r="H460"/>
  <c r="H3" i="18"/>
  <c r="I3"/>
  <c r="J3"/>
  <c r="K3"/>
  <c r="L3"/>
  <c r="M3"/>
  <c r="G649" i="7942"/>
  <c r="G648"/>
  <c r="H456" s="1"/>
  <c r="G184"/>
  <c r="G248" s="1"/>
  <c r="G217"/>
  <c r="G185"/>
  <c r="G249"/>
  <c r="G218"/>
  <c r="G186"/>
  <c r="G250"/>
  <c r="G219"/>
  <c r="G187"/>
  <c r="G251"/>
  <c r="G220"/>
  <c r="G188"/>
  <c r="G252"/>
  <c r="G221"/>
  <c r="G189"/>
  <c r="G253"/>
  <c r="G222"/>
  <c r="G190"/>
  <c r="G254"/>
  <c r="G223"/>
  <c r="G191"/>
  <c r="G255"/>
  <c r="G224"/>
  <c r="G192"/>
  <c r="G256"/>
  <c r="G225"/>
  <c r="G193"/>
  <c r="G257"/>
  <c r="G226"/>
  <c r="G194"/>
  <c r="G258"/>
  <c r="G227"/>
  <c r="G195"/>
  <c r="G259"/>
  <c r="G228"/>
  <c r="G196"/>
  <c r="G260"/>
  <c r="G229"/>
  <c r="G197"/>
  <c r="G261"/>
  <c r="G230"/>
  <c r="G198"/>
  <c r="G262"/>
  <c r="G231"/>
  <c r="G199"/>
  <c r="G263"/>
  <c r="G232"/>
  <c r="G200"/>
  <c r="G264"/>
  <c r="G233"/>
  <c r="G201"/>
  <c r="G265"/>
  <c r="G234"/>
  <c r="G202"/>
  <c r="G266"/>
  <c r="G26"/>
  <c r="G123" i="1"/>
  <c r="E1" i="7946"/>
  <c r="B1" i="7945"/>
  <c r="B1" i="7944"/>
  <c r="C1" i="18"/>
  <c r="F1" i="1"/>
  <c r="B1" i="7942"/>
  <c r="G1" i="7943"/>
  <c r="O7" i="7942"/>
  <c r="Q7"/>
  <c r="G650"/>
  <c r="G651"/>
  <c r="D804" i="7941"/>
  <c r="D803"/>
  <c r="D802"/>
  <c r="D801"/>
  <c r="D800"/>
  <c r="D799"/>
  <c r="D798"/>
  <c r="D797"/>
  <c r="D796"/>
  <c r="D795"/>
  <c r="D794"/>
  <c r="D793"/>
  <c r="D792"/>
  <c r="D791"/>
  <c r="D790"/>
  <c r="D789"/>
  <c r="D788"/>
  <c r="D787"/>
  <c r="D786"/>
  <c r="D785"/>
  <c r="D782"/>
  <c r="D781"/>
  <c r="D780"/>
  <c r="D779"/>
  <c r="D778"/>
  <c r="D777"/>
  <c r="D776"/>
  <c r="D775"/>
  <c r="D774"/>
  <c r="D773"/>
  <c r="D772"/>
  <c r="D771"/>
  <c r="D770"/>
  <c r="D769"/>
  <c r="D768"/>
  <c r="D767"/>
  <c r="D766"/>
  <c r="D765"/>
  <c r="D764"/>
  <c r="D763"/>
  <c r="H54" i="7944"/>
  <c r="H55"/>
  <c r="H56"/>
  <c r="H57"/>
  <c r="H58"/>
  <c r="H59"/>
  <c r="H60"/>
  <c r="H61"/>
  <c r="H62"/>
  <c r="H63"/>
  <c r="H64"/>
  <c r="H65"/>
  <c r="H66"/>
  <c r="H67"/>
  <c r="H68"/>
  <c r="H69"/>
  <c r="D436" i="7941"/>
  <c r="D435"/>
  <c r="D434"/>
  <c r="D433"/>
  <c r="D432"/>
  <c r="D431"/>
  <c r="D430"/>
  <c r="D429"/>
  <c r="D428"/>
  <c r="D427"/>
  <c r="D426"/>
  <c r="D425"/>
  <c r="D424"/>
  <c r="D423"/>
  <c r="D422"/>
  <c r="D421"/>
  <c r="D420"/>
  <c r="D419"/>
  <c r="D418"/>
  <c r="D417"/>
  <c r="D414"/>
  <c r="D413"/>
  <c r="D412"/>
  <c r="D411"/>
  <c r="D410"/>
  <c r="D409"/>
  <c r="D408"/>
  <c r="D407"/>
  <c r="D406"/>
  <c r="D405"/>
  <c r="D404"/>
  <c r="D403"/>
  <c r="D402"/>
  <c r="D401"/>
  <c r="D400"/>
  <c r="D399"/>
  <c r="D398"/>
  <c r="D397"/>
  <c r="D396"/>
  <c r="D395"/>
  <c r="C657" i="7942"/>
  <c r="C656"/>
  <c r="C655"/>
  <c r="C654"/>
  <c r="C653"/>
  <c r="C652"/>
  <c r="C651"/>
  <c r="C650"/>
  <c r="C649"/>
  <c r="C648"/>
  <c r="C647"/>
  <c r="C646"/>
  <c r="C645"/>
  <c r="C644"/>
  <c r="C643"/>
  <c r="C642"/>
  <c r="C641"/>
  <c r="C640"/>
  <c r="C639"/>
  <c r="C638"/>
  <c r="C438"/>
  <c r="C436"/>
  <c r="C434"/>
  <c r="C432"/>
  <c r="C430"/>
  <c r="C428"/>
  <c r="C426"/>
  <c r="C424"/>
  <c r="C422"/>
  <c r="C420"/>
  <c r="C418"/>
  <c r="C416"/>
  <c r="C414"/>
  <c r="C412"/>
  <c r="C410"/>
  <c r="C408"/>
  <c r="C406"/>
  <c r="C404"/>
  <c r="C402"/>
  <c r="C400"/>
  <c r="C397"/>
  <c r="C396"/>
  <c r="C395"/>
  <c r="C394"/>
  <c r="C393"/>
  <c r="C392"/>
  <c r="C391"/>
  <c r="C390"/>
  <c r="C389"/>
  <c r="C388"/>
  <c r="C387"/>
  <c r="C386"/>
  <c r="C385"/>
  <c r="C384"/>
  <c r="C383"/>
  <c r="C382"/>
  <c r="C381"/>
  <c r="C380"/>
  <c r="C379"/>
  <c r="C378"/>
  <c r="C375"/>
  <c r="C374"/>
  <c r="C373"/>
  <c r="C372"/>
  <c r="C371"/>
  <c r="C370"/>
  <c r="C369"/>
  <c r="C368"/>
  <c r="C367"/>
  <c r="C366"/>
  <c r="C365"/>
  <c r="C364"/>
  <c r="C363"/>
  <c r="C362"/>
  <c r="C361"/>
  <c r="C360"/>
  <c r="C359"/>
  <c r="C358"/>
  <c r="C357"/>
  <c r="C356"/>
  <c r="C353"/>
  <c r="C352"/>
  <c r="C351"/>
  <c r="C350"/>
  <c r="C349"/>
  <c r="C348"/>
  <c r="C347"/>
  <c r="C346"/>
  <c r="C345"/>
  <c r="C344"/>
  <c r="C343"/>
  <c r="C342"/>
  <c r="C341"/>
  <c r="C340"/>
  <c r="C339"/>
  <c r="C338"/>
  <c r="C337"/>
  <c r="C336"/>
  <c r="C335"/>
  <c r="C334"/>
  <c r="C446"/>
  <c r="C447"/>
  <c r="C448"/>
  <c r="C449"/>
  <c r="C450"/>
  <c r="C451"/>
  <c r="C452"/>
  <c r="C453"/>
  <c r="C454"/>
  <c r="C455"/>
  <c r="C456"/>
  <c r="C457"/>
  <c r="C458"/>
  <c r="C459"/>
  <c r="C460"/>
  <c r="C461"/>
  <c r="C462"/>
  <c r="C463"/>
  <c r="C464"/>
  <c r="C465"/>
  <c r="C466"/>
  <c r="C467"/>
  <c r="C468"/>
  <c r="C469"/>
  <c r="C470"/>
  <c r="C471"/>
  <c r="C472"/>
  <c r="C473"/>
  <c r="C474"/>
  <c r="C475"/>
  <c r="C478"/>
  <c r="C479"/>
  <c r="C480"/>
  <c r="C481"/>
  <c r="C482"/>
  <c r="C483"/>
  <c r="C484"/>
  <c r="C485"/>
  <c r="C486"/>
  <c r="C487"/>
  <c r="C488"/>
  <c r="C489"/>
  <c r="C490"/>
  <c r="C491"/>
  <c r="C492"/>
  <c r="C493"/>
  <c r="C494"/>
  <c r="C495"/>
  <c r="C496"/>
  <c r="C497"/>
  <c r="C498"/>
  <c r="C499"/>
  <c r="C500"/>
  <c r="C501"/>
  <c r="C502"/>
  <c r="C503"/>
  <c r="C504"/>
  <c r="C505"/>
  <c r="C506"/>
  <c r="C507"/>
  <c r="C510"/>
  <c r="C511"/>
  <c r="C512"/>
  <c r="C513"/>
  <c r="C514"/>
  <c r="C515"/>
  <c r="C516"/>
  <c r="C517"/>
  <c r="C518"/>
  <c r="C519"/>
  <c r="C520"/>
  <c r="C521"/>
  <c r="C522"/>
  <c r="C523"/>
  <c r="C524"/>
  <c r="C525"/>
  <c r="C526"/>
  <c r="C527"/>
  <c r="C528"/>
  <c r="C529"/>
  <c r="C530"/>
  <c r="C531"/>
  <c r="C532"/>
  <c r="C533"/>
  <c r="C534"/>
  <c r="C535"/>
  <c r="C536"/>
  <c r="C537"/>
  <c r="C538"/>
  <c r="C539"/>
  <c r="C542"/>
  <c r="C543"/>
  <c r="C544"/>
  <c r="C545"/>
  <c r="C546"/>
  <c r="C547"/>
  <c r="C548"/>
  <c r="C549"/>
  <c r="C550"/>
  <c r="C551"/>
  <c r="C552"/>
  <c r="C553"/>
  <c r="I451" i="7944"/>
  <c r="J451"/>
  <c r="K451"/>
  <c r="L451"/>
  <c r="J452"/>
  <c r="K452"/>
  <c r="L452"/>
  <c r="K453"/>
  <c r="L453"/>
  <c r="L454"/>
  <c r="I438"/>
  <c r="J438"/>
  <c r="K438"/>
  <c r="L438"/>
  <c r="J439"/>
  <c r="K439"/>
  <c r="L439"/>
  <c r="K440"/>
  <c r="L440"/>
  <c r="L441"/>
  <c r="I425"/>
  <c r="J425"/>
  <c r="K425"/>
  <c r="L425"/>
  <c r="J426"/>
  <c r="K426"/>
  <c r="L426"/>
  <c r="K427"/>
  <c r="L427"/>
  <c r="L428"/>
  <c r="I412"/>
  <c r="J412"/>
  <c r="K412"/>
  <c r="L412"/>
  <c r="J413"/>
  <c r="K413"/>
  <c r="L413"/>
  <c r="K414"/>
  <c r="L414"/>
  <c r="L415"/>
  <c r="I399"/>
  <c r="J399"/>
  <c r="K399"/>
  <c r="L399"/>
  <c r="J400"/>
  <c r="K400"/>
  <c r="L400"/>
  <c r="K401"/>
  <c r="L401"/>
  <c r="L402"/>
  <c r="I386"/>
  <c r="J386"/>
  <c r="K386"/>
  <c r="L386"/>
  <c r="J387"/>
  <c r="K387"/>
  <c r="L387"/>
  <c r="K388"/>
  <c r="L388"/>
  <c r="L389"/>
  <c r="I373"/>
  <c r="J373"/>
  <c r="K373"/>
  <c r="L373"/>
  <c r="J374"/>
  <c r="K374"/>
  <c r="L374"/>
  <c r="K375"/>
  <c r="L375"/>
  <c r="L376"/>
  <c r="I360"/>
  <c r="J360"/>
  <c r="K360"/>
  <c r="L360"/>
  <c r="J361"/>
  <c r="K361"/>
  <c r="L361"/>
  <c r="K362"/>
  <c r="L362"/>
  <c r="L363"/>
  <c r="I347"/>
  <c r="J347"/>
  <c r="K347"/>
  <c r="L347"/>
  <c r="J348"/>
  <c r="K348"/>
  <c r="L348"/>
  <c r="K349"/>
  <c r="L349"/>
  <c r="L350"/>
  <c r="I334"/>
  <c r="J334"/>
  <c r="K334"/>
  <c r="L334"/>
  <c r="J335"/>
  <c r="K335"/>
  <c r="L335"/>
  <c r="K336"/>
  <c r="L336"/>
  <c r="L337"/>
  <c r="I321"/>
  <c r="J321"/>
  <c r="K321"/>
  <c r="L321"/>
  <c r="J322"/>
  <c r="K322"/>
  <c r="L322"/>
  <c r="K323"/>
  <c r="L323"/>
  <c r="L324"/>
  <c r="I308"/>
  <c r="J308"/>
  <c r="K308"/>
  <c r="L308"/>
  <c r="J309"/>
  <c r="K309"/>
  <c r="L309"/>
  <c r="K310"/>
  <c r="L310"/>
  <c r="L311"/>
  <c r="I295"/>
  <c r="J295"/>
  <c r="K295"/>
  <c r="L295"/>
  <c r="J296"/>
  <c r="K296"/>
  <c r="L296"/>
  <c r="K297"/>
  <c r="L297"/>
  <c r="L298"/>
  <c r="I282"/>
  <c r="J282"/>
  <c r="K282"/>
  <c r="L282"/>
  <c r="J283"/>
  <c r="K283"/>
  <c r="L283"/>
  <c r="K284"/>
  <c r="L284"/>
  <c r="L285"/>
  <c r="I269"/>
  <c r="J269"/>
  <c r="K269"/>
  <c r="L269"/>
  <c r="J270"/>
  <c r="K270"/>
  <c r="L270"/>
  <c r="K271"/>
  <c r="L271"/>
  <c r="L272"/>
  <c r="I256"/>
  <c r="J256"/>
  <c r="K256"/>
  <c r="L256"/>
  <c r="J257"/>
  <c r="K257"/>
  <c r="L257"/>
  <c r="K258"/>
  <c r="L258"/>
  <c r="L259"/>
  <c r="C167" i="18"/>
  <c r="F5" i="1"/>
  <c r="H22" i="7944"/>
  <c r="H23"/>
  <c r="H24"/>
  <c r="H25"/>
  <c r="H26"/>
  <c r="H27"/>
  <c r="H28"/>
  <c r="H29"/>
  <c r="H30"/>
  <c r="H31"/>
  <c r="H32"/>
  <c r="H33"/>
  <c r="H34"/>
  <c r="H35"/>
  <c r="H36"/>
  <c r="H37"/>
  <c r="L54"/>
  <c r="M260"/>
  <c r="L55"/>
  <c r="M273"/>
  <c r="J223" i="7945"/>
  <c r="L56" i="7944"/>
  <c r="M286"/>
  <c r="L57"/>
  <c r="M299"/>
  <c r="L58"/>
  <c r="M312"/>
  <c r="L59"/>
  <c r="M325"/>
  <c r="J279" i="7945"/>
  <c r="L60" i="7944"/>
  <c r="M338"/>
  <c r="J293" i="7945"/>
  <c r="L61" i="7944"/>
  <c r="M351"/>
  <c r="L62"/>
  <c r="M364"/>
  <c r="L63"/>
  <c r="M377"/>
  <c r="L64"/>
  <c r="M390"/>
  <c r="L65"/>
  <c r="M403"/>
  <c r="L66"/>
  <c r="M416"/>
  <c r="L67"/>
  <c r="M429"/>
  <c r="L68"/>
  <c r="M442"/>
  <c r="L69"/>
  <c r="M455"/>
  <c r="I54"/>
  <c r="M257"/>
  <c r="I55"/>
  <c r="I56"/>
  <c r="M283"/>
  <c r="I57"/>
  <c r="I58"/>
  <c r="M309"/>
  <c r="I59"/>
  <c r="I60"/>
  <c r="M335"/>
  <c r="I61"/>
  <c r="I62"/>
  <c r="M361"/>
  <c r="I63"/>
  <c r="I64"/>
  <c r="M387"/>
  <c r="I65"/>
  <c r="I66"/>
  <c r="M413"/>
  <c r="I67"/>
  <c r="I68"/>
  <c r="M439"/>
  <c r="I69"/>
  <c r="J54"/>
  <c r="J55"/>
  <c r="M271"/>
  <c r="J56"/>
  <c r="J57"/>
  <c r="M297"/>
  <c r="J58"/>
  <c r="J59"/>
  <c r="M323"/>
  <c r="J60"/>
  <c r="J61"/>
  <c r="M349"/>
  <c r="J62"/>
  <c r="J63"/>
  <c r="M375"/>
  <c r="J64"/>
  <c r="J65"/>
  <c r="M401"/>
  <c r="J66"/>
  <c r="J67"/>
  <c r="M427"/>
  <c r="J68"/>
  <c r="J69"/>
  <c r="M453"/>
  <c r="K54"/>
  <c r="K55"/>
  <c r="K56"/>
  <c r="K57"/>
  <c r="K58"/>
  <c r="K59"/>
  <c r="M324"/>
  <c r="K60"/>
  <c r="K61"/>
  <c r="M350"/>
  <c r="K62"/>
  <c r="M363"/>
  <c r="K63"/>
  <c r="M376"/>
  <c r="K64"/>
  <c r="M389"/>
  <c r="J348" i="7945"/>
  <c r="K65" i="7944"/>
  <c r="K66"/>
  <c r="M415"/>
  <c r="K67"/>
  <c r="K68"/>
  <c r="K69"/>
  <c r="M54"/>
  <c r="J210" i="7945"/>
  <c r="M55" i="7944"/>
  <c r="J224" i="7945"/>
  <c r="M56" i="7944"/>
  <c r="J238" i="7945"/>
  <c r="M57" i="7944"/>
  <c r="J252" i="7945"/>
  <c r="M58" i="7944"/>
  <c r="J266" i="7945"/>
  <c r="M59" i="7944"/>
  <c r="J280" i="7945"/>
  <c r="M60" i="7944"/>
  <c r="J294" i="7945"/>
  <c r="M61" i="7944"/>
  <c r="J308" i="7945"/>
  <c r="M62" i="7944"/>
  <c r="J322" i="7945"/>
  <c r="M63" i="7944"/>
  <c r="J336" i="7945"/>
  <c r="M64" i="7944"/>
  <c r="J350" i="7945"/>
  <c r="M65" i="7944"/>
  <c r="J364" i="7945"/>
  <c r="M66" i="7944"/>
  <c r="J378" i="7945"/>
  <c r="M67" i="7944"/>
  <c r="J392" i="7945"/>
  <c r="M68" i="7944"/>
  <c r="J406" i="7945"/>
  <c r="M69" i="7944"/>
  <c r="J420" i="7945"/>
  <c r="N54" i="7944"/>
  <c r="J211" i="7945"/>
  <c r="N55" i="7944"/>
  <c r="J225" i="7945"/>
  <c r="N56" i="7944"/>
  <c r="J239" i="7945"/>
  <c r="N57" i="7944"/>
  <c r="J253" i="7945"/>
  <c r="N58" i="7944"/>
  <c r="J267" i="7945"/>
  <c r="N59" i="7944"/>
  <c r="J281" i="7945"/>
  <c r="N60" i="7944"/>
  <c r="J295" i="7945"/>
  <c r="N61" i="7944"/>
  <c r="J309" i="7945"/>
  <c r="N62" i="7944"/>
  <c r="J323" i="7945"/>
  <c r="N63" i="7944"/>
  <c r="J337" i="7945"/>
  <c r="N64" i="7944"/>
  <c r="J351" i="7945"/>
  <c r="N65" i="7944"/>
  <c r="J365" i="7945"/>
  <c r="N66" i="7944"/>
  <c r="J379" i="7945"/>
  <c r="N67" i="7944"/>
  <c r="J393" i="7945"/>
  <c r="N68" i="7944"/>
  <c r="J407" i="7945"/>
  <c r="N69" i="7944"/>
  <c r="J421" i="7945"/>
  <c r="O54" i="7944"/>
  <c r="J212" i="7945"/>
  <c r="O55" i="7944"/>
  <c r="J226" i="7945"/>
  <c r="O56" i="7944"/>
  <c r="J240" i="7945"/>
  <c r="O57" i="7944"/>
  <c r="J254" i="7945"/>
  <c r="O58" i="7944"/>
  <c r="J268" i="7945"/>
  <c r="O59" i="7944"/>
  <c r="J282" i="7945"/>
  <c r="O60" i="7944"/>
  <c r="J296" i="7945"/>
  <c r="O61" i="7944"/>
  <c r="J310" i="7945"/>
  <c r="O62" i="7944"/>
  <c r="J324" i="7945"/>
  <c r="O63" i="7944"/>
  <c r="J338" i="7945"/>
  <c r="O64" i="7944"/>
  <c r="J352" i="7945"/>
  <c r="O65" i="7944"/>
  <c r="J366" i="7945"/>
  <c r="O66" i="7944"/>
  <c r="J380" i="7945"/>
  <c r="O67" i="7944"/>
  <c r="J394" i="7945"/>
  <c r="O68" i="7944"/>
  <c r="J408" i="7945"/>
  <c r="O69" i="7944"/>
  <c r="J422" i="7945"/>
  <c r="P54" i="7944"/>
  <c r="J213" i="7945"/>
  <c r="P55" i="7944"/>
  <c r="J227" i="7945"/>
  <c r="P56" i="7944"/>
  <c r="J241" i="7945"/>
  <c r="P57" i="7944"/>
  <c r="J255" i="7945"/>
  <c r="P58" i="7944"/>
  <c r="J269" i="7945"/>
  <c r="P59" i="7944"/>
  <c r="J283" i="7945"/>
  <c r="P60" i="7944"/>
  <c r="J297" i="7945"/>
  <c r="P61" i="7944"/>
  <c r="J311" i="7945"/>
  <c r="P62" i="7944"/>
  <c r="J325" i="7945"/>
  <c r="P63" i="7944"/>
  <c r="J339" i="7945"/>
  <c r="P64" i="7944"/>
  <c r="J353" i="7945"/>
  <c r="P65" i="7944"/>
  <c r="J367" i="7945"/>
  <c r="P66" i="7944"/>
  <c r="J381" i="7945"/>
  <c r="P67" i="7944"/>
  <c r="J395" i="7945"/>
  <c r="P68" i="7944"/>
  <c r="J409" i="7945"/>
  <c r="P69" i="7944"/>
  <c r="J423" i="7945"/>
  <c r="Q54" i="7944"/>
  <c r="J214" i="7945"/>
  <c r="Q55" i="7944"/>
  <c r="J228" i="7945"/>
  <c r="Q56" i="7944"/>
  <c r="J242" i="7945"/>
  <c r="Q57" i="7944"/>
  <c r="J256" i="7945"/>
  <c r="Q58" i="7944"/>
  <c r="J270" i="7945"/>
  <c r="Q59" i="7944"/>
  <c r="J284" i="7945"/>
  <c r="Q60" i="7944"/>
  <c r="J298" i="7945"/>
  <c r="Q61" i="7944"/>
  <c r="J312" i="7945"/>
  <c r="Q62" i="7944"/>
  <c r="J326" i="7945"/>
  <c r="Q63" i="7944"/>
  <c r="J340" i="7945"/>
  <c r="Q64" i="7944"/>
  <c r="J354" i="7945"/>
  <c r="Q65" i="7944"/>
  <c r="J368" i="7945"/>
  <c r="Q66" i="7944"/>
  <c r="J382" i="7945"/>
  <c r="Q67" i="7944"/>
  <c r="J396" i="7945"/>
  <c r="Q68" i="7944"/>
  <c r="J410" i="7945"/>
  <c r="Q69" i="7944"/>
  <c r="J424" i="7945"/>
  <c r="B413"/>
  <c r="B399"/>
  <c r="B385"/>
  <c r="B371"/>
  <c r="B357"/>
  <c r="B343"/>
  <c r="B329"/>
  <c r="B315"/>
  <c r="B301"/>
  <c r="B287"/>
  <c r="K289"/>
  <c r="K290"/>
  <c r="F291"/>
  <c r="F292"/>
  <c r="F293"/>
  <c r="F294"/>
  <c r="F295"/>
  <c r="F296"/>
  <c r="G36" i="7946"/>
  <c r="G35"/>
  <c r="G34"/>
  <c r="G28"/>
  <c r="G33"/>
  <c r="G32"/>
  <c r="G31"/>
  <c r="G30"/>
  <c r="G29"/>
  <c r="G27"/>
  <c r="E27"/>
  <c r="E28"/>
  <c r="E29"/>
  <c r="E30"/>
  <c r="E31"/>
  <c r="E32"/>
  <c r="E33"/>
  <c r="E34"/>
  <c r="E35"/>
  <c r="E36"/>
  <c r="K424" i="7945"/>
  <c r="K416"/>
  <c r="K417"/>
  <c r="K418"/>
  <c r="K419"/>
  <c r="K420"/>
  <c r="K421"/>
  <c r="K422"/>
  <c r="K423"/>
  <c r="K415"/>
  <c r="K410"/>
  <c r="K402"/>
  <c r="K403"/>
  <c r="K404"/>
  <c r="K405"/>
  <c r="K406"/>
  <c r="K407"/>
  <c r="K408"/>
  <c r="K409"/>
  <c r="K401"/>
  <c r="K396"/>
  <c r="K388"/>
  <c r="K389"/>
  <c r="K390"/>
  <c r="K391"/>
  <c r="K392"/>
  <c r="K393"/>
  <c r="K394"/>
  <c r="K395"/>
  <c r="K387"/>
  <c r="K374"/>
  <c r="K375"/>
  <c r="K376"/>
  <c r="K377"/>
  <c r="K378"/>
  <c r="K379"/>
  <c r="K380"/>
  <c r="K381"/>
  <c r="K382"/>
  <c r="K373"/>
  <c r="K368"/>
  <c r="K360"/>
  <c r="K361"/>
  <c r="K362"/>
  <c r="K363"/>
  <c r="K364"/>
  <c r="K365"/>
  <c r="K366"/>
  <c r="K367"/>
  <c r="K359"/>
  <c r="K354"/>
  <c r="K346"/>
  <c r="K347"/>
  <c r="K348"/>
  <c r="K349"/>
  <c r="K350"/>
  <c r="K351"/>
  <c r="K352"/>
  <c r="K353"/>
  <c r="K345"/>
  <c r="K340"/>
  <c r="K332"/>
  <c r="K333"/>
  <c r="K334"/>
  <c r="K335"/>
  <c r="K336"/>
  <c r="K337"/>
  <c r="K338"/>
  <c r="K339"/>
  <c r="K331"/>
  <c r="K318"/>
  <c r="K319"/>
  <c r="K320"/>
  <c r="K321"/>
  <c r="K322"/>
  <c r="K323"/>
  <c r="K324"/>
  <c r="K325"/>
  <c r="K326"/>
  <c r="K317"/>
  <c r="K312"/>
  <c r="K304"/>
  <c r="K305"/>
  <c r="K306"/>
  <c r="K307"/>
  <c r="K308"/>
  <c r="K309"/>
  <c r="K310"/>
  <c r="K311"/>
  <c r="K303"/>
  <c r="K298"/>
  <c r="K291"/>
  <c r="K292"/>
  <c r="K293"/>
  <c r="K294"/>
  <c r="K295"/>
  <c r="K296"/>
  <c r="K297"/>
  <c r="K275"/>
  <c r="K414"/>
  <c r="K400"/>
  <c r="K386"/>
  <c r="K372"/>
  <c r="K358"/>
  <c r="K344"/>
  <c r="K316"/>
  <c r="K330"/>
  <c r="K302"/>
  <c r="K288"/>
  <c r="F424"/>
  <c r="F416"/>
  <c r="F417"/>
  <c r="F418"/>
  <c r="F419"/>
  <c r="F420"/>
  <c r="F421"/>
  <c r="F422"/>
  <c r="F423"/>
  <c r="F415"/>
  <c r="F410"/>
  <c r="F402"/>
  <c r="F403"/>
  <c r="F404"/>
  <c r="F405"/>
  <c r="F406"/>
  <c r="F407"/>
  <c r="F408"/>
  <c r="F409"/>
  <c r="F401"/>
  <c r="F396"/>
  <c r="F388"/>
  <c r="F389"/>
  <c r="F390"/>
  <c r="F391"/>
  <c r="F392"/>
  <c r="F393"/>
  <c r="F394"/>
  <c r="F395"/>
  <c r="F387"/>
  <c r="F382"/>
  <c r="F374"/>
  <c r="F375"/>
  <c r="F376"/>
  <c r="F377"/>
  <c r="F378"/>
  <c r="F379"/>
  <c r="F380"/>
  <c r="F381"/>
  <c r="F373"/>
  <c r="F368"/>
  <c r="F360"/>
  <c r="F361"/>
  <c r="F362"/>
  <c r="F363"/>
  <c r="F364"/>
  <c r="F365"/>
  <c r="F366"/>
  <c r="F367"/>
  <c r="F359"/>
  <c r="F346"/>
  <c r="F347"/>
  <c r="F348"/>
  <c r="F349"/>
  <c r="F350"/>
  <c r="F351"/>
  <c r="F352"/>
  <c r="F353"/>
  <c r="F354"/>
  <c r="F345"/>
  <c r="F332"/>
  <c r="F333"/>
  <c r="F334"/>
  <c r="F335"/>
  <c r="F336"/>
  <c r="F337"/>
  <c r="F338"/>
  <c r="F339"/>
  <c r="F340"/>
  <c r="F331"/>
  <c r="F318"/>
  <c r="F319"/>
  <c r="F320"/>
  <c r="F321"/>
  <c r="F322"/>
  <c r="F323"/>
  <c r="F324"/>
  <c r="F325"/>
  <c r="F326"/>
  <c r="F317"/>
  <c r="F304"/>
  <c r="F305"/>
  <c r="F306"/>
  <c r="F307"/>
  <c r="F308"/>
  <c r="F309"/>
  <c r="F310"/>
  <c r="F311"/>
  <c r="F312"/>
  <c r="F303"/>
  <c r="F290"/>
  <c r="F297"/>
  <c r="F298"/>
  <c r="F289"/>
  <c r="F283"/>
  <c r="F284"/>
  <c r="F414"/>
  <c r="F400"/>
  <c r="F386"/>
  <c r="F372"/>
  <c r="F358"/>
  <c r="F344"/>
  <c r="F330"/>
  <c r="F316"/>
  <c r="F302"/>
  <c r="F288"/>
  <c r="C425"/>
  <c r="C411"/>
  <c r="C397"/>
  <c r="C383"/>
  <c r="C369"/>
  <c r="C355"/>
  <c r="C341"/>
  <c r="C327"/>
  <c r="C313"/>
  <c r="C299"/>
  <c r="Q459" i="7944"/>
  <c r="Q458"/>
  <c r="P458"/>
  <c r="P457"/>
  <c r="Q457"/>
  <c r="O457"/>
  <c r="O456"/>
  <c r="P456"/>
  <c r="Q456"/>
  <c r="N456"/>
  <c r="N455"/>
  <c r="O455"/>
  <c r="P455"/>
  <c r="Q455"/>
  <c r="M454"/>
  <c r="N454"/>
  <c r="O454"/>
  <c r="P454"/>
  <c r="Q454"/>
  <c r="N453"/>
  <c r="O453"/>
  <c r="P453"/>
  <c r="Q453"/>
  <c r="M440"/>
  <c r="N440"/>
  <c r="O440"/>
  <c r="P440"/>
  <c r="Q440"/>
  <c r="M452"/>
  <c r="N452"/>
  <c r="O452"/>
  <c r="P452"/>
  <c r="Q452"/>
  <c r="M451"/>
  <c r="N451"/>
  <c r="O451"/>
  <c r="P451"/>
  <c r="Q451"/>
  <c r="C461"/>
  <c r="B449"/>
  <c r="Q446"/>
  <c r="Q445"/>
  <c r="P445"/>
  <c r="P444"/>
  <c r="Q444"/>
  <c r="O444"/>
  <c r="O443"/>
  <c r="P443"/>
  <c r="Q443"/>
  <c r="N443"/>
  <c r="N442"/>
  <c r="O442"/>
  <c r="P442"/>
  <c r="Q442"/>
  <c r="M441"/>
  <c r="N441"/>
  <c r="O441"/>
  <c r="P441"/>
  <c r="Q441"/>
  <c r="N439"/>
  <c r="O439"/>
  <c r="P439"/>
  <c r="Q439"/>
  <c r="M438"/>
  <c r="N438"/>
  <c r="O438"/>
  <c r="P438"/>
  <c r="Q438"/>
  <c r="C448"/>
  <c r="B436"/>
  <c r="Q433"/>
  <c r="Q432"/>
  <c r="P432"/>
  <c r="P431"/>
  <c r="Q431"/>
  <c r="O431"/>
  <c r="O430"/>
  <c r="P430"/>
  <c r="Q430"/>
  <c r="N430"/>
  <c r="N429"/>
  <c r="O429"/>
  <c r="P429"/>
  <c r="Q429"/>
  <c r="M428"/>
  <c r="N428"/>
  <c r="O428"/>
  <c r="P428"/>
  <c r="Q428"/>
  <c r="N427"/>
  <c r="O427"/>
  <c r="P427"/>
  <c r="Q427"/>
  <c r="M426"/>
  <c r="N426"/>
  <c r="O426"/>
  <c r="P426"/>
  <c r="Q426"/>
  <c r="M425"/>
  <c r="N425"/>
  <c r="O425"/>
  <c r="P425"/>
  <c r="Q425"/>
  <c r="C435"/>
  <c r="B423"/>
  <c r="Q420"/>
  <c r="Q419"/>
  <c r="P419"/>
  <c r="P418"/>
  <c r="Q418"/>
  <c r="O418"/>
  <c r="O417"/>
  <c r="P417"/>
  <c r="Q417"/>
  <c r="N417"/>
  <c r="N416"/>
  <c r="O416"/>
  <c r="P416"/>
  <c r="Q416"/>
  <c r="N415"/>
  <c r="O415"/>
  <c r="P415"/>
  <c r="Q415"/>
  <c r="M414"/>
  <c r="N414"/>
  <c r="O414"/>
  <c r="P414"/>
  <c r="Q414"/>
  <c r="N413"/>
  <c r="O413"/>
  <c r="P413"/>
  <c r="Q413"/>
  <c r="M412"/>
  <c r="N412"/>
  <c r="O412"/>
  <c r="P412"/>
  <c r="Q412"/>
  <c r="C422"/>
  <c r="B410"/>
  <c r="Q407"/>
  <c r="Q406"/>
  <c r="P406"/>
  <c r="P405"/>
  <c r="Q405"/>
  <c r="O405"/>
  <c r="O404"/>
  <c r="P404"/>
  <c r="Q404"/>
  <c r="N404"/>
  <c r="N403"/>
  <c r="O403"/>
  <c r="P403"/>
  <c r="Q403"/>
  <c r="M402"/>
  <c r="N402"/>
  <c r="O402"/>
  <c r="P402"/>
  <c r="Q402"/>
  <c r="N401"/>
  <c r="O401"/>
  <c r="P401"/>
  <c r="Q401"/>
  <c r="M400"/>
  <c r="N400"/>
  <c r="O400"/>
  <c r="P400"/>
  <c r="Q400"/>
  <c r="N387"/>
  <c r="O387"/>
  <c r="P387"/>
  <c r="Q387"/>
  <c r="M399"/>
  <c r="N399"/>
  <c r="O399"/>
  <c r="P399"/>
  <c r="Q399"/>
  <c r="C409"/>
  <c r="B397"/>
  <c r="Q394"/>
  <c r="Q393"/>
  <c r="P393"/>
  <c r="P392"/>
  <c r="Q392"/>
  <c r="O392"/>
  <c r="O391"/>
  <c r="P391"/>
  <c r="Q391"/>
  <c r="N391"/>
  <c r="N390"/>
  <c r="O390"/>
  <c r="P390"/>
  <c r="Q390"/>
  <c r="N389"/>
  <c r="O389"/>
  <c r="P389"/>
  <c r="Q389"/>
  <c r="Q388"/>
  <c r="M388"/>
  <c r="N388"/>
  <c r="O388"/>
  <c r="P388"/>
  <c r="M386"/>
  <c r="N386"/>
  <c r="O386"/>
  <c r="P386"/>
  <c r="Q386"/>
  <c r="C396"/>
  <c r="B384"/>
  <c r="Q381"/>
  <c r="Q380"/>
  <c r="P380"/>
  <c r="P379"/>
  <c r="Q379"/>
  <c r="O379"/>
  <c r="O378"/>
  <c r="P378"/>
  <c r="Q378"/>
  <c r="N378"/>
  <c r="N377"/>
  <c r="O377"/>
  <c r="P377"/>
  <c r="Q377"/>
  <c r="Q376"/>
  <c r="N376"/>
  <c r="O376"/>
  <c r="P376"/>
  <c r="Q375"/>
  <c r="N375"/>
  <c r="O375"/>
  <c r="P375"/>
  <c r="M374"/>
  <c r="N374"/>
  <c r="O374"/>
  <c r="P374"/>
  <c r="Q374"/>
  <c r="Q373"/>
  <c r="M373"/>
  <c r="N373"/>
  <c r="O373"/>
  <c r="P373"/>
  <c r="C383"/>
  <c r="B371"/>
  <c r="Q368"/>
  <c r="Q367"/>
  <c r="P367"/>
  <c r="P366"/>
  <c r="Q366"/>
  <c r="O366"/>
  <c r="Q365"/>
  <c r="O365"/>
  <c r="P365"/>
  <c r="N365"/>
  <c r="Q364"/>
  <c r="N364"/>
  <c r="O364"/>
  <c r="P364"/>
  <c r="N363"/>
  <c r="O363"/>
  <c r="P363"/>
  <c r="Q363"/>
  <c r="Q362"/>
  <c r="M362"/>
  <c r="N362"/>
  <c r="O362"/>
  <c r="P362"/>
  <c r="Q361"/>
  <c r="N361"/>
  <c r="O361"/>
  <c r="P361"/>
  <c r="Q360"/>
  <c r="M360"/>
  <c r="N360"/>
  <c r="O360"/>
  <c r="P360"/>
  <c r="C370"/>
  <c r="B358"/>
  <c r="Q355"/>
  <c r="Q354"/>
  <c r="P354"/>
  <c r="P353"/>
  <c r="Q353"/>
  <c r="O353"/>
  <c r="Q352"/>
  <c r="O352"/>
  <c r="P352"/>
  <c r="N352"/>
  <c r="N351"/>
  <c r="O351"/>
  <c r="P351"/>
  <c r="Q351"/>
  <c r="Q350"/>
  <c r="N350"/>
  <c r="O350"/>
  <c r="P350"/>
  <c r="N349"/>
  <c r="O349"/>
  <c r="P349"/>
  <c r="Q349"/>
  <c r="M348"/>
  <c r="N348"/>
  <c r="O348"/>
  <c r="P348"/>
  <c r="Q348"/>
  <c r="Q347"/>
  <c r="M347"/>
  <c r="N347"/>
  <c r="O347"/>
  <c r="P347"/>
  <c r="C357"/>
  <c r="B345"/>
  <c r="Q342"/>
  <c r="Q341"/>
  <c r="P341"/>
  <c r="P340"/>
  <c r="Q340"/>
  <c r="O340"/>
  <c r="O339"/>
  <c r="P339"/>
  <c r="Q339"/>
  <c r="N339"/>
  <c r="Q338"/>
  <c r="N338"/>
  <c r="O338"/>
  <c r="P338"/>
  <c r="Q337"/>
  <c r="M337"/>
  <c r="N337"/>
  <c r="O337"/>
  <c r="P337"/>
  <c r="Q336"/>
  <c r="M336"/>
  <c r="N336"/>
  <c r="O336"/>
  <c r="P336"/>
  <c r="N335"/>
  <c r="O335"/>
  <c r="P335"/>
  <c r="Q335"/>
  <c r="M334"/>
  <c r="N334"/>
  <c r="O334"/>
  <c r="P334"/>
  <c r="Q334"/>
  <c r="H3"/>
  <c r="I3"/>
  <c r="C344"/>
  <c r="B332"/>
  <c r="C69"/>
  <c r="C68"/>
  <c r="C67"/>
  <c r="C66"/>
  <c r="C65"/>
  <c r="C64"/>
  <c r="C63"/>
  <c r="C62"/>
  <c r="C61"/>
  <c r="C60"/>
  <c r="C37"/>
  <c r="C36"/>
  <c r="C35"/>
  <c r="C34"/>
  <c r="C33"/>
  <c r="C32"/>
  <c r="C31"/>
  <c r="C30"/>
  <c r="C29"/>
  <c r="C28"/>
  <c r="D837" i="7941"/>
  <c r="D836"/>
  <c r="D835"/>
  <c r="D834"/>
  <c r="D833"/>
  <c r="D832"/>
  <c r="D831"/>
  <c r="D830"/>
  <c r="D829"/>
  <c r="D828"/>
  <c r="D760"/>
  <c r="D759"/>
  <c r="D758"/>
  <c r="D757"/>
  <c r="D756"/>
  <c r="D755"/>
  <c r="D754"/>
  <c r="D753"/>
  <c r="D752"/>
  <c r="D751"/>
  <c r="D728"/>
  <c r="D727"/>
  <c r="D726"/>
  <c r="D725"/>
  <c r="D724"/>
  <c r="D723"/>
  <c r="D722"/>
  <c r="D721"/>
  <c r="D720"/>
  <c r="D719"/>
  <c r="D696"/>
  <c r="D695"/>
  <c r="D694"/>
  <c r="D693"/>
  <c r="D692"/>
  <c r="D691"/>
  <c r="D690"/>
  <c r="D689"/>
  <c r="D688"/>
  <c r="D687"/>
  <c r="D630"/>
  <c r="D629"/>
  <c r="D628"/>
  <c r="D627"/>
  <c r="D626"/>
  <c r="D625"/>
  <c r="D624"/>
  <c r="D623"/>
  <c r="D622"/>
  <c r="D621"/>
  <c r="D598"/>
  <c r="D597"/>
  <c r="D596"/>
  <c r="D595"/>
  <c r="D594"/>
  <c r="D593"/>
  <c r="D592"/>
  <c r="D591"/>
  <c r="D590"/>
  <c r="D589"/>
  <c r="D566"/>
  <c r="D565"/>
  <c r="D564"/>
  <c r="D563"/>
  <c r="D562"/>
  <c r="D561"/>
  <c r="D560"/>
  <c r="D559"/>
  <c r="D558"/>
  <c r="D557"/>
  <c r="D534"/>
  <c r="D533"/>
  <c r="D532"/>
  <c r="D531"/>
  <c r="D530"/>
  <c r="D529"/>
  <c r="D528"/>
  <c r="D527"/>
  <c r="D526"/>
  <c r="D525"/>
  <c r="D502"/>
  <c r="D501"/>
  <c r="D500"/>
  <c r="D499"/>
  <c r="D498"/>
  <c r="D497"/>
  <c r="D496"/>
  <c r="D495"/>
  <c r="D494"/>
  <c r="D493"/>
  <c r="D468"/>
  <c r="D467"/>
  <c r="D466"/>
  <c r="D465"/>
  <c r="D464"/>
  <c r="D463"/>
  <c r="D462"/>
  <c r="D461"/>
  <c r="D460"/>
  <c r="D459"/>
  <c r="D392"/>
  <c r="D391"/>
  <c r="D390"/>
  <c r="D389"/>
  <c r="D388"/>
  <c r="D387"/>
  <c r="D386"/>
  <c r="D385"/>
  <c r="D384"/>
  <c r="D383"/>
  <c r="D360"/>
  <c r="D359"/>
  <c r="D358"/>
  <c r="D357"/>
  <c r="D356"/>
  <c r="D355"/>
  <c r="D354"/>
  <c r="D353"/>
  <c r="D352"/>
  <c r="D351"/>
  <c r="D328"/>
  <c r="D327"/>
  <c r="D326"/>
  <c r="D325"/>
  <c r="D324"/>
  <c r="D323"/>
  <c r="D322"/>
  <c r="D321"/>
  <c r="D320"/>
  <c r="D319"/>
  <c r="D296"/>
  <c r="D295"/>
  <c r="D294"/>
  <c r="D293"/>
  <c r="D292"/>
  <c r="D291"/>
  <c r="D290"/>
  <c r="D289"/>
  <c r="D288"/>
  <c r="D287"/>
  <c r="D264"/>
  <c r="D263"/>
  <c r="D262"/>
  <c r="D261"/>
  <c r="D260"/>
  <c r="D259"/>
  <c r="D258"/>
  <c r="D257"/>
  <c r="D256"/>
  <c r="D255"/>
  <c r="D197"/>
  <c r="D196"/>
  <c r="D195"/>
  <c r="D194"/>
  <c r="D193"/>
  <c r="D192"/>
  <c r="D191"/>
  <c r="D190"/>
  <c r="D189"/>
  <c r="D188"/>
  <c r="D133"/>
  <c r="D123"/>
  <c r="D132"/>
  <c r="D131"/>
  <c r="D130"/>
  <c r="D129"/>
  <c r="D128"/>
  <c r="D127"/>
  <c r="D126"/>
  <c r="D125"/>
  <c r="D124"/>
  <c r="D165"/>
  <c r="D164"/>
  <c r="D163"/>
  <c r="D161"/>
  <c r="D162"/>
  <c r="D160"/>
  <c r="D159"/>
  <c r="D158"/>
  <c r="D157"/>
  <c r="D156"/>
  <c r="D101"/>
  <c r="D100"/>
  <c r="D99"/>
  <c r="D98"/>
  <c r="D97"/>
  <c r="D96"/>
  <c r="D95"/>
  <c r="D94"/>
  <c r="D93"/>
  <c r="D92"/>
  <c r="D69"/>
  <c r="D68"/>
  <c r="D67"/>
  <c r="D66"/>
  <c r="D65"/>
  <c r="D64"/>
  <c r="D63"/>
  <c r="D62"/>
  <c r="D61"/>
  <c r="D60"/>
  <c r="D37"/>
  <c r="D36"/>
  <c r="D35"/>
  <c r="D34"/>
  <c r="D33"/>
  <c r="D32"/>
  <c r="D31"/>
  <c r="D30"/>
  <c r="D29"/>
  <c r="D28"/>
  <c r="D1017" i="18"/>
  <c r="D1016"/>
  <c r="D1015"/>
  <c r="D1014"/>
  <c r="D1013"/>
  <c r="D1012"/>
  <c r="D1011"/>
  <c r="D1010"/>
  <c r="D1009"/>
  <c r="D1008"/>
  <c r="D985"/>
  <c r="D984"/>
  <c r="D983"/>
  <c r="D982"/>
  <c r="D981"/>
  <c r="D980"/>
  <c r="D979"/>
  <c r="D978"/>
  <c r="D977"/>
  <c r="D976"/>
  <c r="D919"/>
  <c r="D918"/>
  <c r="D917"/>
  <c r="D916"/>
  <c r="D915"/>
  <c r="D914"/>
  <c r="D913"/>
  <c r="D912"/>
  <c r="D911"/>
  <c r="D910"/>
  <c r="D887"/>
  <c r="D886"/>
  <c r="D885"/>
  <c r="D884"/>
  <c r="D883"/>
  <c r="D882"/>
  <c r="D881"/>
  <c r="D880"/>
  <c r="D879"/>
  <c r="D878"/>
  <c r="D855"/>
  <c r="D854"/>
  <c r="D853"/>
  <c r="D852"/>
  <c r="D851"/>
  <c r="D850"/>
  <c r="D849"/>
  <c r="D848"/>
  <c r="D847"/>
  <c r="D846"/>
  <c r="D823"/>
  <c r="D822"/>
  <c r="D821"/>
  <c r="D820"/>
  <c r="D819"/>
  <c r="D818"/>
  <c r="D817"/>
  <c r="D816"/>
  <c r="D815"/>
  <c r="D814"/>
  <c r="D791"/>
  <c r="D790"/>
  <c r="D789"/>
  <c r="D788"/>
  <c r="D787"/>
  <c r="D786"/>
  <c r="D785"/>
  <c r="D784"/>
  <c r="D783"/>
  <c r="D782"/>
  <c r="D757"/>
  <c r="D756"/>
  <c r="D755"/>
  <c r="D754"/>
  <c r="D753"/>
  <c r="D752"/>
  <c r="D751"/>
  <c r="D750"/>
  <c r="D749"/>
  <c r="D748"/>
  <c r="D725"/>
  <c r="D724"/>
  <c r="D723"/>
  <c r="D722"/>
  <c r="D721"/>
  <c r="D720"/>
  <c r="D719"/>
  <c r="D718"/>
  <c r="D717"/>
  <c r="D716"/>
  <c r="D659"/>
  <c r="D658"/>
  <c r="D657"/>
  <c r="D656"/>
  <c r="D655"/>
  <c r="D654"/>
  <c r="D653"/>
  <c r="D652"/>
  <c r="D651"/>
  <c r="D650"/>
  <c r="D649"/>
  <c r="D627"/>
  <c r="D626"/>
  <c r="D625"/>
  <c r="D624"/>
  <c r="D623"/>
  <c r="D622"/>
  <c r="D621"/>
  <c r="D620"/>
  <c r="D619"/>
  <c r="D618"/>
  <c r="D595"/>
  <c r="D594"/>
  <c r="D593"/>
  <c r="D592"/>
  <c r="D591"/>
  <c r="D590"/>
  <c r="D589"/>
  <c r="D588"/>
  <c r="D587"/>
  <c r="D586"/>
  <c r="D563"/>
  <c r="D562"/>
  <c r="D561"/>
  <c r="D560"/>
  <c r="D559"/>
  <c r="D558"/>
  <c r="D557"/>
  <c r="D556"/>
  <c r="D555"/>
  <c r="D554"/>
  <c r="D531"/>
  <c r="D530"/>
  <c r="D529"/>
  <c r="D528"/>
  <c r="D527"/>
  <c r="D526"/>
  <c r="D525"/>
  <c r="D524"/>
  <c r="D523"/>
  <c r="D522"/>
  <c r="D499"/>
  <c r="D498"/>
  <c r="D497"/>
  <c r="D496"/>
  <c r="D495"/>
  <c r="D494"/>
  <c r="D493"/>
  <c r="D492"/>
  <c r="D491"/>
  <c r="D490"/>
  <c r="Q463"/>
  <c r="P462"/>
  <c r="Q462"/>
  <c r="O461"/>
  <c r="P461"/>
  <c r="Q461"/>
  <c r="N460"/>
  <c r="O460"/>
  <c r="P460"/>
  <c r="Q460"/>
  <c r="N459"/>
  <c r="O459"/>
  <c r="P459"/>
  <c r="Q459"/>
  <c r="N458"/>
  <c r="O458"/>
  <c r="P458"/>
  <c r="Q458"/>
  <c r="N457"/>
  <c r="O457"/>
  <c r="P457"/>
  <c r="Q457"/>
  <c r="N456"/>
  <c r="O456"/>
  <c r="P456"/>
  <c r="Q456"/>
  <c r="N455"/>
  <c r="O455"/>
  <c r="P455"/>
  <c r="Q455"/>
  <c r="D465"/>
  <c r="C453"/>
  <c r="Q450"/>
  <c r="P449"/>
  <c r="Q449"/>
  <c r="O448"/>
  <c r="P448"/>
  <c r="Q448"/>
  <c r="N447"/>
  <c r="O447"/>
  <c r="P447"/>
  <c r="Q447"/>
  <c r="N446"/>
  <c r="O446"/>
  <c r="P446"/>
  <c r="Q446"/>
  <c r="N445"/>
  <c r="O445"/>
  <c r="P445"/>
  <c r="Q445"/>
  <c r="N444"/>
  <c r="O444"/>
  <c r="P444"/>
  <c r="Q444"/>
  <c r="N443"/>
  <c r="O443"/>
  <c r="P443"/>
  <c r="Q443"/>
  <c r="N442"/>
  <c r="O442"/>
  <c r="P442"/>
  <c r="Q442"/>
  <c r="D452"/>
  <c r="C440"/>
  <c r="Q437"/>
  <c r="P423"/>
  <c r="Q423"/>
  <c r="P436"/>
  <c r="Q436"/>
  <c r="O435"/>
  <c r="P435"/>
  <c r="Q435"/>
  <c r="N434"/>
  <c r="O434"/>
  <c r="P434"/>
  <c r="Q434"/>
  <c r="N433"/>
  <c r="O433"/>
  <c r="P433"/>
  <c r="Q433"/>
  <c r="N432"/>
  <c r="O432"/>
  <c r="P432"/>
  <c r="Q432"/>
  <c r="N431"/>
  <c r="O431"/>
  <c r="P431"/>
  <c r="Q431"/>
  <c r="N430"/>
  <c r="O430"/>
  <c r="P430"/>
  <c r="Q430"/>
  <c r="N429"/>
  <c r="O429"/>
  <c r="P429"/>
  <c r="Q429"/>
  <c r="D439"/>
  <c r="C427"/>
  <c r="Q424"/>
  <c r="O422"/>
  <c r="P422"/>
  <c r="Q422"/>
  <c r="N421"/>
  <c r="O421"/>
  <c r="P421"/>
  <c r="Q421"/>
  <c r="N420"/>
  <c r="O420"/>
  <c r="P420"/>
  <c r="Q420"/>
  <c r="N419"/>
  <c r="O419"/>
  <c r="P419"/>
  <c r="Q419"/>
  <c r="N418"/>
  <c r="O418"/>
  <c r="P418"/>
  <c r="Q418"/>
  <c r="N417"/>
  <c r="O417"/>
  <c r="P417"/>
  <c r="Q417"/>
  <c r="N416"/>
  <c r="O416"/>
  <c r="P416"/>
  <c r="Q416"/>
  <c r="D426"/>
  <c r="C414"/>
  <c r="Q411"/>
  <c r="P410"/>
  <c r="Q410"/>
  <c r="O409"/>
  <c r="P409"/>
  <c r="Q409"/>
  <c r="N408"/>
  <c r="O408"/>
  <c r="P408"/>
  <c r="Q408"/>
  <c r="N407"/>
  <c r="O407"/>
  <c r="P407"/>
  <c r="Q407"/>
  <c r="N406"/>
  <c r="O406"/>
  <c r="P406"/>
  <c r="Q406"/>
  <c r="N405"/>
  <c r="O405"/>
  <c r="P405"/>
  <c r="Q405"/>
  <c r="N404"/>
  <c r="O404"/>
  <c r="P404"/>
  <c r="Q404"/>
  <c r="N403"/>
  <c r="O403"/>
  <c r="P403"/>
  <c r="Q403"/>
  <c r="D413"/>
  <c r="C401"/>
  <c r="Q398"/>
  <c r="P397"/>
  <c r="Q397"/>
  <c r="O383"/>
  <c r="P383"/>
  <c r="Q383"/>
  <c r="O396"/>
  <c r="P396"/>
  <c r="Q396"/>
  <c r="N395"/>
  <c r="O395"/>
  <c r="P395"/>
  <c r="Q395"/>
  <c r="N394"/>
  <c r="O394"/>
  <c r="P394"/>
  <c r="Q394"/>
  <c r="N393"/>
  <c r="O393"/>
  <c r="P393"/>
  <c r="Q393"/>
  <c r="N392"/>
  <c r="O392"/>
  <c r="P392"/>
  <c r="Q392"/>
  <c r="N391"/>
  <c r="O391"/>
  <c r="P391"/>
  <c r="Q391"/>
  <c r="N390"/>
  <c r="O390"/>
  <c r="P390"/>
  <c r="Q390"/>
  <c r="D400"/>
  <c r="C388"/>
  <c r="D387"/>
  <c r="Q385"/>
  <c r="P384"/>
  <c r="Q384"/>
  <c r="N382"/>
  <c r="O382"/>
  <c r="P382"/>
  <c r="Q382"/>
  <c r="N381"/>
  <c r="O381"/>
  <c r="P381"/>
  <c r="Q381"/>
  <c r="N380"/>
  <c r="O380"/>
  <c r="P380"/>
  <c r="Q380"/>
  <c r="N379"/>
  <c r="O379"/>
  <c r="P379"/>
  <c r="Q379"/>
  <c r="N378"/>
  <c r="O378"/>
  <c r="P378"/>
  <c r="Q378"/>
  <c r="N377"/>
  <c r="O377"/>
  <c r="P377"/>
  <c r="Q377"/>
  <c r="C375"/>
  <c r="Q372"/>
  <c r="P371"/>
  <c r="Q371"/>
  <c r="O370"/>
  <c r="P370"/>
  <c r="Q370"/>
  <c r="N369"/>
  <c r="O369"/>
  <c r="P369"/>
  <c r="Q369"/>
  <c r="N368"/>
  <c r="O368"/>
  <c r="P368"/>
  <c r="Q368"/>
  <c r="N367"/>
  <c r="O367"/>
  <c r="P367"/>
  <c r="Q367"/>
  <c r="N366"/>
  <c r="O366"/>
  <c r="P366"/>
  <c r="Q366"/>
  <c r="N365"/>
  <c r="O365"/>
  <c r="P365"/>
  <c r="Q365"/>
  <c r="N364"/>
  <c r="O364"/>
  <c r="P364"/>
  <c r="Q364"/>
  <c r="D374"/>
  <c r="C362"/>
  <c r="Q359"/>
  <c r="P358"/>
  <c r="Q358"/>
  <c r="O357"/>
  <c r="P357"/>
  <c r="Q357"/>
  <c r="N356"/>
  <c r="O356"/>
  <c r="P356"/>
  <c r="Q356"/>
  <c r="N355"/>
  <c r="O355"/>
  <c r="P355"/>
  <c r="Q355"/>
  <c r="N354"/>
  <c r="O354"/>
  <c r="P354"/>
  <c r="Q354"/>
  <c r="N353"/>
  <c r="O353"/>
  <c r="P353"/>
  <c r="Q353"/>
  <c r="N352"/>
  <c r="O352"/>
  <c r="P352"/>
  <c r="Q352"/>
  <c r="N351"/>
  <c r="O351"/>
  <c r="P351"/>
  <c r="Q351"/>
  <c r="D361"/>
  <c r="C349"/>
  <c r="D348"/>
  <c r="Q346"/>
  <c r="P345"/>
  <c r="Q345"/>
  <c r="O344"/>
  <c r="P344"/>
  <c r="Q344"/>
  <c r="N343"/>
  <c r="O343"/>
  <c r="P343"/>
  <c r="Q343"/>
  <c r="N342"/>
  <c r="O342"/>
  <c r="P342"/>
  <c r="Q342"/>
  <c r="N341"/>
  <c r="O341"/>
  <c r="P341"/>
  <c r="Q341"/>
  <c r="N340"/>
  <c r="O340"/>
  <c r="P340"/>
  <c r="Q340"/>
  <c r="N339"/>
  <c r="O339"/>
  <c r="P339"/>
  <c r="Q339"/>
  <c r="N338"/>
  <c r="O338"/>
  <c r="P338"/>
  <c r="Q338"/>
  <c r="C336"/>
  <c r="D73"/>
  <c r="D72"/>
  <c r="D71"/>
  <c r="D70"/>
  <c r="D69"/>
  <c r="D68"/>
  <c r="D67"/>
  <c r="D66"/>
  <c r="D65"/>
  <c r="D64"/>
  <c r="D41"/>
  <c r="D40"/>
  <c r="D39"/>
  <c r="D38"/>
  <c r="D37"/>
  <c r="D36"/>
  <c r="D35"/>
  <c r="D34"/>
  <c r="D33"/>
  <c r="D32"/>
  <c r="C635" i="7942"/>
  <c r="C634"/>
  <c r="C633"/>
  <c r="C632"/>
  <c r="C631"/>
  <c r="C630"/>
  <c r="C629"/>
  <c r="C628"/>
  <c r="C627"/>
  <c r="C626"/>
  <c r="C625"/>
  <c r="C603"/>
  <c r="C602"/>
  <c r="C601"/>
  <c r="C600"/>
  <c r="C599"/>
  <c r="C598"/>
  <c r="C597"/>
  <c r="C596"/>
  <c r="C595"/>
  <c r="C594"/>
  <c r="C571"/>
  <c r="C570"/>
  <c r="C569"/>
  <c r="C568"/>
  <c r="C567"/>
  <c r="C566"/>
  <c r="C565"/>
  <c r="C564"/>
  <c r="C563"/>
  <c r="C562"/>
  <c r="C327"/>
  <c r="C325"/>
  <c r="C323"/>
  <c r="C321"/>
  <c r="C319"/>
  <c r="C317"/>
  <c r="C315"/>
  <c r="C313"/>
  <c r="C311"/>
  <c r="C309"/>
  <c r="C266"/>
  <c r="C265"/>
  <c r="C264"/>
  <c r="C263"/>
  <c r="C262"/>
  <c r="C261"/>
  <c r="C260"/>
  <c r="C259"/>
  <c r="C258"/>
  <c r="C257"/>
  <c r="C234"/>
  <c r="C233"/>
  <c r="C232"/>
  <c r="C231"/>
  <c r="C230"/>
  <c r="C229"/>
  <c r="C228"/>
  <c r="C227"/>
  <c r="C226"/>
  <c r="C225"/>
  <c r="C202"/>
  <c r="C201"/>
  <c r="C200"/>
  <c r="C199"/>
  <c r="C198"/>
  <c r="C197"/>
  <c r="C196"/>
  <c r="C195"/>
  <c r="C194"/>
  <c r="C193"/>
  <c r="C166"/>
  <c r="C164"/>
  <c r="C162"/>
  <c r="C160"/>
  <c r="C158"/>
  <c r="C156"/>
  <c r="C154"/>
  <c r="C152"/>
  <c r="C150"/>
  <c r="C148"/>
  <c r="C105"/>
  <c r="C104"/>
  <c r="C103"/>
  <c r="C102"/>
  <c r="C101"/>
  <c r="C100"/>
  <c r="C99"/>
  <c r="C98"/>
  <c r="C97"/>
  <c r="C96"/>
  <c r="C73"/>
  <c r="C72"/>
  <c r="C71"/>
  <c r="C70"/>
  <c r="C69"/>
  <c r="C68"/>
  <c r="C67"/>
  <c r="C66"/>
  <c r="C65"/>
  <c r="C64"/>
  <c r="C41"/>
  <c r="C40"/>
  <c r="C39"/>
  <c r="C38"/>
  <c r="C37"/>
  <c r="C36"/>
  <c r="C35"/>
  <c r="C34"/>
  <c r="C33"/>
  <c r="C32"/>
  <c r="G222" i="1"/>
  <c r="G225"/>
  <c r="G226"/>
  <c r="G227"/>
  <c r="G228"/>
  <c r="G229"/>
  <c r="G230"/>
  <c r="G231"/>
  <c r="G232"/>
  <c r="G233"/>
  <c r="G234"/>
  <c r="G235"/>
  <c r="G236"/>
  <c r="G237"/>
  <c r="G238"/>
  <c r="G239"/>
  <c r="G240"/>
  <c r="F240"/>
  <c r="F239"/>
  <c r="F238"/>
  <c r="F237"/>
  <c r="F234"/>
  <c r="F235"/>
  <c r="F236"/>
  <c r="F233"/>
  <c r="F232"/>
  <c r="F231"/>
  <c r="H207"/>
  <c r="J207"/>
  <c r="L207"/>
  <c r="N207"/>
  <c r="O207"/>
  <c r="P207"/>
  <c r="Q207"/>
  <c r="F206"/>
  <c r="F205"/>
  <c r="F204"/>
  <c r="F203"/>
  <c r="F202"/>
  <c r="F201"/>
  <c r="F200"/>
  <c r="F199"/>
  <c r="F198"/>
  <c r="F197"/>
  <c r="N173"/>
  <c r="H173"/>
  <c r="I173"/>
  <c r="J173"/>
  <c r="K173"/>
  <c r="O173"/>
  <c r="P173"/>
  <c r="Q173"/>
  <c r="F172"/>
  <c r="F171"/>
  <c r="F170"/>
  <c r="F169"/>
  <c r="F168"/>
  <c r="F167"/>
  <c r="F166"/>
  <c r="F165"/>
  <c r="F164"/>
  <c r="F163"/>
  <c r="F138"/>
  <c r="F137"/>
  <c r="F136"/>
  <c r="F135"/>
  <c r="F134"/>
  <c r="F133"/>
  <c r="F132"/>
  <c r="F131"/>
  <c r="F130"/>
  <c r="F129"/>
  <c r="N105"/>
  <c r="O105"/>
  <c r="P105"/>
  <c r="Q105"/>
  <c r="H105"/>
  <c r="J105"/>
  <c r="L105"/>
  <c r="F104"/>
  <c r="F103"/>
  <c r="F102"/>
  <c r="F101"/>
  <c r="F100"/>
  <c r="F99"/>
  <c r="F98"/>
  <c r="F97"/>
  <c r="F96"/>
  <c r="F95"/>
  <c r="N71"/>
  <c r="O71"/>
  <c r="P71"/>
  <c r="Q71"/>
  <c r="H71"/>
  <c r="F70"/>
  <c r="F69"/>
  <c r="F68"/>
  <c r="F67"/>
  <c r="F66"/>
  <c r="F65"/>
  <c r="F64"/>
  <c r="F63"/>
  <c r="F62"/>
  <c r="F61"/>
  <c r="F60"/>
  <c r="E2" i="7946"/>
  <c r="B2" i="7945"/>
  <c r="B2" i="7944"/>
  <c r="C2" i="7941"/>
  <c r="C2" i="18"/>
  <c r="B2" i="7942"/>
  <c r="F2" i="1"/>
  <c r="H40"/>
  <c r="I40"/>
  <c r="Q328" i="7944"/>
  <c r="P327"/>
  <c r="Q327"/>
  <c r="O326"/>
  <c r="P326"/>
  <c r="Q326"/>
  <c r="N325"/>
  <c r="O325"/>
  <c r="P325"/>
  <c r="Q325"/>
  <c r="N324"/>
  <c r="O324"/>
  <c r="P324"/>
  <c r="Q324"/>
  <c r="N323"/>
  <c r="O323"/>
  <c r="P323"/>
  <c r="Q323"/>
  <c r="M322"/>
  <c r="N322"/>
  <c r="O322"/>
  <c r="P322"/>
  <c r="Q322"/>
  <c r="M321"/>
  <c r="N321"/>
  <c r="O321"/>
  <c r="P321"/>
  <c r="Q321"/>
  <c r="Q329"/>
  <c r="P328"/>
  <c r="O327"/>
  <c r="N326"/>
  <c r="Q315"/>
  <c r="P314"/>
  <c r="Q314"/>
  <c r="O313"/>
  <c r="P313"/>
  <c r="Q313"/>
  <c r="N312"/>
  <c r="O312"/>
  <c r="P312"/>
  <c r="Q312"/>
  <c r="M311"/>
  <c r="N311"/>
  <c r="O311"/>
  <c r="P311"/>
  <c r="Q311"/>
  <c r="M310"/>
  <c r="N310"/>
  <c r="O310"/>
  <c r="P310"/>
  <c r="Q310"/>
  <c r="N309"/>
  <c r="O309"/>
  <c r="P309"/>
  <c r="Q309"/>
  <c r="M308"/>
  <c r="N308"/>
  <c r="O308"/>
  <c r="P308"/>
  <c r="Q308"/>
  <c r="Q316"/>
  <c r="P315"/>
  <c r="O314"/>
  <c r="N313"/>
  <c r="Q302"/>
  <c r="P301"/>
  <c r="Q301"/>
  <c r="O300"/>
  <c r="P300"/>
  <c r="Q300"/>
  <c r="N299"/>
  <c r="O299"/>
  <c r="P299"/>
  <c r="Q299"/>
  <c r="M298"/>
  <c r="N298"/>
  <c r="O298"/>
  <c r="P298"/>
  <c r="Q298"/>
  <c r="N297"/>
  <c r="O297"/>
  <c r="P297"/>
  <c r="Q297"/>
  <c r="M296"/>
  <c r="J248" i="7945"/>
  <c r="N296" i="7944"/>
  <c r="O296"/>
  <c r="P296"/>
  <c r="Q296"/>
  <c r="M295"/>
  <c r="N295"/>
  <c r="O295"/>
  <c r="P295"/>
  <c r="Q295"/>
  <c r="Q303"/>
  <c r="P302"/>
  <c r="O301"/>
  <c r="N300"/>
  <c r="Q289"/>
  <c r="P288"/>
  <c r="Q288"/>
  <c r="O287"/>
  <c r="P287"/>
  <c r="Q287"/>
  <c r="N286"/>
  <c r="O286"/>
  <c r="P286"/>
  <c r="Q286"/>
  <c r="M285"/>
  <c r="J236" i="7945"/>
  <c r="N285" i="7944"/>
  <c r="O285"/>
  <c r="P285"/>
  <c r="Q285"/>
  <c r="M284"/>
  <c r="N284"/>
  <c r="O284"/>
  <c r="P284"/>
  <c r="Q284"/>
  <c r="N283"/>
  <c r="O283"/>
  <c r="P283"/>
  <c r="Q283"/>
  <c r="M282"/>
  <c r="J233" i="7945"/>
  <c r="N282" i="7944"/>
  <c r="O282"/>
  <c r="P282"/>
  <c r="Q282"/>
  <c r="Q290"/>
  <c r="P289"/>
  <c r="O288"/>
  <c r="N287"/>
  <c r="Q276"/>
  <c r="P275"/>
  <c r="Q275"/>
  <c r="O274"/>
  <c r="P274"/>
  <c r="Q274"/>
  <c r="N273"/>
  <c r="O273"/>
  <c r="P273"/>
  <c r="Q273"/>
  <c r="M272"/>
  <c r="N272"/>
  <c r="O272"/>
  <c r="P272"/>
  <c r="Q272"/>
  <c r="N271"/>
  <c r="O271"/>
  <c r="P271"/>
  <c r="Q271"/>
  <c r="M270"/>
  <c r="N270"/>
  <c r="O270"/>
  <c r="P270"/>
  <c r="Q270"/>
  <c r="M269"/>
  <c r="N269"/>
  <c r="O269"/>
  <c r="P269"/>
  <c r="Q269"/>
  <c r="Q277"/>
  <c r="P276"/>
  <c r="O275"/>
  <c r="N274"/>
  <c r="Q263"/>
  <c r="P262"/>
  <c r="Q262"/>
  <c r="O261"/>
  <c r="P261"/>
  <c r="Q261"/>
  <c r="N260"/>
  <c r="O260"/>
  <c r="P260"/>
  <c r="Q260"/>
  <c r="M259"/>
  <c r="J208" i="7945"/>
  <c r="N259" i="7944"/>
  <c r="O259"/>
  <c r="P259"/>
  <c r="Q259"/>
  <c r="M258"/>
  <c r="N258"/>
  <c r="O258"/>
  <c r="P258"/>
  <c r="Q258"/>
  <c r="N257"/>
  <c r="O257"/>
  <c r="P257"/>
  <c r="Q257"/>
  <c r="M256"/>
  <c r="J205" i="7945"/>
  <c r="N256" i="7944"/>
  <c r="O256"/>
  <c r="P256"/>
  <c r="Q256"/>
  <c r="Q264"/>
  <c r="P263"/>
  <c r="O262"/>
  <c r="N261"/>
  <c r="Q250"/>
  <c r="P249"/>
  <c r="Q249"/>
  <c r="O248"/>
  <c r="P248"/>
  <c r="Q248"/>
  <c r="N247"/>
  <c r="O247"/>
  <c r="P247"/>
  <c r="Q247"/>
  <c r="N246"/>
  <c r="O246"/>
  <c r="P246"/>
  <c r="Q246"/>
  <c r="N245"/>
  <c r="O245"/>
  <c r="P245"/>
  <c r="Q245"/>
  <c r="N244"/>
  <c r="O244"/>
  <c r="P244"/>
  <c r="Q244"/>
  <c r="N243"/>
  <c r="O243"/>
  <c r="P243"/>
  <c r="Q243"/>
  <c r="Q251"/>
  <c r="P250"/>
  <c r="O249"/>
  <c r="N248"/>
  <c r="Q237"/>
  <c r="Q236"/>
  <c r="P235"/>
  <c r="N234"/>
  <c r="P234"/>
  <c r="N233"/>
  <c r="P233"/>
  <c r="N232"/>
  <c r="P232"/>
  <c r="N231"/>
  <c r="P231"/>
  <c r="N230"/>
  <c r="P230"/>
  <c r="Q238"/>
  <c r="O236"/>
  <c r="Q224"/>
  <c r="P223"/>
  <c r="Q223"/>
  <c r="O222"/>
  <c r="P222"/>
  <c r="Q222"/>
  <c r="O220"/>
  <c r="Q220"/>
  <c r="O219"/>
  <c r="Q219"/>
  <c r="O218"/>
  <c r="Q218"/>
  <c r="O217"/>
  <c r="Q217"/>
  <c r="Q225"/>
  <c r="P224"/>
  <c r="O223"/>
  <c r="N222"/>
  <c r="Q211"/>
  <c r="Q210"/>
  <c r="Q209"/>
  <c r="Q207"/>
  <c r="Q206"/>
  <c r="Q205"/>
  <c r="Q204"/>
  <c r="P211"/>
  <c r="N209"/>
  <c r="Q198"/>
  <c r="P197"/>
  <c r="Q197"/>
  <c r="O196"/>
  <c r="Q196"/>
  <c r="O194"/>
  <c r="Q194"/>
  <c r="O193"/>
  <c r="Q193"/>
  <c r="O192"/>
  <c r="Q192"/>
  <c r="O191"/>
  <c r="Q199"/>
  <c r="P198"/>
  <c r="O197"/>
  <c r="Q185"/>
  <c r="P184"/>
  <c r="Q184"/>
  <c r="P183"/>
  <c r="Q186"/>
  <c r="P185"/>
  <c r="O184"/>
  <c r="Q172"/>
  <c r="P171"/>
  <c r="Q171"/>
  <c r="O170"/>
  <c r="P170"/>
  <c r="Q170"/>
  <c r="N169"/>
  <c r="O169"/>
  <c r="P169"/>
  <c r="Q169"/>
  <c r="N168"/>
  <c r="O168"/>
  <c r="P168"/>
  <c r="Q168"/>
  <c r="N167"/>
  <c r="O167"/>
  <c r="P167"/>
  <c r="Q167"/>
  <c r="N166"/>
  <c r="O166"/>
  <c r="P166"/>
  <c r="Q166"/>
  <c r="N165"/>
  <c r="O165"/>
  <c r="P165"/>
  <c r="Q165"/>
  <c r="Q173"/>
  <c r="P172"/>
  <c r="O171"/>
  <c r="N170"/>
  <c r="Q159"/>
  <c r="P158"/>
  <c r="Q158"/>
  <c r="O157"/>
  <c r="P157"/>
  <c r="Q157"/>
  <c r="N155"/>
  <c r="O155"/>
  <c r="P155"/>
  <c r="Q155"/>
  <c r="N154"/>
  <c r="O154"/>
  <c r="P154"/>
  <c r="Q154"/>
  <c r="N153"/>
  <c r="O153"/>
  <c r="P153"/>
  <c r="Q153"/>
  <c r="N152"/>
  <c r="O152"/>
  <c r="P152"/>
  <c r="Q152"/>
  <c r="Q160"/>
  <c r="P159"/>
  <c r="O158"/>
  <c r="N157"/>
  <c r="Q146"/>
  <c r="P145"/>
  <c r="Q145"/>
  <c r="O144"/>
  <c r="P144"/>
  <c r="Q144"/>
  <c r="N142"/>
  <c r="O142"/>
  <c r="P142"/>
  <c r="Q142"/>
  <c r="N141"/>
  <c r="O141"/>
  <c r="P141"/>
  <c r="Q141"/>
  <c r="N140"/>
  <c r="O140"/>
  <c r="P140"/>
  <c r="Q140"/>
  <c r="N139"/>
  <c r="O139"/>
  <c r="P139"/>
  <c r="Q139"/>
  <c r="Q147"/>
  <c r="P146"/>
  <c r="O145"/>
  <c r="N144"/>
  <c r="Q133"/>
  <c r="P132"/>
  <c r="Q132"/>
  <c r="O131"/>
  <c r="P131"/>
  <c r="Q131"/>
  <c r="N129"/>
  <c r="O129"/>
  <c r="P129"/>
  <c r="Q129"/>
  <c r="N128"/>
  <c r="O128"/>
  <c r="P128"/>
  <c r="Q128"/>
  <c r="N127"/>
  <c r="O127"/>
  <c r="P127"/>
  <c r="Q127"/>
  <c r="N126"/>
  <c r="O126"/>
  <c r="P126"/>
  <c r="Q126"/>
  <c r="Q134"/>
  <c r="P133"/>
  <c r="O132"/>
  <c r="N131"/>
  <c r="Q120"/>
  <c r="P119"/>
  <c r="Q119"/>
  <c r="P118"/>
  <c r="N116"/>
  <c r="O116"/>
  <c r="P116"/>
  <c r="Q116"/>
  <c r="N115"/>
  <c r="O115"/>
  <c r="P115"/>
  <c r="Q115"/>
  <c r="N114"/>
  <c r="O114"/>
  <c r="P114"/>
  <c r="Q114"/>
  <c r="N113"/>
  <c r="O113"/>
  <c r="P113"/>
  <c r="Q113"/>
  <c r="Q121"/>
  <c r="P120"/>
  <c r="O119"/>
  <c r="Q107"/>
  <c r="P106"/>
  <c r="Q106"/>
  <c r="P105"/>
  <c r="N103"/>
  <c r="P103"/>
  <c r="N102"/>
  <c r="P102"/>
  <c r="N101"/>
  <c r="P101"/>
  <c r="N100"/>
  <c r="P100"/>
  <c r="Q108"/>
  <c r="P107"/>
  <c r="O106"/>
  <c r="K276" i="7945"/>
  <c r="K277"/>
  <c r="K278"/>
  <c r="K279"/>
  <c r="K280"/>
  <c r="K281"/>
  <c r="K282"/>
  <c r="K283"/>
  <c r="K284"/>
  <c r="K274"/>
  <c r="K262"/>
  <c r="K263"/>
  <c r="K264"/>
  <c r="K265"/>
  <c r="K266"/>
  <c r="K267"/>
  <c r="K268"/>
  <c r="K269"/>
  <c r="K270"/>
  <c r="K261"/>
  <c r="K260"/>
  <c r="K248"/>
  <c r="K249"/>
  <c r="K250"/>
  <c r="K251"/>
  <c r="K252"/>
  <c r="K253"/>
  <c r="K254"/>
  <c r="K255"/>
  <c r="K256"/>
  <c r="K247"/>
  <c r="K246"/>
  <c r="K234"/>
  <c r="K235"/>
  <c r="K236"/>
  <c r="K237"/>
  <c r="K238"/>
  <c r="K239"/>
  <c r="K240"/>
  <c r="K241"/>
  <c r="K242"/>
  <c r="K233"/>
  <c r="K232"/>
  <c r="K220"/>
  <c r="K221"/>
  <c r="K222"/>
  <c r="K223"/>
  <c r="K224"/>
  <c r="K225"/>
  <c r="K226"/>
  <c r="K227"/>
  <c r="K228"/>
  <c r="K219"/>
  <c r="K218"/>
  <c r="K206"/>
  <c r="K207"/>
  <c r="K208"/>
  <c r="K209"/>
  <c r="K210"/>
  <c r="K211"/>
  <c r="K212"/>
  <c r="K213"/>
  <c r="K214"/>
  <c r="K205"/>
  <c r="K204"/>
  <c r="K192"/>
  <c r="K193"/>
  <c r="K194"/>
  <c r="K195"/>
  <c r="K196"/>
  <c r="K197"/>
  <c r="K198"/>
  <c r="K199"/>
  <c r="K200"/>
  <c r="K191"/>
  <c r="K190"/>
  <c r="K178"/>
  <c r="K179"/>
  <c r="K180"/>
  <c r="K181"/>
  <c r="K182"/>
  <c r="K183"/>
  <c r="K184"/>
  <c r="K185"/>
  <c r="K186"/>
  <c r="K177"/>
  <c r="K176"/>
  <c r="K108"/>
  <c r="K109"/>
  <c r="K110"/>
  <c r="K111"/>
  <c r="K112"/>
  <c r="K113"/>
  <c r="K114"/>
  <c r="K115"/>
  <c r="K116"/>
  <c r="K107"/>
  <c r="K106"/>
  <c r="E8" i="7946"/>
  <c r="E9"/>
  <c r="E10"/>
  <c r="E11"/>
  <c r="E12"/>
  <c r="E13"/>
  <c r="E14"/>
  <c r="E15"/>
  <c r="E16"/>
  <c r="E17"/>
  <c r="E18"/>
  <c r="E19"/>
  <c r="E20"/>
  <c r="E21"/>
  <c r="E22"/>
  <c r="E23"/>
  <c r="E24"/>
  <c r="E25"/>
  <c r="E26"/>
  <c r="G26"/>
  <c r="G25"/>
  <c r="G24"/>
  <c r="G23"/>
  <c r="G22"/>
  <c r="G21"/>
  <c r="G20"/>
  <c r="G19"/>
  <c r="G18"/>
  <c r="G17"/>
  <c r="G16"/>
  <c r="G15"/>
  <c r="G14"/>
  <c r="G13"/>
  <c r="G12"/>
  <c r="G11"/>
  <c r="G10"/>
  <c r="G9"/>
  <c r="G8"/>
  <c r="G7"/>
  <c r="E7"/>
  <c r="F276" i="7945"/>
  <c r="F277"/>
  <c r="F278"/>
  <c r="F279"/>
  <c r="F280"/>
  <c r="F281"/>
  <c r="F282"/>
  <c r="F275"/>
  <c r="F262"/>
  <c r="F263"/>
  <c r="F264"/>
  <c r="F265"/>
  <c r="F266"/>
  <c r="F267"/>
  <c r="F268"/>
  <c r="F269"/>
  <c r="F270"/>
  <c r="F261"/>
  <c r="F248"/>
  <c r="F249"/>
  <c r="F250"/>
  <c r="F251"/>
  <c r="F252"/>
  <c r="F253"/>
  <c r="F254"/>
  <c r="F255"/>
  <c r="F256"/>
  <c r="F247"/>
  <c r="F234"/>
  <c r="F235"/>
  <c r="F236"/>
  <c r="F237"/>
  <c r="F238"/>
  <c r="F239"/>
  <c r="F240"/>
  <c r="F241"/>
  <c r="F242"/>
  <c r="F233"/>
  <c r="F220"/>
  <c r="F221"/>
  <c r="F222"/>
  <c r="F223"/>
  <c r="F224"/>
  <c r="F225"/>
  <c r="F226"/>
  <c r="F227"/>
  <c r="F228"/>
  <c r="F219"/>
  <c r="F206"/>
  <c r="F207"/>
  <c r="F208"/>
  <c r="F209"/>
  <c r="F210"/>
  <c r="F211"/>
  <c r="F212"/>
  <c r="F213"/>
  <c r="F214"/>
  <c r="F205"/>
  <c r="F200"/>
  <c r="F192"/>
  <c r="F193"/>
  <c r="F194"/>
  <c r="F195"/>
  <c r="F196"/>
  <c r="F197"/>
  <c r="F198"/>
  <c r="F199"/>
  <c r="F191"/>
  <c r="F178"/>
  <c r="F179"/>
  <c r="F180"/>
  <c r="F181"/>
  <c r="F182"/>
  <c r="F183"/>
  <c r="F184"/>
  <c r="F185"/>
  <c r="F186"/>
  <c r="F177"/>
  <c r="F108"/>
  <c r="F110"/>
  <c r="F112"/>
  <c r="F114"/>
  <c r="F116"/>
  <c r="F274"/>
  <c r="F260"/>
  <c r="F246"/>
  <c r="F232"/>
  <c r="F218"/>
  <c r="F204"/>
  <c r="F176"/>
  <c r="F106"/>
  <c r="C285"/>
  <c r="B273"/>
  <c r="C271"/>
  <c r="B259"/>
  <c r="C257"/>
  <c r="B245"/>
  <c r="C243"/>
  <c r="B231"/>
  <c r="C229"/>
  <c r="B217"/>
  <c r="C215"/>
  <c r="B203"/>
  <c r="C201"/>
  <c r="B189"/>
  <c r="C187"/>
  <c r="B175"/>
  <c r="C173"/>
  <c r="B161"/>
  <c r="C159"/>
  <c r="B147"/>
  <c r="C145"/>
  <c r="B133"/>
  <c r="C131"/>
  <c r="B119"/>
  <c r="C117"/>
  <c r="B105"/>
  <c r="C103"/>
  <c r="B91"/>
  <c r="C89"/>
  <c r="B77"/>
  <c r="C75"/>
  <c r="B63"/>
  <c r="C61"/>
  <c r="B49"/>
  <c r="C47"/>
  <c r="B35"/>
  <c r="C33"/>
  <c r="B21"/>
  <c r="C19"/>
  <c r="B7"/>
  <c r="N6" i="18"/>
  <c r="O6"/>
  <c r="P6"/>
  <c r="Q6"/>
  <c r="D827" i="7941"/>
  <c r="D826"/>
  <c r="D825"/>
  <c r="D824"/>
  <c r="D823"/>
  <c r="D822"/>
  <c r="D821"/>
  <c r="D820"/>
  <c r="D819"/>
  <c r="D818"/>
  <c r="D817"/>
  <c r="D816"/>
  <c r="D815"/>
  <c r="D814"/>
  <c r="D813"/>
  <c r="D812"/>
  <c r="D811"/>
  <c r="D810"/>
  <c r="D809"/>
  <c r="D808"/>
  <c r="D750"/>
  <c r="D749"/>
  <c r="D748"/>
  <c r="D747"/>
  <c r="D746"/>
  <c r="D745"/>
  <c r="D744"/>
  <c r="D743"/>
  <c r="D742"/>
  <c r="D741"/>
  <c r="D740"/>
  <c r="D739"/>
  <c r="D738"/>
  <c r="D737"/>
  <c r="D736"/>
  <c r="D735"/>
  <c r="D734"/>
  <c r="D733"/>
  <c r="D732"/>
  <c r="D731"/>
  <c r="D718"/>
  <c r="D717"/>
  <c r="D716"/>
  <c r="D715"/>
  <c r="D714"/>
  <c r="D713"/>
  <c r="D712"/>
  <c r="D711"/>
  <c r="D710"/>
  <c r="D709"/>
  <c r="D708"/>
  <c r="D707"/>
  <c r="D706"/>
  <c r="D705"/>
  <c r="D704"/>
  <c r="D703"/>
  <c r="D702"/>
  <c r="D701"/>
  <c r="D700"/>
  <c r="D699"/>
  <c r="D686"/>
  <c r="D685"/>
  <c r="D684"/>
  <c r="D683"/>
  <c r="D682"/>
  <c r="D681"/>
  <c r="D680"/>
  <c r="D679"/>
  <c r="D678"/>
  <c r="D677"/>
  <c r="D676"/>
  <c r="D675"/>
  <c r="D674"/>
  <c r="D673"/>
  <c r="D672"/>
  <c r="D671"/>
  <c r="D670"/>
  <c r="D669"/>
  <c r="D668"/>
  <c r="D667"/>
  <c r="D620"/>
  <c r="D619"/>
  <c r="D618"/>
  <c r="D617"/>
  <c r="D616"/>
  <c r="D615"/>
  <c r="D614"/>
  <c r="D613"/>
  <c r="D612"/>
  <c r="D611"/>
  <c r="D610"/>
  <c r="D609"/>
  <c r="D608"/>
  <c r="D607"/>
  <c r="D606"/>
  <c r="D605"/>
  <c r="D604"/>
  <c r="D603"/>
  <c r="D602"/>
  <c r="D601"/>
  <c r="D588"/>
  <c r="D587"/>
  <c r="D586"/>
  <c r="D585"/>
  <c r="D584"/>
  <c r="D583"/>
  <c r="D582"/>
  <c r="D581"/>
  <c r="D580"/>
  <c r="D579"/>
  <c r="D578"/>
  <c r="D577"/>
  <c r="D576"/>
  <c r="D575"/>
  <c r="D574"/>
  <c r="D573"/>
  <c r="D572"/>
  <c r="D571"/>
  <c r="D570"/>
  <c r="D569"/>
  <c r="D556"/>
  <c r="D555"/>
  <c r="D554"/>
  <c r="D553"/>
  <c r="D552"/>
  <c r="D551"/>
  <c r="D550"/>
  <c r="D549"/>
  <c r="D548"/>
  <c r="D547"/>
  <c r="D546"/>
  <c r="D545"/>
  <c r="D544"/>
  <c r="D543"/>
  <c r="D542"/>
  <c r="D541"/>
  <c r="D540"/>
  <c r="D539"/>
  <c r="D538"/>
  <c r="D537"/>
  <c r="D524"/>
  <c r="D523"/>
  <c r="D522"/>
  <c r="D521"/>
  <c r="D520"/>
  <c r="D519"/>
  <c r="D518"/>
  <c r="D517"/>
  <c r="D516"/>
  <c r="D515"/>
  <c r="D514"/>
  <c r="D513"/>
  <c r="D512"/>
  <c r="D511"/>
  <c r="D510"/>
  <c r="D509"/>
  <c r="D508"/>
  <c r="D507"/>
  <c r="D506"/>
  <c r="D505"/>
  <c r="D492"/>
  <c r="D491"/>
  <c r="D490"/>
  <c r="D489"/>
  <c r="D488"/>
  <c r="D487"/>
  <c r="D486"/>
  <c r="D485"/>
  <c r="D484"/>
  <c r="D483"/>
  <c r="D482"/>
  <c r="D481"/>
  <c r="D480"/>
  <c r="D479"/>
  <c r="D478"/>
  <c r="D477"/>
  <c r="D476"/>
  <c r="D475"/>
  <c r="D474"/>
  <c r="D473"/>
  <c r="D975" i="18"/>
  <c r="D974"/>
  <c r="D973"/>
  <c r="D972"/>
  <c r="D971"/>
  <c r="D970"/>
  <c r="D969"/>
  <c r="D968"/>
  <c r="D967"/>
  <c r="D966"/>
  <c r="D965"/>
  <c r="D964"/>
  <c r="D963"/>
  <c r="D962"/>
  <c r="D961"/>
  <c r="D960"/>
  <c r="D959"/>
  <c r="D958"/>
  <c r="D957"/>
  <c r="D956"/>
  <c r="D1007"/>
  <c r="D1006"/>
  <c r="D1005"/>
  <c r="D1004"/>
  <c r="D1003"/>
  <c r="D1002"/>
  <c r="D1001"/>
  <c r="D1000"/>
  <c r="D999"/>
  <c r="D998"/>
  <c r="D997"/>
  <c r="D996"/>
  <c r="D995"/>
  <c r="D994"/>
  <c r="D993"/>
  <c r="D992"/>
  <c r="D991"/>
  <c r="D990"/>
  <c r="D989"/>
  <c r="D988"/>
  <c r="D909"/>
  <c r="D908"/>
  <c r="D907"/>
  <c r="D906"/>
  <c r="D905"/>
  <c r="D904"/>
  <c r="D903"/>
  <c r="D902"/>
  <c r="D901"/>
  <c r="D900"/>
  <c r="D899"/>
  <c r="D898"/>
  <c r="D897"/>
  <c r="D896"/>
  <c r="D895"/>
  <c r="D894"/>
  <c r="D893"/>
  <c r="D892"/>
  <c r="D891"/>
  <c r="D890"/>
  <c r="D877"/>
  <c r="D876"/>
  <c r="D875"/>
  <c r="D874"/>
  <c r="D873"/>
  <c r="D872"/>
  <c r="D871"/>
  <c r="D870"/>
  <c r="D869"/>
  <c r="D868"/>
  <c r="D867"/>
  <c r="D866"/>
  <c r="D865"/>
  <c r="D864"/>
  <c r="D863"/>
  <c r="D862"/>
  <c r="D861"/>
  <c r="D860"/>
  <c r="D859"/>
  <c r="D858"/>
  <c r="D845"/>
  <c r="D844"/>
  <c r="D843"/>
  <c r="D842"/>
  <c r="D841"/>
  <c r="D840"/>
  <c r="D839"/>
  <c r="D838"/>
  <c r="D837"/>
  <c r="D836"/>
  <c r="D835"/>
  <c r="D834"/>
  <c r="D833"/>
  <c r="D832"/>
  <c r="D831"/>
  <c r="D830"/>
  <c r="D829"/>
  <c r="D828"/>
  <c r="D827"/>
  <c r="D826"/>
  <c r="D813"/>
  <c r="D812"/>
  <c r="D811"/>
  <c r="D810"/>
  <c r="D809"/>
  <c r="D808"/>
  <c r="D807"/>
  <c r="D806"/>
  <c r="D805"/>
  <c r="D804"/>
  <c r="D803"/>
  <c r="D802"/>
  <c r="D801"/>
  <c r="D800"/>
  <c r="D799"/>
  <c r="D798"/>
  <c r="D797"/>
  <c r="D796"/>
  <c r="D795"/>
  <c r="D794"/>
  <c r="D781"/>
  <c r="D780"/>
  <c r="D779"/>
  <c r="D778"/>
  <c r="D777"/>
  <c r="D776"/>
  <c r="D775"/>
  <c r="D774"/>
  <c r="D773"/>
  <c r="D772"/>
  <c r="D771"/>
  <c r="D770"/>
  <c r="D769"/>
  <c r="D768"/>
  <c r="D767"/>
  <c r="D766"/>
  <c r="D765"/>
  <c r="D764"/>
  <c r="D763"/>
  <c r="D762"/>
  <c r="D63"/>
  <c r="D62"/>
  <c r="D61"/>
  <c r="D60"/>
  <c r="D59"/>
  <c r="D58"/>
  <c r="D57"/>
  <c r="D56"/>
  <c r="D55"/>
  <c r="D54"/>
  <c r="D53"/>
  <c r="D52"/>
  <c r="D51"/>
  <c r="D50"/>
  <c r="D49"/>
  <c r="D48"/>
  <c r="D47"/>
  <c r="D46"/>
  <c r="D45"/>
  <c r="D44"/>
  <c r="N291"/>
  <c r="O291"/>
  <c r="P291"/>
  <c r="Q291"/>
  <c r="N290"/>
  <c r="O290"/>
  <c r="P290"/>
  <c r="Q290"/>
  <c r="H4" i="7944"/>
  <c r="E5" i="7945"/>
  <c r="B189" i="7944"/>
  <c r="B176"/>
  <c r="B202"/>
  <c r="B215"/>
  <c r="B228"/>
  <c r="B241"/>
  <c r="B254"/>
  <c r="B267"/>
  <c r="B280"/>
  <c r="B293"/>
  <c r="B306"/>
  <c r="B319"/>
  <c r="B163"/>
  <c r="B150"/>
  <c r="B137"/>
  <c r="B124"/>
  <c r="B111"/>
  <c r="B98"/>
  <c r="B85"/>
  <c r="B72"/>
  <c r="C323" i="18"/>
  <c r="C310"/>
  <c r="C297"/>
  <c r="C284"/>
  <c r="C271"/>
  <c r="C258"/>
  <c r="C245"/>
  <c r="C232"/>
  <c r="C219"/>
  <c r="C206"/>
  <c r="C193"/>
  <c r="C180"/>
  <c r="C154"/>
  <c r="C141"/>
  <c r="C128"/>
  <c r="C115"/>
  <c r="C102"/>
  <c r="C89"/>
  <c r="C76"/>
  <c r="F107" i="1"/>
  <c r="F209"/>
  <c r="H176"/>
  <c r="I250"/>
  <c r="J250"/>
  <c r="K250"/>
  <c r="L250"/>
  <c r="M250"/>
  <c r="N250"/>
  <c r="O250"/>
  <c r="P250"/>
  <c r="Q250"/>
  <c r="P332" i="18"/>
  <c r="Q332"/>
  <c r="O331"/>
  <c r="P331"/>
  <c r="Q331"/>
  <c r="N330"/>
  <c r="O330"/>
  <c r="P330"/>
  <c r="Q330"/>
  <c r="N329"/>
  <c r="O329"/>
  <c r="P329"/>
  <c r="Q329"/>
  <c r="N328"/>
  <c r="O328"/>
  <c r="P328"/>
  <c r="Q328"/>
  <c r="N327"/>
  <c r="O327"/>
  <c r="P327"/>
  <c r="Q327"/>
  <c r="N326"/>
  <c r="O326"/>
  <c r="P326"/>
  <c r="Q326"/>
  <c r="N325"/>
  <c r="O325"/>
  <c r="P325"/>
  <c r="Q325"/>
  <c r="Q333"/>
  <c r="P319"/>
  <c r="Q319"/>
  <c r="O318"/>
  <c r="P318"/>
  <c r="Q318"/>
  <c r="N317"/>
  <c r="O317"/>
  <c r="P317"/>
  <c r="Q317"/>
  <c r="N316"/>
  <c r="O316"/>
  <c r="P316"/>
  <c r="Q316"/>
  <c r="N315"/>
  <c r="O315"/>
  <c r="P315"/>
  <c r="Q315"/>
  <c r="N314"/>
  <c r="O314"/>
  <c r="P314"/>
  <c r="Q314"/>
  <c r="N313"/>
  <c r="O313"/>
  <c r="P313"/>
  <c r="Q313"/>
  <c r="N312"/>
  <c r="O312"/>
  <c r="P312"/>
  <c r="Q312"/>
  <c r="Q320"/>
  <c r="P306"/>
  <c r="Q306"/>
  <c r="O305"/>
  <c r="P305"/>
  <c r="Q305"/>
  <c r="N304"/>
  <c r="O304"/>
  <c r="P304"/>
  <c r="Q304"/>
  <c r="N303"/>
  <c r="O303"/>
  <c r="P303"/>
  <c r="Q303"/>
  <c r="N302"/>
  <c r="O302"/>
  <c r="P302"/>
  <c r="Q302"/>
  <c r="N301"/>
  <c r="O301"/>
  <c r="P301"/>
  <c r="Q301"/>
  <c r="N300"/>
  <c r="O300"/>
  <c r="P300"/>
  <c r="Q300"/>
  <c r="N299"/>
  <c r="O299"/>
  <c r="P299"/>
  <c r="Q299"/>
  <c r="Q307"/>
  <c r="P293"/>
  <c r="Q293"/>
  <c r="O292"/>
  <c r="P292"/>
  <c r="Q292"/>
  <c r="N289"/>
  <c r="O289"/>
  <c r="P289"/>
  <c r="Q289"/>
  <c r="N288"/>
  <c r="O288"/>
  <c r="P288"/>
  <c r="Q288"/>
  <c r="N287"/>
  <c r="O287"/>
  <c r="P287"/>
  <c r="Q287"/>
  <c r="N286"/>
  <c r="O286"/>
  <c r="P286"/>
  <c r="Q286"/>
  <c r="Q294"/>
  <c r="P280"/>
  <c r="Q280"/>
  <c r="O279"/>
  <c r="P279"/>
  <c r="Q279"/>
  <c r="N278"/>
  <c r="O278"/>
  <c r="P278"/>
  <c r="Q278"/>
  <c r="N277"/>
  <c r="O277"/>
  <c r="P277"/>
  <c r="Q277"/>
  <c r="N276"/>
  <c r="O276"/>
  <c r="P276"/>
  <c r="Q276"/>
  <c r="N275"/>
  <c r="O275"/>
  <c r="P275"/>
  <c r="Q275"/>
  <c r="N274"/>
  <c r="O274"/>
  <c r="P274"/>
  <c r="Q274"/>
  <c r="N273"/>
  <c r="O273"/>
  <c r="P273"/>
  <c r="Q273"/>
  <c r="Q281"/>
  <c r="P267"/>
  <c r="Q267"/>
  <c r="O266"/>
  <c r="P266"/>
  <c r="Q266"/>
  <c r="N265"/>
  <c r="O265"/>
  <c r="P265"/>
  <c r="Q265"/>
  <c r="N264"/>
  <c r="O264"/>
  <c r="P264"/>
  <c r="Q264"/>
  <c r="N263"/>
  <c r="O263"/>
  <c r="P263"/>
  <c r="Q263"/>
  <c r="N262"/>
  <c r="O262"/>
  <c r="P262"/>
  <c r="Q262"/>
  <c r="N261"/>
  <c r="O261"/>
  <c r="P261"/>
  <c r="Q261"/>
  <c r="N260"/>
  <c r="O260"/>
  <c r="P260"/>
  <c r="Q260"/>
  <c r="Q268"/>
  <c r="P254"/>
  <c r="Q254"/>
  <c r="O253"/>
  <c r="P253"/>
  <c r="Q253"/>
  <c r="N251"/>
  <c r="O251"/>
  <c r="P251"/>
  <c r="Q251"/>
  <c r="N250"/>
  <c r="O250"/>
  <c r="P250"/>
  <c r="Q250"/>
  <c r="N249"/>
  <c r="O249"/>
  <c r="P249"/>
  <c r="Q249"/>
  <c r="N248"/>
  <c r="O248"/>
  <c r="P248"/>
  <c r="Q248"/>
  <c r="N247"/>
  <c r="O247"/>
  <c r="P247"/>
  <c r="Q247"/>
  <c r="Q255"/>
  <c r="P241"/>
  <c r="Q241"/>
  <c r="O240"/>
  <c r="P240"/>
  <c r="Q240"/>
  <c r="N239"/>
  <c r="O239"/>
  <c r="P239"/>
  <c r="Q239"/>
  <c r="N238"/>
  <c r="O238"/>
  <c r="P238"/>
  <c r="Q238"/>
  <c r="N237"/>
  <c r="O237"/>
  <c r="P237"/>
  <c r="Q237"/>
  <c r="N236"/>
  <c r="O236"/>
  <c r="P236"/>
  <c r="Q236"/>
  <c r="N235"/>
  <c r="O235"/>
  <c r="P235"/>
  <c r="Q235"/>
  <c r="N234"/>
  <c r="O234"/>
  <c r="P234"/>
  <c r="Q234"/>
  <c r="Q242"/>
  <c r="P176"/>
  <c r="O175"/>
  <c r="Q175"/>
  <c r="O174"/>
  <c r="Q174"/>
  <c r="O173"/>
  <c r="Q173"/>
  <c r="O172"/>
  <c r="Q172"/>
  <c r="O171"/>
  <c r="Q171"/>
  <c r="O170"/>
  <c r="Q170"/>
  <c r="O169"/>
  <c r="Q169"/>
  <c r="H248" i="1"/>
  <c r="I247"/>
  <c r="J247"/>
  <c r="K247"/>
  <c r="L247"/>
  <c r="M247"/>
  <c r="N247"/>
  <c r="O247"/>
  <c r="P247"/>
  <c r="Q247"/>
  <c r="C331" i="7944"/>
  <c r="C318"/>
  <c r="C305"/>
  <c r="C292"/>
  <c r="C279"/>
  <c r="C266"/>
  <c r="C253"/>
  <c r="C240"/>
  <c r="C227"/>
  <c r="C214"/>
  <c r="C201"/>
  <c r="C188"/>
  <c r="C175"/>
  <c r="C162"/>
  <c r="C149"/>
  <c r="C136"/>
  <c r="C123"/>
  <c r="C110"/>
  <c r="C97"/>
  <c r="C84"/>
  <c r="C59"/>
  <c r="C58"/>
  <c r="C57"/>
  <c r="C56"/>
  <c r="C55"/>
  <c r="C54"/>
  <c r="C53"/>
  <c r="C52"/>
  <c r="C51"/>
  <c r="C50"/>
  <c r="C49"/>
  <c r="C48"/>
  <c r="C47"/>
  <c r="C46"/>
  <c r="C45"/>
  <c r="C44"/>
  <c r="C43"/>
  <c r="C42"/>
  <c r="C41"/>
  <c r="C40"/>
  <c r="C27"/>
  <c r="C26"/>
  <c r="C25"/>
  <c r="C24"/>
  <c r="C23"/>
  <c r="C22"/>
  <c r="C21"/>
  <c r="C20"/>
  <c r="C19"/>
  <c r="C18"/>
  <c r="C17"/>
  <c r="C16"/>
  <c r="C15"/>
  <c r="C14"/>
  <c r="C13"/>
  <c r="C12"/>
  <c r="C11"/>
  <c r="C10"/>
  <c r="C9"/>
  <c r="C8"/>
  <c r="G7" i="18"/>
  <c r="P7" i="7942"/>
  <c r="D155" i="7941"/>
  <c r="D154"/>
  <c r="D153"/>
  <c r="D152"/>
  <c r="D151"/>
  <c r="D150"/>
  <c r="D149"/>
  <c r="D148"/>
  <c r="D147"/>
  <c r="D146"/>
  <c r="D145"/>
  <c r="D144"/>
  <c r="D143"/>
  <c r="D142"/>
  <c r="D141"/>
  <c r="D140"/>
  <c r="D139"/>
  <c r="D138"/>
  <c r="D137"/>
  <c r="D136"/>
  <c r="D617" i="18"/>
  <c r="D616"/>
  <c r="D615"/>
  <c r="D614"/>
  <c r="D613"/>
  <c r="D612"/>
  <c r="D611"/>
  <c r="D610"/>
  <c r="D609"/>
  <c r="D608"/>
  <c r="D607"/>
  <c r="D606"/>
  <c r="D605"/>
  <c r="D604"/>
  <c r="D603"/>
  <c r="D602"/>
  <c r="D601"/>
  <c r="D600"/>
  <c r="D599"/>
  <c r="D598"/>
  <c r="C593" i="7942"/>
  <c r="C592"/>
  <c r="C591"/>
  <c r="C590"/>
  <c r="C589"/>
  <c r="C588"/>
  <c r="C587"/>
  <c r="C586"/>
  <c r="C585"/>
  <c r="C584"/>
  <c r="C583"/>
  <c r="C582"/>
  <c r="C581"/>
  <c r="C580"/>
  <c r="C579"/>
  <c r="C578"/>
  <c r="C577"/>
  <c r="C576"/>
  <c r="C575"/>
  <c r="C574"/>
  <c r="C606"/>
  <c r="C607"/>
  <c r="C608"/>
  <c r="C609"/>
  <c r="C610"/>
  <c r="C611"/>
  <c r="C612"/>
  <c r="C613"/>
  <c r="C614"/>
  <c r="C615"/>
  <c r="C616"/>
  <c r="C617"/>
  <c r="C618"/>
  <c r="C619"/>
  <c r="C620"/>
  <c r="C621"/>
  <c r="C622"/>
  <c r="C623"/>
  <c r="C624"/>
  <c r="D187" i="7941"/>
  <c r="D186"/>
  <c r="D185"/>
  <c r="D184"/>
  <c r="D183"/>
  <c r="D182"/>
  <c r="D181"/>
  <c r="D180"/>
  <c r="D179"/>
  <c r="D178"/>
  <c r="D177"/>
  <c r="D176"/>
  <c r="D175"/>
  <c r="D174"/>
  <c r="D173"/>
  <c r="D172"/>
  <c r="D171"/>
  <c r="D170"/>
  <c r="D169"/>
  <c r="D168"/>
  <c r="D122"/>
  <c r="D121"/>
  <c r="D120"/>
  <c r="D119"/>
  <c r="D118"/>
  <c r="D117"/>
  <c r="D116"/>
  <c r="D115"/>
  <c r="D114"/>
  <c r="D113"/>
  <c r="D112"/>
  <c r="D111"/>
  <c r="D110"/>
  <c r="D109"/>
  <c r="D108"/>
  <c r="D107"/>
  <c r="D106"/>
  <c r="D105"/>
  <c r="D104"/>
  <c r="D648" i="18"/>
  <c r="D647"/>
  <c r="D646"/>
  <c r="D645"/>
  <c r="D644"/>
  <c r="D643"/>
  <c r="D642"/>
  <c r="D641"/>
  <c r="D640"/>
  <c r="D639"/>
  <c r="D638"/>
  <c r="D637"/>
  <c r="D636"/>
  <c r="D635"/>
  <c r="D634"/>
  <c r="D633"/>
  <c r="D632"/>
  <c r="D631"/>
  <c r="D630"/>
  <c r="D382" i="7941"/>
  <c r="D381"/>
  <c r="D380"/>
  <c r="D379"/>
  <c r="D378"/>
  <c r="D377"/>
  <c r="D376"/>
  <c r="D375"/>
  <c r="D374"/>
  <c r="D373"/>
  <c r="D372"/>
  <c r="D371"/>
  <c r="D370"/>
  <c r="D369"/>
  <c r="D368"/>
  <c r="D367"/>
  <c r="D366"/>
  <c r="D365"/>
  <c r="D364"/>
  <c r="D363"/>
  <c r="D350"/>
  <c r="D349"/>
  <c r="D348"/>
  <c r="D347"/>
  <c r="D346"/>
  <c r="D345"/>
  <c r="D344"/>
  <c r="D343"/>
  <c r="D342"/>
  <c r="D341"/>
  <c r="D340"/>
  <c r="D339"/>
  <c r="D338"/>
  <c r="D337"/>
  <c r="D336"/>
  <c r="D335"/>
  <c r="D334"/>
  <c r="D333"/>
  <c r="D332"/>
  <c r="D331"/>
  <c r="C273" i="7942"/>
  <c r="C307"/>
  <c r="C305"/>
  <c r="C303"/>
  <c r="C301"/>
  <c r="C299"/>
  <c r="C297"/>
  <c r="C295"/>
  <c r="C293"/>
  <c r="C291"/>
  <c r="C289"/>
  <c r="C287"/>
  <c r="C285"/>
  <c r="C283"/>
  <c r="C281"/>
  <c r="C279"/>
  <c r="C277"/>
  <c r="C275"/>
  <c r="C271"/>
  <c r="C269"/>
  <c r="C256"/>
  <c r="C255"/>
  <c r="C254"/>
  <c r="C253"/>
  <c r="C252"/>
  <c r="C251"/>
  <c r="C250"/>
  <c r="C249"/>
  <c r="C248"/>
  <c r="C247"/>
  <c r="C246"/>
  <c r="C245"/>
  <c r="C244"/>
  <c r="C243"/>
  <c r="C242"/>
  <c r="C241"/>
  <c r="C240"/>
  <c r="C239"/>
  <c r="C238"/>
  <c r="C237"/>
  <c r="C224"/>
  <c r="C223"/>
  <c r="C222"/>
  <c r="C221"/>
  <c r="C220"/>
  <c r="C219"/>
  <c r="C218"/>
  <c r="C217"/>
  <c r="C216"/>
  <c r="C215"/>
  <c r="C214"/>
  <c r="C213"/>
  <c r="C212"/>
  <c r="C211"/>
  <c r="C210"/>
  <c r="C209"/>
  <c r="C208"/>
  <c r="C207"/>
  <c r="C206"/>
  <c r="C205"/>
  <c r="C192"/>
  <c r="C191"/>
  <c r="C190"/>
  <c r="C189"/>
  <c r="C188"/>
  <c r="C187"/>
  <c r="C186"/>
  <c r="C185"/>
  <c r="C184"/>
  <c r="C183"/>
  <c r="C182"/>
  <c r="C181"/>
  <c r="C180"/>
  <c r="C179"/>
  <c r="C178"/>
  <c r="C177"/>
  <c r="C176"/>
  <c r="C175"/>
  <c r="C174"/>
  <c r="C173"/>
  <c r="D585" i="18"/>
  <c r="D584"/>
  <c r="D583"/>
  <c r="D582"/>
  <c r="D581"/>
  <c r="D580"/>
  <c r="D579"/>
  <c r="D578"/>
  <c r="D577"/>
  <c r="D576"/>
  <c r="D575"/>
  <c r="D574"/>
  <c r="D573"/>
  <c r="D572"/>
  <c r="D571"/>
  <c r="D570"/>
  <c r="D569"/>
  <c r="D568"/>
  <c r="D567"/>
  <c r="D566"/>
  <c r="C561" i="7942"/>
  <c r="C560"/>
  <c r="C559"/>
  <c r="C558"/>
  <c r="C557"/>
  <c r="C556"/>
  <c r="C555"/>
  <c r="C554"/>
  <c r="F230" i="1"/>
  <c r="F229"/>
  <c r="F228"/>
  <c r="F227"/>
  <c r="F226"/>
  <c r="F225"/>
  <c r="F224"/>
  <c r="F223"/>
  <c r="F222"/>
  <c r="F221"/>
  <c r="F220"/>
  <c r="F219"/>
  <c r="F218"/>
  <c r="F217"/>
  <c r="F216"/>
  <c r="F215"/>
  <c r="F214"/>
  <c r="F213"/>
  <c r="F212"/>
  <c r="F211"/>
  <c r="F196"/>
  <c r="F195"/>
  <c r="F194"/>
  <c r="F193"/>
  <c r="F192"/>
  <c r="F191"/>
  <c r="F190"/>
  <c r="F189"/>
  <c r="F188"/>
  <c r="F187"/>
  <c r="F186"/>
  <c r="F185"/>
  <c r="F184"/>
  <c r="F183"/>
  <c r="F182"/>
  <c r="F181"/>
  <c r="F180"/>
  <c r="F179"/>
  <c r="F178"/>
  <c r="F177"/>
  <c r="F162"/>
  <c r="F161"/>
  <c r="F160"/>
  <c r="F159"/>
  <c r="F158"/>
  <c r="F157"/>
  <c r="F156"/>
  <c r="F155"/>
  <c r="F154"/>
  <c r="F153"/>
  <c r="F152"/>
  <c r="F151"/>
  <c r="F150"/>
  <c r="F149"/>
  <c r="F148"/>
  <c r="F147"/>
  <c r="F146"/>
  <c r="F145"/>
  <c r="F144"/>
  <c r="F143"/>
  <c r="C12" i="7942"/>
  <c r="C13"/>
  <c r="C14"/>
  <c r="C15"/>
  <c r="C16"/>
  <c r="C17"/>
  <c r="C18"/>
  <c r="C19"/>
  <c r="C20"/>
  <c r="C21"/>
  <c r="C22"/>
  <c r="C23"/>
  <c r="C24"/>
  <c r="C25"/>
  <c r="C26"/>
  <c r="C27"/>
  <c r="C28"/>
  <c r="C29"/>
  <c r="C30"/>
  <c r="C31"/>
  <c r="C44"/>
  <c r="C45"/>
  <c r="C46"/>
  <c r="C47"/>
  <c r="C48"/>
  <c r="C49"/>
  <c r="C50"/>
  <c r="C51"/>
  <c r="C52"/>
  <c r="C53"/>
  <c r="C54"/>
  <c r="C55"/>
  <c r="C56"/>
  <c r="C57"/>
  <c r="C58"/>
  <c r="C59"/>
  <c r="C60"/>
  <c r="C61"/>
  <c r="C62"/>
  <c r="C63"/>
  <c r="C76"/>
  <c r="C77"/>
  <c r="C78"/>
  <c r="C79"/>
  <c r="C80"/>
  <c r="C81"/>
  <c r="C82"/>
  <c r="C83"/>
  <c r="C84"/>
  <c r="C85"/>
  <c r="C86"/>
  <c r="C87"/>
  <c r="C88"/>
  <c r="C89"/>
  <c r="C90"/>
  <c r="C91"/>
  <c r="C92"/>
  <c r="C93"/>
  <c r="C94"/>
  <c r="C95"/>
  <c r="C108"/>
  <c r="C110"/>
  <c r="C112"/>
  <c r="C114"/>
  <c r="C116"/>
  <c r="C118"/>
  <c r="C120"/>
  <c r="C122"/>
  <c r="C124"/>
  <c r="C126"/>
  <c r="C128"/>
  <c r="C130"/>
  <c r="C132"/>
  <c r="C134"/>
  <c r="C136"/>
  <c r="C138"/>
  <c r="C140"/>
  <c r="C142"/>
  <c r="C144"/>
  <c r="C146"/>
  <c r="D458" i="7941"/>
  <c r="D457"/>
  <c r="D456"/>
  <c r="D455"/>
  <c r="D454"/>
  <c r="D453"/>
  <c r="D452"/>
  <c r="D451"/>
  <c r="D450"/>
  <c r="D449"/>
  <c r="D448"/>
  <c r="D447"/>
  <c r="D446"/>
  <c r="D445"/>
  <c r="D444"/>
  <c r="D443"/>
  <c r="D442"/>
  <c r="D441"/>
  <c r="D440"/>
  <c r="D439"/>
  <c r="D254"/>
  <c r="D253"/>
  <c r="D252"/>
  <c r="D251"/>
  <c r="D250"/>
  <c r="D249"/>
  <c r="D248"/>
  <c r="D247"/>
  <c r="D246"/>
  <c r="D245"/>
  <c r="D244"/>
  <c r="D243"/>
  <c r="D242"/>
  <c r="D241"/>
  <c r="D240"/>
  <c r="D239"/>
  <c r="D238"/>
  <c r="D237"/>
  <c r="D236"/>
  <c r="D235"/>
  <c r="H3"/>
  <c r="I3"/>
  <c r="J3"/>
  <c r="K3"/>
  <c r="L3"/>
  <c r="M3"/>
  <c r="D8"/>
  <c r="D9"/>
  <c r="D10"/>
  <c r="D11"/>
  <c r="D12"/>
  <c r="D13"/>
  <c r="D14"/>
  <c r="D15"/>
  <c r="D16"/>
  <c r="D17"/>
  <c r="D18"/>
  <c r="D19"/>
  <c r="D20"/>
  <c r="D21"/>
  <c r="D22"/>
  <c r="D23"/>
  <c r="D24"/>
  <c r="D25"/>
  <c r="D26"/>
  <c r="D27"/>
  <c r="D40"/>
  <c r="D41"/>
  <c r="D42"/>
  <c r="D43"/>
  <c r="D44"/>
  <c r="D45"/>
  <c r="D46"/>
  <c r="D47"/>
  <c r="D48"/>
  <c r="D49"/>
  <c r="D50"/>
  <c r="D51"/>
  <c r="D52"/>
  <c r="D53"/>
  <c r="D54"/>
  <c r="D55"/>
  <c r="D56"/>
  <c r="D57"/>
  <c r="D58"/>
  <c r="D59"/>
  <c r="D72"/>
  <c r="D73"/>
  <c r="D74"/>
  <c r="D75"/>
  <c r="D76"/>
  <c r="D77"/>
  <c r="D78"/>
  <c r="D79"/>
  <c r="D80"/>
  <c r="D81"/>
  <c r="D82"/>
  <c r="D83"/>
  <c r="D84"/>
  <c r="D85"/>
  <c r="D86"/>
  <c r="D87"/>
  <c r="D88"/>
  <c r="D89"/>
  <c r="D90"/>
  <c r="D91"/>
  <c r="D267"/>
  <c r="D268"/>
  <c r="D269"/>
  <c r="D270"/>
  <c r="D271"/>
  <c r="D272"/>
  <c r="D273"/>
  <c r="D274"/>
  <c r="D275"/>
  <c r="D276"/>
  <c r="D277"/>
  <c r="D278"/>
  <c r="D279"/>
  <c r="D280"/>
  <c r="D281"/>
  <c r="D282"/>
  <c r="D283"/>
  <c r="D284"/>
  <c r="D285"/>
  <c r="D286"/>
  <c r="D299"/>
  <c r="D300"/>
  <c r="D301"/>
  <c r="D302"/>
  <c r="D303"/>
  <c r="D304"/>
  <c r="D305"/>
  <c r="D306"/>
  <c r="D307"/>
  <c r="D308"/>
  <c r="D309"/>
  <c r="D310"/>
  <c r="D311"/>
  <c r="D312"/>
  <c r="D313"/>
  <c r="D314"/>
  <c r="D315"/>
  <c r="D316"/>
  <c r="D317"/>
  <c r="D318"/>
  <c r="D715" i="18"/>
  <c r="D714"/>
  <c r="D713"/>
  <c r="D712"/>
  <c r="D711"/>
  <c r="D710"/>
  <c r="D709"/>
  <c r="D708"/>
  <c r="D707"/>
  <c r="D706"/>
  <c r="D705"/>
  <c r="D704"/>
  <c r="D703"/>
  <c r="D702"/>
  <c r="D701"/>
  <c r="D700"/>
  <c r="D699"/>
  <c r="D698"/>
  <c r="D697"/>
  <c r="D696"/>
  <c r="D747"/>
  <c r="D746"/>
  <c r="D745"/>
  <c r="D744"/>
  <c r="D743"/>
  <c r="D742"/>
  <c r="D741"/>
  <c r="D740"/>
  <c r="D739"/>
  <c r="D738"/>
  <c r="D737"/>
  <c r="D736"/>
  <c r="D735"/>
  <c r="D734"/>
  <c r="D733"/>
  <c r="D732"/>
  <c r="D731"/>
  <c r="D730"/>
  <c r="D729"/>
  <c r="D728"/>
  <c r="D553"/>
  <c r="D552"/>
  <c r="D551"/>
  <c r="D550"/>
  <c r="D549"/>
  <c r="D548"/>
  <c r="D547"/>
  <c r="D546"/>
  <c r="D545"/>
  <c r="D544"/>
  <c r="D543"/>
  <c r="D542"/>
  <c r="D541"/>
  <c r="D540"/>
  <c r="D539"/>
  <c r="D538"/>
  <c r="D537"/>
  <c r="D536"/>
  <c r="D535"/>
  <c r="D534"/>
  <c r="D489"/>
  <c r="D488"/>
  <c r="D487"/>
  <c r="D486"/>
  <c r="D485"/>
  <c r="D484"/>
  <c r="D483"/>
  <c r="D482"/>
  <c r="D481"/>
  <c r="D480"/>
  <c r="D479"/>
  <c r="D478"/>
  <c r="D477"/>
  <c r="D476"/>
  <c r="D475"/>
  <c r="D474"/>
  <c r="D473"/>
  <c r="D472"/>
  <c r="D471"/>
  <c r="D470"/>
  <c r="D31"/>
  <c r="D30"/>
  <c r="D29"/>
  <c r="D28"/>
  <c r="D27"/>
  <c r="D26"/>
  <c r="D25"/>
  <c r="D24"/>
  <c r="D23"/>
  <c r="D22"/>
  <c r="D21"/>
  <c r="D20"/>
  <c r="D19"/>
  <c r="D18"/>
  <c r="D17"/>
  <c r="D16"/>
  <c r="D15"/>
  <c r="D14"/>
  <c r="D13"/>
  <c r="D12"/>
  <c r="D521"/>
  <c r="D520"/>
  <c r="D519"/>
  <c r="D518"/>
  <c r="D517"/>
  <c r="D516"/>
  <c r="D515"/>
  <c r="D514"/>
  <c r="D513"/>
  <c r="D512"/>
  <c r="D511"/>
  <c r="D510"/>
  <c r="D509"/>
  <c r="D508"/>
  <c r="D507"/>
  <c r="D506"/>
  <c r="D505"/>
  <c r="D504"/>
  <c r="D503"/>
  <c r="D502"/>
  <c r="D88"/>
  <c r="D101"/>
  <c r="D114"/>
  <c r="D127"/>
  <c r="D140"/>
  <c r="D153"/>
  <c r="D166"/>
  <c r="D179"/>
  <c r="D192"/>
  <c r="D205"/>
  <c r="D218"/>
  <c r="D231"/>
  <c r="D244"/>
  <c r="D257"/>
  <c r="D270"/>
  <c r="D283"/>
  <c r="F109" i="1"/>
  <c r="F110"/>
  <c r="F111"/>
  <c r="F112"/>
  <c r="F113"/>
  <c r="F114"/>
  <c r="F115"/>
  <c r="F116"/>
  <c r="F117"/>
  <c r="F118"/>
  <c r="F119"/>
  <c r="F120"/>
  <c r="F121"/>
  <c r="F122"/>
  <c r="F123"/>
  <c r="F124"/>
  <c r="F125"/>
  <c r="F126"/>
  <c r="F127"/>
  <c r="F128"/>
  <c r="F94"/>
  <c r="F93"/>
  <c r="F92"/>
  <c r="F91"/>
  <c r="F90"/>
  <c r="F89"/>
  <c r="F88"/>
  <c r="F87"/>
  <c r="F86"/>
  <c r="F85"/>
  <c r="F84"/>
  <c r="F83"/>
  <c r="F82"/>
  <c r="F81"/>
  <c r="F80"/>
  <c r="F79"/>
  <c r="F78"/>
  <c r="F77"/>
  <c r="F76"/>
  <c r="F75"/>
  <c r="F59"/>
  <c r="F58"/>
  <c r="F57"/>
  <c r="F56"/>
  <c r="F55"/>
  <c r="F54"/>
  <c r="F53"/>
  <c r="F52"/>
  <c r="F51"/>
  <c r="F50"/>
  <c r="F49"/>
  <c r="F48"/>
  <c r="F47"/>
  <c r="F46"/>
  <c r="F45"/>
  <c r="F44"/>
  <c r="F43"/>
  <c r="F42"/>
  <c r="F41"/>
  <c r="D335" i="18"/>
  <c r="D322"/>
  <c r="D309"/>
  <c r="D296"/>
  <c r="H4" i="7941"/>
  <c r="H4" i="18"/>
  <c r="H74" i="1"/>
  <c r="H142"/>
  <c r="H210"/>
  <c r="H4" i="7942"/>
  <c r="H108" i="1"/>
  <c r="H244"/>
  <c r="G40"/>
  <c r="G4" i="18"/>
  <c r="C9"/>
  <c r="G108" i="1"/>
  <c r="I4" i="7941"/>
  <c r="I108" i="1"/>
  <c r="I244"/>
  <c r="I4" i="7944"/>
  <c r="I142" i="1"/>
  <c r="I436" i="7944"/>
  <c r="I448"/>
  <c r="I410"/>
  <c r="I422"/>
  <c r="I384"/>
  <c r="I396"/>
  <c r="I358"/>
  <c r="I370"/>
  <c r="I332"/>
  <c r="I344"/>
  <c r="I306"/>
  <c r="I318"/>
  <c r="I280"/>
  <c r="I292"/>
  <c r="I254"/>
  <c r="I266"/>
  <c r="I449"/>
  <c r="I461"/>
  <c r="I423"/>
  <c r="I435"/>
  <c r="H423"/>
  <c r="H435"/>
  <c r="I397"/>
  <c r="I409"/>
  <c r="I371"/>
  <c r="I383"/>
  <c r="I345"/>
  <c r="I357"/>
  <c r="I319"/>
  <c r="I331"/>
  <c r="I293"/>
  <c r="I305"/>
  <c r="I267"/>
  <c r="I279"/>
  <c r="J3"/>
  <c r="H449"/>
  <c r="H397"/>
  <c r="H409"/>
  <c r="H371"/>
  <c r="H345"/>
  <c r="H357"/>
  <c r="H319"/>
  <c r="H293"/>
  <c r="H305"/>
  <c r="H267"/>
  <c r="H279"/>
  <c r="H436"/>
  <c r="H448"/>
  <c r="H410"/>
  <c r="H384"/>
  <c r="H396"/>
  <c r="H358"/>
  <c r="H370"/>
  <c r="H332"/>
  <c r="H344"/>
  <c r="I28"/>
  <c r="J28"/>
  <c r="H306"/>
  <c r="H318"/>
  <c r="H280"/>
  <c r="H292"/>
  <c r="I24"/>
  <c r="H254"/>
  <c r="P39"/>
  <c r="N39"/>
  <c r="H461"/>
  <c r="H266"/>
  <c r="H422"/>
  <c r="H331"/>
  <c r="H383"/>
  <c r="J449"/>
  <c r="J461"/>
  <c r="J423"/>
  <c r="J435"/>
  <c r="J397"/>
  <c r="J409"/>
  <c r="J371"/>
  <c r="J383"/>
  <c r="J345"/>
  <c r="J357"/>
  <c r="J319"/>
  <c r="J331"/>
  <c r="J293"/>
  <c r="J305"/>
  <c r="J267"/>
  <c r="J279"/>
  <c r="J436"/>
  <c r="J448"/>
  <c r="J410"/>
  <c r="J422"/>
  <c r="J384"/>
  <c r="J396"/>
  <c r="J358"/>
  <c r="J370"/>
  <c r="J332"/>
  <c r="J344" s="1"/>
  <c r="J306"/>
  <c r="J318"/>
  <c r="J280"/>
  <c r="J292"/>
  <c r="J254"/>
  <c r="J266"/>
  <c r="K3"/>
  <c r="K436"/>
  <c r="K448"/>
  <c r="K410"/>
  <c r="K422"/>
  <c r="K384"/>
  <c r="K396"/>
  <c r="K358"/>
  <c r="K370"/>
  <c r="K332"/>
  <c r="K344" s="1"/>
  <c r="K71" s="1"/>
  <c r="K306"/>
  <c r="K318"/>
  <c r="K280"/>
  <c r="K292"/>
  <c r="K254"/>
  <c r="K266"/>
  <c r="K449"/>
  <c r="K461"/>
  <c r="K423"/>
  <c r="K435"/>
  <c r="K397"/>
  <c r="K409"/>
  <c r="K371"/>
  <c r="K383"/>
  <c r="K345"/>
  <c r="K357"/>
  <c r="K319"/>
  <c r="K331"/>
  <c r="K293"/>
  <c r="K305"/>
  <c r="K267"/>
  <c r="K279"/>
  <c r="L3"/>
  <c r="I27"/>
  <c r="I31"/>
  <c r="J31"/>
  <c r="K31"/>
  <c r="L31"/>
  <c r="L371"/>
  <c r="L383" s="1"/>
  <c r="I34"/>
  <c r="I22"/>
  <c r="I37"/>
  <c r="L449"/>
  <c r="L423"/>
  <c r="L397"/>
  <c r="L345"/>
  <c r="L319"/>
  <c r="L293"/>
  <c r="L267"/>
  <c r="L436"/>
  <c r="L410"/>
  <c r="L384"/>
  <c r="L358"/>
  <c r="L332"/>
  <c r="L344" s="1"/>
  <c r="L71" s="1"/>
  <c r="L306"/>
  <c r="L280"/>
  <c r="L292"/>
  <c r="L254"/>
  <c r="M3"/>
  <c r="M436"/>
  <c r="M423"/>
  <c r="M410"/>
  <c r="M345"/>
  <c r="N3"/>
  <c r="M449"/>
  <c r="M397"/>
  <c r="M384"/>
  <c r="J344" i="7945"/>
  <c r="M371" i="7944"/>
  <c r="M358"/>
  <c r="M332"/>
  <c r="M254"/>
  <c r="M306"/>
  <c r="M319"/>
  <c r="M280"/>
  <c r="J232" i="7945"/>
  <c r="M293" i="7944"/>
  <c r="M267"/>
  <c r="J218" i="7945"/>
  <c r="J288"/>
  <c r="L396" i="7944"/>
  <c r="L448"/>
  <c r="J400" i="7945"/>
  <c r="L305" i="7944"/>
  <c r="J246" i="7945"/>
  <c r="L357" i="7944"/>
  <c r="J302" i="7945"/>
  <c r="L409" i="7944"/>
  <c r="J358" i="7945"/>
  <c r="L461" i="7944"/>
  <c r="J414" i="7945"/>
  <c r="L318" i="7944"/>
  <c r="L266"/>
  <c r="J204" i="7945"/>
  <c r="J260"/>
  <c r="L370" i="7944"/>
  <c r="J316" i="7945"/>
  <c r="L422" i="7944"/>
  <c r="J372" i="7945"/>
  <c r="L279" i="7944"/>
  <c r="L331"/>
  <c r="J274" i="7945"/>
  <c r="J330"/>
  <c r="L435" i="7944"/>
  <c r="J386" i="7945"/>
  <c r="N449" i="7944"/>
  <c r="N397"/>
  <c r="N384"/>
  <c r="N371"/>
  <c r="N358"/>
  <c r="N332"/>
  <c r="N436"/>
  <c r="N423"/>
  <c r="N410"/>
  <c r="N345"/>
  <c r="O3"/>
  <c r="N88"/>
  <c r="N77"/>
  <c r="N72"/>
  <c r="N98"/>
  <c r="N150"/>
  <c r="N202"/>
  <c r="N254"/>
  <c r="N306"/>
  <c r="N293"/>
  <c r="N163"/>
  <c r="N267"/>
  <c r="N87"/>
  <c r="N76"/>
  <c r="N74"/>
  <c r="N85"/>
  <c r="N124"/>
  <c r="N176"/>
  <c r="N228"/>
  <c r="N280"/>
  <c r="N137"/>
  <c r="N241"/>
  <c r="N111"/>
  <c r="N319"/>
  <c r="O423"/>
  <c r="O345"/>
  <c r="O449"/>
  <c r="O384"/>
  <c r="O358"/>
  <c r="O92"/>
  <c r="O79"/>
  <c r="O74"/>
  <c r="O85"/>
  <c r="O254"/>
  <c r="O241"/>
  <c r="O80"/>
  <c r="O124"/>
  <c r="O72"/>
  <c r="O280"/>
  <c r="O267"/>
  <c r="O39"/>
  <c r="J331" i="7945"/>
  <c r="J247"/>
  <c r="J219"/>
  <c r="G74" i="1"/>
  <c r="I36" i="7944"/>
  <c r="J36"/>
  <c r="I33"/>
  <c r="G244" i="1"/>
  <c r="O436" i="7944"/>
  <c r="O410"/>
  <c r="P3"/>
  <c r="O397"/>
  <c r="O371"/>
  <c r="O332"/>
  <c r="O87"/>
  <c r="O163"/>
  <c r="O293"/>
  <c r="O319"/>
  <c r="O137"/>
  <c r="O98"/>
  <c r="O93"/>
  <c r="O306"/>
  <c r="O228"/>
  <c r="O150"/>
  <c r="O111"/>
  <c r="G176" i="1"/>
  <c r="G4" i="7942"/>
  <c r="F4"/>
  <c r="G210" i="1"/>
  <c r="G142"/>
  <c r="G4" i="7941"/>
  <c r="I4" i="18"/>
  <c r="I4" i="7942"/>
  <c r="I176" i="1"/>
  <c r="J40"/>
  <c r="I74"/>
  <c r="I210"/>
  <c r="Q39" i="7944"/>
  <c r="J210" i="1"/>
  <c r="J4" i="18"/>
  <c r="J142" i="1"/>
  <c r="J74"/>
  <c r="J176"/>
  <c r="J4" i="7942"/>
  <c r="J4" i="7944"/>
  <c r="J108" i="1"/>
  <c r="K40"/>
  <c r="J244"/>
  <c r="J4" i="7941"/>
  <c r="P397" i="7944"/>
  <c r="P371"/>
  <c r="P436"/>
  <c r="P410"/>
  <c r="P332"/>
  <c r="P93"/>
  <c r="P88"/>
  <c r="P81"/>
  <c r="P77"/>
  <c r="P306"/>
  <c r="P228"/>
  <c r="P319"/>
  <c r="P87"/>
  <c r="P74"/>
  <c r="P124"/>
  <c r="P111"/>
  <c r="P267"/>
  <c r="P293"/>
  <c r="P241"/>
  <c r="P384"/>
  <c r="P423"/>
  <c r="Q3"/>
  <c r="P94"/>
  <c r="P75"/>
  <c r="P163"/>
  <c r="P89"/>
  <c r="P85"/>
  <c r="P254"/>
  <c r="P137"/>
  <c r="P449"/>
  <c r="P358"/>
  <c r="P345"/>
  <c r="P90"/>
  <c r="P150"/>
  <c r="P92"/>
  <c r="P80"/>
  <c r="P280"/>
  <c r="P98"/>
  <c r="P72"/>
  <c r="E414" i="7945"/>
  <c r="E274"/>
  <c r="E218"/>
  <c r="E232"/>
  <c r="Q436" i="7944"/>
  <c r="Q410"/>
  <c r="Q371"/>
  <c r="Q319"/>
  <c r="Q397"/>
  <c r="Q332"/>
  <c r="Q80"/>
  <c r="Q98"/>
  <c r="Q228"/>
  <c r="Q94"/>
  <c r="Q95"/>
  <c r="Q85"/>
  <c r="Q163"/>
  <c r="Q254"/>
  <c r="Q150"/>
  <c r="Q137"/>
  <c r="Q384"/>
  <c r="Q449"/>
  <c r="Q82"/>
  <c r="Q74"/>
  <c r="Q111"/>
  <c r="Q77"/>
  <c r="Q72"/>
  <c r="Q124"/>
  <c r="Q241"/>
  <c r="Q306"/>
  <c r="Q345"/>
  <c r="Q89"/>
  <c r="Q267"/>
  <c r="Q81"/>
  <c r="R3"/>
  <c r="Q280"/>
  <c r="Q423"/>
  <c r="Q358"/>
  <c r="Q93"/>
  <c r="Q293"/>
  <c r="E330" i="7945"/>
  <c r="E372"/>
  <c r="E288"/>
  <c r="K142" i="1"/>
  <c r="K4" i="7942"/>
  <c r="L40" i="1"/>
  <c r="K210"/>
  <c r="K4" i="18"/>
  <c r="K74" i="1"/>
  <c r="K244"/>
  <c r="K108"/>
  <c r="K4" i="7944"/>
  <c r="K176" i="1"/>
  <c r="K4" i="7941"/>
  <c r="E260" i="7945"/>
  <c r="E400"/>
  <c r="E358"/>
  <c r="E302"/>
  <c r="M40" i="1"/>
  <c r="L4" i="18"/>
  <c r="L176" i="1"/>
  <c r="L4" i="7944"/>
  <c r="L244" i="1"/>
  <c r="L4" i="7941"/>
  <c r="L142" i="1"/>
  <c r="L4" i="7942"/>
  <c r="L74" i="1"/>
  <c r="L210"/>
  <c r="L108"/>
  <c r="N3" i="18"/>
  <c r="O3"/>
  <c r="N375"/>
  <c r="N427"/>
  <c r="N349"/>
  <c r="N297"/>
  <c r="N440"/>
  <c r="N362"/>
  <c r="N310"/>
  <c r="N258"/>
  <c r="N453"/>
  <c r="N323"/>
  <c r="N336"/>
  <c r="N232"/>
  <c r="N388"/>
  <c r="N401"/>
  <c r="N271"/>
  <c r="N167"/>
  <c r="N414"/>
  <c r="N284"/>
  <c r="M210" i="1"/>
  <c r="M4" i="18"/>
  <c r="M4" i="7944"/>
  <c r="N40" i="1"/>
  <c r="N4" i="7944"/>
  <c r="Q7" i="7946"/>
  <c r="E5"/>
  <c r="M108" i="1"/>
  <c r="M4" i="7941"/>
  <c r="M4" i="7942"/>
  <c r="M244" i="1"/>
  <c r="M142"/>
  <c r="M176"/>
  <c r="M74"/>
  <c r="O375" i="18"/>
  <c r="O414"/>
  <c r="O336"/>
  <c r="O284"/>
  <c r="O232"/>
  <c r="O453"/>
  <c r="O401"/>
  <c r="O323"/>
  <c r="O271"/>
  <c r="O167"/>
  <c r="O388"/>
  <c r="O362"/>
  <c r="O258"/>
  <c r="O427"/>
  <c r="O297"/>
  <c r="P3"/>
  <c r="O440"/>
  <c r="O310"/>
  <c r="O349"/>
  <c r="N4" i="7941"/>
  <c r="N142" i="1"/>
  <c r="N210"/>
  <c r="N108"/>
  <c r="O40"/>
  <c r="N4" i="7942"/>
  <c r="N244" i="1"/>
  <c r="N176"/>
  <c r="N4" i="18"/>
  <c r="N74" i="1"/>
  <c r="P40"/>
  <c r="O210"/>
  <c r="O142"/>
  <c r="O176"/>
  <c r="O4" i="18"/>
  <c r="O108" i="1"/>
  <c r="O4" i="7941"/>
  <c r="O4" i="7944"/>
  <c r="O74" i="1"/>
  <c r="O244"/>
  <c r="O4" i="7942"/>
  <c r="P388" i="18"/>
  <c r="P453"/>
  <c r="P401"/>
  <c r="P323"/>
  <c r="P271"/>
  <c r="P167"/>
  <c r="P414"/>
  <c r="P336"/>
  <c r="P284"/>
  <c r="P232"/>
  <c r="P427"/>
  <c r="P297"/>
  <c r="P440"/>
  <c r="P310"/>
  <c r="Q3"/>
  <c r="P375"/>
  <c r="P362"/>
  <c r="P349"/>
  <c r="P258"/>
  <c r="Q375"/>
  <c r="Q414"/>
  <c r="Q336"/>
  <c r="Q284"/>
  <c r="Q232"/>
  <c r="Q453"/>
  <c r="Q401"/>
  <c r="Q323"/>
  <c r="Q271"/>
  <c r="Q167"/>
  <c r="Q388"/>
  <c r="Q440"/>
  <c r="Q362"/>
  <c r="Q310"/>
  <c r="Q258"/>
  <c r="Q427"/>
  <c r="Q349"/>
  <c r="Q297"/>
  <c r="R3"/>
  <c r="P210" i="1"/>
  <c r="P142"/>
  <c r="P4" i="7941"/>
  <c r="P176" i="1"/>
  <c r="P4" i="18"/>
  <c r="P244" i="1"/>
  <c r="P108"/>
  <c r="P74"/>
  <c r="P4" i="7944"/>
  <c r="Q40" i="1"/>
  <c r="P4" i="7942"/>
  <c r="Q244" i="1"/>
  <c r="Q108"/>
  <c r="Q142"/>
  <c r="Q4" i="7944"/>
  <c r="R4"/>
  <c r="Q4" i="18"/>
  <c r="R4"/>
  <c r="Q210" i="1"/>
  <c r="Q74"/>
  <c r="Q4" i="7941"/>
  <c r="Q176" i="1"/>
  <c r="Q4" i="7942"/>
  <c r="J415" i="7945"/>
  <c r="J401"/>
  <c r="J387"/>
  <c r="J289"/>
  <c r="J275"/>
  <c r="J261"/>
  <c r="J222"/>
  <c r="J317"/>
  <c r="J390"/>
  <c r="J418"/>
  <c r="J264"/>
  <c r="J403"/>
  <c r="J375"/>
  <c r="J347"/>
  <c r="J319"/>
  <c r="J291"/>
  <c r="J359"/>
  <c r="J345"/>
  <c r="J404"/>
  <c r="J362"/>
  <c r="J292"/>
  <c r="J250"/>
  <c r="J263"/>
  <c r="J235"/>
  <c r="J207"/>
  <c r="J416"/>
  <c r="J388"/>
  <c r="J360"/>
  <c r="J332"/>
  <c r="J304"/>
  <c r="J276"/>
  <c r="J220"/>
  <c r="J373"/>
  <c r="J303"/>
  <c r="E386"/>
  <c r="E246"/>
  <c r="E316"/>
  <c r="G71" i="1"/>
  <c r="E204" i="7945"/>
  <c r="E344"/>
  <c r="J278"/>
  <c r="J374"/>
  <c r="J318"/>
  <c r="J262"/>
  <c r="J206"/>
  <c r="J363"/>
  <c r="J349"/>
  <c r="J251"/>
  <c r="J237"/>
  <c r="J306"/>
  <c r="J377"/>
  <c r="J321"/>
  <c r="J265"/>
  <c r="J209"/>
  <c r="J221"/>
  <c r="J249"/>
  <c r="J277"/>
  <c r="J305"/>
  <c r="J333"/>
  <c r="J361"/>
  <c r="J389"/>
  <c r="J417"/>
  <c r="G199" i="7941"/>
  <c r="M331" i="7944"/>
  <c r="G355" i="7942"/>
  <c r="I32" i="7944"/>
  <c r="J32"/>
  <c r="K32"/>
  <c r="M396"/>
  <c r="I23"/>
  <c r="J23"/>
  <c r="M279"/>
  <c r="J34"/>
  <c r="I26"/>
  <c r="J26"/>
  <c r="K26"/>
  <c r="L26"/>
  <c r="M26"/>
  <c r="I30"/>
  <c r="J30"/>
  <c r="I25"/>
  <c r="J25"/>
  <c r="K25"/>
  <c r="L25"/>
  <c r="I29"/>
  <c r="J29"/>
  <c r="I35"/>
  <c r="J37"/>
  <c r="K37"/>
  <c r="J402" i="7945"/>
  <c r="J290"/>
  <c r="J234"/>
  <c r="J376"/>
  <c r="J35" i="7944"/>
  <c r="K35"/>
  <c r="J334" i="7945"/>
  <c r="J405"/>
  <c r="J391"/>
  <c r="G218" i="1"/>
  <c r="J346" i="7945"/>
  <c r="J419"/>
  <c r="J307"/>
  <c r="K36" i="7944"/>
  <c r="I248" i="1"/>
  <c r="J248"/>
  <c r="K248"/>
  <c r="L248"/>
  <c r="M248"/>
  <c r="N248"/>
  <c r="O248"/>
  <c r="P248"/>
  <c r="Q248"/>
  <c r="G211"/>
  <c r="G224"/>
  <c r="G216"/>
  <c r="G221"/>
  <c r="G213"/>
  <c r="G541" i="7942"/>
  <c r="G223" i="1"/>
  <c r="G215"/>
  <c r="N245" i="18"/>
  <c r="O245"/>
  <c r="P245"/>
  <c r="Q245"/>
  <c r="F190" i="7945"/>
  <c r="F109"/>
  <c r="F111"/>
  <c r="F113"/>
  <c r="F115"/>
  <c r="F107"/>
  <c r="Q176" i="18"/>
  <c r="P175"/>
  <c r="N174"/>
  <c r="P174"/>
  <c r="N173"/>
  <c r="P173"/>
  <c r="N172"/>
  <c r="P172"/>
  <c r="N171"/>
  <c r="P171"/>
  <c r="N170"/>
  <c r="P170"/>
  <c r="N169"/>
  <c r="P169"/>
  <c r="Q177"/>
  <c r="L37" i="7944"/>
  <c r="M37"/>
  <c r="T37" i="1"/>
  <c r="G204" i="7942"/>
  <c r="I244" i="18"/>
  <c r="K244"/>
  <c r="H244"/>
  <c r="L244"/>
  <c r="O176" i="7944"/>
  <c r="P176"/>
  <c r="Q176"/>
  <c r="H179" i="18"/>
  <c r="H257"/>
  <c r="J257"/>
  <c r="L257"/>
  <c r="I257"/>
  <c r="K257"/>
  <c r="H299" i="7942"/>
  <c r="H315"/>
  <c r="H428"/>
  <c r="H305"/>
  <c r="H321"/>
  <c r="H434"/>
  <c r="G728" i="18"/>
  <c r="G696"/>
  <c r="J24" i="7944"/>
  <c r="K24"/>
  <c r="L24"/>
  <c r="M24"/>
  <c r="J335" i="7945"/>
  <c r="G741" i="18"/>
  <c r="G709"/>
  <c r="G740"/>
  <c r="G708"/>
  <c r="G738"/>
  <c r="G706"/>
  <c r="G997"/>
  <c r="G965"/>
  <c r="G736"/>
  <c r="G704"/>
  <c r="G730"/>
  <c r="G698"/>
  <c r="K29" i="7944"/>
  <c r="L29"/>
  <c r="M29"/>
  <c r="M25"/>
  <c r="K23"/>
  <c r="L23"/>
  <c r="G509" i="7942"/>
  <c r="G241" i="7941"/>
  <c r="N182" i="7944"/>
  <c r="O221"/>
  <c r="N221"/>
  <c r="N195"/>
  <c r="O195"/>
  <c r="O208"/>
  <c r="N208"/>
  <c r="O156"/>
  <c r="Q156"/>
  <c r="N156"/>
  <c r="P156"/>
  <c r="N143"/>
  <c r="P143"/>
  <c r="O143"/>
  <c r="Q143"/>
  <c r="O130"/>
  <c r="Q130"/>
  <c r="N130"/>
  <c r="P130"/>
  <c r="N117"/>
  <c r="P117"/>
  <c r="O117"/>
  <c r="Q117"/>
  <c r="O104"/>
  <c r="N104"/>
  <c r="N91"/>
  <c r="P91"/>
  <c r="N78"/>
  <c r="P78"/>
  <c r="J71" i="1"/>
  <c r="G1007" i="18"/>
  <c r="I71" i="1"/>
  <c r="K71"/>
  <c r="J33" i="7944"/>
  <c r="K33"/>
  <c r="L33"/>
  <c r="M33"/>
  <c r="J22"/>
  <c r="K22"/>
  <c r="L22"/>
  <c r="M22"/>
  <c r="M409"/>
  <c r="M448"/>
  <c r="K39"/>
  <c r="J179" i="18"/>
  <c r="G994"/>
  <c r="G962"/>
  <c r="G998"/>
  <c r="G966"/>
  <c r="G1002"/>
  <c r="G1004"/>
  <c r="G1006"/>
  <c r="G1008"/>
  <c r="G1010"/>
  <c r="G1012"/>
  <c r="G1014"/>
  <c r="G1016"/>
  <c r="G742"/>
  <c r="G744"/>
  <c r="G746"/>
  <c r="G748"/>
  <c r="G750"/>
  <c r="G752"/>
  <c r="G754"/>
  <c r="G722"/>
  <c r="G756"/>
  <c r="G724"/>
  <c r="O210" i="7944"/>
  <c r="Q212"/>
  <c r="O204"/>
  <c r="O205"/>
  <c r="O206"/>
  <c r="O207"/>
  <c r="O209"/>
  <c r="N235"/>
  <c r="P237"/>
  <c r="Q230"/>
  <c r="O230"/>
  <c r="Q231"/>
  <c r="O231"/>
  <c r="Q232"/>
  <c r="O232"/>
  <c r="Q233"/>
  <c r="O233"/>
  <c r="Q234"/>
  <c r="O234"/>
  <c r="Q235"/>
  <c r="O235"/>
  <c r="G757" i="18"/>
  <c r="G725"/>
  <c r="G753"/>
  <c r="G749"/>
  <c r="G745"/>
  <c r="G1017"/>
  <c r="G1013"/>
  <c r="G1009"/>
  <c r="G1005"/>
  <c r="G999"/>
  <c r="G967"/>
  <c r="G637" i="7942"/>
  <c r="G921" i="18"/>
  <c r="N37" i="1"/>
  <c r="G661" i="18"/>
  <c r="U37" i="1"/>
  <c r="G217"/>
  <c r="G60" i="7942"/>
  <c r="G92"/>
  <c r="G73"/>
  <c r="G105"/>
  <c r="H166"/>
  <c r="G59"/>
  <c r="G91"/>
  <c r="G63"/>
  <c r="G95"/>
  <c r="G65"/>
  <c r="G97"/>
  <c r="G67"/>
  <c r="G99"/>
  <c r="G69"/>
  <c r="G101"/>
  <c r="G71"/>
  <c r="G103"/>
  <c r="G58"/>
  <c r="G90"/>
  <c r="H136"/>
  <c r="G61"/>
  <c r="G93"/>
  <c r="H142"/>
  <c r="G62"/>
  <c r="G94"/>
  <c r="H144"/>
  <c r="G64"/>
  <c r="G96"/>
  <c r="H148"/>
  <c r="G66"/>
  <c r="G98"/>
  <c r="H152"/>
  <c r="G68"/>
  <c r="G100"/>
  <c r="H156"/>
  <c r="G70"/>
  <c r="G102"/>
  <c r="H160"/>
  <c r="G72"/>
  <c r="G104"/>
  <c r="H164"/>
  <c r="G605"/>
  <c r="G632" i="7941"/>
  <c r="G731" i="18"/>
  <c r="G699"/>
  <c r="M257"/>
  <c r="G214" i="1"/>
  <c r="G207"/>
  <c r="G105"/>
  <c r="N348" i="18"/>
  <c r="O348"/>
  <c r="N283"/>
  <c r="G220" i="1"/>
  <c r="G219"/>
  <c r="G173"/>
  <c r="G734" i="18"/>
  <c r="G702"/>
  <c r="G732"/>
  <c r="G700"/>
  <c r="M105" i="1"/>
  <c r="I105"/>
  <c r="K105"/>
  <c r="N76" i="18"/>
  <c r="G675" i="7941"/>
  <c r="G735" i="18"/>
  <c r="G703"/>
  <c r="G239" i="7941"/>
  <c r="O154" i="18"/>
  <c r="Q102"/>
  <c r="N102"/>
  <c r="O102"/>
  <c r="H114"/>
  <c r="P102"/>
  <c r="N374"/>
  <c r="O374"/>
  <c r="P374"/>
  <c r="Q374"/>
  <c r="G674" i="7941"/>
  <c r="I144" i="7942"/>
  <c r="J144"/>
  <c r="N296" i="18"/>
  <c r="N400"/>
  <c r="O400"/>
  <c r="Q78" i="7944"/>
  <c r="O78"/>
  <c r="Q91"/>
  <c r="O91"/>
  <c r="P104"/>
  <c r="Q104"/>
  <c r="P208"/>
  <c r="Q208"/>
  <c r="Q195"/>
  <c r="P195"/>
  <c r="P221"/>
  <c r="Q221"/>
  <c r="O182"/>
  <c r="P182"/>
  <c r="Q182"/>
  <c r="H162" i="7942"/>
  <c r="I162"/>
  <c r="H158"/>
  <c r="H154"/>
  <c r="I154"/>
  <c r="H150"/>
  <c r="H146"/>
  <c r="I146"/>
  <c r="H138"/>
  <c r="I138"/>
  <c r="Q115" i="18"/>
  <c r="O115"/>
  <c r="H438" i="7942"/>
  <c r="H430"/>
  <c r="H313"/>
  <c r="H297"/>
  <c r="H436"/>
  <c r="H323"/>
  <c r="H307"/>
  <c r="J244" i="18"/>
  <c r="M244"/>
  <c r="H140" i="7942"/>
  <c r="I140"/>
  <c r="G212" i="1"/>
  <c r="Q79" i="7944"/>
  <c r="Q88"/>
  <c r="Q92"/>
  <c r="Q75"/>
  <c r="Q90"/>
  <c r="Q76"/>
  <c r="Q87"/>
  <c r="P76"/>
  <c r="P79"/>
  <c r="O75"/>
  <c r="O90"/>
  <c r="O76"/>
  <c r="O77"/>
  <c r="O88"/>
  <c r="O89"/>
  <c r="N79"/>
  <c r="N89"/>
  <c r="N75"/>
  <c r="N92"/>
  <c r="N90"/>
  <c r="N105"/>
  <c r="Q100"/>
  <c r="O100"/>
  <c r="Q101"/>
  <c r="O101"/>
  <c r="Q102"/>
  <c r="O102"/>
  <c r="Q103"/>
  <c r="O103"/>
  <c r="Q105"/>
  <c r="O105"/>
  <c r="N118"/>
  <c r="Q118"/>
  <c r="O118"/>
  <c r="N183"/>
  <c r="N181"/>
  <c r="O183"/>
  <c r="N196"/>
  <c r="P191"/>
  <c r="N191"/>
  <c r="P192"/>
  <c r="N192"/>
  <c r="P193"/>
  <c r="N193"/>
  <c r="P194"/>
  <c r="N194"/>
  <c r="P196"/>
  <c r="P204"/>
  <c r="N204"/>
  <c r="P205"/>
  <c r="N205"/>
  <c r="P206"/>
  <c r="N206"/>
  <c r="P207"/>
  <c r="N207"/>
  <c r="P209"/>
  <c r="P217"/>
  <c r="N217"/>
  <c r="P218"/>
  <c r="N218"/>
  <c r="P219"/>
  <c r="N219"/>
  <c r="P220"/>
  <c r="N220"/>
  <c r="K207" i="1"/>
  <c r="I207"/>
  <c r="M207"/>
  <c r="G1000" i="18"/>
  <c r="G968"/>
  <c r="G995"/>
  <c r="G963"/>
  <c r="G993"/>
  <c r="G961"/>
  <c r="J37" i="1"/>
  <c r="M37"/>
  <c r="G139"/>
  <c r="N439" i="18"/>
  <c r="O439"/>
  <c r="P439"/>
  <c r="N413"/>
  <c r="O283"/>
  <c r="P283"/>
  <c r="Q283"/>
  <c r="N270"/>
  <c r="O270"/>
  <c r="P400"/>
  <c r="Q400"/>
  <c r="N309"/>
  <c r="O309"/>
  <c r="P309"/>
  <c r="M23" i="7944"/>
  <c r="N23"/>
  <c r="N335" i="18"/>
  <c r="O335"/>
  <c r="N426"/>
  <c r="O426"/>
  <c r="N322"/>
  <c r="O322"/>
  <c r="N257"/>
  <c r="O257"/>
  <c r="P257"/>
  <c r="M179"/>
  <c r="G241" i="1"/>
  <c r="L36" i="7944"/>
  <c r="L35"/>
  <c r="M35"/>
  <c r="J320" i="7945"/>
  <c r="J327"/>
  <c r="K327"/>
  <c r="O29" i="7946"/>
  <c r="O296" i="18"/>
  <c r="P296"/>
  <c r="N33" i="7944"/>
  <c r="N162"/>
  <c r="O162"/>
  <c r="K34"/>
  <c r="J27"/>
  <c r="N279"/>
  <c r="O279"/>
  <c r="N331"/>
  <c r="N409"/>
  <c r="M435"/>
  <c r="N35"/>
  <c r="M461"/>
  <c r="M292"/>
  <c r="M318"/>
  <c r="M370"/>
  <c r="N370"/>
  <c r="N396"/>
  <c r="M422"/>
  <c r="O396"/>
  <c r="L32"/>
  <c r="O331"/>
  <c r="N253"/>
  <c r="O370"/>
  <c r="N448"/>
  <c r="O448"/>
  <c r="N292"/>
  <c r="O292"/>
  <c r="N435"/>
  <c r="M357"/>
  <c r="N357"/>
  <c r="M305"/>
  <c r="K30"/>
  <c r="N318"/>
  <c r="O318"/>
  <c r="M266"/>
  <c r="O409"/>
  <c r="P409"/>
  <c r="K179" i="18"/>
  <c r="L179"/>
  <c r="N452"/>
  <c r="R174" i="1"/>
  <c r="O413" i="18"/>
  <c r="P413"/>
  <c r="N465"/>
  <c r="I179"/>
  <c r="J397" i="7945"/>
  <c r="K397"/>
  <c r="O34" i="7946"/>
  <c r="J355" i="7945"/>
  <c r="K355"/>
  <c r="O31" i="7946"/>
  <c r="J229" i="7945"/>
  <c r="K229"/>
  <c r="O22" i="7946"/>
  <c r="J257" i="7945"/>
  <c r="K257"/>
  <c r="O24" i="7946"/>
  <c r="J285" i="7945"/>
  <c r="K285"/>
  <c r="O26" i="7946"/>
  <c r="J341" i="7945"/>
  <c r="K341"/>
  <c r="O30" i="7946"/>
  <c r="J369" i="7945"/>
  <c r="K369"/>
  <c r="O32" i="7946"/>
  <c r="J383" i="7945"/>
  <c r="K383"/>
  <c r="O33" i="7946"/>
  <c r="J411" i="7945"/>
  <c r="K411"/>
  <c r="O35" i="7946"/>
  <c r="P270" i="18"/>
  <c r="P335"/>
  <c r="Q335"/>
  <c r="G679" i="7941"/>
  <c r="G673"/>
  <c r="G733" i="18"/>
  <c r="G701"/>
  <c r="G477" i="7942"/>
  <c r="J138"/>
  <c r="I299"/>
  <c r="I315"/>
  <c r="I428"/>
  <c r="I305"/>
  <c r="I321"/>
  <c r="J321"/>
  <c r="I434"/>
  <c r="I307"/>
  <c r="I323"/>
  <c r="I436"/>
  <c r="I297"/>
  <c r="I313"/>
  <c r="I430"/>
  <c r="I438"/>
  <c r="G677" i="7941"/>
  <c r="G739" i="18"/>
  <c r="G707"/>
  <c r="G737"/>
  <c r="G705"/>
  <c r="G573" i="7942"/>
  <c r="G729" i="18"/>
  <c r="G469"/>
  <c r="I160" i="7942"/>
  <c r="I152"/>
  <c r="J152"/>
  <c r="I142"/>
  <c r="I158"/>
  <c r="I150"/>
  <c r="G445"/>
  <c r="J425" i="7945"/>
  <c r="K425"/>
  <c r="O36" i="7946"/>
  <c r="J313" i="7945"/>
  <c r="K313"/>
  <c r="O28" i="7946"/>
  <c r="J271" i="7945"/>
  <c r="K271"/>
  <c r="O25" i="7946"/>
  <c r="J215" i="7945"/>
  <c r="K215"/>
  <c r="O21" i="7946"/>
  <c r="J299" i="7945"/>
  <c r="K299"/>
  <c r="O27" i="7946"/>
  <c r="J243" i="7945"/>
  <c r="K243"/>
  <c r="O23" i="7946"/>
  <c r="H303" i="7942"/>
  <c r="H311"/>
  <c r="H319"/>
  <c r="H327"/>
  <c r="H432"/>
  <c r="H301"/>
  <c r="H309"/>
  <c r="H317"/>
  <c r="H325"/>
  <c r="R72" i="1"/>
  <c r="I166" i="7942"/>
  <c r="O253" i="7944"/>
  <c r="P253"/>
  <c r="Q253"/>
  <c r="R106" i="1"/>
  <c r="N361" i="18"/>
  <c r="O361"/>
  <c r="P361"/>
  <c r="Q361"/>
  <c r="N387"/>
  <c r="I136" i="7942"/>
  <c r="I148"/>
  <c r="I156"/>
  <c r="I164"/>
  <c r="O387" i="18"/>
  <c r="P387"/>
  <c r="Q387"/>
  <c r="H166"/>
  <c r="N154"/>
  <c r="G988"/>
  <c r="G956"/>
  <c r="G990"/>
  <c r="G958"/>
  <c r="N189" i="7944"/>
  <c r="O189"/>
  <c r="P189"/>
  <c r="O202"/>
  <c r="P202"/>
  <c r="Q202"/>
  <c r="G333" i="7942"/>
  <c r="G989" i="18"/>
  <c r="G957"/>
  <c r="G991"/>
  <c r="G959"/>
  <c r="G172" i="7942"/>
  <c r="N215" i="7944"/>
  <c r="G43" i="7942"/>
  <c r="M39" i="7944"/>
  <c r="O76" i="18"/>
  <c r="P76"/>
  <c r="P322"/>
  <c r="Q322"/>
  <c r="N244"/>
  <c r="O244"/>
  <c r="O181" i="7944"/>
  <c r="P181"/>
  <c r="N214"/>
  <c r="G238" i="7941"/>
  <c r="R208" i="1"/>
  <c r="Q183" i="7944"/>
  <c r="H127" i="18"/>
  <c r="P115"/>
  <c r="N115"/>
  <c r="G992"/>
  <c r="G1001"/>
  <c r="G969"/>
  <c r="Q128"/>
  <c r="P128"/>
  <c r="O128"/>
  <c r="N128"/>
  <c r="H140"/>
  <c r="I39" i="7944"/>
  <c r="G761" i="18"/>
  <c r="G11" i="7942"/>
  <c r="N84" i="7944"/>
  <c r="G235" i="7941"/>
  <c r="G242"/>
  <c r="J166" i="7942"/>
  <c r="K166"/>
  <c r="P348" i="18"/>
  <c r="Q439"/>
  <c r="N149" i="7944"/>
  <c r="O149"/>
  <c r="N136"/>
  <c r="O136"/>
  <c r="Q257" i="18"/>
  <c r="H7" i="7944"/>
  <c r="P426" i="18"/>
  <c r="Q426"/>
  <c r="Q191" i="7944"/>
  <c r="H39"/>
  <c r="N180"/>
  <c r="O180"/>
  <c r="L39"/>
  <c r="J39"/>
  <c r="G237" i="7941"/>
  <c r="N201" i="7944"/>
  <c r="O201"/>
  <c r="P201"/>
  <c r="N22" i="7946"/>
  <c r="O23" i="7944"/>
  <c r="P23"/>
  <c r="Q23"/>
  <c r="P331"/>
  <c r="Q331"/>
  <c r="M36"/>
  <c r="N36"/>
  <c r="N35" i="7946"/>
  <c r="Q309" i="18"/>
  <c r="N34" i="7946"/>
  <c r="O35" i="7944"/>
  <c r="P35"/>
  <c r="N22"/>
  <c r="N25"/>
  <c r="M32"/>
  <c r="N32"/>
  <c r="P396"/>
  <c r="Q396"/>
  <c r="P370"/>
  <c r="Q370"/>
  <c r="P292"/>
  <c r="Q292"/>
  <c r="N461"/>
  <c r="N37"/>
  <c r="Q409"/>
  <c r="P279"/>
  <c r="Q279"/>
  <c r="L34"/>
  <c r="N32" i="7946"/>
  <c r="O33" i="7944"/>
  <c r="Q296" i="18"/>
  <c r="L30" i="7944"/>
  <c r="O357"/>
  <c r="P357"/>
  <c r="Q357"/>
  <c r="P448"/>
  <c r="Q448"/>
  <c r="N422"/>
  <c r="O422"/>
  <c r="N26"/>
  <c r="P318"/>
  <c r="Q318"/>
  <c r="N266"/>
  <c r="O435"/>
  <c r="P435"/>
  <c r="N305"/>
  <c r="O305"/>
  <c r="K27"/>
  <c r="N24"/>
  <c r="N29"/>
  <c r="P149"/>
  <c r="Q149"/>
  <c r="P162"/>
  <c r="Q162"/>
  <c r="O452" i="18"/>
  <c r="P452"/>
  <c r="N179"/>
  <c r="E401" i="7945"/>
  <c r="E345"/>
  <c r="E275"/>
  <c r="E233"/>
  <c r="N143" i="18"/>
  <c r="Q143"/>
  <c r="P143"/>
  <c r="O143"/>
  <c r="N91"/>
  <c r="Q91"/>
  <c r="P91"/>
  <c r="O91"/>
  <c r="E415" i="7945"/>
  <c r="E359"/>
  <c r="E303"/>
  <c r="E261"/>
  <c r="N221" i="18"/>
  <c r="O221"/>
  <c r="Q221"/>
  <c r="P221"/>
  <c r="N130"/>
  <c r="O130"/>
  <c r="I140"/>
  <c r="P130"/>
  <c r="Q130"/>
  <c r="H241" i="1"/>
  <c r="N78" i="18"/>
  <c r="O78"/>
  <c r="I88"/>
  <c r="P78"/>
  <c r="Q78"/>
  <c r="E373" i="7945"/>
  <c r="E317"/>
  <c r="E247"/>
  <c r="E205"/>
  <c r="P208" i="18"/>
  <c r="O208"/>
  <c r="N208"/>
  <c r="Q208"/>
  <c r="P117"/>
  <c r="O117"/>
  <c r="I127"/>
  <c r="N117"/>
  <c r="Q117"/>
  <c r="H139" i="1"/>
  <c r="E387" i="7945"/>
  <c r="E331"/>
  <c r="E289"/>
  <c r="E219"/>
  <c r="N156" i="18"/>
  <c r="P156"/>
  <c r="O156"/>
  <c r="I166"/>
  <c r="Q156"/>
  <c r="O104"/>
  <c r="N104"/>
  <c r="P104"/>
  <c r="I114"/>
  <c r="Q104"/>
  <c r="N195"/>
  <c r="O195"/>
  <c r="O465"/>
  <c r="Q413"/>
  <c r="J146" i="7942"/>
  <c r="J154"/>
  <c r="J162"/>
  <c r="K162"/>
  <c r="J142"/>
  <c r="K142"/>
  <c r="J160"/>
  <c r="O141" i="18"/>
  <c r="I153"/>
  <c r="H153"/>
  <c r="P141"/>
  <c r="Q141"/>
  <c r="N141"/>
  <c r="G244" i="7941"/>
  <c r="J430" i="7942"/>
  <c r="J297"/>
  <c r="J323"/>
  <c r="J434"/>
  <c r="J305"/>
  <c r="J428"/>
  <c r="K428"/>
  <c r="J299"/>
  <c r="H101" i="18"/>
  <c r="Q89"/>
  <c r="N89"/>
  <c r="I101"/>
  <c r="P89"/>
  <c r="O89"/>
  <c r="G240" i="7941"/>
  <c r="H205" i="18"/>
  <c r="Q348"/>
  <c r="Q270"/>
  <c r="J140" i="7942"/>
  <c r="K140"/>
  <c r="J150"/>
  <c r="J158"/>
  <c r="J136"/>
  <c r="J148"/>
  <c r="J156"/>
  <c r="J164"/>
  <c r="G697" i="18"/>
  <c r="G727"/>
  <c r="J438" i="7942"/>
  <c r="K438"/>
  <c r="J313"/>
  <c r="J436"/>
  <c r="J307"/>
  <c r="K307"/>
  <c r="J315"/>
  <c r="K315"/>
  <c r="I317"/>
  <c r="J317"/>
  <c r="K317"/>
  <c r="I301"/>
  <c r="J301"/>
  <c r="I327"/>
  <c r="J327"/>
  <c r="I311"/>
  <c r="J311"/>
  <c r="I325"/>
  <c r="J325"/>
  <c r="I309"/>
  <c r="J309"/>
  <c r="I432"/>
  <c r="J432"/>
  <c r="I319"/>
  <c r="J319"/>
  <c r="K319"/>
  <c r="I303"/>
  <c r="J303"/>
  <c r="I205" i="18"/>
  <c r="P244"/>
  <c r="Q244"/>
  <c r="K138" i="7942"/>
  <c r="O21" i="7944"/>
  <c r="K303" i="7942"/>
  <c r="K432"/>
  <c r="K152"/>
  <c r="K301"/>
  <c r="K313"/>
  <c r="K136"/>
  <c r="K299"/>
  <c r="K434"/>
  <c r="K430"/>
  <c r="K160"/>
  <c r="N97" i="7944"/>
  <c r="O97"/>
  <c r="P97"/>
  <c r="P154" i="18"/>
  <c r="Q154"/>
  <c r="Q181" i="7944"/>
  <c r="K321" i="7942"/>
  <c r="O215" i="7944"/>
  <c r="P215"/>
  <c r="Q215"/>
  <c r="G377" i="7942"/>
  <c r="G667" i="7941"/>
  <c r="N180" i="18"/>
  <c r="N123" i="7944"/>
  <c r="O123"/>
  <c r="G236" i="7942"/>
  <c r="Q189" i="7944"/>
  <c r="H71"/>
  <c r="G669" i="7941"/>
  <c r="H88" i="18"/>
  <c r="Q76"/>
  <c r="N175" i="7944"/>
  <c r="O175"/>
  <c r="P175"/>
  <c r="Q175"/>
  <c r="N182" i="18"/>
  <c r="O182"/>
  <c r="P182"/>
  <c r="Q182"/>
  <c r="K144" i="7942"/>
  <c r="L319"/>
  <c r="O84" i="7944"/>
  <c r="P84"/>
  <c r="O214"/>
  <c r="P214"/>
  <c r="Q214"/>
  <c r="G670" i="7941"/>
  <c r="I7" i="7944"/>
  <c r="G960" i="18"/>
  <c r="G987"/>
  <c r="Q97" i="7944"/>
  <c r="I71"/>
  <c r="P180"/>
  <c r="Q180"/>
  <c r="N179"/>
  <c r="O179"/>
  <c r="G75" i="7942"/>
  <c r="G680" i="7941"/>
  <c r="G671"/>
  <c r="P136" i="7944"/>
  <c r="Q136"/>
  <c r="Q35"/>
  <c r="O36"/>
  <c r="R23"/>
  <c r="Q201"/>
  <c r="O12"/>
  <c r="N227"/>
  <c r="O227"/>
  <c r="N31" i="7946"/>
  <c r="O32" i="7944"/>
  <c r="P32"/>
  <c r="R35"/>
  <c r="P195" i="18"/>
  <c r="Q195"/>
  <c r="N28" i="7946"/>
  <c r="O29" i="7944"/>
  <c r="P29"/>
  <c r="N23" i="7946"/>
  <c r="O24" i="7944"/>
  <c r="L27"/>
  <c r="N240"/>
  <c r="O240"/>
  <c r="P240"/>
  <c r="Q240"/>
  <c r="M34"/>
  <c r="N34"/>
  <c r="N36" i="7946"/>
  <c r="O37" i="7944"/>
  <c r="O461"/>
  <c r="P461"/>
  <c r="O22"/>
  <c r="P22"/>
  <c r="N21" i="7946"/>
  <c r="O266" i="7944"/>
  <c r="P266"/>
  <c r="Q435"/>
  <c r="N25" i="7946"/>
  <c r="O26" i="7944"/>
  <c r="P422"/>
  <c r="Q422"/>
  <c r="P305"/>
  <c r="Q305"/>
  <c r="M30"/>
  <c r="N110"/>
  <c r="P33"/>
  <c r="Q33"/>
  <c r="Q461"/>
  <c r="N24" i="7946"/>
  <c r="O25" i="7944"/>
  <c r="Q452" i="18"/>
  <c r="J166"/>
  <c r="P157"/>
  <c r="N157"/>
  <c r="O157"/>
  <c r="Q157"/>
  <c r="E388" i="7945"/>
  <c r="E262"/>
  <c r="I139" i="1"/>
  <c r="E290" i="7945"/>
  <c r="Q131" i="18"/>
  <c r="P131"/>
  <c r="J140"/>
  <c r="N131"/>
  <c r="O131"/>
  <c r="E360" i="7945"/>
  <c r="E234"/>
  <c r="J192" i="18"/>
  <c r="N183"/>
  <c r="Q118"/>
  <c r="N118"/>
  <c r="J127"/>
  <c r="P118"/>
  <c r="O118"/>
  <c r="E402" i="7945"/>
  <c r="E346"/>
  <c r="E276"/>
  <c r="Q79" i="18"/>
  <c r="P79"/>
  <c r="I241" i="1"/>
  <c r="J88" i="18"/>
  <c r="O79"/>
  <c r="N79"/>
  <c r="P465"/>
  <c r="H955"/>
  <c r="I192"/>
  <c r="H11"/>
  <c r="E220" i="7945"/>
  <c r="J114" i="18"/>
  <c r="P105"/>
  <c r="O105"/>
  <c r="Q105"/>
  <c r="N105"/>
  <c r="E332" i="7945"/>
  <c r="P222" i="18"/>
  <c r="O222"/>
  <c r="Q222"/>
  <c r="N222"/>
  <c r="N196"/>
  <c r="J205"/>
  <c r="O196"/>
  <c r="P196"/>
  <c r="E416" i="7945"/>
  <c r="E304"/>
  <c r="J101" i="18"/>
  <c r="N92"/>
  <c r="Q92"/>
  <c r="P92"/>
  <c r="O92"/>
  <c r="E206" i="7945"/>
  <c r="J153" i="18"/>
  <c r="N144"/>
  <c r="Q144"/>
  <c r="P144"/>
  <c r="O144"/>
  <c r="E374" i="7945"/>
  <c r="E318"/>
  <c r="E248"/>
  <c r="P209" i="18"/>
  <c r="Q209"/>
  <c r="N209"/>
  <c r="O209"/>
  <c r="H43"/>
  <c r="O179"/>
  <c r="O20" i="7944"/>
  <c r="G678" i="7941"/>
  <c r="G668"/>
  <c r="N193" i="18"/>
  <c r="O193"/>
  <c r="P193"/>
  <c r="Q193"/>
  <c r="G676" i="7941"/>
  <c r="L307" i="7942"/>
  <c r="K436"/>
  <c r="L313"/>
  <c r="L119"/>
  <c r="K164"/>
  <c r="K156"/>
  <c r="K148"/>
  <c r="L136"/>
  <c r="L137"/>
  <c r="K158"/>
  <c r="L158"/>
  <c r="K150"/>
  <c r="L428"/>
  <c r="K305"/>
  <c r="K323"/>
  <c r="K297"/>
  <c r="L297"/>
  <c r="G236" i="7941"/>
  <c r="L160" i="7942"/>
  <c r="K154"/>
  <c r="K146"/>
  <c r="G672" i="7941"/>
  <c r="K325" i="7942"/>
  <c r="K327"/>
  <c r="L301"/>
  <c r="L317"/>
  <c r="L303"/>
  <c r="K309"/>
  <c r="L309"/>
  <c r="K311"/>
  <c r="L311"/>
  <c r="L320"/>
  <c r="L432"/>
  <c r="P21" i="7944"/>
  <c r="L142" i="7942"/>
  <c r="L143"/>
  <c r="L434"/>
  <c r="L138"/>
  <c r="L139"/>
  <c r="L315"/>
  <c r="L316"/>
  <c r="L131"/>
  <c r="L135"/>
  <c r="O13" i="7944"/>
  <c r="P123"/>
  <c r="Q123"/>
  <c r="H192" i="18"/>
  <c r="O180"/>
  <c r="P180"/>
  <c r="Q180"/>
  <c r="G243" i="7941"/>
  <c r="G245"/>
  <c r="L127" i="7942"/>
  <c r="L166"/>
  <c r="L167"/>
  <c r="L162"/>
  <c r="L163"/>
  <c r="L299"/>
  <c r="L300"/>
  <c r="L152"/>
  <c r="L153"/>
  <c r="L140"/>
  <c r="L141"/>
  <c r="I107"/>
  <c r="L111"/>
  <c r="N251" i="1"/>
  <c r="O251"/>
  <c r="P251"/>
  <c r="Q251"/>
  <c r="M303" i="7942"/>
  <c r="L430"/>
  <c r="L438"/>
  <c r="L144"/>
  <c r="L145"/>
  <c r="L321"/>
  <c r="L113"/>
  <c r="P179" i="7944"/>
  <c r="Q179"/>
  <c r="Q84"/>
  <c r="N178"/>
  <c r="O178"/>
  <c r="P178"/>
  <c r="J7"/>
  <c r="H107" i="7942"/>
  <c r="N33" i="7946"/>
  <c r="O34" i="7944"/>
  <c r="P34"/>
  <c r="P227"/>
  <c r="Q227"/>
  <c r="P36"/>
  <c r="Q36"/>
  <c r="R36"/>
  <c r="P26"/>
  <c r="Q26"/>
  <c r="R26"/>
  <c r="P37"/>
  <c r="Q37"/>
  <c r="R37"/>
  <c r="O19"/>
  <c r="P12"/>
  <c r="Q12"/>
  <c r="Q32"/>
  <c r="R32"/>
  <c r="O183" i="18"/>
  <c r="P183"/>
  <c r="P25" i="7944"/>
  <c r="Q25"/>
  <c r="R33"/>
  <c r="Q29"/>
  <c r="R29"/>
  <c r="Q266"/>
  <c r="O110"/>
  <c r="N30"/>
  <c r="Q22"/>
  <c r="R22"/>
  <c r="M27"/>
  <c r="P24"/>
  <c r="Q24"/>
  <c r="L298" i="7942"/>
  <c r="L286"/>
  <c r="H793" i="18"/>
  <c r="I955"/>
  <c r="H501"/>
  <c r="E333" i="7945"/>
  <c r="P132" i="18"/>
  <c r="K140"/>
  <c r="O132"/>
  <c r="N132"/>
  <c r="Q132"/>
  <c r="K88"/>
  <c r="J241" i="1"/>
  <c r="Q80" i="18"/>
  <c r="P80"/>
  <c r="O80"/>
  <c r="N80"/>
  <c r="J139" i="1"/>
  <c r="E319" i="7945"/>
  <c r="E207"/>
  <c r="E417"/>
  <c r="E305"/>
  <c r="P119" i="18"/>
  <c r="Q119"/>
  <c r="O119"/>
  <c r="N119"/>
  <c r="K127"/>
  <c r="E403" i="7945"/>
  <c r="E291"/>
  <c r="Q223" i="18"/>
  <c r="N223"/>
  <c r="O223"/>
  <c r="P223"/>
  <c r="N184"/>
  <c r="O184"/>
  <c r="P179"/>
  <c r="Q196"/>
  <c r="Q465"/>
  <c r="E389" i="7945"/>
  <c r="E263"/>
  <c r="Q158" i="18"/>
  <c r="N158"/>
  <c r="K166"/>
  <c r="P158"/>
  <c r="O158"/>
  <c r="O106"/>
  <c r="Q106"/>
  <c r="N106"/>
  <c r="K114"/>
  <c r="P106"/>
  <c r="E375" i="7945"/>
  <c r="E277"/>
  <c r="O197" i="18"/>
  <c r="N197"/>
  <c r="Q197"/>
  <c r="K205"/>
  <c r="P197"/>
  <c r="E361" i="7945"/>
  <c r="E221"/>
  <c r="O145" i="18"/>
  <c r="Q145"/>
  <c r="K153"/>
  <c r="N145"/>
  <c r="P145"/>
  <c r="Q93"/>
  <c r="N93"/>
  <c r="O93"/>
  <c r="K101"/>
  <c r="P93"/>
  <c r="E347" i="7945"/>
  <c r="E249"/>
  <c r="E235"/>
  <c r="O210" i="18"/>
  <c r="P210"/>
  <c r="N210"/>
  <c r="Q210"/>
  <c r="I43"/>
  <c r="Q183"/>
  <c r="I11"/>
  <c r="L272" i="7942"/>
  <c r="L146"/>
  <c r="M146"/>
  <c r="M147"/>
  <c r="M160"/>
  <c r="N277"/>
  <c r="L123"/>
  <c r="L323"/>
  <c r="L133"/>
  <c r="L148"/>
  <c r="M148"/>
  <c r="N124"/>
  <c r="N125"/>
  <c r="L436"/>
  <c r="M436"/>
  <c r="M307"/>
  <c r="L308"/>
  <c r="M308"/>
  <c r="L270"/>
  <c r="P20" i="7944"/>
  <c r="Q20"/>
  <c r="M136" i="7942"/>
  <c r="L314"/>
  <c r="L302"/>
  <c r="L304"/>
  <c r="L288"/>
  <c r="L147"/>
  <c r="L154"/>
  <c r="L324"/>
  <c r="L115"/>
  <c r="L150"/>
  <c r="M150"/>
  <c r="M158"/>
  <c r="N158"/>
  <c r="L159"/>
  <c r="L164"/>
  <c r="L125"/>
  <c r="L278"/>
  <c r="O14" i="7944"/>
  <c r="M323" i="7942"/>
  <c r="L156"/>
  <c r="L161"/>
  <c r="L305"/>
  <c r="L306"/>
  <c r="L284"/>
  <c r="M309"/>
  <c r="N309"/>
  <c r="O309"/>
  <c r="P309"/>
  <c r="L310"/>
  <c r="Q21" i="7944"/>
  <c r="R21"/>
  <c r="M311" i="7942"/>
  <c r="M312"/>
  <c r="L312"/>
  <c r="M317"/>
  <c r="L318"/>
  <c r="L327"/>
  <c r="L280"/>
  <c r="L325"/>
  <c r="L290"/>
  <c r="L411"/>
  <c r="M432"/>
  <c r="L433"/>
  <c r="M319"/>
  <c r="M313"/>
  <c r="O16" i="7944"/>
  <c r="P13"/>
  <c r="Q13"/>
  <c r="Q34"/>
  <c r="R34"/>
  <c r="N134" i="7942"/>
  <c r="O9" i="7944"/>
  <c r="P9"/>
  <c r="Q9"/>
  <c r="R9"/>
  <c r="O11"/>
  <c r="P11"/>
  <c r="Q11"/>
  <c r="R11"/>
  <c r="N311" i="7942"/>
  <c r="O311"/>
  <c r="N303"/>
  <c r="N304"/>
  <c r="M304"/>
  <c r="L322"/>
  <c r="L121"/>
  <c r="M320"/>
  <c r="N319"/>
  <c r="M301"/>
  <c r="M428"/>
  <c r="M138"/>
  <c r="M166"/>
  <c r="M430"/>
  <c r="M299"/>
  <c r="M162"/>
  <c r="M315"/>
  <c r="M140"/>
  <c r="M142"/>
  <c r="M144"/>
  <c r="M321"/>
  <c r="N120"/>
  <c r="M438"/>
  <c r="M434"/>
  <c r="M152"/>
  <c r="M297"/>
  <c r="N128"/>
  <c r="N129"/>
  <c r="N188" i="7944"/>
  <c r="J107" i="7942"/>
  <c r="Q178" i="7944"/>
  <c r="R12"/>
  <c r="P19"/>
  <c r="Q19"/>
  <c r="R19"/>
  <c r="R25"/>
  <c r="N29" i="7946"/>
  <c r="O30" i="7944"/>
  <c r="P30"/>
  <c r="R24"/>
  <c r="P184" i="18"/>
  <c r="Q184"/>
  <c r="N27" i="7944"/>
  <c r="N26" i="7946"/>
  <c r="P110" i="7944"/>
  <c r="Q110"/>
  <c r="M310" i="7942"/>
  <c r="O303"/>
  <c r="N278"/>
  <c r="L149"/>
  <c r="I39" i="7941"/>
  <c r="I501" i="18"/>
  <c r="E404" i="7945"/>
  <c r="E376"/>
  <c r="E348"/>
  <c r="E320"/>
  <c r="E292"/>
  <c r="E250"/>
  <c r="O185" i="18"/>
  <c r="P185"/>
  <c r="L192"/>
  <c r="N185"/>
  <c r="Q146"/>
  <c r="N146"/>
  <c r="L153"/>
  <c r="P146"/>
  <c r="O146"/>
  <c r="E208" i="7945"/>
  <c r="O198" i="18"/>
  <c r="P198"/>
  <c r="L205"/>
  <c r="N198"/>
  <c r="Q198"/>
  <c r="N133"/>
  <c r="O133"/>
  <c r="Q133"/>
  <c r="P133"/>
  <c r="E222" i="7945"/>
  <c r="K139" i="1"/>
  <c r="J11" i="18"/>
  <c r="L129" i="7942"/>
  <c r="H39" i="7941"/>
  <c r="H504"/>
  <c r="K192" i="18"/>
  <c r="I504" i="7941"/>
  <c r="I793" i="18"/>
  <c r="J955"/>
  <c r="E418" i="7945"/>
  <c r="E390"/>
  <c r="E362"/>
  <c r="E334"/>
  <c r="E306"/>
  <c r="E264"/>
  <c r="Q211" i="18"/>
  <c r="P211"/>
  <c r="N211"/>
  <c r="O211"/>
  <c r="N120"/>
  <c r="L127"/>
  <c r="O120"/>
  <c r="P120"/>
  <c r="Q120"/>
  <c r="E236" i="7945"/>
  <c r="O81" i="18"/>
  <c r="K241" i="1"/>
  <c r="N81" i="18"/>
  <c r="L88"/>
  <c r="Q81"/>
  <c r="P81"/>
  <c r="N224"/>
  <c r="O224"/>
  <c r="P224"/>
  <c r="Q224"/>
  <c r="P159"/>
  <c r="O159"/>
  <c r="N159"/>
  <c r="L166"/>
  <c r="Q159"/>
  <c r="Q107"/>
  <c r="O107"/>
  <c r="P107"/>
  <c r="N107"/>
  <c r="L114"/>
  <c r="E278" i="7945"/>
  <c r="Q94" i="18"/>
  <c r="O94"/>
  <c r="L101"/>
  <c r="N94"/>
  <c r="P94"/>
  <c r="J43"/>
  <c r="L140"/>
  <c r="Q179"/>
  <c r="O17" i="7944"/>
  <c r="P17"/>
  <c r="Q17"/>
  <c r="R17"/>
  <c r="N150" i="7942"/>
  <c r="O150"/>
  <c r="L437"/>
  <c r="N436"/>
  <c r="L117"/>
  <c r="N118"/>
  <c r="O118"/>
  <c r="O124"/>
  <c r="O125"/>
  <c r="L165"/>
  <c r="O277"/>
  <c r="P277"/>
  <c r="P278"/>
  <c r="M154"/>
  <c r="M155"/>
  <c r="N136"/>
  <c r="N137"/>
  <c r="M137"/>
  <c r="R20" i="7944"/>
  <c r="M159" i="7942"/>
  <c r="N307"/>
  <c r="M164"/>
  <c r="M165"/>
  <c r="N148"/>
  <c r="N149"/>
  <c r="M149"/>
  <c r="M324"/>
  <c r="N323"/>
  <c r="N324"/>
  <c r="N122"/>
  <c r="O122"/>
  <c r="O123"/>
  <c r="N160"/>
  <c r="M161"/>
  <c r="O160"/>
  <c r="N159"/>
  <c r="L155"/>
  <c r="L274"/>
  <c r="N432"/>
  <c r="M433"/>
  <c r="O310"/>
  <c r="L282"/>
  <c r="M156"/>
  <c r="N156"/>
  <c r="O156"/>
  <c r="P118"/>
  <c r="Q118"/>
  <c r="L157"/>
  <c r="N151"/>
  <c r="M305"/>
  <c r="M306"/>
  <c r="N114"/>
  <c r="N115"/>
  <c r="O128"/>
  <c r="P128"/>
  <c r="P14" i="7944"/>
  <c r="Q14"/>
  <c r="L151" i="7942"/>
  <c r="Q277"/>
  <c r="Q278"/>
  <c r="Q367" i="7941"/>
  <c r="N146" i="7942"/>
  <c r="O146"/>
  <c r="N271"/>
  <c r="O158"/>
  <c r="O159"/>
  <c r="M151"/>
  <c r="L328"/>
  <c r="P311"/>
  <c r="P312"/>
  <c r="N289"/>
  <c r="N290"/>
  <c r="M327"/>
  <c r="Q309"/>
  <c r="Q310"/>
  <c r="Q383" i="7941"/>
  <c r="N310" i="7942"/>
  <c r="P310"/>
  <c r="O312"/>
  <c r="O432"/>
  <c r="N433"/>
  <c r="L326"/>
  <c r="M318"/>
  <c r="N317"/>
  <c r="N312"/>
  <c r="N287"/>
  <c r="M325"/>
  <c r="L403"/>
  <c r="M314"/>
  <c r="N313"/>
  <c r="O323"/>
  <c r="N281"/>
  <c r="N282"/>
  <c r="N283"/>
  <c r="P16" i="7944"/>
  <c r="R13"/>
  <c r="N119" i="7942"/>
  <c r="O119"/>
  <c r="N269"/>
  <c r="N130"/>
  <c r="L407"/>
  <c r="L417"/>
  <c r="L419"/>
  <c r="N152"/>
  <c r="M153"/>
  <c r="N153"/>
  <c r="N112"/>
  <c r="L405"/>
  <c r="M143"/>
  <c r="N142"/>
  <c r="N140"/>
  <c r="M141"/>
  <c r="L401"/>
  <c r="M300"/>
  <c r="N299"/>
  <c r="O299"/>
  <c r="N126"/>
  <c r="O126"/>
  <c r="N110"/>
  <c r="O110"/>
  <c r="P110"/>
  <c r="N138"/>
  <c r="M139"/>
  <c r="N139"/>
  <c r="N279"/>
  <c r="L413"/>
  <c r="N301"/>
  <c r="M302"/>
  <c r="N321"/>
  <c r="O321"/>
  <c r="N297"/>
  <c r="M298"/>
  <c r="L435"/>
  <c r="N434"/>
  <c r="L439"/>
  <c r="N438"/>
  <c r="O120"/>
  <c r="O121"/>
  <c r="M145"/>
  <c r="N144"/>
  <c r="L409"/>
  <c r="M316"/>
  <c r="N315"/>
  <c r="M163"/>
  <c r="N162"/>
  <c r="L431"/>
  <c r="N166"/>
  <c r="O166"/>
  <c r="M167"/>
  <c r="O167"/>
  <c r="L415"/>
  <c r="O134"/>
  <c r="P134"/>
  <c r="N135"/>
  <c r="N430"/>
  <c r="L429"/>
  <c r="N428"/>
  <c r="N285"/>
  <c r="N320"/>
  <c r="O319"/>
  <c r="N121"/>
  <c r="M322"/>
  <c r="L109"/>
  <c r="L107"/>
  <c r="O281"/>
  <c r="O282"/>
  <c r="N108"/>
  <c r="O18" i="7944"/>
  <c r="Q16"/>
  <c r="R16"/>
  <c r="K107" i="7942"/>
  <c r="O188" i="7944"/>
  <c r="P188"/>
  <c r="Q188"/>
  <c r="O148" i="7942"/>
  <c r="P148"/>
  <c r="O27" i="7944"/>
  <c r="O10"/>
  <c r="P10"/>
  <c r="Q30"/>
  <c r="R30"/>
  <c r="O304" i="7942"/>
  <c r="P303"/>
  <c r="P129"/>
  <c r="Q128"/>
  <c r="P158"/>
  <c r="Q158"/>
  <c r="O324"/>
  <c r="O149"/>
  <c r="O136"/>
  <c r="N199" i="18"/>
  <c r="M205"/>
  <c r="Q199"/>
  <c r="P199"/>
  <c r="O199"/>
  <c r="L241" i="1"/>
  <c r="O82" i="18"/>
  <c r="Q82"/>
  <c r="N82"/>
  <c r="P82"/>
  <c r="E349" i="7945"/>
  <c r="E251"/>
  <c r="E419"/>
  <c r="E363"/>
  <c r="E307"/>
  <c r="E237"/>
  <c r="N134" i="18"/>
  <c r="P134"/>
  <c r="O134"/>
  <c r="Q134"/>
  <c r="O186"/>
  <c r="N186"/>
  <c r="P186"/>
  <c r="M192"/>
  <c r="Q186"/>
  <c r="P212"/>
  <c r="N212"/>
  <c r="Q212"/>
  <c r="O212"/>
  <c r="E377" i="7945"/>
  <c r="E279"/>
  <c r="K43" i="18"/>
  <c r="J39" i="7941"/>
  <c r="J501" i="18"/>
  <c r="Q185"/>
  <c r="P156" i="7942"/>
  <c r="P157"/>
  <c r="J504" i="7941"/>
  <c r="J793" i="18"/>
  <c r="M127"/>
  <c r="N121"/>
  <c r="O121"/>
  <c r="Q121"/>
  <c r="P121"/>
  <c r="P160"/>
  <c r="Q160"/>
  <c r="N160"/>
  <c r="M166"/>
  <c r="O160"/>
  <c r="N147"/>
  <c r="O147"/>
  <c r="Q147"/>
  <c r="P147"/>
  <c r="M153"/>
  <c r="N225"/>
  <c r="O225"/>
  <c r="P225"/>
  <c r="Q225"/>
  <c r="E405" i="7945"/>
  <c r="E293"/>
  <c r="E391"/>
  <c r="E335"/>
  <c r="E265"/>
  <c r="E223"/>
  <c r="O108" i="18"/>
  <c r="P108"/>
  <c r="Q108"/>
  <c r="N108"/>
  <c r="L139" i="1"/>
  <c r="M101" i="18"/>
  <c r="N101"/>
  <c r="P95"/>
  <c r="O95"/>
  <c r="N95"/>
  <c r="Q95"/>
  <c r="E321" i="7945"/>
  <c r="E209"/>
  <c r="M114" i="18"/>
  <c r="M88"/>
  <c r="N192"/>
  <c r="K11"/>
  <c r="M140"/>
  <c r="K955"/>
  <c r="P150" i="7942"/>
  <c r="P151"/>
  <c r="O151"/>
  <c r="Q150"/>
  <c r="Q151"/>
  <c r="O271"/>
  <c r="N272"/>
  <c r="Q129"/>
  <c r="P122"/>
  <c r="P123"/>
  <c r="M107"/>
  <c r="M168"/>
  <c r="O157"/>
  <c r="N147"/>
  <c r="P281"/>
  <c r="N161"/>
  <c r="O161"/>
  <c r="P160"/>
  <c r="Q160"/>
  <c r="P149"/>
  <c r="N164"/>
  <c r="O164"/>
  <c r="N308"/>
  <c r="O307"/>
  <c r="P323"/>
  <c r="N157"/>
  <c r="Q148"/>
  <c r="Q149"/>
  <c r="O129"/>
  <c r="O278"/>
  <c r="M157"/>
  <c r="N305"/>
  <c r="P119"/>
  <c r="Q159"/>
  <c r="O147"/>
  <c r="P146"/>
  <c r="P147"/>
  <c r="N132"/>
  <c r="N133"/>
  <c r="N154"/>
  <c r="N123"/>
  <c r="O114"/>
  <c r="P124"/>
  <c r="Q124"/>
  <c r="Q125"/>
  <c r="Q119"/>
  <c r="N116"/>
  <c r="O436"/>
  <c r="M437"/>
  <c r="R14" i="7944"/>
  <c r="O402" i="7942"/>
  <c r="N273"/>
  <c r="N274"/>
  <c r="O317"/>
  <c r="O318"/>
  <c r="P432"/>
  <c r="O433"/>
  <c r="N288"/>
  <c r="O289"/>
  <c r="O290"/>
  <c r="Q311"/>
  <c r="Q312"/>
  <c r="Q384" i="7941"/>
  <c r="N318" i="7942"/>
  <c r="O410"/>
  <c r="N411"/>
  <c r="M328"/>
  <c r="N327"/>
  <c r="N325"/>
  <c r="M326"/>
  <c r="O287"/>
  <c r="O288"/>
  <c r="O313"/>
  <c r="N314"/>
  <c r="O283"/>
  <c r="N284"/>
  <c r="N127"/>
  <c r="Q156"/>
  <c r="Q157"/>
  <c r="Q323" i="7941"/>
  <c r="O111" i="7942"/>
  <c r="P289"/>
  <c r="P290"/>
  <c r="L168"/>
  <c r="O108"/>
  <c r="P108"/>
  <c r="Q108"/>
  <c r="Q109"/>
  <c r="Q731" i="7941"/>
  <c r="P321" i="7942"/>
  <c r="Q321"/>
  <c r="O135"/>
  <c r="P111"/>
  <c r="N111"/>
  <c r="P126"/>
  <c r="Q126"/>
  <c r="N300"/>
  <c r="O406"/>
  <c r="N407"/>
  <c r="P406"/>
  <c r="O407"/>
  <c r="N131"/>
  <c r="O130"/>
  <c r="P130"/>
  <c r="O269"/>
  <c r="N270"/>
  <c r="P299"/>
  <c r="O400"/>
  <c r="N401"/>
  <c r="P135"/>
  <c r="Q134"/>
  <c r="Q135"/>
  <c r="O320"/>
  <c r="P319"/>
  <c r="M429"/>
  <c r="O428"/>
  <c r="P428"/>
  <c r="O429"/>
  <c r="N145"/>
  <c r="O438"/>
  <c r="M439"/>
  <c r="M435"/>
  <c r="O434"/>
  <c r="O297"/>
  <c r="P297"/>
  <c r="N298"/>
  <c r="O301"/>
  <c r="N302"/>
  <c r="P400"/>
  <c r="O401"/>
  <c r="N141"/>
  <c r="N322"/>
  <c r="O404"/>
  <c r="O416"/>
  <c r="P120"/>
  <c r="P322"/>
  <c r="N286"/>
  <c r="O285"/>
  <c r="M431"/>
  <c r="N167"/>
  <c r="P166"/>
  <c r="O430"/>
  <c r="N163"/>
  <c r="O162"/>
  <c r="O315"/>
  <c r="P315"/>
  <c r="N316"/>
  <c r="Q315"/>
  <c r="O408"/>
  <c r="O144"/>
  <c r="P144"/>
  <c r="Q144"/>
  <c r="Q145"/>
  <c r="O412"/>
  <c r="P412"/>
  <c r="O413"/>
  <c r="N280"/>
  <c r="O279"/>
  <c r="O138"/>
  <c r="P138"/>
  <c r="Q110"/>
  <c r="Q111"/>
  <c r="O127"/>
  <c r="O300"/>
  <c r="O140"/>
  <c r="O142"/>
  <c r="P142"/>
  <c r="N143"/>
  <c r="O143"/>
  <c r="Q322"/>
  <c r="Q389" i="7941"/>
  <c r="O322" i="7942"/>
  <c r="N113"/>
  <c r="O112"/>
  <c r="O152"/>
  <c r="O418"/>
  <c r="O414"/>
  <c r="N415"/>
  <c r="P317"/>
  <c r="P318"/>
  <c r="Q432"/>
  <c r="Q122"/>
  <c r="P18" i="7944"/>
  <c r="Q18"/>
  <c r="R18"/>
  <c r="N109" i="7942"/>
  <c r="O15" i="7944"/>
  <c r="P15"/>
  <c r="Q15"/>
  <c r="R15"/>
  <c r="Q299" i="7941"/>
  <c r="O8" i="7944"/>
  <c r="P8"/>
  <c r="Q8"/>
  <c r="N165" i="7942"/>
  <c r="O165"/>
  <c r="Q10" i="7944"/>
  <c r="P27"/>
  <c r="P304" i="7942"/>
  <c r="Q303"/>
  <c r="Q304"/>
  <c r="Q380" i="7941"/>
  <c r="O132" i="7942"/>
  <c r="P132"/>
  <c r="P133"/>
  <c r="P159"/>
  <c r="N166" i="18"/>
  <c r="O166"/>
  <c r="N127"/>
  <c r="N205"/>
  <c r="O205"/>
  <c r="O133" i="7942"/>
  <c r="Q123"/>
  <c r="Q738" i="7941"/>
  <c r="O192" i="18"/>
  <c r="Q122"/>
  <c r="P122"/>
  <c r="O122"/>
  <c r="N122"/>
  <c r="N213"/>
  <c r="P213"/>
  <c r="Q213"/>
  <c r="O213"/>
  <c r="Q148"/>
  <c r="P148"/>
  <c r="O148"/>
  <c r="N148"/>
  <c r="M139" i="1"/>
  <c r="E210" i="7945"/>
  <c r="E392"/>
  <c r="E336"/>
  <c r="E280"/>
  <c r="M241" i="1"/>
  <c r="Q83" i="18"/>
  <c r="P83"/>
  <c r="O83"/>
  <c r="N83"/>
  <c r="P135"/>
  <c r="O135"/>
  <c r="Q135"/>
  <c r="N135"/>
  <c r="N200"/>
  <c r="O200"/>
  <c r="Q200"/>
  <c r="P200"/>
  <c r="N234" i="1"/>
  <c r="N67" i="18"/>
  <c r="N135" i="1"/>
  <c r="N38" i="18"/>
  <c r="N129" i="1"/>
  <c r="N32" i="18"/>
  <c r="N121" i="1"/>
  <c r="N24" i="18"/>
  <c r="N110" i="1"/>
  <c r="N13" i="18"/>
  <c r="N240" i="1"/>
  <c r="N73" i="18"/>
  <c r="N126" i="1"/>
  <c r="N29" i="18"/>
  <c r="N231" i="1"/>
  <c r="N64" i="18"/>
  <c r="N125" i="1"/>
  <c r="N28" i="18"/>
  <c r="N239" i="1"/>
  <c r="N72" i="18"/>
  <c r="N229" i="1"/>
  <c r="N62" i="18"/>
  <c r="N232" i="1"/>
  <c r="N65" i="18"/>
  <c r="N113" i="1"/>
  <c r="N16" i="18"/>
  <c r="N119" i="1"/>
  <c r="N22" i="18"/>
  <c r="N128" i="1"/>
  <c r="N31" i="18"/>
  <c r="N127" i="1"/>
  <c r="N30" i="18"/>
  <c r="N109" i="1"/>
  <c r="N112"/>
  <c r="N15" i="18"/>
  <c r="N225" i="1"/>
  <c r="N58" i="18"/>
  <c r="N111" i="1"/>
  <c r="N14" i="18"/>
  <c r="N136" i="1"/>
  <c r="N39" i="18"/>
  <c r="N118" i="1"/>
  <c r="N21" i="18"/>
  <c r="N134" i="1"/>
  <c r="N37" i="18"/>
  <c r="N227" i="1"/>
  <c r="N60" i="18"/>
  <c r="N237" i="1"/>
  <c r="N70" i="18"/>
  <c r="N124" i="1"/>
  <c r="N27" i="18"/>
  <c r="N137" i="1"/>
  <c r="N40" i="18"/>
  <c r="N238" i="1"/>
  <c r="N71" i="18"/>
  <c r="N236" i="1"/>
  <c r="N69" i="18"/>
  <c r="N233" i="1"/>
  <c r="N66" i="18"/>
  <c r="N235" i="1"/>
  <c r="N68" i="18"/>
  <c r="N115" i="1"/>
  <c r="N18" i="18"/>
  <c r="N120" i="1"/>
  <c r="N23" i="18"/>
  <c r="N114" i="1"/>
  <c r="N17" i="18"/>
  <c r="N122" i="1"/>
  <c r="N25" i="18"/>
  <c r="N130" i="1"/>
  <c r="N33" i="18"/>
  <c r="N138" i="1"/>
  <c r="N41" i="18"/>
  <c r="N117" i="1"/>
  <c r="N20" i="18"/>
  <c r="N133" i="1"/>
  <c r="N36" i="18"/>
  <c r="N123" i="1"/>
  <c r="N26" i="18"/>
  <c r="N131" i="1"/>
  <c r="N34" i="18"/>
  <c r="N230" i="1"/>
  <c r="N63" i="18"/>
  <c r="N116" i="1"/>
  <c r="N19" i="18"/>
  <c r="N132" i="1"/>
  <c r="N35" i="18"/>
  <c r="N228" i="1"/>
  <c r="N61" i="18"/>
  <c r="N7"/>
  <c r="N957"/>
  <c r="N226" i="1"/>
  <c r="N59" i="18"/>
  <c r="E378" i="7945"/>
  <c r="E322"/>
  <c r="E266"/>
  <c r="K504" i="7941"/>
  <c r="K793" i="18"/>
  <c r="L955"/>
  <c r="N153"/>
  <c r="N114"/>
  <c r="O114"/>
  <c r="O101"/>
  <c r="P101"/>
  <c r="N140"/>
  <c r="P164" i="7942"/>
  <c r="P165"/>
  <c r="K39" i="7941"/>
  <c r="K501" i="18"/>
  <c r="O96"/>
  <c r="N96"/>
  <c r="P96"/>
  <c r="Q96"/>
  <c r="N187"/>
  <c r="O187"/>
  <c r="P187"/>
  <c r="Q187"/>
  <c r="E224" i="7945"/>
  <c r="E420"/>
  <c r="E364"/>
  <c r="E308"/>
  <c r="E252"/>
  <c r="P109" i="18"/>
  <c r="O109"/>
  <c r="N109"/>
  <c r="Q109"/>
  <c r="N226"/>
  <c r="P226"/>
  <c r="Q226"/>
  <c r="O226"/>
  <c r="P161"/>
  <c r="Q161"/>
  <c r="N161"/>
  <c r="O161"/>
  <c r="E406" i="7945"/>
  <c r="E350"/>
  <c r="E294"/>
  <c r="E238"/>
  <c r="L11" i="18"/>
  <c r="L43"/>
  <c r="P136" i="7942"/>
  <c r="N88" i="18"/>
  <c r="O137" i="7942"/>
  <c r="Q306" i="7941"/>
  <c r="N437" i="7942"/>
  <c r="P436"/>
  <c r="O437"/>
  <c r="O116"/>
  <c r="N117"/>
  <c r="N107"/>
  <c r="Q739" i="7941"/>
  <c r="Q307"/>
  <c r="O115" i="7942"/>
  <c r="Q146"/>
  <c r="Q147"/>
  <c r="O308"/>
  <c r="P307"/>
  <c r="Q755" i="7941"/>
  <c r="P114" i="7942"/>
  <c r="O305"/>
  <c r="Q752" i="7941"/>
  <c r="Q320"/>
  <c r="Q304"/>
  <c r="Q736"/>
  <c r="N155" i="7942"/>
  <c r="Q756" i="7941"/>
  <c r="Q324"/>
  <c r="Q319"/>
  <c r="Q751"/>
  <c r="N306" i="7942"/>
  <c r="P324"/>
  <c r="Q323"/>
  <c r="Q324"/>
  <c r="Q390" i="7941"/>
  <c r="O154" i="7942"/>
  <c r="Q161"/>
  <c r="P161"/>
  <c r="Q281"/>
  <c r="Q282"/>
  <c r="Q369" i="7941"/>
  <c r="P282" i="7942"/>
  <c r="Q741" i="7941"/>
  <c r="Q309"/>
  <c r="O272" i="7942"/>
  <c r="P271"/>
  <c r="P125"/>
  <c r="Q317"/>
  <c r="Q318"/>
  <c r="Q387" i="7941"/>
  <c r="N326" i="7942"/>
  <c r="P433"/>
  <c r="Q433"/>
  <c r="Q433" i="7941"/>
  <c r="P287" i="7942"/>
  <c r="P410"/>
  <c r="O411"/>
  <c r="O325"/>
  <c r="N328"/>
  <c r="O327"/>
  <c r="O328"/>
  <c r="Q289"/>
  <c r="Q290"/>
  <c r="Q373" i="7941"/>
  <c r="O273" i="7942"/>
  <c r="N403"/>
  <c r="P402"/>
  <c r="Q142"/>
  <c r="Q143"/>
  <c r="O298"/>
  <c r="O314"/>
  <c r="P313"/>
  <c r="P283"/>
  <c r="O284"/>
  <c r="Q164"/>
  <c r="Q165"/>
  <c r="P109"/>
  <c r="P143"/>
  <c r="O109"/>
  <c r="Q132"/>
  <c r="Q133"/>
  <c r="Q406"/>
  <c r="Q127"/>
  <c r="O139"/>
  <c r="P269"/>
  <c r="Q269"/>
  <c r="O270"/>
  <c r="Q270"/>
  <c r="Q363" i="7941"/>
  <c r="O131" i="7942"/>
  <c r="P131"/>
  <c r="Q130"/>
  <c r="Q131"/>
  <c r="N275"/>
  <c r="L276"/>
  <c r="P127"/>
  <c r="Q400"/>
  <c r="Q401"/>
  <c r="Q417" i="7941"/>
  <c r="P300" i="7942"/>
  <c r="Q299"/>
  <c r="Q300"/>
  <c r="Q378" i="7941"/>
  <c r="Q749"/>
  <c r="Q317"/>
  <c r="Q297" i="7942"/>
  <c r="Q298"/>
  <c r="Q377" i="7941"/>
  <c r="P298" i="7942"/>
  <c r="N419"/>
  <c r="Q732" i="7941"/>
  <c r="Q300"/>
  <c r="N409" i="7942"/>
  <c r="Q166"/>
  <c r="Q167"/>
  <c r="P167"/>
  <c r="P121"/>
  <c r="Q120"/>
  <c r="Q121"/>
  <c r="N405"/>
  <c r="P404"/>
  <c r="O141"/>
  <c r="Q138"/>
  <c r="Q139"/>
  <c r="N439"/>
  <c r="P438"/>
  <c r="Q312" i="7941"/>
  <c r="Q744"/>
  <c r="O153" i="7942"/>
  <c r="P152"/>
  <c r="P153"/>
  <c r="P112"/>
  <c r="P113"/>
  <c r="O113"/>
  <c r="Q748" i="7941"/>
  <c r="Q316"/>
  <c r="P401" i="7942"/>
  <c r="O280"/>
  <c r="P279"/>
  <c r="N413"/>
  <c r="Q412"/>
  <c r="O145"/>
  <c r="P145"/>
  <c r="P316"/>
  <c r="Q316"/>
  <c r="Q386" i="7941"/>
  <c r="O316" i="7942"/>
  <c r="O163"/>
  <c r="P162"/>
  <c r="N431"/>
  <c r="P430"/>
  <c r="O431"/>
  <c r="O286"/>
  <c r="P285"/>
  <c r="N417"/>
  <c r="P416"/>
  <c r="O417"/>
  <c r="P418"/>
  <c r="O419"/>
  <c r="P140"/>
  <c r="Q140"/>
  <c r="Q141"/>
  <c r="P139"/>
  <c r="P301"/>
  <c r="Q301"/>
  <c r="Q302"/>
  <c r="Q379" i="7941"/>
  <c r="O302" i="7942"/>
  <c r="P302"/>
  <c r="N435"/>
  <c r="P434"/>
  <c r="P408"/>
  <c r="O409"/>
  <c r="P414"/>
  <c r="O415"/>
  <c r="N429"/>
  <c r="Q428"/>
  <c r="P320"/>
  <c r="Q319"/>
  <c r="Q320"/>
  <c r="Q388" i="7941"/>
  <c r="R8" i="7944"/>
  <c r="Q27"/>
  <c r="R10"/>
  <c r="R27"/>
  <c r="Q436" i="7942"/>
  <c r="J695" i="18"/>
  <c r="I695"/>
  <c r="P137" i="7942"/>
  <c r="L39" i="7941"/>
  <c r="L501" i="18"/>
  <c r="M955"/>
  <c r="O140"/>
  <c r="P140"/>
  <c r="N700"/>
  <c r="N960"/>
  <c r="N961"/>
  <c r="N701"/>
  <c r="Q136" i="7942"/>
  <c r="Q137"/>
  <c r="E225" i="7945"/>
  <c r="N809" i="18"/>
  <c r="N520" i="7941"/>
  <c r="N811" i="18"/>
  <c r="N522" i="7941"/>
  <c r="E253" i="7945"/>
  <c r="N509" i="18"/>
  <c r="N47" i="7941"/>
  <c r="N524" i="18"/>
  <c r="N62" i="7941"/>
  <c r="N526" i="18"/>
  <c r="N64" i="7941"/>
  <c r="N531" i="18"/>
  <c r="N69" i="7941"/>
  <c r="N515" i="18"/>
  <c r="N53" i="7941"/>
  <c r="N513" i="18"/>
  <c r="N51" i="7941"/>
  <c r="E351" i="7945"/>
  <c r="N818" i="18"/>
  <c r="N529" i="7941"/>
  <c r="E365" i="7945"/>
  <c r="N819" i="18"/>
  <c r="N530" i="7941"/>
  <c r="N530" i="18"/>
  <c r="N68" i="7941"/>
  <c r="N820" i="18"/>
  <c r="N531" i="7941"/>
  <c r="E379" i="7945"/>
  <c r="N527" i="18"/>
  <c r="N65" i="7941"/>
  <c r="N529" i="18"/>
  <c r="N67" i="7941"/>
  <c r="E211" i="7945"/>
  <c r="N808" i="18"/>
  <c r="N519" i="7941"/>
  <c r="Q201" i="18"/>
  <c r="P201"/>
  <c r="O201"/>
  <c r="Q149"/>
  <c r="P149"/>
  <c r="O149"/>
  <c r="P97"/>
  <c r="Q97"/>
  <c r="O97"/>
  <c r="N12"/>
  <c r="N139" i="1"/>
  <c r="N521" i="18"/>
  <c r="N59" i="7941"/>
  <c r="N506" i="18"/>
  <c r="N44" i="7941"/>
  <c r="N812" i="18"/>
  <c r="N523" i="7941"/>
  <c r="E267" i="7945"/>
  <c r="N518" i="18"/>
  <c r="N56" i="7941"/>
  <c r="N519" i="18"/>
  <c r="N57" i="7941"/>
  <c r="N503" i="18"/>
  <c r="N41" i="7941"/>
  <c r="N522" i="18"/>
  <c r="N60" i="7941"/>
  <c r="Q188" i="18"/>
  <c r="O188"/>
  <c r="P188"/>
  <c r="Q227"/>
  <c r="P227"/>
  <c r="O227"/>
  <c r="Q136"/>
  <c r="P136"/>
  <c r="O136"/>
  <c r="Q84"/>
  <c r="P84"/>
  <c r="O84"/>
  <c r="N241" i="1"/>
  <c r="P214" i="18"/>
  <c r="Q214"/>
  <c r="O214"/>
  <c r="N964"/>
  <c r="P192"/>
  <c r="O153"/>
  <c r="P153"/>
  <c r="N959"/>
  <c r="N699"/>
  <c r="O127"/>
  <c r="P127"/>
  <c r="Q101"/>
  <c r="N696"/>
  <c r="N956"/>
  <c r="L504" i="7941"/>
  <c r="L793" i="18"/>
  <c r="N698"/>
  <c r="N958"/>
  <c r="N969"/>
  <c r="N968"/>
  <c r="N975"/>
  <c r="N980"/>
  <c r="N979"/>
  <c r="N974"/>
  <c r="N711"/>
  <c r="N724"/>
  <c r="N973"/>
  <c r="N970"/>
  <c r="N716"/>
  <c r="N978"/>
  <c r="N714"/>
  <c r="N971"/>
  <c r="N984"/>
  <c r="N713"/>
  <c r="N710"/>
  <c r="N972"/>
  <c r="N709"/>
  <c r="N708"/>
  <c r="N720"/>
  <c r="N719"/>
  <c r="N715"/>
  <c r="N723"/>
  <c r="N721"/>
  <c r="N722"/>
  <c r="N977"/>
  <c r="N718"/>
  <c r="N712"/>
  <c r="N983"/>
  <c r="N981"/>
  <c r="N982"/>
  <c r="N717"/>
  <c r="N976"/>
  <c r="N985"/>
  <c r="N725"/>
  <c r="N703"/>
  <c r="N963"/>
  <c r="N525"/>
  <c r="N63" i="7941"/>
  <c r="N813" i="18"/>
  <c r="N524" i="7941"/>
  <c r="E281" i="7945"/>
  <c r="N516" i="18"/>
  <c r="N54" i="7941"/>
  <c r="N510" i="18"/>
  <c r="N48" i="7941"/>
  <c r="N523" i="18"/>
  <c r="N61" i="7941"/>
  <c r="N507" i="18"/>
  <c r="N45" i="7941"/>
  <c r="N508" i="18"/>
  <c r="N46" i="7941"/>
  <c r="N816" i="18"/>
  <c r="N527" i="7941"/>
  <c r="E323" i="7945"/>
  <c r="N821" i="18"/>
  <c r="N532" i="7941"/>
  <c r="E393" i="7945"/>
  <c r="N517" i="18"/>
  <c r="N55" i="7941"/>
  <c r="N810" i="18"/>
  <c r="N521" i="7941"/>
  <c r="E239" i="7945"/>
  <c r="N511" i="18"/>
  <c r="N49" i="7941"/>
  <c r="N504" i="18"/>
  <c r="N42" i="7941"/>
  <c r="N807" i="18"/>
  <c r="N518" i="7941"/>
  <c r="N801" i="18"/>
  <c r="N512" i="7941"/>
  <c r="Q123" i="18"/>
  <c r="O123"/>
  <c r="P123"/>
  <c r="N505"/>
  <c r="N43" i="7941"/>
  <c r="N520" i="18"/>
  <c r="N58" i="7941"/>
  <c r="N512" i="18"/>
  <c r="N50" i="7941"/>
  <c r="E309" i="7945"/>
  <c r="N815" i="18"/>
  <c r="N526" i="7941"/>
  <c r="E407" i="7945"/>
  <c r="N822" i="18"/>
  <c r="N533" i="7941"/>
  <c r="E295" i="7945"/>
  <c r="N814" i="18"/>
  <c r="N525" i="7941"/>
  <c r="E421" i="7945"/>
  <c r="N823" i="18"/>
  <c r="N534" i="7941"/>
  <c r="N514" i="18"/>
  <c r="N52" i="7941"/>
  <c r="N806" i="18"/>
  <c r="N517" i="7941"/>
  <c r="N528" i="18"/>
  <c r="N66" i="7941"/>
  <c r="Q162" i="18"/>
  <c r="P162"/>
  <c r="O162"/>
  <c r="Q110"/>
  <c r="O110"/>
  <c r="P110"/>
  <c r="N817"/>
  <c r="N528" i="7941"/>
  <c r="E337" i="7945"/>
  <c r="O122" i="1"/>
  <c r="O25" i="18"/>
  <c r="O130" i="1"/>
  <c r="O33" i="18"/>
  <c r="O118" i="1"/>
  <c r="O21" i="18"/>
  <c r="O132" i="1"/>
  <c r="O35" i="18"/>
  <c r="O113" i="1"/>
  <c r="O16" i="18"/>
  <c r="O228" i="1"/>
  <c r="O61" i="18"/>
  <c r="O121" i="1"/>
  <c r="O24" i="18"/>
  <c r="O127" i="1"/>
  <c r="O30" i="18"/>
  <c r="O229" i="1"/>
  <c r="O62" i="18"/>
  <c r="O238" i="1"/>
  <c r="O71" i="18"/>
  <c r="O233" i="1"/>
  <c r="O66" i="18"/>
  <c r="O129" i="1"/>
  <c r="O32" i="18"/>
  <c r="O7"/>
  <c r="O698"/>
  <c r="O231" i="1"/>
  <c r="O64" i="18"/>
  <c r="O117" i="1"/>
  <c r="O20" i="18"/>
  <c r="O510"/>
  <c r="O48" i="7941"/>
  <c r="O136" i="1"/>
  <c r="O39" i="18"/>
  <c r="O135" i="1"/>
  <c r="O38" i="18"/>
  <c r="O528"/>
  <c r="O66" i="7941"/>
  <c r="O237" i="1"/>
  <c r="O70" i="18"/>
  <c r="O137" i="1"/>
  <c r="O40" i="18"/>
  <c r="O530"/>
  <c r="O68" i="7941"/>
  <c r="O123" i="1"/>
  <c r="O26" i="18"/>
  <c r="O111" i="1"/>
  <c r="O14" i="18"/>
  <c r="O504"/>
  <c r="O42" i="7941"/>
  <c r="O126" i="1"/>
  <c r="O29" i="18"/>
  <c r="O227" i="1"/>
  <c r="O60" i="18"/>
  <c r="O131" i="1"/>
  <c r="O34" i="18"/>
  <c r="O128" i="1"/>
  <c r="O31" i="18"/>
  <c r="O230" i="1"/>
  <c r="O63" i="18"/>
  <c r="O110" i="1"/>
  <c r="O13" i="18"/>
  <c r="O138" i="1"/>
  <c r="O41" i="18"/>
  <c r="O531"/>
  <c r="O69" i="7941"/>
  <c r="O236" i="1"/>
  <c r="O69" i="18"/>
  <c r="O119" i="1"/>
  <c r="O22" i="18"/>
  <c r="O512"/>
  <c r="O50" i="7941"/>
  <c r="O239" i="1"/>
  <c r="O72" i="18"/>
  <c r="O114" i="1"/>
  <c r="O17" i="18"/>
  <c r="O507"/>
  <c r="O45" i="7941"/>
  <c r="O112" i="1"/>
  <c r="O15" i="18"/>
  <c r="O240" i="1"/>
  <c r="O73" i="18"/>
  <c r="O124" i="1"/>
  <c r="O27" i="18"/>
  <c r="O235" i="1"/>
  <c r="O68" i="18"/>
  <c r="O226" i="1"/>
  <c r="O59" i="18"/>
  <c r="O133" i="1"/>
  <c r="O36" i="18"/>
  <c r="O526"/>
  <c r="O64" i="7941"/>
  <c r="O225" i="1"/>
  <c r="O58" i="18"/>
  <c r="O134" i="1"/>
  <c r="O37" i="18"/>
  <c r="O527"/>
  <c r="O65" i="7941"/>
  <c r="O125" i="1"/>
  <c r="O28" i="18"/>
  <c r="O518"/>
  <c r="O56" i="7941"/>
  <c r="O120" i="1"/>
  <c r="O23" i="18"/>
  <c r="O109" i="1"/>
  <c r="O234"/>
  <c r="O67" i="18"/>
  <c r="O232" i="1"/>
  <c r="O65" i="18"/>
  <c r="O116" i="1"/>
  <c r="O19" i="18"/>
  <c r="O115" i="1"/>
  <c r="O18" i="18"/>
  <c r="O508"/>
  <c r="O46" i="7941"/>
  <c r="M43" i="18"/>
  <c r="M11"/>
  <c r="N704"/>
  <c r="P114"/>
  <c r="Q114"/>
  <c r="P205"/>
  <c r="O965"/>
  <c r="N965"/>
  <c r="N705"/>
  <c r="N962"/>
  <c r="N702"/>
  <c r="P166"/>
  <c r="N697"/>
  <c r="O88"/>
  <c r="Q743" i="7941"/>
  <c r="Q311"/>
  <c r="Q271" i="7942"/>
  <c r="Q272"/>
  <c r="Q364" i="7941"/>
  <c r="P272" i="7942"/>
  <c r="Q325" i="7941"/>
  <c r="Q757"/>
  <c r="O155" i="7942"/>
  <c r="P154"/>
  <c r="Q154"/>
  <c r="Q155"/>
  <c r="P305"/>
  <c r="P308"/>
  <c r="Q307"/>
  <c r="Q308"/>
  <c r="Q382" i="7941"/>
  <c r="O107" i="7942"/>
  <c r="N168"/>
  <c r="O117"/>
  <c r="P116"/>
  <c r="P107"/>
  <c r="P437"/>
  <c r="Q437"/>
  <c r="Q435" i="7941"/>
  <c r="P115" i="7942"/>
  <c r="Q114"/>
  <c r="Q327" i="7941"/>
  <c r="Q759"/>
  <c r="O306" i="7942"/>
  <c r="Q750" i="7941"/>
  <c r="Q318"/>
  <c r="Q305"/>
  <c r="Q737"/>
  <c r="O403" i="7942"/>
  <c r="P273"/>
  <c r="O274"/>
  <c r="P325"/>
  <c r="O326"/>
  <c r="P327"/>
  <c r="P288"/>
  <c r="Q287"/>
  <c r="Q288"/>
  <c r="Q372" i="7941"/>
  <c r="Q410" i="7942"/>
  <c r="Q402"/>
  <c r="P314"/>
  <c r="Q313"/>
  <c r="Q314"/>
  <c r="Q385" i="7941"/>
  <c r="P270" i="7942"/>
  <c r="P284"/>
  <c r="Q283"/>
  <c r="Q284"/>
  <c r="Q370" i="7941"/>
  <c r="Q152" i="7942"/>
  <c r="Q153"/>
  <c r="Q321" i="7941"/>
  <c r="Q742"/>
  <c r="Q310"/>
  <c r="Q407" i="7942"/>
  <c r="Q420" i="7941"/>
  <c r="P407" i="7942"/>
  <c r="N276"/>
  <c r="Q308" i="7941"/>
  <c r="Q740"/>
  <c r="O275" i="7942"/>
  <c r="Q430"/>
  <c r="P431"/>
  <c r="Q747" i="7941"/>
  <c r="Q315"/>
  <c r="P429" i="7942"/>
  <c r="Q429"/>
  <c r="Q431" i="7941"/>
  <c r="O435" i="7942"/>
  <c r="Q434"/>
  <c r="Q416"/>
  <c r="P286"/>
  <c r="Q285"/>
  <c r="Q286"/>
  <c r="Q371" i="7941"/>
  <c r="P413" i="7942"/>
  <c r="Q413"/>
  <c r="Q423" i="7941"/>
  <c r="P280" i="7942"/>
  <c r="Q279"/>
  <c r="Q280"/>
  <c r="Q368" i="7941"/>
  <c r="Q112" i="7942"/>
  <c r="Q113"/>
  <c r="Q408"/>
  <c r="P141"/>
  <c r="Q418"/>
  <c r="Q431"/>
  <c r="Q432" i="7941"/>
  <c r="P163" i="7942"/>
  <c r="Q162"/>
  <c r="Q163"/>
  <c r="O439"/>
  <c r="Q438"/>
  <c r="Q314" i="7941"/>
  <c r="Q746"/>
  <c r="O405" i="7942"/>
  <c r="Q404"/>
  <c r="Q414"/>
  <c r="Q328" i="7941"/>
  <c r="Q760"/>
  <c r="P155" i="7942"/>
  <c r="O705" i="18"/>
  <c r="O509"/>
  <c r="O47" i="7941"/>
  <c r="O513" i="18"/>
  <c r="O51" i="7941"/>
  <c r="O517" i="18"/>
  <c r="O55" i="7941"/>
  <c r="O505" i="18"/>
  <c r="O43" i="7941"/>
  <c r="O503" i="18"/>
  <c r="O41" i="7941"/>
  <c r="O521" i="18"/>
  <c r="O59" i="7941"/>
  <c r="P168" i="7942"/>
  <c r="H695" i="18"/>
  <c r="K695"/>
  <c r="Q313" i="7941"/>
  <c r="Q745"/>
  <c r="P88" i="18"/>
  <c r="Q88"/>
  <c r="O696"/>
  <c r="O956"/>
  <c r="Q166"/>
  <c r="M39" i="7941"/>
  <c r="M501" i="18"/>
  <c r="M504" i="7941"/>
  <c r="M793" i="18"/>
  <c r="O817"/>
  <c r="O528" i="7941"/>
  <c r="E338" i="7945"/>
  <c r="O807" i="18"/>
  <c r="O518" i="7941"/>
  <c r="Q85" i="18"/>
  <c r="O241" i="1"/>
  <c r="P85" i="18"/>
  <c r="E212" i="7945"/>
  <c r="O808" i="18"/>
  <c r="O519" i="7941"/>
  <c r="E226" i="7945"/>
  <c r="O809" i="18"/>
  <c r="O520" i="7941"/>
  <c r="O822" i="18"/>
  <c r="O533" i="7941"/>
  <c r="E408" i="7945"/>
  <c r="E366"/>
  <c r="O819" i="18"/>
  <c r="O530" i="7941"/>
  <c r="O801" i="18"/>
  <c r="O512" i="7941"/>
  <c r="P124" i="18"/>
  <c r="Q124"/>
  <c r="O524"/>
  <c r="O62" i="7941"/>
  <c r="O519" i="18"/>
  <c r="O57" i="7941"/>
  <c r="O516" i="18"/>
  <c r="O54" i="7941"/>
  <c r="E380" i="7945"/>
  <c r="O820" i="18"/>
  <c r="O531" i="7941"/>
  <c r="P189" i="18"/>
  <c r="Q189"/>
  <c r="O529"/>
  <c r="O67" i="7941"/>
  <c r="O814" i="18"/>
  <c r="O525" i="7941"/>
  <c r="E296" i="7945"/>
  <c r="O522" i="18"/>
  <c r="O60" i="7941"/>
  <c r="E394" i="7945"/>
  <c r="O821" i="18"/>
  <c r="O532" i="7941"/>
  <c r="O520" i="18"/>
  <c r="O58" i="7941"/>
  <c r="E254" i="7945"/>
  <c r="O811" i="18"/>
  <c r="O522" i="7941"/>
  <c r="O525" i="18"/>
  <c r="O63" i="7941"/>
  <c r="O523" i="18"/>
  <c r="O61" i="7941"/>
  <c r="P215" i="18"/>
  <c r="Q215"/>
  <c r="P137"/>
  <c r="Q137"/>
  <c r="P113" i="1"/>
  <c r="P16" i="18"/>
  <c r="P225" i="1"/>
  <c r="P58" i="18"/>
  <c r="P236" i="1"/>
  <c r="P69" i="18"/>
  <c r="P115" i="1"/>
  <c r="P18" i="18"/>
  <c r="P126" i="1"/>
  <c r="P29" i="18"/>
  <c r="P125" i="1"/>
  <c r="P28" i="18"/>
  <c r="P134" i="1"/>
  <c r="P37" i="18"/>
  <c r="P229" i="1"/>
  <c r="P62" i="18"/>
  <c r="P238" i="1"/>
  <c r="P71" i="18"/>
  <c r="P227" i="1"/>
  <c r="P60" i="18"/>
  <c r="P130" i="1"/>
  <c r="P33" i="18"/>
  <c r="P234" i="1"/>
  <c r="P67" i="18"/>
  <c r="P7"/>
  <c r="P700"/>
  <c r="P137" i="1"/>
  <c r="P40" i="18"/>
  <c r="P121" i="1"/>
  <c r="P24" i="18"/>
  <c r="P514"/>
  <c r="P52" i="7941"/>
  <c r="P138" i="1"/>
  <c r="P41" i="18"/>
  <c r="P233" i="1"/>
  <c r="P66" i="18"/>
  <c r="P111" i="1"/>
  <c r="P14" i="18"/>
  <c r="P226" i="1"/>
  <c r="P59" i="18"/>
  <c r="P232" i="1"/>
  <c r="P65" i="18"/>
  <c r="P228" i="1"/>
  <c r="P61" i="18"/>
  <c r="P117" i="1"/>
  <c r="P20" i="18"/>
  <c r="P128" i="1"/>
  <c r="P31" i="18"/>
  <c r="P521"/>
  <c r="P59" i="7941"/>
  <c r="P119" i="1"/>
  <c r="P22" i="18"/>
  <c r="P109" i="1"/>
  <c r="P239"/>
  <c r="P72" i="18"/>
  <c r="P135" i="1"/>
  <c r="P38" i="18"/>
  <c r="P528"/>
  <c r="P66" i="7941"/>
  <c r="P124" i="1"/>
  <c r="P27" i="18"/>
  <c r="P235" i="1"/>
  <c r="P68" i="18"/>
  <c r="P231" i="1"/>
  <c r="P64" i="18"/>
  <c r="P133" i="1"/>
  <c r="P36" i="18"/>
  <c r="P526"/>
  <c r="P64" i="7941"/>
  <c r="P230" i="1"/>
  <c r="P63" i="18"/>
  <c r="P123" i="1"/>
  <c r="P26" i="18"/>
  <c r="P516"/>
  <c r="P54" i="7941"/>
  <c r="P114" i="1"/>
  <c r="P17" i="18"/>
  <c r="P240" i="1"/>
  <c r="P73" i="18"/>
  <c r="P129" i="1"/>
  <c r="P32" i="18"/>
  <c r="P136" i="1"/>
  <c r="P39" i="18"/>
  <c r="P529"/>
  <c r="P67" i="7941"/>
  <c r="P132" i="1"/>
  <c r="P35" i="18"/>
  <c r="P112" i="1"/>
  <c r="P15" i="18"/>
  <c r="P505"/>
  <c r="P43" i="7941"/>
  <c r="P122" i="1"/>
  <c r="P25" i="18"/>
  <c r="P118" i="1"/>
  <c r="P21" i="18"/>
  <c r="P511"/>
  <c r="P49" i="7941"/>
  <c r="P127" i="1"/>
  <c r="P30" i="18"/>
  <c r="P120" i="1"/>
  <c r="P23" i="18"/>
  <c r="P513"/>
  <c r="P51" i="7941"/>
  <c r="P116" i="1"/>
  <c r="P19" i="18"/>
  <c r="P110" i="1"/>
  <c r="P13" i="18"/>
  <c r="P503"/>
  <c r="P41" i="7941"/>
  <c r="P237" i="1"/>
  <c r="P70" i="18"/>
  <c r="P131" i="1"/>
  <c r="P34" i="18"/>
  <c r="P524"/>
  <c r="P62" i="7941"/>
  <c r="N796" i="18"/>
  <c r="N507" i="7941"/>
  <c r="N800" i="18"/>
  <c r="N511" i="7941"/>
  <c r="O697" i="18"/>
  <c r="O699"/>
  <c r="O959"/>
  <c r="Q140"/>
  <c r="O964"/>
  <c r="Q192"/>
  <c r="N804"/>
  <c r="N515" i="7941"/>
  <c r="N794" i="18"/>
  <c r="N43"/>
  <c r="N798"/>
  <c r="N509" i="7941"/>
  <c r="N805" i="18"/>
  <c r="N516" i="7941"/>
  <c r="N502" i="18"/>
  <c r="N11"/>
  <c r="N795"/>
  <c r="N506" i="7941"/>
  <c r="N799" i="18"/>
  <c r="N510" i="7941"/>
  <c r="N803" i="18"/>
  <c r="N514" i="7941"/>
  <c r="Q205" i="18"/>
  <c r="O702"/>
  <c r="Q127"/>
  <c r="P698"/>
  <c r="E310" i="7945"/>
  <c r="O815" i="18"/>
  <c r="O526" i="7941"/>
  <c r="O139" i="1"/>
  <c r="O12" i="18"/>
  <c r="Q202"/>
  <c r="P202"/>
  <c r="E352" i="7945"/>
  <c r="O818" i="18"/>
  <c r="O529" i="7941"/>
  <c r="E422" i="7945"/>
  <c r="O823" i="18"/>
  <c r="O534" i="7941"/>
  <c r="E282" i="7945"/>
  <c r="O813" i="18"/>
  <c r="O524" i="7941"/>
  <c r="O806" i="18"/>
  <c r="O517" i="7941"/>
  <c r="Q150" i="18"/>
  <c r="P150"/>
  <c r="Q98"/>
  <c r="P98"/>
  <c r="E240" i="7945"/>
  <c r="O810" i="18"/>
  <c r="O521" i="7941"/>
  <c r="P228" i="18"/>
  <c r="Q228"/>
  <c r="O969"/>
  <c r="O968"/>
  <c r="O714"/>
  <c r="O717"/>
  <c r="O722"/>
  <c r="O720"/>
  <c r="O984"/>
  <c r="O713"/>
  <c r="O711"/>
  <c r="O712"/>
  <c r="O971"/>
  <c r="O972"/>
  <c r="O724"/>
  <c r="O982"/>
  <c r="O978"/>
  <c r="O709"/>
  <c r="O708"/>
  <c r="O973"/>
  <c r="O977"/>
  <c r="O983"/>
  <c r="O723"/>
  <c r="O980"/>
  <c r="O974"/>
  <c r="O718"/>
  <c r="O970"/>
  <c r="O710"/>
  <c r="O976"/>
  <c r="O716"/>
  <c r="O715"/>
  <c r="O975"/>
  <c r="O719"/>
  <c r="O979"/>
  <c r="O981"/>
  <c r="O721"/>
  <c r="O725"/>
  <c r="O985"/>
  <c r="O703"/>
  <c r="O963"/>
  <c r="E324" i="7945"/>
  <c r="O816" i="18"/>
  <c r="O527" i="7941"/>
  <c r="O812" i="18"/>
  <c r="O523" i="7941"/>
  <c r="E268" i="7945"/>
  <c r="O514" i="18"/>
  <c r="O52" i="7941"/>
  <c r="O506" i="18"/>
  <c r="O44" i="7941"/>
  <c r="O511" i="18"/>
  <c r="O49" i="7941"/>
  <c r="O515" i="18"/>
  <c r="O53" i="7941"/>
  <c r="Q163" i="18"/>
  <c r="P163"/>
  <c r="P111"/>
  <c r="Q111"/>
  <c r="N797"/>
  <c r="N508" i="7941"/>
  <c r="O957" i="18"/>
  <c r="O961"/>
  <c r="O701"/>
  <c r="Q153"/>
  <c r="O704"/>
  <c r="N802"/>
  <c r="N513" i="7941"/>
  <c r="O960" i="18"/>
  <c r="O700"/>
  <c r="O962"/>
  <c r="O958"/>
  <c r="Q754" i="7941"/>
  <c r="Q322"/>
  <c r="O168" i="7942"/>
  <c r="Q115"/>
  <c r="P117"/>
  <c r="Q116"/>
  <c r="Q117"/>
  <c r="P306"/>
  <c r="Q305"/>
  <c r="Q306"/>
  <c r="Q381" i="7941"/>
  <c r="Q403" i="7942"/>
  <c r="Q418" i="7941"/>
  <c r="P403" i="7942"/>
  <c r="Q411"/>
  <c r="Q422" i="7941"/>
  <c r="P411" i="7942"/>
  <c r="P328"/>
  <c r="Q327"/>
  <c r="Q328"/>
  <c r="Q392" i="7941"/>
  <c r="P326" i="7942"/>
  <c r="Q325"/>
  <c r="Q326"/>
  <c r="Q391" i="7941"/>
  <c r="Q273" i="7942"/>
  <c r="P274"/>
  <c r="Q753" i="7941"/>
  <c r="O276" i="7942"/>
  <c r="P275"/>
  <c r="P276"/>
  <c r="P964" i="18"/>
  <c r="Q405" i="7942"/>
  <c r="Q419" i="7941"/>
  <c r="P405" i="7942"/>
  <c r="Q439"/>
  <c r="Q436" i="7941"/>
  <c r="P439" i="7942"/>
  <c r="Q758" i="7941"/>
  <c r="Q326"/>
  <c r="P419" i="7942"/>
  <c r="Q419"/>
  <c r="Q426" i="7941"/>
  <c r="P409" i="7942"/>
  <c r="Q409"/>
  <c r="Q421" i="7941"/>
  <c r="Q435" i="7942"/>
  <c r="Q434" i="7941"/>
  <c r="P435" i="7942"/>
  <c r="P415"/>
  <c r="Q415"/>
  <c r="Q424" i="7941"/>
  <c r="Q733"/>
  <c r="Q301"/>
  <c r="P417" i="7942"/>
  <c r="Q417"/>
  <c r="Q425" i="7941"/>
  <c r="P699" i="18"/>
  <c r="P960"/>
  <c r="P958"/>
  <c r="P959"/>
  <c r="P704"/>
  <c r="P509"/>
  <c r="P47" i="7941"/>
  <c r="P520" i="18"/>
  <c r="P58" i="7941"/>
  <c r="P515" i="18"/>
  <c r="P53" i="7941"/>
  <c r="P525" i="18"/>
  <c r="P63" i="7941"/>
  <c r="P522" i="18"/>
  <c r="P60" i="7941"/>
  <c r="P507" i="18"/>
  <c r="P45" i="7941"/>
  <c r="P517" i="18"/>
  <c r="P55" i="7941"/>
  <c r="P512" i="18"/>
  <c r="P50" i="7941"/>
  <c r="P510" i="18"/>
  <c r="P48" i="7941"/>
  <c r="L695" i="18"/>
  <c r="O800"/>
  <c r="O511" i="7941"/>
  <c r="O795" i="18"/>
  <c r="O506" i="7941"/>
  <c r="O799" i="18"/>
  <c r="O510" i="7941"/>
  <c r="O803" i="18"/>
  <c r="O514" i="7941"/>
  <c r="Q190" i="18"/>
  <c r="E423" i="7945"/>
  <c r="P823" i="18"/>
  <c r="P534" i="7941"/>
  <c r="E353" i="7945"/>
  <c r="P818" i="18"/>
  <c r="P529" i="7941"/>
  <c r="P139" i="1"/>
  <c r="P12" i="18"/>
  <c r="P807"/>
  <c r="P518" i="7941"/>
  <c r="Q112" i="18"/>
  <c r="P811"/>
  <c r="P522" i="7941"/>
  <c r="E255" i="7945"/>
  <c r="P809" i="18"/>
  <c r="P520" i="7941"/>
  <c r="E227" i="7945"/>
  <c r="E325"/>
  <c r="P816" i="18"/>
  <c r="P527" i="7941"/>
  <c r="Q203" i="18"/>
  <c r="P969"/>
  <c r="P709"/>
  <c r="P973"/>
  <c r="P977"/>
  <c r="P708"/>
  <c r="P713"/>
  <c r="P717"/>
  <c r="P722"/>
  <c r="P720"/>
  <c r="P982"/>
  <c r="P980"/>
  <c r="P971"/>
  <c r="P972"/>
  <c r="P983"/>
  <c r="P968"/>
  <c r="P714"/>
  <c r="P724"/>
  <c r="P718"/>
  <c r="P978"/>
  <c r="P723"/>
  <c r="P712"/>
  <c r="P984"/>
  <c r="P974"/>
  <c r="P711"/>
  <c r="P721"/>
  <c r="P979"/>
  <c r="P975"/>
  <c r="P716"/>
  <c r="P710"/>
  <c r="P981"/>
  <c r="P719"/>
  <c r="P715"/>
  <c r="P976"/>
  <c r="P970"/>
  <c r="P985"/>
  <c r="P725"/>
  <c r="P703"/>
  <c r="P963"/>
  <c r="P697"/>
  <c r="P957"/>
  <c r="P523"/>
  <c r="P61" i="7941"/>
  <c r="P821" i="18"/>
  <c r="P532" i="7941"/>
  <c r="E395" i="7945"/>
  <c r="P527" i="18"/>
  <c r="P65" i="7941"/>
  <c r="P519" i="18"/>
  <c r="P57" i="7941"/>
  <c r="P819" i="18"/>
  <c r="P530" i="7941"/>
  <c r="E367" i="7945"/>
  <c r="P506" i="18"/>
  <c r="P44" i="7941"/>
  <c r="P241" i="1"/>
  <c r="Q86" i="18"/>
  <c r="P801"/>
  <c r="P512" i="7941"/>
  <c r="Q125" i="18"/>
  <c r="O798"/>
  <c r="O509" i="7941"/>
  <c r="P965" i="18"/>
  <c r="P702"/>
  <c r="P696"/>
  <c r="P956"/>
  <c r="P701"/>
  <c r="O796"/>
  <c r="O507" i="7941"/>
  <c r="O805" i="18"/>
  <c r="O516" i="7941"/>
  <c r="O502" i="18"/>
  <c r="O11"/>
  <c r="N476" i="7941"/>
  <c r="O476"/>
  <c r="N40"/>
  <c r="N39"/>
  <c r="N501" i="18"/>
  <c r="N505" i="7941"/>
  <c r="N504"/>
  <c r="N793" i="18"/>
  <c r="P820"/>
  <c r="P531" i="7941"/>
  <c r="E381" i="7945"/>
  <c r="Q138" i="18"/>
  <c r="P813"/>
  <c r="P524" i="7941"/>
  <c r="E283" i="7945"/>
  <c r="E297"/>
  <c r="P814" i="18"/>
  <c r="P525" i="7941"/>
  <c r="P822" i="18"/>
  <c r="P533" i="7941"/>
  <c r="E409" i="7945"/>
  <c r="P806" i="18"/>
  <c r="P517" i="7941"/>
  <c r="Q164" i="18"/>
  <c r="E311" i="7945"/>
  <c r="P815" i="18"/>
  <c r="P526" i="7941"/>
  <c r="P504" i="18"/>
  <c r="P42" i="7941"/>
  <c r="P531" i="18"/>
  <c r="P69" i="7941"/>
  <c r="P530" i="18"/>
  <c r="P68" i="7941"/>
  <c r="Q225" i="1"/>
  <c r="Q58" i="18"/>
  <c r="Q115" i="1"/>
  <c r="Q18" i="18"/>
  <c r="Q233" i="1"/>
  <c r="Q66" i="18"/>
  <c r="Q116" i="1"/>
  <c r="Q19" i="18"/>
  <c r="Q121" i="1"/>
  <c r="Q24" i="18"/>
  <c r="Q126" i="1"/>
  <c r="Q29" i="18"/>
  <c r="Q234" i="1"/>
  <c r="Q67" i="18"/>
  <c r="Q117" i="1"/>
  <c r="Q20" i="18"/>
  <c r="Q110" i="1"/>
  <c r="Q13" i="18"/>
  <c r="Q137" i="1"/>
  <c r="Q40" i="18"/>
  <c r="Q111" i="1"/>
  <c r="Q14" i="18"/>
  <c r="Q231" i="1"/>
  <c r="Q64" i="18"/>
  <c r="Q132" i="1"/>
  <c r="Q35" i="18"/>
  <c r="Q228" i="1"/>
  <c r="Q61" i="18"/>
  <c r="Q128" i="1"/>
  <c r="Q31" i="18"/>
  <c r="Q237" i="1"/>
  <c r="Q70" i="18"/>
  <c r="Q138" i="1"/>
  <c r="Q41" i="18"/>
  <c r="Q123" i="1"/>
  <c r="Q26" i="18"/>
  <c r="Q133" i="1"/>
  <c r="Q36" i="18"/>
  <c r="Q131" i="1"/>
  <c r="Q34" i="18"/>
  <c r="Q239" i="1"/>
  <c r="Q72" i="18"/>
  <c r="Q238" i="1"/>
  <c r="Q71" i="18"/>
  <c r="Q119" i="1"/>
  <c r="Q22" i="18"/>
  <c r="Q129" i="1"/>
  <c r="Q32" i="18"/>
  <c r="Q134" i="1"/>
  <c r="Q37" i="18"/>
  <c r="Q118" i="1"/>
  <c r="Q21" i="18"/>
  <c r="Q125" i="1"/>
  <c r="Q28" i="18"/>
  <c r="Q112" i="1"/>
  <c r="Q15" i="18"/>
  <c r="Q229" i="1"/>
  <c r="Q62" i="18"/>
  <c r="Q124" i="1"/>
  <c r="Q27" i="18"/>
  <c r="Q130" i="1"/>
  <c r="Q33" i="18"/>
  <c r="Q230" i="1"/>
  <c r="Q63" i="18"/>
  <c r="Q235" i="1"/>
  <c r="Q68" i="18"/>
  <c r="Q236" i="1"/>
  <c r="Q69" i="18"/>
  <c r="Q120" i="1"/>
  <c r="Q23" i="18"/>
  <c r="Q227" i="1"/>
  <c r="Q60" i="18"/>
  <c r="Q232" i="1"/>
  <c r="Q65" i="18"/>
  <c r="Q113" i="1"/>
  <c r="Q16" i="18"/>
  <c r="Q135" i="1"/>
  <c r="Q38" i="18"/>
  <c r="Q109" i="1"/>
  <c r="Q136"/>
  <c r="Q39" i="18"/>
  <c r="Q127" i="1"/>
  <c r="Q30" i="18"/>
  <c r="Q7"/>
  <c r="Q962"/>
  <c r="Q122" i="1"/>
  <c r="Q25" i="18"/>
  <c r="Q240" i="1"/>
  <c r="Q73" i="18"/>
  <c r="Q226" i="1"/>
  <c r="Q59" i="18"/>
  <c r="Q114" i="1"/>
  <c r="Q17" i="18"/>
  <c r="Q507"/>
  <c r="Q45" i="7941"/>
  <c r="P817" i="18"/>
  <c r="P528" i="7941"/>
  <c r="E339" i="7945"/>
  <c r="E241"/>
  <c r="P810" i="18"/>
  <c r="P521" i="7941"/>
  <c r="E269" i="7945"/>
  <c r="P812" i="18"/>
  <c r="P523" i="7941"/>
  <c r="P518" i="18"/>
  <c r="P56" i="7941"/>
  <c r="P508" i="18"/>
  <c r="P46" i="7941"/>
  <c r="P808" i="18"/>
  <c r="P519" i="7941"/>
  <c r="E213" i="7945"/>
  <c r="Q216" i="18"/>
  <c r="Q229"/>
  <c r="Q151"/>
  <c r="Q99"/>
  <c r="O804"/>
  <c r="O515" i="7941"/>
  <c r="O802" i="18"/>
  <c r="O513" i="7941"/>
  <c r="O797" i="18"/>
  <c r="O508" i="7941"/>
  <c r="O794" i="18"/>
  <c r="O43"/>
  <c r="P705"/>
  <c r="P962"/>
  <c r="Q702"/>
  <c r="P961"/>
  <c r="Q302" i="7941"/>
  <c r="Q734"/>
  <c r="Q735"/>
  <c r="Q303"/>
  <c r="Q107" i="7942"/>
  <c r="Q168"/>
  <c r="Q274"/>
  <c r="Q365" i="7941"/>
  <c r="P476"/>
  <c r="Q476"/>
  <c r="Q275" i="7942"/>
  <c r="M695" i="18"/>
  <c r="P795"/>
  <c r="P506" i="7941"/>
  <c r="P799" i="18"/>
  <c r="P510" i="7941"/>
  <c r="P805" i="18"/>
  <c r="P516" i="7941"/>
  <c r="E424" i="7945"/>
  <c r="E425"/>
  <c r="F425"/>
  <c r="L36" i="7946"/>
  <c r="Q823" i="18"/>
  <c r="Q534" i="7941"/>
  <c r="Q709" i="18"/>
  <c r="Q969"/>
  <c r="Q984"/>
  <c r="Q708"/>
  <c r="Q724"/>
  <c r="Q968"/>
  <c r="Q718"/>
  <c r="Q974"/>
  <c r="Q722"/>
  <c r="Q972"/>
  <c r="Q712"/>
  <c r="Q714"/>
  <c r="Q723"/>
  <c r="Q973"/>
  <c r="Q720"/>
  <c r="Q977"/>
  <c r="Q982"/>
  <c r="Q983"/>
  <c r="Q980"/>
  <c r="Q717"/>
  <c r="Q713"/>
  <c r="Q978"/>
  <c r="Q711"/>
  <c r="Q971"/>
  <c r="Q979"/>
  <c r="Q975"/>
  <c r="Q719"/>
  <c r="Q715"/>
  <c r="Q721"/>
  <c r="Q976"/>
  <c r="Q710"/>
  <c r="Q981"/>
  <c r="Q716"/>
  <c r="Q970"/>
  <c r="Q725"/>
  <c r="Q985"/>
  <c r="Q703"/>
  <c r="Q963"/>
  <c r="Q958"/>
  <c r="Q957"/>
  <c r="Q698"/>
  <c r="Q697"/>
  <c r="Q529"/>
  <c r="Q67" i="7941"/>
  <c r="Q796" i="18"/>
  <c r="Q507" i="7941"/>
  <c r="Q528" i="18"/>
  <c r="Q66" i="7941"/>
  <c r="E312" i="7945"/>
  <c r="E313"/>
  <c r="F313"/>
  <c r="L28" i="7946"/>
  <c r="Q815" i="18"/>
  <c r="Q526" i="7941"/>
  <c r="Q513" i="18"/>
  <c r="Q51" i="7941"/>
  <c r="E354" i="7945"/>
  <c r="E355"/>
  <c r="F355"/>
  <c r="L31" i="7946"/>
  <c r="Q818" i="18"/>
  <c r="Q529" i="7941"/>
  <c r="Q523" i="18"/>
  <c r="Q61" i="7941"/>
  <c r="Q812" i="18"/>
  <c r="Q523" i="7941"/>
  <c r="E270" i="7945"/>
  <c r="E271"/>
  <c r="F271"/>
  <c r="L25" i="7946"/>
  <c r="Q518" i="18"/>
  <c r="Q56" i="7941"/>
  <c r="Q801" i="18"/>
  <c r="Q512" i="7941"/>
  <c r="Q797" i="18"/>
  <c r="Q508" i="7941"/>
  <c r="Q803" i="18"/>
  <c r="Q514" i="7941"/>
  <c r="Q527" i="18"/>
  <c r="Q65" i="7941"/>
  <c r="Q512" i="18"/>
  <c r="Q50" i="7941"/>
  <c r="E410" i="7945"/>
  <c r="E411"/>
  <c r="F411"/>
  <c r="L35" i="7946"/>
  <c r="Q822" i="18"/>
  <c r="Q533" i="7941"/>
  <c r="Q804" i="18"/>
  <c r="Q515" i="7941"/>
  <c r="Q807" i="18"/>
  <c r="Q518" i="7941"/>
  <c r="Q516" i="18"/>
  <c r="Q54" i="7941"/>
  <c r="E382" i="7945"/>
  <c r="E383"/>
  <c r="F383"/>
  <c r="L33" i="7946"/>
  <c r="Q820" i="18"/>
  <c r="Q531" i="7941"/>
  <c r="Q811" i="18"/>
  <c r="Q522" i="7941"/>
  <c r="E256" i="7945"/>
  <c r="E257"/>
  <c r="F257"/>
  <c r="L24" i="7946"/>
  <c r="Q814" i="18"/>
  <c r="Q525" i="7941"/>
  <c r="E298" i="7945"/>
  <c r="E299"/>
  <c r="F299"/>
  <c r="L27" i="7946"/>
  <c r="Q530" i="18"/>
  <c r="Q68" i="7941"/>
  <c r="Q510" i="18"/>
  <c r="Q48" i="7941"/>
  <c r="Q519" i="18"/>
  <c r="Q57" i="7941"/>
  <c r="Q509" i="18"/>
  <c r="Q47" i="7941"/>
  <c r="Q508" i="18"/>
  <c r="Q46" i="7941"/>
  <c r="Q241" i="1"/>
  <c r="R242"/>
  <c r="Q802" i="18"/>
  <c r="Q513" i="7941"/>
  <c r="Q959" i="18"/>
  <c r="Q961"/>
  <c r="P502"/>
  <c r="P11"/>
  <c r="Q700"/>
  <c r="Q704"/>
  <c r="Q965"/>
  <c r="N991"/>
  <c r="Q956"/>
  <c r="O505" i="7941"/>
  <c r="O504"/>
  <c r="O793" i="18"/>
  <c r="P804"/>
  <c r="P515" i="7941"/>
  <c r="Q809" i="18"/>
  <c r="Q520" i="7941"/>
  <c r="E228" i="7945"/>
  <c r="E229"/>
  <c r="F229"/>
  <c r="L22" i="7946"/>
  <c r="Q515" i="18"/>
  <c r="Q53" i="7941"/>
  <c r="Q520" i="18"/>
  <c r="Q58" i="7941"/>
  <c r="Q800" i="18"/>
  <c r="Q511" i="7941"/>
  <c r="Q12" i="18"/>
  <c r="Q139" i="1"/>
  <c r="R140"/>
  <c r="Q506" i="18"/>
  <c r="Q44" i="7941"/>
  <c r="Q810" i="18"/>
  <c r="Q521" i="7941"/>
  <c r="E242" i="7945"/>
  <c r="E243"/>
  <c r="F243"/>
  <c r="L23" i="7946"/>
  <c r="Q819" i="18"/>
  <c r="Q530" i="7941"/>
  <c r="E368" i="7945"/>
  <c r="E369"/>
  <c r="F369"/>
  <c r="L32" i="7946"/>
  <c r="Q813" i="18"/>
  <c r="Q524" i="7941"/>
  <c r="E284" i="7945"/>
  <c r="E285"/>
  <c r="F285"/>
  <c r="L26" i="7946"/>
  <c r="Q517" i="18"/>
  <c r="Q55" i="7941"/>
  <c r="Q505" i="18"/>
  <c r="Q43" i="7941"/>
  <c r="Q806" i="18"/>
  <c r="Q517" i="7941"/>
  <c r="Q799" i="18"/>
  <c r="Q510" i="7941"/>
  <c r="Q795" i="18"/>
  <c r="Q506" i="7941"/>
  <c r="Q511" i="18"/>
  <c r="Q49" i="7941"/>
  <c r="Q522" i="18"/>
  <c r="Q60" i="7941"/>
  <c r="E396" i="7945"/>
  <c r="E397"/>
  <c r="F397"/>
  <c r="L34" i="7946"/>
  <c r="Q821" i="18"/>
  <c r="Q532" i="7941"/>
  <c r="Q524" i="18"/>
  <c r="Q62" i="7941"/>
  <c r="Q798" i="18"/>
  <c r="Q509" i="7941"/>
  <c r="Q526" i="18"/>
  <c r="Q64" i="7941"/>
  <c r="Q531" i="18"/>
  <c r="Q69" i="7941"/>
  <c r="Q521" i="18"/>
  <c r="Q59" i="7941"/>
  <c r="Q525" i="18"/>
  <c r="Q63" i="7941"/>
  <c r="Q504" i="18"/>
  <c r="Q42" i="7941"/>
  <c r="Q503" i="18"/>
  <c r="Q41" i="7941"/>
  <c r="E340" i="7945"/>
  <c r="E341"/>
  <c r="F341"/>
  <c r="L30" i="7946"/>
  <c r="Q817" i="18"/>
  <c r="Q528" i="7941"/>
  <c r="Q514" i="18"/>
  <c r="Q52" i="7941"/>
  <c r="Q816" i="18"/>
  <c r="Q527" i="7941"/>
  <c r="E326" i="7945"/>
  <c r="E327"/>
  <c r="F327"/>
  <c r="L29" i="7946"/>
  <c r="Q808" i="18"/>
  <c r="Q519" i="7941"/>
  <c r="E214" i="7945"/>
  <c r="E215"/>
  <c r="F215"/>
  <c r="L21" i="7946"/>
  <c r="Q805" i="18"/>
  <c r="Q516" i="7941"/>
  <c r="P800" i="18"/>
  <c r="P511" i="7941"/>
  <c r="P798" i="18"/>
  <c r="P509" i="7941"/>
  <c r="Q699" i="18"/>
  <c r="O40" i="7941"/>
  <c r="O39"/>
  <c r="O501" i="18"/>
  <c r="Q701"/>
  <c r="P797"/>
  <c r="P508" i="7941"/>
  <c r="P794" i="18"/>
  <c r="P43"/>
  <c r="P803"/>
  <c r="P514" i="7941"/>
  <c r="P796" i="18"/>
  <c r="P507" i="7941"/>
  <c r="P802" i="18"/>
  <c r="P513" i="7941"/>
  <c r="Q960" i="18"/>
  <c r="Q964"/>
  <c r="Q705"/>
  <c r="Q696"/>
  <c r="Q298" i="7941"/>
  <c r="Q730"/>
  <c r="N477"/>
  <c r="O477"/>
  <c r="P477"/>
  <c r="Q477"/>
  <c r="N992" i="18"/>
  <c r="N830"/>
  <c r="N541" i="7941"/>
  <c r="Q276" i="7942"/>
  <c r="Q366" i="7941"/>
  <c r="N829" i="18"/>
  <c r="N540" i="7941"/>
  <c r="O991" i="18"/>
  <c r="P991"/>
  <c r="P829"/>
  <c r="P540" i="7941"/>
  <c r="P40"/>
  <c r="P39"/>
  <c r="P501" i="18"/>
  <c r="O992"/>
  <c r="O830"/>
  <c r="O541" i="7941"/>
  <c r="P505"/>
  <c r="P504"/>
  <c r="P793" i="18"/>
  <c r="Q502"/>
  <c r="Q11"/>
  <c r="N765"/>
  <c r="O765"/>
  <c r="P765"/>
  <c r="O670" i="7941"/>
  <c r="P670"/>
  <c r="Q670"/>
  <c r="Q794" i="18"/>
  <c r="Q43"/>
  <c r="N766"/>
  <c r="Q765"/>
  <c r="R765"/>
  <c r="P992"/>
  <c r="P830"/>
  <c r="P541" i="7941"/>
  <c r="O829" i="18"/>
  <c r="O540" i="7941"/>
  <c r="Q991" i="18"/>
  <c r="Q829"/>
  <c r="Q540" i="7941"/>
  <c r="Q505"/>
  <c r="Q504"/>
  <c r="Q793" i="18"/>
  <c r="Q40" i="7941"/>
  <c r="Q39"/>
  <c r="Q501" i="18"/>
  <c r="N11" i="7941"/>
  <c r="N997" i="18"/>
  <c r="N835"/>
  <c r="N546" i="7941"/>
  <c r="N482"/>
  <c r="O482"/>
  <c r="P482"/>
  <c r="O766" i="18"/>
  <c r="P766"/>
  <c r="Q766"/>
  <c r="N731"/>
  <c r="N537"/>
  <c r="N75" i="7941"/>
  <c r="O671"/>
  <c r="Q992" i="18"/>
  <c r="Q830"/>
  <c r="Q541" i="7941"/>
  <c r="N12"/>
  <c r="O12"/>
  <c r="Q482"/>
  <c r="P671"/>
  <c r="Q671"/>
  <c r="O731" i="18"/>
  <c r="O537"/>
  <c r="O75" i="7941"/>
  <c r="N473" i="18"/>
  <c r="R766"/>
  <c r="O997"/>
  <c r="O835"/>
  <c r="O546" i="7941"/>
  <c r="O11"/>
  <c r="P11"/>
  <c r="Q11"/>
  <c r="N771" i="18"/>
  <c r="P12" i="7941"/>
  <c r="Q12"/>
  <c r="N732" i="18"/>
  <c r="P731"/>
  <c r="P537"/>
  <c r="P75" i="7941"/>
  <c r="N475"/>
  <c r="N990" i="18"/>
  <c r="N828"/>
  <c r="N539" i="7941"/>
  <c r="N480"/>
  <c r="O480"/>
  <c r="N14"/>
  <c r="N734" i="18"/>
  <c r="N540"/>
  <c r="N78" i="7941"/>
  <c r="N995" i="18"/>
  <c r="N833"/>
  <c r="N544" i="7941"/>
  <c r="N996" i="18"/>
  <c r="N834"/>
  <c r="N545" i="7941"/>
  <c r="N737" i="18"/>
  <c r="N543"/>
  <c r="N81" i="7941"/>
  <c r="N735" i="18"/>
  <c r="N541"/>
  <c r="N79" i="7941"/>
  <c r="N994" i="18"/>
  <c r="N832"/>
  <c r="N543" i="7941"/>
  <c r="O771" i="18"/>
  <c r="P771"/>
  <c r="Q771"/>
  <c r="R771"/>
  <c r="N988"/>
  <c r="O988"/>
  <c r="P988"/>
  <c r="N733"/>
  <c r="N539"/>
  <c r="N77" i="7941"/>
  <c r="N10"/>
  <c r="O10"/>
  <c r="P10"/>
  <c r="Q10"/>
  <c r="N479"/>
  <c r="O479"/>
  <c r="P479"/>
  <c r="Q479"/>
  <c r="N478"/>
  <c r="O478"/>
  <c r="N481"/>
  <c r="O481"/>
  <c r="N17"/>
  <c r="O17"/>
  <c r="P17"/>
  <c r="Q17"/>
  <c r="P997" i="18"/>
  <c r="O473"/>
  <c r="P473"/>
  <c r="Q473"/>
  <c r="R473"/>
  <c r="N473" i="7941"/>
  <c r="N993" i="18"/>
  <c r="N831"/>
  <c r="N542" i="7941"/>
  <c r="N730" i="18"/>
  <c r="O730"/>
  <c r="P730"/>
  <c r="N15" i="7941"/>
  <c r="O15"/>
  <c r="O238"/>
  <c r="P238"/>
  <c r="Q238"/>
  <c r="N13"/>
  <c r="O13"/>
  <c r="P13"/>
  <c r="N474" i="18"/>
  <c r="O474"/>
  <c r="O239" i="7941"/>
  <c r="P239"/>
  <c r="Q239"/>
  <c r="O995" i="18"/>
  <c r="O833"/>
  <c r="O544" i="7941"/>
  <c r="N538" i="18"/>
  <c r="N76" i="7941"/>
  <c r="O732" i="18"/>
  <c r="Q731"/>
  <c r="Q537"/>
  <c r="Q75" i="7941"/>
  <c r="O676"/>
  <c r="P676"/>
  <c r="O990" i="18"/>
  <c r="O828"/>
  <c r="O539" i="7941"/>
  <c r="P995" i="18"/>
  <c r="P833"/>
  <c r="P544" i="7941"/>
  <c r="O734" i="18"/>
  <c r="O540"/>
  <c r="O78" i="7941"/>
  <c r="P481"/>
  <c r="Q481"/>
  <c r="N764" i="18"/>
  <c r="O475" i="7941"/>
  <c r="P475"/>
  <c r="Q475"/>
  <c r="P478"/>
  <c r="Q478"/>
  <c r="P15"/>
  <c r="Q15"/>
  <c r="O993" i="18"/>
  <c r="N736"/>
  <c r="N542"/>
  <c r="N80" i="7941"/>
  <c r="N769" i="18"/>
  <c r="O733"/>
  <c r="O539"/>
  <c r="O77" i="7941"/>
  <c r="O996" i="18"/>
  <c r="O834"/>
  <c r="O545" i="7941"/>
  <c r="O241"/>
  <c r="P241"/>
  <c r="Q241"/>
  <c r="N476" i="18"/>
  <c r="N16" i="7941"/>
  <c r="O16"/>
  <c r="P16"/>
  <c r="O14"/>
  <c r="P480"/>
  <c r="Q480"/>
  <c r="Q13"/>
  <c r="P536" i="18"/>
  <c r="P74" i="7941"/>
  <c r="Q730" i="18"/>
  <c r="P826"/>
  <c r="Q988"/>
  <c r="N472"/>
  <c r="O473" i="7941"/>
  <c r="P835" i="18"/>
  <c r="P546" i="7941"/>
  <c r="Q997" i="18"/>
  <c r="Q835"/>
  <c r="Q546" i="7941"/>
  <c r="O240"/>
  <c r="P240"/>
  <c r="Q240"/>
  <c r="N475" i="18"/>
  <c r="O475"/>
  <c r="P475"/>
  <c r="Q475"/>
  <c r="R475"/>
  <c r="O994"/>
  <c r="O735"/>
  <c r="O737"/>
  <c r="O244" i="7941"/>
  <c r="P244"/>
  <c r="Q244"/>
  <c r="N479" i="18"/>
  <c r="O479"/>
  <c r="P479"/>
  <c r="Q479"/>
  <c r="R479"/>
  <c r="O536"/>
  <c r="N536"/>
  <c r="O672" i="7941"/>
  <c r="P672"/>
  <c r="Q672"/>
  <c r="N767" i="18"/>
  <c r="O767"/>
  <c r="P767"/>
  <c r="Q767"/>
  <c r="R767"/>
  <c r="O826"/>
  <c r="N826"/>
  <c r="N762"/>
  <c r="O673" i="7941"/>
  <c r="P673"/>
  <c r="Q673"/>
  <c r="N768" i="18"/>
  <c r="O768"/>
  <c r="P768"/>
  <c r="Q768"/>
  <c r="R768"/>
  <c r="O242" i="7941"/>
  <c r="P242"/>
  <c r="Q242"/>
  <c r="N477" i="18"/>
  <c r="O477"/>
  <c r="P477"/>
  <c r="Q477"/>
  <c r="R477"/>
  <c r="O675" i="7941"/>
  <c r="P675"/>
  <c r="Q675"/>
  <c r="N770" i="18"/>
  <c r="O770"/>
  <c r="P770"/>
  <c r="Q770"/>
  <c r="R770"/>
  <c r="P734"/>
  <c r="P540"/>
  <c r="P78" i="7941"/>
  <c r="P474" i="18"/>
  <c r="Q474"/>
  <c r="R474"/>
  <c r="P990"/>
  <c r="O538"/>
  <c r="O76" i="7941"/>
  <c r="P732" i="18"/>
  <c r="P996"/>
  <c r="P834"/>
  <c r="P545" i="7941"/>
  <c r="Q676"/>
  <c r="Q995" i="18"/>
  <c r="Q833"/>
  <c r="Q544" i="7941"/>
  <c r="P733" i="18"/>
  <c r="P539"/>
  <c r="O669" i="7941"/>
  <c r="O764" i="18"/>
  <c r="P764"/>
  <c r="Q16" i="7941"/>
  <c r="O476" i="18"/>
  <c r="P476"/>
  <c r="Q476"/>
  <c r="P14" i="7941"/>
  <c r="Q14"/>
  <c r="O674"/>
  <c r="O831" i="18"/>
  <c r="O542" i="7941"/>
  <c r="P993" i="18"/>
  <c r="O769"/>
  <c r="P769"/>
  <c r="Q769"/>
  <c r="O736"/>
  <c r="N478"/>
  <c r="O478"/>
  <c r="P478"/>
  <c r="Q478"/>
  <c r="R478"/>
  <c r="N537" i="7941"/>
  <c r="O537"/>
  <c r="O541" i="18"/>
  <c r="O79" i="7941"/>
  <c r="P735" i="18"/>
  <c r="O472"/>
  <c r="P537" i="7941"/>
  <c r="Q536" i="18"/>
  <c r="O762"/>
  <c r="N74" i="7941"/>
  <c r="O74"/>
  <c r="O543" i="18"/>
  <c r="O81" i="7941"/>
  <c r="P737" i="18"/>
  <c r="O832"/>
  <c r="O543" i="7941"/>
  <c r="P994" i="18"/>
  <c r="P473" i="7941"/>
  <c r="Q826" i="18"/>
  <c r="Q996"/>
  <c r="Q834"/>
  <c r="Q545" i="7941"/>
  <c r="Q734" i="18"/>
  <c r="Q540"/>
  <c r="Q78" i="7941"/>
  <c r="P828" i="18"/>
  <c r="P539" i="7941"/>
  <c r="Q990" i="18"/>
  <c r="Q828"/>
  <c r="Q539" i="7941"/>
  <c r="Q732" i="18"/>
  <c r="Q538"/>
  <c r="Q76" i="7941"/>
  <c r="P538" i="18"/>
  <c r="P76" i="7941"/>
  <c r="Q733" i="18"/>
  <c r="Q539"/>
  <c r="Q77" i="7941"/>
  <c r="P674"/>
  <c r="Q674"/>
  <c r="Q764" i="18"/>
  <c r="R764"/>
  <c r="P669" i="7941"/>
  <c r="Q669"/>
  <c r="R476" i="18"/>
  <c r="O243" i="7941"/>
  <c r="P243"/>
  <c r="Q243"/>
  <c r="P831" i="18"/>
  <c r="P542" i="7941"/>
  <c r="Q993" i="18"/>
  <c r="Q831"/>
  <c r="Q542" i="7941"/>
  <c r="O542" i="18"/>
  <c r="O80" i="7941"/>
  <c r="P736" i="18"/>
  <c r="R769"/>
  <c r="P762"/>
  <c r="P77" i="7941"/>
  <c r="Q74"/>
  <c r="P472" i="18"/>
  <c r="P541"/>
  <c r="P79" i="7941"/>
  <c r="Q735" i="18"/>
  <c r="Q541"/>
  <c r="Q79" i="7941"/>
  <c r="Q537"/>
  <c r="Q473"/>
  <c r="P832" i="18"/>
  <c r="Q994"/>
  <c r="P543"/>
  <c r="P81" i="7941"/>
  <c r="Q737" i="18"/>
  <c r="Q543"/>
  <c r="Q81" i="7941"/>
  <c r="P542" i="18"/>
  <c r="P80" i="7941"/>
  <c r="Q736" i="18"/>
  <c r="Q542"/>
  <c r="Q80" i="7941"/>
  <c r="N474"/>
  <c r="O474"/>
  <c r="N989" i="18"/>
  <c r="O667" i="7941"/>
  <c r="Q832" i="18"/>
  <c r="Q472"/>
  <c r="O237" i="7941"/>
  <c r="Q762" i="18"/>
  <c r="P543" i="7941"/>
  <c r="N827" i="18"/>
  <c r="P474" i="7941"/>
  <c r="O989" i="18"/>
  <c r="N763"/>
  <c r="Q474" i="7941"/>
  <c r="R762" i="18"/>
  <c r="Q543" i="7941"/>
  <c r="P237"/>
  <c r="R472" i="18"/>
  <c r="P667" i="7941"/>
  <c r="N729" i="18"/>
  <c r="O763"/>
  <c r="O827"/>
  <c r="P989"/>
  <c r="Q989"/>
  <c r="N9" i="7941"/>
  <c r="N538"/>
  <c r="Q237"/>
  <c r="Q667"/>
  <c r="O9"/>
  <c r="P763" i="18"/>
  <c r="N535"/>
  <c r="O729"/>
  <c r="N471"/>
  <c r="Q827"/>
  <c r="P827"/>
  <c r="O538" i="7941"/>
  <c r="O668"/>
  <c r="O471" i="18"/>
  <c r="P9" i="7941"/>
  <c r="P538"/>
  <c r="Q538"/>
  <c r="O535" i="18"/>
  <c r="P729"/>
  <c r="N73" i="7941"/>
  <c r="Q763" i="18"/>
  <c r="N8" i="7941"/>
  <c r="N728" i="18"/>
  <c r="P668" i="7941"/>
  <c r="P535" i="18"/>
  <c r="Q729"/>
  <c r="O73" i="7941"/>
  <c r="P471" i="18"/>
  <c r="R763"/>
  <c r="Q9" i="7941"/>
  <c r="O728" i="18"/>
  <c r="P728"/>
  <c r="N534"/>
  <c r="O8" i="7941"/>
  <c r="N470" i="18"/>
  <c r="Q668" i="7941"/>
  <c r="O236"/>
  <c r="Q535" i="18"/>
  <c r="P73" i="7941"/>
  <c r="Q471" i="18"/>
  <c r="O470"/>
  <c r="P8" i="7941"/>
  <c r="N72"/>
  <c r="Q728" i="18"/>
  <c r="P534"/>
  <c r="O534"/>
  <c r="R471"/>
  <c r="P236" i="7941"/>
  <c r="Q73"/>
  <c r="O72"/>
  <c r="P72"/>
  <c r="Q8"/>
  <c r="P470" i="18"/>
  <c r="Q534"/>
  <c r="Q236" i="7941"/>
  <c r="Q470" i="18"/>
  <c r="O235" i="7941"/>
  <c r="Q72"/>
  <c r="P235"/>
  <c r="R470" i="18"/>
  <c r="Q235" i="7941"/>
  <c r="F117" i="7945"/>
  <c r="L14" i="7946"/>
  <c r="K187" i="7945"/>
  <c r="O19" i="7946"/>
  <c r="K201" i="7945"/>
  <c r="O20" i="7946"/>
  <c r="K117" i="7945"/>
  <c r="O14" i="7946"/>
  <c r="M31" i="7944" l="1"/>
  <c r="M383"/>
  <c r="N383"/>
  <c r="O383"/>
  <c r="P383"/>
  <c r="Q383"/>
  <c r="K28"/>
  <c r="M344"/>
  <c r="M71" s="1"/>
  <c r="N344"/>
  <c r="N71" s="1"/>
  <c r="J71"/>
  <c r="O344"/>
  <c r="O71" s="1"/>
  <c r="P344"/>
  <c r="P71" s="1"/>
  <c r="Q344"/>
  <c r="Q71" s="1"/>
  <c r="H295" i="7942"/>
  <c r="I295"/>
  <c r="J295"/>
  <c r="K295"/>
  <c r="L295"/>
  <c r="M295"/>
  <c r="H293"/>
  <c r="I293"/>
  <c r="J293"/>
  <c r="K293"/>
  <c r="L293"/>
  <c r="M293"/>
  <c r="H291"/>
  <c r="I291"/>
  <c r="I268" s="1"/>
  <c r="J291"/>
  <c r="J268" s="1"/>
  <c r="K291"/>
  <c r="K268" s="1"/>
  <c r="L291"/>
  <c r="L268" s="1"/>
  <c r="M291"/>
  <c r="M268" s="1"/>
  <c r="H206" i="18"/>
  <c r="I206"/>
  <c r="I218" s="1"/>
  <c r="J206"/>
  <c r="J218" s="1"/>
  <c r="K206"/>
  <c r="K218" s="1"/>
  <c r="L206"/>
  <c r="L218" s="1"/>
  <c r="M206"/>
  <c r="M218" s="1"/>
  <c r="E148" i="7945"/>
  <c r="E159" s="1"/>
  <c r="F159" s="1"/>
  <c r="L17" i="7946" s="1"/>
  <c r="H420" i="7942"/>
  <c r="I420"/>
  <c r="J420"/>
  <c r="K420"/>
  <c r="L420"/>
  <c r="M420"/>
  <c r="N420"/>
  <c r="H422"/>
  <c r="I422"/>
  <c r="J422"/>
  <c r="K422"/>
  <c r="L422"/>
  <c r="M422"/>
  <c r="L423" s="1"/>
  <c r="N422"/>
  <c r="M423" s="1"/>
  <c r="H424"/>
  <c r="I424"/>
  <c r="J424"/>
  <c r="K424"/>
  <c r="L424"/>
  <c r="M424"/>
  <c r="L425" s="1"/>
  <c r="N424"/>
  <c r="M425" s="1"/>
  <c r="H426"/>
  <c r="I426"/>
  <c r="J426"/>
  <c r="K426"/>
  <c r="L426"/>
  <c r="M426"/>
  <c r="L427" s="1"/>
  <c r="N426"/>
  <c r="M427" s="1"/>
  <c r="G643" i="18"/>
  <c r="H459" i="7942"/>
  <c r="E190" i="7945" s="1"/>
  <c r="E201" s="1"/>
  <c r="F201" s="1"/>
  <c r="L20" i="7946" s="1"/>
  <c r="G642" i="18"/>
  <c r="H458" i="7942"/>
  <c r="E176" i="7945" s="1"/>
  <c r="E187" s="1"/>
  <c r="F187" s="1"/>
  <c r="L19" i="7946" s="1"/>
  <c r="G641" i="18"/>
  <c r="H457" i="7942"/>
  <c r="H738" i="18"/>
  <c r="G623"/>
  <c r="G161" i="7941" s="1"/>
  <c r="G915" i="18"/>
  <c r="G626" i="7941" s="1"/>
  <c r="G591" i="18"/>
  <c r="G129" i="7941" s="1"/>
  <c r="G883" i="18"/>
  <c r="G594" i="7941" s="1"/>
  <c r="G559" i="18"/>
  <c r="G851"/>
  <c r="G527"/>
  <c r="G65" i="7941" s="1"/>
  <c r="G819" i="18"/>
  <c r="G530" i="7941" s="1"/>
  <c r="H787" i="18"/>
  <c r="G498" i="7941"/>
  <c r="G622" i="18"/>
  <c r="G160" i="7941" s="1"/>
  <c r="G914" i="18"/>
  <c r="G625" i="7941" s="1"/>
  <c r="G590" i="18"/>
  <c r="G128" i="7941" s="1"/>
  <c r="G882" i="18"/>
  <c r="G593" i="7941" s="1"/>
  <c r="G558" i="18"/>
  <c r="G850"/>
  <c r="G526"/>
  <c r="G64" i="7941" s="1"/>
  <c r="G818" i="18"/>
  <c r="G529" i="7941" s="1"/>
  <c r="H786" i="18"/>
  <c r="G497" i="7941"/>
  <c r="G621" i="18"/>
  <c r="G159" i="7941" s="1"/>
  <c r="G913" i="18"/>
  <c r="G624" i="7941" s="1"/>
  <c r="G589" i="18"/>
  <c r="G127" i="7941" s="1"/>
  <c r="G881" i="18"/>
  <c r="G592" i="7941" s="1"/>
  <c r="G557" i="18"/>
  <c r="G849"/>
  <c r="G525"/>
  <c r="G63" i="7941" s="1"/>
  <c r="G817" i="18"/>
  <c r="G528" i="7941" s="1"/>
  <c r="H785" i="18"/>
  <c r="G496" i="7941"/>
  <c r="G620" i="18"/>
  <c r="G158" i="7941" s="1"/>
  <c r="G912" i="18"/>
  <c r="G623" i="7941" s="1"/>
  <c r="G588" i="18"/>
  <c r="G126" i="7941" s="1"/>
  <c r="G880" i="18"/>
  <c r="G591" i="7941" s="1"/>
  <c r="G556" i="18"/>
  <c r="G848"/>
  <c r="G524"/>
  <c r="G62" i="7941" s="1"/>
  <c r="G816" i="18"/>
  <c r="G527" i="7941" s="1"/>
  <c r="H784" i="18"/>
  <c r="G495" i="7941"/>
  <c r="G619" i="18"/>
  <c r="G157" i="7941" s="1"/>
  <c r="G911" i="18"/>
  <c r="G622" i="7941" s="1"/>
  <c r="G587" i="18"/>
  <c r="G125" i="7941" s="1"/>
  <c r="G879" i="18"/>
  <c r="G590" i="7941" s="1"/>
  <c r="G555" i="18"/>
  <c r="G847"/>
  <c r="G523"/>
  <c r="G61" i="7941" s="1"/>
  <c r="G815" i="18"/>
  <c r="G526" i="7941" s="1"/>
  <c r="H783" i="18"/>
  <c r="G494" i="7941"/>
  <c r="G618" i="18"/>
  <c r="G156" i="7941" s="1"/>
  <c r="G910" i="18"/>
  <c r="G621" i="7941" s="1"/>
  <c r="G586" i="18"/>
  <c r="G124" i="7941" s="1"/>
  <c r="G878" i="18"/>
  <c r="G589" i="7941" s="1"/>
  <c r="G554" i="18"/>
  <c r="G846"/>
  <c r="G522"/>
  <c r="G60" i="7941" s="1"/>
  <c r="G814" i="18"/>
  <c r="G525" i="7941" s="1"/>
  <c r="H782" i="18"/>
  <c r="G493" i="7941"/>
  <c r="G617" i="18"/>
  <c r="G155" i="7941" s="1"/>
  <c r="G909" i="18"/>
  <c r="G620" i="7941" s="1"/>
  <c r="G585" i="18"/>
  <c r="G123" i="7941" s="1"/>
  <c r="G877" i="18"/>
  <c r="G588" i="7941" s="1"/>
  <c r="G553" i="18"/>
  <c r="G845"/>
  <c r="G521"/>
  <c r="G59" i="7941" s="1"/>
  <c r="G813" i="18"/>
  <c r="G524" i="7941" s="1"/>
  <c r="H781" i="18"/>
  <c r="G492" i="7941"/>
  <c r="G616" i="18"/>
  <c r="G154" i="7941" s="1"/>
  <c r="G908" i="18"/>
  <c r="G619" i="7941" s="1"/>
  <c r="G584" i="18"/>
  <c r="G122" i="7941" s="1"/>
  <c r="G876" i="18"/>
  <c r="G587" i="7941" s="1"/>
  <c r="G552" i="18"/>
  <c r="G844"/>
  <c r="G520"/>
  <c r="G58" i="7941" s="1"/>
  <c r="G812" i="18"/>
  <c r="G523" i="7941" s="1"/>
  <c r="H780" i="18"/>
  <c r="G491" i="7941"/>
  <c r="G615" i="18"/>
  <c r="G153" i="7941" s="1"/>
  <c r="G907" i="18"/>
  <c r="G618" i="7941" s="1"/>
  <c r="G583" i="18"/>
  <c r="G121" i="7941" s="1"/>
  <c r="G875" i="18"/>
  <c r="G586" i="7941" s="1"/>
  <c r="G551" i="18"/>
  <c r="G843"/>
  <c r="G519"/>
  <c r="G57" i="7941" s="1"/>
  <c r="G811" i="18"/>
  <c r="G522" i="7941" s="1"/>
  <c r="H779" i="18"/>
  <c r="G490" i="7941"/>
  <c r="G614" i="18"/>
  <c r="G152" i="7941" s="1"/>
  <c r="G906" i="18"/>
  <c r="G617" i="7941" s="1"/>
  <c r="G582" i="18"/>
  <c r="G120" i="7941" s="1"/>
  <c r="G874" i="18"/>
  <c r="G585" i="7941" s="1"/>
  <c r="G550" i="18"/>
  <c r="G842"/>
  <c r="G518"/>
  <c r="G56" i="7941" s="1"/>
  <c r="G810" i="18"/>
  <c r="G521" i="7941" s="1"/>
  <c r="H778" i="18"/>
  <c r="G489" i="7941"/>
  <c r="G613" i="18"/>
  <c r="G151" i="7941" s="1"/>
  <c r="G905" i="18"/>
  <c r="G616" i="7941" s="1"/>
  <c r="G581" i="18"/>
  <c r="G119" i="7941" s="1"/>
  <c r="G873" i="18"/>
  <c r="G584" i="7941" s="1"/>
  <c r="G549" i="18"/>
  <c r="G841"/>
  <c r="G517"/>
  <c r="G55" i="7941" s="1"/>
  <c r="G809" i="18"/>
  <c r="G520" i="7941" s="1"/>
  <c r="H777" i="18"/>
  <c r="G488" i="7941"/>
  <c r="G612" i="18"/>
  <c r="G904"/>
  <c r="G580"/>
  <c r="G872"/>
  <c r="G548"/>
  <c r="G840"/>
  <c r="G516"/>
  <c r="G808"/>
  <c r="H776"/>
  <c r="G487" i="7941"/>
  <c r="H1001" i="18"/>
  <c r="H1000"/>
  <c r="H999"/>
  <c r="H998"/>
  <c r="H499"/>
  <c r="H498"/>
  <c r="H497"/>
  <c r="H496"/>
  <c r="H495"/>
  <c r="H494"/>
  <c r="H493"/>
  <c r="H492"/>
  <c r="H491"/>
  <c r="H490"/>
  <c r="H489"/>
  <c r="H488"/>
  <c r="H487"/>
  <c r="H486"/>
  <c r="H485"/>
  <c r="H484"/>
  <c r="G37" i="7941"/>
  <c r="G36"/>
  <c r="G35"/>
  <c r="G34"/>
  <c r="G33"/>
  <c r="G32"/>
  <c r="G31"/>
  <c r="G30"/>
  <c r="G29"/>
  <c r="G28"/>
  <c r="G27"/>
  <c r="G26"/>
  <c r="G25"/>
  <c r="G24"/>
  <c r="G23"/>
  <c r="G22"/>
  <c r="G502"/>
  <c r="G855" i="18"/>
  <c r="G887"/>
  <c r="G598" i="7941" s="1"/>
  <c r="G919" i="18"/>
  <c r="G630" i="7941" s="1"/>
  <c r="G823" i="18"/>
  <c r="G534" i="7941" s="1"/>
  <c r="G501"/>
  <c r="G854" i="18"/>
  <c r="G886"/>
  <c r="G597" i="7941" s="1"/>
  <c r="G918" i="18"/>
  <c r="G629" i="7941" s="1"/>
  <c r="G822" i="18"/>
  <c r="G533" i="7941" s="1"/>
  <c r="G500"/>
  <c r="G853" i="18"/>
  <c r="G885"/>
  <c r="G596" i="7941" s="1"/>
  <c r="G917" i="18"/>
  <c r="G628" i="7941" s="1"/>
  <c r="G821" i="18"/>
  <c r="G532" i="7941" s="1"/>
  <c r="G499"/>
  <c r="G852" i="18"/>
  <c r="G884"/>
  <c r="G595" i="7941" s="1"/>
  <c r="G916" i="18"/>
  <c r="G627" i="7941" s="1"/>
  <c r="G820" i="18"/>
  <c r="G531" i="7941" s="1"/>
  <c r="G563" l="1"/>
  <c r="G982" i="18"/>
  <c r="H499" i="7941"/>
  <c r="G693"/>
  <c r="G564"/>
  <c r="G983" i="18"/>
  <c r="H500" i="7941"/>
  <c r="G694"/>
  <c r="G565"/>
  <c r="G984" i="18"/>
  <c r="H501" i="7941"/>
  <c r="G695"/>
  <c r="G566"/>
  <c r="G985" i="18"/>
  <c r="H502" i="7941"/>
  <c r="G696"/>
  <c r="G7"/>
  <c r="H34"/>
  <c r="G261"/>
  <c r="H35"/>
  <c r="G262"/>
  <c r="H36"/>
  <c r="G263"/>
  <c r="H37"/>
  <c r="G264"/>
  <c r="H742" i="18"/>
  <c r="H743"/>
  <c r="H744"/>
  <c r="H745"/>
  <c r="H746"/>
  <c r="H747"/>
  <c r="H748"/>
  <c r="H749"/>
  <c r="H750"/>
  <c r="H751"/>
  <c r="H752"/>
  <c r="H753"/>
  <c r="H754"/>
  <c r="H755"/>
  <c r="H756"/>
  <c r="H757"/>
  <c r="H836"/>
  <c r="H837"/>
  <c r="H838"/>
  <c r="H839"/>
  <c r="G472" i="7941"/>
  <c r="H1002" i="18"/>
  <c r="G519" i="7941"/>
  <c r="G504" s="1"/>
  <c r="G793" i="18"/>
  <c r="G54" i="7941"/>
  <c r="G39" s="1"/>
  <c r="G501" i="18"/>
  <c r="G551" i="7941"/>
  <c r="G825" i="18"/>
  <c r="G970"/>
  <c r="G86" i="7941"/>
  <c r="G533" i="18"/>
  <c r="G710"/>
  <c r="G583" i="7941"/>
  <c r="G568" s="1"/>
  <c r="G857" i="18"/>
  <c r="G118" i="7941"/>
  <c r="G103" s="1"/>
  <c r="G565" i="18"/>
  <c r="G615" i="7941"/>
  <c r="G600" s="1"/>
  <c r="G889" i="18"/>
  <c r="G150" i="7941"/>
  <c r="G135" s="1"/>
  <c r="G597" i="18"/>
  <c r="H1003"/>
  <c r="G552" i="7941"/>
  <c r="H488" s="1"/>
  <c r="G971" i="18"/>
  <c r="G87" i="7941"/>
  <c r="H23" s="1"/>
  <c r="G711" i="18"/>
  <c r="H1004"/>
  <c r="G553" i="7941"/>
  <c r="H489" s="1"/>
  <c r="G972" i="18"/>
  <c r="G88" i="7941"/>
  <c r="H24" s="1"/>
  <c r="G712" i="18"/>
  <c r="H1005"/>
  <c r="G554" i="7941"/>
  <c r="H490" s="1"/>
  <c r="G973" i="18"/>
  <c r="G89" i="7941"/>
  <c r="H25" s="1"/>
  <c r="G713" i="18"/>
  <c r="H1006"/>
  <c r="G555" i="7941"/>
  <c r="H491" s="1"/>
  <c r="G974" i="18"/>
  <c r="G90" i="7941"/>
  <c r="H26" s="1"/>
  <c r="G714" i="18"/>
  <c r="H1007"/>
  <c r="G556" i="7941"/>
  <c r="H492" s="1"/>
  <c r="G975" i="18"/>
  <c r="G91" i="7941"/>
  <c r="H27" s="1"/>
  <c r="G715" i="18"/>
  <c r="H1008"/>
  <c r="G557" i="7941"/>
  <c r="H493" s="1"/>
  <c r="G976" i="18"/>
  <c r="G92" i="7941"/>
  <c r="H28" s="1"/>
  <c r="G716" i="18"/>
  <c r="H1009"/>
  <c r="G558" i="7941"/>
  <c r="H494" s="1"/>
  <c r="G977" i="18"/>
  <c r="G93" i="7941"/>
  <c r="H29" s="1"/>
  <c r="G717" i="18"/>
  <c r="H1010"/>
  <c r="G559" i="7941"/>
  <c r="H495" s="1"/>
  <c r="G978" i="18"/>
  <c r="G94" i="7941"/>
  <c r="H30" s="1"/>
  <c r="G718" i="18"/>
  <c r="H1011"/>
  <c r="G560" i="7941"/>
  <c r="H496" s="1"/>
  <c r="G979" i="18"/>
  <c r="G95" i="7941"/>
  <c r="H31" s="1"/>
  <c r="G719" i="18"/>
  <c r="H1012"/>
  <c r="G561" i="7941"/>
  <c r="H497" s="1"/>
  <c r="G980" i="18"/>
  <c r="G96" i="7941"/>
  <c r="H32" s="1"/>
  <c r="G720" i="18"/>
  <c r="H1013"/>
  <c r="G562" i="7941"/>
  <c r="H498" s="1"/>
  <c r="G981" i="18"/>
  <c r="G97" i="7941"/>
  <c r="H33" s="1"/>
  <c r="G721" i="18"/>
  <c r="H544"/>
  <c r="H219"/>
  <c r="H231" s="1"/>
  <c r="I219"/>
  <c r="I231" s="1"/>
  <c r="J219"/>
  <c r="J231" s="1"/>
  <c r="K219"/>
  <c r="K231" s="1"/>
  <c r="L219"/>
  <c r="L231" s="1"/>
  <c r="M219"/>
  <c r="M231" s="1"/>
  <c r="E162" i="7945"/>
  <c r="E173" s="1"/>
  <c r="F173" s="1"/>
  <c r="L18" i="7946" s="1"/>
  <c r="H445" i="7942"/>
  <c r="N219" i="18"/>
  <c r="O219"/>
  <c r="P219"/>
  <c r="Q219"/>
  <c r="G179" i="7941"/>
  <c r="H481" i="18"/>
  <c r="G629"/>
  <c r="G180" i="7941"/>
  <c r="H482" i="18"/>
  <c r="G181" i="7941"/>
  <c r="H483" i="18"/>
  <c r="O426" i="7942"/>
  <c r="N427" s="1"/>
  <c r="P426"/>
  <c r="O427" s="1"/>
  <c r="Q426"/>
  <c r="O424"/>
  <c r="N425" s="1"/>
  <c r="P424"/>
  <c r="O425" s="1"/>
  <c r="Q424"/>
  <c r="O422"/>
  <c r="N423" s="1"/>
  <c r="P422"/>
  <c r="O423" s="1"/>
  <c r="Q422"/>
  <c r="M421"/>
  <c r="N399"/>
  <c r="L421"/>
  <c r="M399"/>
  <c r="L440" s="1"/>
  <c r="H399"/>
  <c r="O420"/>
  <c r="P420"/>
  <c r="Q420"/>
  <c r="H218" i="18"/>
  <c r="N206"/>
  <c r="O206"/>
  <c r="P206"/>
  <c r="Q206"/>
  <c r="M292" i="7942"/>
  <c r="H268"/>
  <c r="L292"/>
  <c r="N291"/>
  <c r="N292"/>
  <c r="O291"/>
  <c r="O292"/>
  <c r="P291"/>
  <c r="P292"/>
  <c r="Q291"/>
  <c r="Q292"/>
  <c r="Q374" i="7941" s="1"/>
  <c r="M294" i="7942"/>
  <c r="L294"/>
  <c r="N293"/>
  <c r="O293"/>
  <c r="N294"/>
  <c r="O294"/>
  <c r="P293"/>
  <c r="Q293"/>
  <c r="Q294"/>
  <c r="Q375" i="7941" s="1"/>
  <c r="P294" i="7942"/>
  <c r="M296"/>
  <c r="L296"/>
  <c r="N295"/>
  <c r="O295"/>
  <c r="P295"/>
  <c r="P296"/>
  <c r="O296"/>
  <c r="N296"/>
  <c r="Q295"/>
  <c r="Q296"/>
  <c r="Q376" i="7941" s="1"/>
  <c r="L28" i="7944"/>
  <c r="K7"/>
  <c r="N31"/>
  <c r="N30" i="7946" s="1"/>
  <c r="O31" i="7944"/>
  <c r="P31"/>
  <c r="Q31"/>
  <c r="R31"/>
  <c r="L399" i="7942"/>
  <c r="K399"/>
  <c r="J399"/>
  <c r="I399"/>
  <c r="M75" i="18"/>
  <c r="L75"/>
  <c r="K75"/>
  <c r="J75"/>
  <c r="I75"/>
  <c r="H788"/>
  <c r="H789"/>
  <c r="H790"/>
  <c r="H791"/>
  <c r="H1017" l="1"/>
  <c r="H1016"/>
  <c r="H1015"/>
  <c r="H1014"/>
  <c r="M28" i="7944"/>
  <c r="L7"/>
  <c r="M329" i="7942"/>
  <c r="L329"/>
  <c r="H75" i="18"/>
  <c r="N218"/>
  <c r="O218"/>
  <c r="P218"/>
  <c r="Q218"/>
  <c r="Q399" i="7942"/>
  <c r="Q421"/>
  <c r="Q427" i="7941" s="1"/>
  <c r="P421" i="7942"/>
  <c r="P399"/>
  <c r="O421"/>
  <c r="N421"/>
  <c r="O399"/>
  <c r="N440" s="1"/>
  <c r="Q423"/>
  <c r="Q428" i="7941" s="1"/>
  <c r="P423" i="7942"/>
  <c r="P425"/>
  <c r="Q425"/>
  <c r="Q429" i="7941" s="1"/>
  <c r="Q427" i="7942"/>
  <c r="Q430" i="7941" s="1"/>
  <c r="P427" i="7942"/>
  <c r="H741" i="18"/>
  <c r="H21" i="7941"/>
  <c r="G248"/>
  <c r="H740" i="18"/>
  <c r="H20" i="7941"/>
  <c r="G247"/>
  <c r="H739" i="18"/>
  <c r="H469"/>
  <c r="H19" i="7941"/>
  <c r="G246"/>
  <c r="G167"/>
  <c r="N231" i="18"/>
  <c r="O231"/>
  <c r="P231"/>
  <c r="Q231"/>
  <c r="H82" i="7941"/>
  <c r="I480" i="18"/>
  <c r="H851"/>
  <c r="H850"/>
  <c r="H849"/>
  <c r="H848"/>
  <c r="H847"/>
  <c r="H846"/>
  <c r="H845"/>
  <c r="H844"/>
  <c r="H843"/>
  <c r="H842"/>
  <c r="H841"/>
  <c r="H840"/>
  <c r="H550" i="7941"/>
  <c r="I775" i="18"/>
  <c r="H549" i="7941"/>
  <c r="I774" i="18"/>
  <c r="H548" i="7941"/>
  <c r="I773" i="18"/>
  <c r="H547" i="7941"/>
  <c r="I772" i="18"/>
  <c r="H563"/>
  <c r="H562"/>
  <c r="H561"/>
  <c r="H560"/>
  <c r="H559"/>
  <c r="H558"/>
  <c r="H557"/>
  <c r="H556"/>
  <c r="H555"/>
  <c r="H554"/>
  <c r="H553"/>
  <c r="H552"/>
  <c r="H551"/>
  <c r="H550"/>
  <c r="H549"/>
  <c r="H548"/>
  <c r="Q362" i="7941"/>
  <c r="Q268" i="7942"/>
  <c r="P268"/>
  <c r="O268"/>
  <c r="N268"/>
  <c r="N329" s="1"/>
  <c r="M440"/>
  <c r="G692" i="7941"/>
  <c r="G691"/>
  <c r="G690"/>
  <c r="G689"/>
  <c r="G688"/>
  <c r="G687"/>
  <c r="G686"/>
  <c r="G685"/>
  <c r="G684"/>
  <c r="G683"/>
  <c r="G682"/>
  <c r="G695" i="18"/>
  <c r="G71" i="7941"/>
  <c r="G955" i="18"/>
  <c r="G536" i="7941"/>
  <c r="H761" i="18"/>
  <c r="G681" i="7941"/>
  <c r="G666" s="1"/>
  <c r="H487"/>
  <c r="H987" i="18"/>
  <c r="G260" i="7941"/>
  <c r="G259"/>
  <c r="G258"/>
  <c r="G257"/>
  <c r="G256"/>
  <c r="G255"/>
  <c r="G254"/>
  <c r="G253"/>
  <c r="G252"/>
  <c r="G251"/>
  <c r="G250"/>
  <c r="G249"/>
  <c r="H22"/>
  <c r="H472" l="1"/>
  <c r="H86"/>
  <c r="H249" s="1"/>
  <c r="I484" i="18"/>
  <c r="H87" i="7941"/>
  <c r="I485" i="18"/>
  <c r="H88" i="7941"/>
  <c r="I486" i="18"/>
  <c r="H89" i="7941"/>
  <c r="I487" i="18"/>
  <c r="H90" i="7941"/>
  <c r="I488" i="18"/>
  <c r="H91" i="7941"/>
  <c r="I489" i="18"/>
  <c r="H92" i="7941"/>
  <c r="I490" i="18"/>
  <c r="H93" i="7941"/>
  <c r="I491" i="18"/>
  <c r="H94" i="7941"/>
  <c r="I492" i="18"/>
  <c r="H95" i="7941"/>
  <c r="I493" i="18"/>
  <c r="H96" i="7941"/>
  <c r="I494" i="18"/>
  <c r="H97" i="7941"/>
  <c r="I495" i="18"/>
  <c r="H98" i="7941"/>
  <c r="I496" i="18"/>
  <c r="H99" i="7941"/>
  <c r="I497" i="18"/>
  <c r="H100" i="7941"/>
  <c r="I498" i="18"/>
  <c r="H101" i="7941"/>
  <c r="I499" i="18"/>
  <c r="I998"/>
  <c r="H677" i="7941"/>
  <c r="I483"/>
  <c r="I999" i="18"/>
  <c r="H678" i="7941"/>
  <c r="I484"/>
  <c r="I1000" i="18"/>
  <c r="H679" i="7941"/>
  <c r="I485"/>
  <c r="I1001" i="18"/>
  <c r="H680" i="7941"/>
  <c r="I486"/>
  <c r="H551"/>
  <c r="H681" s="1"/>
  <c r="I776" i="18"/>
  <c r="H552" i="7941"/>
  <c r="I777" i="18"/>
  <c r="H553" i="7941"/>
  <c r="I778" i="18"/>
  <c r="H554" i="7941"/>
  <c r="I779" i="18"/>
  <c r="H555" i="7941"/>
  <c r="I780" i="18"/>
  <c r="H556" i="7941"/>
  <c r="I781" i="18"/>
  <c r="H557" i="7941"/>
  <c r="I782" i="18"/>
  <c r="H558" i="7941"/>
  <c r="I783" i="18"/>
  <c r="H559" i="7941"/>
  <c r="I784" i="18"/>
  <c r="H560" i="7941"/>
  <c r="I785" i="18"/>
  <c r="H561" i="7941"/>
  <c r="I786" i="18"/>
  <c r="H562" i="7941"/>
  <c r="I787" i="18"/>
  <c r="I738"/>
  <c r="H245" i="7941"/>
  <c r="I18"/>
  <c r="Q967" i="18"/>
  <c r="Q707"/>
  <c r="P967"/>
  <c r="P707"/>
  <c r="O967"/>
  <c r="O707"/>
  <c r="N967"/>
  <c r="N707"/>
  <c r="H7" i="7941"/>
  <c r="H545" i="18"/>
  <c r="H727"/>
  <c r="H546"/>
  <c r="H547"/>
  <c r="P440" i="7942"/>
  <c r="Q440"/>
  <c r="Q75" i="18"/>
  <c r="Q966"/>
  <c r="Q706"/>
  <c r="P966"/>
  <c r="P706"/>
  <c r="P75"/>
  <c r="O966"/>
  <c r="O75"/>
  <c r="O706"/>
  <c r="N966"/>
  <c r="N706"/>
  <c r="N75"/>
  <c r="M7" i="7944"/>
  <c r="N28"/>
  <c r="O28"/>
  <c r="O7" s="1"/>
  <c r="P28"/>
  <c r="P7" s="1"/>
  <c r="Q28"/>
  <c r="Q7" s="1"/>
  <c r="R28"/>
  <c r="R7" s="1"/>
  <c r="H852" i="18"/>
  <c r="H853"/>
  <c r="H854"/>
  <c r="H855"/>
  <c r="G234" i="7941"/>
  <c r="O440" i="7942"/>
  <c r="Q416" i="7941"/>
  <c r="Q329" i="7942"/>
  <c r="P329"/>
  <c r="O329"/>
  <c r="H566" i="7941" l="1"/>
  <c r="I791" i="18"/>
  <c r="H565" i="7941"/>
  <c r="I790" i="18"/>
  <c r="H564" i="7941"/>
  <c r="I789" i="18"/>
  <c r="H563" i="7941"/>
  <c r="I788" i="18"/>
  <c r="H825"/>
  <c r="N27" i="7946"/>
  <c r="N37" s="1"/>
  <c r="N7" i="7944"/>
  <c r="N695" i="18"/>
  <c r="N955"/>
  <c r="O695"/>
  <c r="O955"/>
  <c r="P695"/>
  <c r="P955"/>
  <c r="Q695"/>
  <c r="Q955"/>
  <c r="H85" i="7941"/>
  <c r="I483" i="18"/>
  <c r="H84" i="7941"/>
  <c r="I482" i="18"/>
  <c r="H83" i="7941"/>
  <c r="I481" i="18"/>
  <c r="H533"/>
  <c r="I544"/>
  <c r="I1013"/>
  <c r="H692" i="7941"/>
  <c r="I498"/>
  <c r="I1012" i="18"/>
  <c r="H691" i="7941"/>
  <c r="I497"/>
  <c r="I1011" i="18"/>
  <c r="H690" i="7941"/>
  <c r="I496"/>
  <c r="I1010" i="18"/>
  <c r="H689" i="7941"/>
  <c r="I495"/>
  <c r="I1009" i="18"/>
  <c r="H688" i="7941"/>
  <c r="I494"/>
  <c r="I1008" i="18"/>
  <c r="H687" i="7941"/>
  <c r="I493"/>
  <c r="I1007" i="18"/>
  <c r="H686" i="7941"/>
  <c r="I492"/>
  <c r="I1006" i="18"/>
  <c r="H685" i="7941"/>
  <c r="I491"/>
  <c r="I1005" i="18"/>
  <c r="H684" i="7941"/>
  <c r="I490"/>
  <c r="I1004" i="18"/>
  <c r="H683" i="7941"/>
  <c r="I489"/>
  <c r="I1003" i="18"/>
  <c r="H682" i="7941"/>
  <c r="I488"/>
  <c r="I1002" i="18"/>
  <c r="I839"/>
  <c r="I838"/>
  <c r="I837"/>
  <c r="I836"/>
  <c r="I757"/>
  <c r="H264" i="7941"/>
  <c r="I37"/>
  <c r="I756" i="18"/>
  <c r="H263" i="7941"/>
  <c r="I36"/>
  <c r="I755" i="18"/>
  <c r="H262" i="7941"/>
  <c r="I35"/>
  <c r="I754" i="18"/>
  <c r="H261" i="7941"/>
  <c r="I34"/>
  <c r="I753" i="18"/>
  <c r="H260" i="7941"/>
  <c r="I33"/>
  <c r="I752" i="18"/>
  <c r="H259" i="7941"/>
  <c r="I32"/>
  <c r="I751" i="18"/>
  <c r="H258" i="7941"/>
  <c r="I31"/>
  <c r="I750" i="18"/>
  <c r="H257" i="7941"/>
  <c r="I30"/>
  <c r="I749" i="18"/>
  <c r="H256" i="7941"/>
  <c r="I29"/>
  <c r="I748" i="18"/>
  <c r="H255" i="7941"/>
  <c r="I28"/>
  <c r="I747" i="18"/>
  <c r="H254" i="7941"/>
  <c r="I27"/>
  <c r="I746" i="18"/>
  <c r="H253" i="7941"/>
  <c r="I26"/>
  <c r="I745" i="18"/>
  <c r="H252" i="7941"/>
  <c r="I25"/>
  <c r="I744" i="18"/>
  <c r="H251" i="7941"/>
  <c r="I24"/>
  <c r="I743" i="18"/>
  <c r="H250" i="7941"/>
  <c r="I23"/>
  <c r="I742" i="18"/>
  <c r="H536" i="7941"/>
  <c r="I761" i="18"/>
  <c r="I487" i="7941"/>
  <c r="I22"/>
  <c r="I548" i="18" l="1"/>
  <c r="I549"/>
  <c r="I550"/>
  <c r="I551"/>
  <c r="I552"/>
  <c r="I553"/>
  <c r="I554"/>
  <c r="I555"/>
  <c r="I556"/>
  <c r="I557"/>
  <c r="I558"/>
  <c r="I559"/>
  <c r="I560"/>
  <c r="I561"/>
  <c r="I562"/>
  <c r="I563"/>
  <c r="I547" i="7941"/>
  <c r="J772" i="18"/>
  <c r="I548" i="7941"/>
  <c r="J773" i="18"/>
  <c r="I549" i="7941"/>
  <c r="J774" i="18"/>
  <c r="I550" i="7941"/>
  <c r="J775" i="18"/>
  <c r="I840"/>
  <c r="I841"/>
  <c r="I842"/>
  <c r="I843"/>
  <c r="I844"/>
  <c r="I845"/>
  <c r="I846"/>
  <c r="I847"/>
  <c r="I848"/>
  <c r="I849"/>
  <c r="I850"/>
  <c r="I851"/>
  <c r="I82" i="7941"/>
  <c r="J480" i="18"/>
  <c r="I739"/>
  <c r="I469"/>
  <c r="H71" i="7941"/>
  <c r="H246"/>
  <c r="I19"/>
  <c r="I740" i="18"/>
  <c r="H247" i="7941"/>
  <c r="I20"/>
  <c r="I741" i="18"/>
  <c r="H248" i="7941"/>
  <c r="I21"/>
  <c r="I1014" i="18"/>
  <c r="H693" i="7941"/>
  <c r="I499"/>
  <c r="I1015" i="18"/>
  <c r="H694" i="7941"/>
  <c r="I500"/>
  <c r="I1016" i="18"/>
  <c r="H695" i="7941"/>
  <c r="I501"/>
  <c r="I1017" i="18"/>
  <c r="H696" i="7941"/>
  <c r="I502"/>
  <c r="I472"/>
  <c r="I855" i="18" l="1"/>
  <c r="I854"/>
  <c r="I853"/>
  <c r="H666" i="7941"/>
  <c r="I852" i="18"/>
  <c r="I987"/>
  <c r="I547"/>
  <c r="I546"/>
  <c r="I7" i="7941"/>
  <c r="H234"/>
  <c r="I545" i="18"/>
  <c r="I727"/>
  <c r="J738"/>
  <c r="I245" i="7941"/>
  <c r="J18"/>
  <c r="I562"/>
  <c r="J787" i="18"/>
  <c r="I561" i="7941"/>
  <c r="J786" i="18"/>
  <c r="I560" i="7941"/>
  <c r="J785" i="18"/>
  <c r="I559" i="7941"/>
  <c r="J784" i="18"/>
  <c r="I558" i="7941"/>
  <c r="J783" i="18"/>
  <c r="I557" i="7941"/>
  <c r="J782" i="18"/>
  <c r="I556" i="7941"/>
  <c r="J781" i="18"/>
  <c r="I555" i="7941"/>
  <c r="J780" i="18"/>
  <c r="I554" i="7941"/>
  <c r="J779" i="18"/>
  <c r="I553" i="7941"/>
  <c r="J778" i="18"/>
  <c r="I552" i="7941"/>
  <c r="J777" i="18"/>
  <c r="I551" i="7941"/>
  <c r="J776" i="18"/>
  <c r="J1001"/>
  <c r="I680" i="7941"/>
  <c r="J486"/>
  <c r="J1000" i="18"/>
  <c r="I679" i="7941"/>
  <c r="J485"/>
  <c r="J999" i="18"/>
  <c r="I678" i="7941"/>
  <c r="J484"/>
  <c r="J998" i="18"/>
  <c r="I677" i="7941"/>
  <c r="J483"/>
  <c r="I101"/>
  <c r="J499" i="18"/>
  <c r="I100" i="7941"/>
  <c r="J498" i="18"/>
  <c r="I99" i="7941"/>
  <c r="J497" i="18"/>
  <c r="I98" i="7941"/>
  <c r="J496" i="18"/>
  <c r="I97" i="7941"/>
  <c r="J495" i="18"/>
  <c r="I96" i="7941"/>
  <c r="J494" i="18"/>
  <c r="I95" i="7941"/>
  <c r="J493" i="18"/>
  <c r="I94" i="7941"/>
  <c r="J492" i="18"/>
  <c r="I93" i="7941"/>
  <c r="J491" i="18"/>
  <c r="I92" i="7941"/>
  <c r="J490" i="18"/>
  <c r="I91" i="7941"/>
  <c r="J489" i="18"/>
  <c r="I90" i="7941"/>
  <c r="J488" i="18"/>
  <c r="I89" i="7941"/>
  <c r="J487" i="18"/>
  <c r="I88" i="7941"/>
  <c r="J486" i="18"/>
  <c r="I87" i="7941"/>
  <c r="J485" i="18"/>
  <c r="I86" i="7941"/>
  <c r="J484" i="18"/>
  <c r="I825"/>
  <c r="J742" l="1"/>
  <c r="I249" i="7941"/>
  <c r="J22"/>
  <c r="J743" i="18"/>
  <c r="I250" i="7941"/>
  <c r="J23"/>
  <c r="J744" i="18"/>
  <c r="I251" i="7941"/>
  <c r="J24"/>
  <c r="J745" i="18"/>
  <c r="I252" i="7941"/>
  <c r="J25"/>
  <c r="J746" i="18"/>
  <c r="I253" i="7941"/>
  <c r="J26"/>
  <c r="J747" i="18"/>
  <c r="I254" i="7941"/>
  <c r="J27"/>
  <c r="J748" i="18"/>
  <c r="I255" i="7941"/>
  <c r="J28"/>
  <c r="J749" i="18"/>
  <c r="I256" i="7941"/>
  <c r="J29"/>
  <c r="J750" i="18"/>
  <c r="I257" i="7941"/>
  <c r="J30"/>
  <c r="J751" i="18"/>
  <c r="I258" i="7941"/>
  <c r="J31"/>
  <c r="J752" i="18"/>
  <c r="I259" i="7941"/>
  <c r="J32"/>
  <c r="J753" i="18"/>
  <c r="I260" i="7941"/>
  <c r="J33"/>
  <c r="J754" i="18"/>
  <c r="I261" i="7941"/>
  <c r="J34"/>
  <c r="J755" i="18"/>
  <c r="I262" i="7941"/>
  <c r="J35"/>
  <c r="J756" i="18"/>
  <c r="I263" i="7941"/>
  <c r="J36"/>
  <c r="J757" i="18"/>
  <c r="I264" i="7941"/>
  <c r="J37"/>
  <c r="J836" i="18"/>
  <c r="J837"/>
  <c r="J838"/>
  <c r="J839"/>
  <c r="J1002"/>
  <c r="I681" i="7941"/>
  <c r="J487"/>
  <c r="J1003" i="18"/>
  <c r="I682" i="7941"/>
  <c r="J488"/>
  <c r="J1004" i="18"/>
  <c r="I683" i="7941"/>
  <c r="J489"/>
  <c r="J1005" i="18"/>
  <c r="I684" i="7941"/>
  <c r="J490"/>
  <c r="J1006" i="18"/>
  <c r="I685" i="7941"/>
  <c r="J491"/>
  <c r="J1007" i="18"/>
  <c r="I686" i="7941"/>
  <c r="J492"/>
  <c r="J1008" i="18"/>
  <c r="I687" i="7941"/>
  <c r="J493"/>
  <c r="J1009" i="18"/>
  <c r="I688" i="7941"/>
  <c r="J494"/>
  <c r="J1010" i="18"/>
  <c r="I689" i="7941"/>
  <c r="J495"/>
  <c r="J1011" i="18"/>
  <c r="I690" i="7941"/>
  <c r="J496"/>
  <c r="J1012" i="18"/>
  <c r="I691" i="7941"/>
  <c r="J497"/>
  <c r="J1013" i="18"/>
  <c r="I692" i="7941"/>
  <c r="J498"/>
  <c r="J544" i="18"/>
  <c r="I83" i="7941"/>
  <c r="I533" i="18"/>
  <c r="J481"/>
  <c r="I84" i="7941"/>
  <c r="J482" i="18"/>
  <c r="I85" i="7941"/>
  <c r="J483" i="18"/>
  <c r="I563" i="7941"/>
  <c r="J788" i="18"/>
  <c r="I564" i="7941"/>
  <c r="J789" i="18"/>
  <c r="I565" i="7941"/>
  <c r="J790" i="18"/>
  <c r="I566" i="7941"/>
  <c r="J791" i="18"/>
  <c r="J1017" l="1"/>
  <c r="I696" i="7941"/>
  <c r="J502"/>
  <c r="J1016" i="18"/>
  <c r="I695" i="7941"/>
  <c r="J501"/>
  <c r="J1015" i="18"/>
  <c r="I694" i="7941"/>
  <c r="J500"/>
  <c r="J1014" i="18"/>
  <c r="J761"/>
  <c r="I693" i="7941"/>
  <c r="J499"/>
  <c r="I536"/>
  <c r="J741" i="18"/>
  <c r="I248" i="7941"/>
  <c r="J21"/>
  <c r="J740" i="18"/>
  <c r="I247" i="7941"/>
  <c r="J20"/>
  <c r="J739" i="18"/>
  <c r="J469"/>
  <c r="I246" i="7941"/>
  <c r="J19"/>
  <c r="I71"/>
  <c r="J82"/>
  <c r="K480" i="18"/>
  <c r="J851"/>
  <c r="J850"/>
  <c r="J849"/>
  <c r="J848"/>
  <c r="J847"/>
  <c r="J846"/>
  <c r="J845"/>
  <c r="J844"/>
  <c r="J843"/>
  <c r="J842"/>
  <c r="J841"/>
  <c r="J840"/>
  <c r="J550" i="7941"/>
  <c r="K775" i="18"/>
  <c r="J549" i="7941"/>
  <c r="K774" i="18"/>
  <c r="J548" i="7941"/>
  <c r="K773" i="18"/>
  <c r="J547" i="7941"/>
  <c r="K772" i="18"/>
  <c r="J563"/>
  <c r="J562"/>
  <c r="J561"/>
  <c r="J560"/>
  <c r="J559"/>
  <c r="J558"/>
  <c r="J557"/>
  <c r="J556"/>
  <c r="J555"/>
  <c r="J554"/>
  <c r="J553"/>
  <c r="J552"/>
  <c r="J551"/>
  <c r="J550"/>
  <c r="J549"/>
  <c r="J548"/>
  <c r="J987"/>
  <c r="I666" i="7941"/>
  <c r="J472"/>
  <c r="J86" l="1"/>
  <c r="K484" i="18"/>
  <c r="J87" i="7941"/>
  <c r="K485" i="18"/>
  <c r="J88" i="7941"/>
  <c r="K486" i="18"/>
  <c r="J89" i="7941"/>
  <c r="K487" i="18"/>
  <c r="J90" i="7941"/>
  <c r="K488" i="18"/>
  <c r="J91" i="7941"/>
  <c r="K489" i="18"/>
  <c r="J92" i="7941"/>
  <c r="K490" i="18"/>
  <c r="J93" i="7941"/>
  <c r="K491" i="18"/>
  <c r="J94" i="7941"/>
  <c r="K492" i="18"/>
  <c r="J95" i="7941"/>
  <c r="K493" i="18"/>
  <c r="J96" i="7941"/>
  <c r="K494" i="18"/>
  <c r="J97" i="7941"/>
  <c r="K495" i="18"/>
  <c r="J98" i="7941"/>
  <c r="K496" i="18"/>
  <c r="J99" i="7941"/>
  <c r="K497" i="18"/>
  <c r="J100" i="7941"/>
  <c r="K498" i="18"/>
  <c r="J101" i="7941"/>
  <c r="K499" i="18"/>
  <c r="K998"/>
  <c r="J677" i="7941"/>
  <c r="K483"/>
  <c r="K999" i="18"/>
  <c r="J678" i="7941"/>
  <c r="K484"/>
  <c r="K1000" i="18"/>
  <c r="J679" i="7941"/>
  <c r="K485"/>
  <c r="K1001" i="18"/>
  <c r="J680" i="7941"/>
  <c r="K486"/>
  <c r="J551"/>
  <c r="K776" i="18"/>
  <c r="J552" i="7941"/>
  <c r="K777" i="18"/>
  <c r="J553" i="7941"/>
  <c r="K778" i="18"/>
  <c r="J554" i="7941"/>
  <c r="K779" i="18"/>
  <c r="J555" i="7941"/>
  <c r="K780" i="18"/>
  <c r="J556" i="7941"/>
  <c r="K781" i="18"/>
  <c r="J557" i="7941"/>
  <c r="K782" i="18"/>
  <c r="J558" i="7941"/>
  <c r="K783" i="18"/>
  <c r="J559" i="7941"/>
  <c r="K784" i="18"/>
  <c r="J560" i="7941"/>
  <c r="K785" i="18"/>
  <c r="J561" i="7941"/>
  <c r="K786" i="18"/>
  <c r="J562" i="7941"/>
  <c r="K787" i="18"/>
  <c r="K738"/>
  <c r="J245" i="7941"/>
  <c r="K18"/>
  <c r="J7"/>
  <c r="I234"/>
  <c r="J545" i="18"/>
  <c r="J727"/>
  <c r="J546"/>
  <c r="J547"/>
  <c r="J852"/>
  <c r="J853"/>
  <c r="J854"/>
  <c r="J855"/>
  <c r="J566" i="7941" l="1"/>
  <c r="K791" i="18"/>
  <c r="J565" i="7941"/>
  <c r="K790" i="18"/>
  <c r="J564" i="7941"/>
  <c r="K789" i="18"/>
  <c r="J563" i="7941"/>
  <c r="K788" i="18"/>
  <c r="J825"/>
  <c r="J85" i="7941"/>
  <c r="K483" i="18"/>
  <c r="J84" i="7941"/>
  <c r="K482" i="18"/>
  <c r="J83" i="7941"/>
  <c r="K481" i="18"/>
  <c r="J533"/>
  <c r="K544"/>
  <c r="K1013"/>
  <c r="J692" i="7941"/>
  <c r="K498"/>
  <c r="K1012" i="18"/>
  <c r="J691" i="7941"/>
  <c r="K497"/>
  <c r="K1011" i="18"/>
  <c r="J690" i="7941"/>
  <c r="K496"/>
  <c r="K1010" i="18"/>
  <c r="J689" i="7941"/>
  <c r="K495"/>
  <c r="K1009" i="18"/>
  <c r="J688" i="7941"/>
  <c r="K494"/>
  <c r="K1008" i="18"/>
  <c r="J687" i="7941"/>
  <c r="K493"/>
  <c r="K1007" i="18"/>
  <c r="J686" i="7941"/>
  <c r="K492"/>
  <c r="K1006" i="18"/>
  <c r="J685" i="7941"/>
  <c r="K491"/>
  <c r="K1005" i="18"/>
  <c r="J684" i="7941"/>
  <c r="K490"/>
  <c r="K1004" i="18"/>
  <c r="J683" i="7941"/>
  <c r="K489"/>
  <c r="K1003" i="18"/>
  <c r="J682" i="7941"/>
  <c r="K488"/>
  <c r="K1002" i="18"/>
  <c r="J681" i="7941"/>
  <c r="K487"/>
  <c r="K839" i="18"/>
  <c r="K838"/>
  <c r="K837"/>
  <c r="K836"/>
  <c r="K757"/>
  <c r="J264" i="7941"/>
  <c r="K37"/>
  <c r="K756" i="18"/>
  <c r="J263" i="7941"/>
  <c r="K36"/>
  <c r="K755" i="18"/>
  <c r="J262" i="7941"/>
  <c r="K35"/>
  <c r="K754" i="18"/>
  <c r="J261" i="7941"/>
  <c r="K34"/>
  <c r="K753" i="18"/>
  <c r="J260" i="7941"/>
  <c r="K33"/>
  <c r="K752" i="18"/>
  <c r="J259" i="7941"/>
  <c r="K32"/>
  <c r="K751" i="18"/>
  <c r="J258" i="7941"/>
  <c r="K31"/>
  <c r="K750" i="18"/>
  <c r="J257" i="7941"/>
  <c r="K30"/>
  <c r="K749" i="18"/>
  <c r="J256" i="7941"/>
  <c r="K29"/>
  <c r="K748" i="18"/>
  <c r="J255" i="7941"/>
  <c r="K28"/>
  <c r="K747" i="18"/>
  <c r="J254" i="7941"/>
  <c r="K27"/>
  <c r="K746" i="18"/>
  <c r="J253" i="7941"/>
  <c r="K26"/>
  <c r="K745" i="18"/>
  <c r="J252" i="7941"/>
  <c r="K25"/>
  <c r="K744" i="18"/>
  <c r="J251" i="7941"/>
  <c r="K24"/>
  <c r="K743" i="18"/>
  <c r="J250" i="7941"/>
  <c r="K23"/>
  <c r="K742" i="18"/>
  <c r="J249" i="7941"/>
  <c r="K22"/>
  <c r="J536"/>
  <c r="K761" i="18"/>
  <c r="K548" l="1"/>
  <c r="K549"/>
  <c r="K550"/>
  <c r="K551"/>
  <c r="K552"/>
  <c r="K553"/>
  <c r="K554"/>
  <c r="K555"/>
  <c r="K556"/>
  <c r="K557"/>
  <c r="K558"/>
  <c r="K559"/>
  <c r="K560"/>
  <c r="K561"/>
  <c r="K562"/>
  <c r="K563"/>
  <c r="K547" i="7941"/>
  <c r="L772" i="18"/>
  <c r="K548" i="7941"/>
  <c r="L773" i="18"/>
  <c r="K549" i="7941"/>
  <c r="L774" i="18"/>
  <c r="K550" i="7941"/>
  <c r="L775" i="18"/>
  <c r="K840"/>
  <c r="K841"/>
  <c r="K842"/>
  <c r="K843"/>
  <c r="K844"/>
  <c r="K845"/>
  <c r="K846"/>
  <c r="K847"/>
  <c r="K848"/>
  <c r="K849"/>
  <c r="K850"/>
  <c r="K851"/>
  <c r="K82" i="7941"/>
  <c r="L480" i="18"/>
  <c r="K739"/>
  <c r="K469"/>
  <c r="J71" i="7941"/>
  <c r="J246"/>
  <c r="K19"/>
  <c r="K740" i="18"/>
  <c r="J247" i="7941"/>
  <c r="K20"/>
  <c r="K741" i="18"/>
  <c r="J248" i="7941"/>
  <c r="K21"/>
  <c r="K1014" i="18"/>
  <c r="J693" i="7941"/>
  <c r="K499"/>
  <c r="K1015" i="18"/>
  <c r="J694" i="7941"/>
  <c r="K500"/>
  <c r="K1016" i="18"/>
  <c r="J695" i="7941"/>
  <c r="K501"/>
  <c r="K1017" i="18"/>
  <c r="J696" i="7941"/>
  <c r="K502"/>
  <c r="K855" i="18" l="1"/>
  <c r="K854"/>
  <c r="K853"/>
  <c r="K472" i="7941"/>
  <c r="J666"/>
  <c r="K852" i="18"/>
  <c r="K987"/>
  <c r="K547"/>
  <c r="K546"/>
  <c r="K7" i="7941"/>
  <c r="J234"/>
  <c r="K545" i="18"/>
  <c r="K727"/>
  <c r="L738"/>
  <c r="K245" i="7941"/>
  <c r="L18"/>
  <c r="K562"/>
  <c r="L787" i="18"/>
  <c r="K561" i="7941"/>
  <c r="L786" i="18"/>
  <c r="K560" i="7941"/>
  <c r="L785" i="18"/>
  <c r="K559" i="7941"/>
  <c r="L784" i="18"/>
  <c r="K558" i="7941"/>
  <c r="L783" i="18"/>
  <c r="K557" i="7941"/>
  <c r="L782" i="18"/>
  <c r="K556" i="7941"/>
  <c r="L781" i="18"/>
  <c r="K555" i="7941"/>
  <c r="L780" i="18"/>
  <c r="K554" i="7941"/>
  <c r="L779" i="18"/>
  <c r="K553" i="7941"/>
  <c r="L778" i="18"/>
  <c r="K552" i="7941"/>
  <c r="L777" i="18"/>
  <c r="K551" i="7941"/>
  <c r="L776" i="18"/>
  <c r="L1001"/>
  <c r="K680" i="7941"/>
  <c r="L486"/>
  <c r="L1000" i="18"/>
  <c r="K679" i="7941"/>
  <c r="L485"/>
  <c r="L999" i="18"/>
  <c r="K678" i="7941"/>
  <c r="L484"/>
  <c r="L998" i="18"/>
  <c r="K677" i="7941"/>
  <c r="L483"/>
  <c r="K101"/>
  <c r="L499" i="18"/>
  <c r="K100" i="7941"/>
  <c r="L498" i="18"/>
  <c r="K99" i="7941"/>
  <c r="L497" i="18"/>
  <c r="K98" i="7941"/>
  <c r="L496" i="18"/>
  <c r="K97" i="7941"/>
  <c r="L495" i="18"/>
  <c r="K96" i="7941"/>
  <c r="L494" i="18"/>
  <c r="K95" i="7941"/>
  <c r="L493" i="18"/>
  <c r="K94" i="7941"/>
  <c r="L492" i="18"/>
  <c r="K93" i="7941"/>
  <c r="L491" i="18"/>
  <c r="K92" i="7941"/>
  <c r="L490" i="18"/>
  <c r="K91" i="7941"/>
  <c r="L489" i="18"/>
  <c r="K90" i="7941"/>
  <c r="L488" i="18"/>
  <c r="K89" i="7941"/>
  <c r="L487" i="18"/>
  <c r="K88" i="7941"/>
  <c r="L486" i="18"/>
  <c r="K87" i="7941"/>
  <c r="L485" i="18"/>
  <c r="K86" i="7941"/>
  <c r="L484" i="18"/>
  <c r="K825"/>
  <c r="L742" l="1"/>
  <c r="K249" i="7941"/>
  <c r="L22"/>
  <c r="L743" i="18"/>
  <c r="K250" i="7941"/>
  <c r="L23"/>
  <c r="L744" i="18"/>
  <c r="K251" i="7941"/>
  <c r="L24"/>
  <c r="L745" i="18"/>
  <c r="K252" i="7941"/>
  <c r="L25"/>
  <c r="L746" i="18"/>
  <c r="K253" i="7941"/>
  <c r="L26"/>
  <c r="L747" i="18"/>
  <c r="K254" i="7941"/>
  <c r="L27"/>
  <c r="L748" i="18"/>
  <c r="K255" i="7941"/>
  <c r="L28"/>
  <c r="L749" i="18"/>
  <c r="K256" i="7941"/>
  <c r="L29"/>
  <c r="L750" i="18"/>
  <c r="K257" i="7941"/>
  <c r="L30"/>
  <c r="L751" i="18"/>
  <c r="K258" i="7941"/>
  <c r="L31"/>
  <c r="L752" i="18"/>
  <c r="K259" i="7941"/>
  <c r="L32"/>
  <c r="L753" i="18"/>
  <c r="K260" i="7941"/>
  <c r="L33"/>
  <c r="L754" i="18"/>
  <c r="K261" i="7941"/>
  <c r="L34"/>
  <c r="L755" i="18"/>
  <c r="K262" i="7941"/>
  <c r="L35"/>
  <c r="L756" i="18"/>
  <c r="K263" i="7941"/>
  <c r="L36"/>
  <c r="L757" i="18"/>
  <c r="K264" i="7941"/>
  <c r="L37"/>
  <c r="L836" i="18"/>
  <c r="L837"/>
  <c r="L838"/>
  <c r="L839"/>
  <c r="L1002"/>
  <c r="K681" i="7941"/>
  <c r="L487"/>
  <c r="L1003" i="18"/>
  <c r="K682" i="7941"/>
  <c r="L488"/>
  <c r="L1004" i="18"/>
  <c r="K683" i="7941"/>
  <c r="L489"/>
  <c r="L1005" i="18"/>
  <c r="K684" i="7941"/>
  <c r="L490"/>
  <c r="L1006" i="18"/>
  <c r="K685" i="7941"/>
  <c r="L491"/>
  <c r="L1007" i="18"/>
  <c r="K686" i="7941"/>
  <c r="L492"/>
  <c r="L1008" i="18"/>
  <c r="K687" i="7941"/>
  <c r="L493"/>
  <c r="L1009" i="18"/>
  <c r="K688" i="7941"/>
  <c r="L494"/>
  <c r="L1010" i="18"/>
  <c r="K689" i="7941"/>
  <c r="L495"/>
  <c r="L1011" i="18"/>
  <c r="K690" i="7941"/>
  <c r="L496"/>
  <c r="L1012" i="18"/>
  <c r="K691" i="7941"/>
  <c r="L497"/>
  <c r="L1013" i="18"/>
  <c r="K692" i="7941"/>
  <c r="L498"/>
  <c r="L544" i="18"/>
  <c r="K83" i="7941"/>
  <c r="K533" i="18"/>
  <c r="L481"/>
  <c r="K84" i="7941"/>
  <c r="L482" i="18"/>
  <c r="K85" i="7941"/>
  <c r="L483" i="18"/>
  <c r="K563" i="7941"/>
  <c r="L788" i="18"/>
  <c r="K564" i="7941"/>
  <c r="L789" i="18"/>
  <c r="K565" i="7941"/>
  <c r="L790" i="18"/>
  <c r="K566" i="7941"/>
  <c r="L791" i="18"/>
  <c r="L1017" l="1"/>
  <c r="K696" i="7941"/>
  <c r="L502"/>
  <c r="L1016" i="18"/>
  <c r="K695" i="7941"/>
  <c r="L501"/>
  <c r="L1015" i="18"/>
  <c r="K694" i="7941"/>
  <c r="L500"/>
  <c r="L1014" i="18"/>
  <c r="L761"/>
  <c r="K693" i="7941"/>
  <c r="L499"/>
  <c r="K536"/>
  <c r="L741" i="18"/>
  <c r="K248" i="7941"/>
  <c r="L21"/>
  <c r="L740" i="18"/>
  <c r="K247" i="7941"/>
  <c r="L20"/>
  <c r="L739" i="18"/>
  <c r="L469"/>
  <c r="K246" i="7941"/>
  <c r="L19"/>
  <c r="K71"/>
  <c r="L82"/>
  <c r="M480" i="18"/>
  <c r="L851"/>
  <c r="L850"/>
  <c r="L849"/>
  <c r="L848"/>
  <c r="L847"/>
  <c r="L846"/>
  <c r="L845"/>
  <c r="L844"/>
  <c r="L843"/>
  <c r="L842"/>
  <c r="L841"/>
  <c r="L840"/>
  <c r="L550" i="7941"/>
  <c r="M775" i="18"/>
  <c r="L549" i="7941"/>
  <c r="M774" i="18"/>
  <c r="L548" i="7941"/>
  <c r="M773" i="18"/>
  <c r="L547" i="7941"/>
  <c r="M772" i="18"/>
  <c r="L563"/>
  <c r="L562"/>
  <c r="L561"/>
  <c r="L560"/>
  <c r="L559"/>
  <c r="L558"/>
  <c r="L557"/>
  <c r="L556"/>
  <c r="L555"/>
  <c r="L554"/>
  <c r="L553"/>
  <c r="L552"/>
  <c r="L551"/>
  <c r="L550"/>
  <c r="L549"/>
  <c r="L548"/>
  <c r="L987"/>
  <c r="K666" i="7941"/>
  <c r="L472"/>
  <c r="L86" l="1"/>
  <c r="M484" i="18"/>
  <c r="L87" i="7941"/>
  <c r="M485" i="18"/>
  <c r="L88" i="7941"/>
  <c r="M486" i="18"/>
  <c r="L89" i="7941"/>
  <c r="M487" i="18"/>
  <c r="L90" i="7941"/>
  <c r="M488" i="18"/>
  <c r="L91" i="7941"/>
  <c r="M489" i="18"/>
  <c r="L92" i="7941"/>
  <c r="M490" i="18"/>
  <c r="L93" i="7941"/>
  <c r="M491" i="18"/>
  <c r="L94" i="7941"/>
  <c r="M492" i="18"/>
  <c r="L95" i="7941"/>
  <c r="M493" i="18"/>
  <c r="L96" i="7941"/>
  <c r="M494" i="18"/>
  <c r="L97" i="7941"/>
  <c r="M495" i="18"/>
  <c r="L98" i="7941"/>
  <c r="M496" i="18"/>
  <c r="L99" i="7941"/>
  <c r="M497" i="18"/>
  <c r="L100" i="7941"/>
  <c r="M498" i="18"/>
  <c r="L101" i="7941"/>
  <c r="M499" i="18"/>
  <c r="M998"/>
  <c r="L677" i="7941"/>
  <c r="M483"/>
  <c r="M999" i="18"/>
  <c r="L678" i="7941"/>
  <c r="M484"/>
  <c r="M1000" i="18"/>
  <c r="L679" i="7941"/>
  <c r="M485"/>
  <c r="M1001" i="18"/>
  <c r="L680" i="7941"/>
  <c r="M486"/>
  <c r="L551"/>
  <c r="M776" i="18"/>
  <c r="L552" i="7941"/>
  <c r="M777" i="18"/>
  <c r="L553" i="7941"/>
  <c r="M778" i="18"/>
  <c r="L554" i="7941"/>
  <c r="M779" i="18"/>
  <c r="L555" i="7941"/>
  <c r="M780" i="18"/>
  <c r="L556" i="7941"/>
  <c r="M781" i="18"/>
  <c r="L557" i="7941"/>
  <c r="M782" i="18"/>
  <c r="L558" i="7941"/>
  <c r="M783" i="18"/>
  <c r="L559" i="7941"/>
  <c r="M784" i="18"/>
  <c r="L560" i="7941"/>
  <c r="M785" i="18"/>
  <c r="L561" i="7941"/>
  <c r="M786" i="18"/>
  <c r="L562" i="7941"/>
  <c r="M787" i="18"/>
  <c r="M738"/>
  <c r="L245" i="7941"/>
  <c r="M18"/>
  <c r="L7"/>
  <c r="K234"/>
  <c r="L545" i="18"/>
  <c r="L727"/>
  <c r="L546"/>
  <c r="L547"/>
  <c r="L852"/>
  <c r="L853"/>
  <c r="L854"/>
  <c r="L855"/>
  <c r="L566" i="7941" l="1"/>
  <c r="M791" i="18"/>
  <c r="L565" i="7941"/>
  <c r="M790" i="18"/>
  <c r="L564" i="7941"/>
  <c r="M789" i="18"/>
  <c r="L563" i="7941"/>
  <c r="M788" i="18"/>
  <c r="L825"/>
  <c r="L85" i="7941"/>
  <c r="M483" i="18"/>
  <c r="L84" i="7941"/>
  <c r="M482" i="18"/>
  <c r="L83" i="7941"/>
  <c r="M481" i="18"/>
  <c r="L533"/>
  <c r="N18" i="7941"/>
  <c r="O18"/>
  <c r="P18"/>
  <c r="Q18"/>
  <c r="M544" i="18"/>
  <c r="N738"/>
  <c r="M1013"/>
  <c r="L692" i="7941"/>
  <c r="M498"/>
  <c r="M1012" i="18"/>
  <c r="L691" i="7941"/>
  <c r="M497"/>
  <c r="M1011" i="18"/>
  <c r="L690" i="7941"/>
  <c r="M496"/>
  <c r="M1010" i="18"/>
  <c r="L689" i="7941"/>
  <c r="M495"/>
  <c r="M1009" i="18"/>
  <c r="L688" i="7941"/>
  <c r="M494"/>
  <c r="M1008" i="18"/>
  <c r="L687" i="7941"/>
  <c r="M493"/>
  <c r="M1007" i="18"/>
  <c r="L686" i="7941"/>
  <c r="M492"/>
  <c r="M1006" i="18"/>
  <c r="L685" i="7941"/>
  <c r="M491"/>
  <c r="M1005" i="18"/>
  <c r="L684" i="7941"/>
  <c r="M490"/>
  <c r="M1004" i="18"/>
  <c r="L683" i="7941"/>
  <c r="M489"/>
  <c r="M1003" i="18"/>
  <c r="L682" i="7941"/>
  <c r="M488"/>
  <c r="M1002" i="18"/>
  <c r="L681" i="7941"/>
  <c r="M487"/>
  <c r="N486"/>
  <c r="O486"/>
  <c r="P486"/>
  <c r="Q486"/>
  <c r="M839" i="18"/>
  <c r="N1001"/>
  <c r="N485" i="7941"/>
  <c r="O485"/>
  <c r="P485"/>
  <c r="Q485"/>
  <c r="M838" i="18"/>
  <c r="N1000"/>
  <c r="N484" i="7941"/>
  <c r="O484"/>
  <c r="P484"/>
  <c r="Q484"/>
  <c r="M837" i="18"/>
  <c r="N999"/>
  <c r="N483" i="7941"/>
  <c r="O483"/>
  <c r="P483"/>
  <c r="Q483"/>
  <c r="M836" i="18"/>
  <c r="N998"/>
  <c r="M757"/>
  <c r="L264" i="7941"/>
  <c r="M37"/>
  <c r="M756" i="18"/>
  <c r="L263" i="7941"/>
  <c r="M36"/>
  <c r="M755" i="18"/>
  <c r="L262" i="7941"/>
  <c r="M35"/>
  <c r="M754" i="18"/>
  <c r="L261" i="7941"/>
  <c r="M34"/>
  <c r="M753" i="18"/>
  <c r="L260" i="7941"/>
  <c r="M33"/>
  <c r="M752" i="18"/>
  <c r="L259" i="7941"/>
  <c r="M32"/>
  <c r="M751" i="18"/>
  <c r="L258" i="7941"/>
  <c r="M31"/>
  <c r="M750" i="18"/>
  <c r="L257" i="7941"/>
  <c r="M30"/>
  <c r="M749" i="18"/>
  <c r="L256" i="7941"/>
  <c r="M29"/>
  <c r="M748" i="18"/>
  <c r="L255" i="7941"/>
  <c r="M28"/>
  <c r="M747" i="18"/>
  <c r="L254" i="7941"/>
  <c r="M27"/>
  <c r="M746" i="18"/>
  <c r="L253" i="7941"/>
  <c r="M26"/>
  <c r="M745" i="18"/>
  <c r="L252" i="7941"/>
  <c r="M25"/>
  <c r="M744" i="18"/>
  <c r="L251" i="7941"/>
  <c r="M24"/>
  <c r="M743" i="18"/>
  <c r="L250" i="7941"/>
  <c r="M23"/>
  <c r="M742" i="18"/>
  <c r="L249" i="7941"/>
  <c r="M22"/>
  <c r="L536"/>
  <c r="M761" i="18"/>
  <c r="N22" i="7941" l="1"/>
  <c r="O22" s="1"/>
  <c r="P22" s="1"/>
  <c r="Q22" s="1"/>
  <c r="M548" i="18"/>
  <c r="N742"/>
  <c r="N23" i="7941"/>
  <c r="O23" s="1"/>
  <c r="P23" s="1"/>
  <c r="Q23" s="1"/>
  <c r="M549" i="18"/>
  <c r="N743"/>
  <c r="N24" i="7941"/>
  <c r="O24" s="1"/>
  <c r="P24" s="1"/>
  <c r="Q24" s="1"/>
  <c r="M550" i="18"/>
  <c r="N744"/>
  <c r="N25" i="7941"/>
  <c r="O25" s="1"/>
  <c r="P25" s="1"/>
  <c r="Q25" s="1"/>
  <c r="M551" i="18"/>
  <c r="N745"/>
  <c r="N26" i="7941"/>
  <c r="O26" s="1"/>
  <c r="P26" s="1"/>
  <c r="Q26" s="1"/>
  <c r="M552" i="18"/>
  <c r="N746"/>
  <c r="N27" i="7941"/>
  <c r="O27" s="1"/>
  <c r="P27" s="1"/>
  <c r="Q27" s="1"/>
  <c r="M553" i="18"/>
  <c r="N747"/>
  <c r="N28" i="7941"/>
  <c r="O28" s="1"/>
  <c r="P28" s="1"/>
  <c r="Q28" s="1"/>
  <c r="M554" i="18"/>
  <c r="N748"/>
  <c r="N29" i="7941"/>
  <c r="O29" s="1"/>
  <c r="P29" s="1"/>
  <c r="Q29" s="1"/>
  <c r="M555" i="18"/>
  <c r="N749"/>
  <c r="N30" i="7941"/>
  <c r="O30" s="1"/>
  <c r="P30" s="1"/>
  <c r="Q30" s="1"/>
  <c r="M556" i="18"/>
  <c r="N750"/>
  <c r="N31" i="7941"/>
  <c r="O31" s="1"/>
  <c r="P31" s="1"/>
  <c r="Q31" s="1"/>
  <c r="M557" i="18"/>
  <c r="N751"/>
  <c r="N32" i="7941"/>
  <c r="O32" s="1"/>
  <c r="P32" s="1"/>
  <c r="Q32" s="1"/>
  <c r="M558" i="18"/>
  <c r="N752"/>
  <c r="N33" i="7941"/>
  <c r="O33" s="1"/>
  <c r="P33" s="1"/>
  <c r="Q33" s="1"/>
  <c r="M559" i="18"/>
  <c r="N753"/>
  <c r="N34" i="7941"/>
  <c r="O34" s="1"/>
  <c r="P34" s="1"/>
  <c r="Q34" s="1"/>
  <c r="M560" i="18"/>
  <c r="N754"/>
  <c r="N35" i="7941"/>
  <c r="O35" s="1"/>
  <c r="P35" s="1"/>
  <c r="Q35" s="1"/>
  <c r="M561" i="18"/>
  <c r="N755"/>
  <c r="N36" i="7941"/>
  <c r="O36" s="1"/>
  <c r="P36" s="1"/>
  <c r="Q36" s="1"/>
  <c r="M562" i="18"/>
  <c r="N756"/>
  <c r="N37" i="7941"/>
  <c r="O37" s="1"/>
  <c r="P37" s="1"/>
  <c r="Q37" s="1"/>
  <c r="M563" i="18"/>
  <c r="N757"/>
  <c r="N836"/>
  <c r="O998"/>
  <c r="M547" i="7941"/>
  <c r="N772" i="18"/>
  <c r="N837"/>
  <c r="N548" i="7941" s="1"/>
  <c r="O999" i="18"/>
  <c r="M548" i="7941"/>
  <c r="M678" s="1"/>
  <c r="N678" s="1"/>
  <c r="O678" s="1"/>
  <c r="P678" s="1"/>
  <c r="Q678" s="1"/>
  <c r="N773" i="18"/>
  <c r="O773" s="1"/>
  <c r="P773" s="1"/>
  <c r="Q773" s="1"/>
  <c r="R773" s="1"/>
  <c r="N838"/>
  <c r="N549" i="7941" s="1"/>
  <c r="O1000" i="18"/>
  <c r="M549" i="7941"/>
  <c r="M679" s="1"/>
  <c r="N679" s="1"/>
  <c r="O679" s="1"/>
  <c r="P679" s="1"/>
  <c r="Q679" s="1"/>
  <c r="N774" i="18"/>
  <c r="O774" s="1"/>
  <c r="P774" s="1"/>
  <c r="Q774" s="1"/>
  <c r="R774" s="1"/>
  <c r="N839"/>
  <c r="N550" i="7941" s="1"/>
  <c r="O1001" i="18"/>
  <c r="M550" i="7941"/>
  <c r="M680" s="1"/>
  <c r="N680" s="1"/>
  <c r="O680" s="1"/>
  <c r="P680" s="1"/>
  <c r="Q680" s="1"/>
  <c r="N775" i="18"/>
  <c r="O775" s="1"/>
  <c r="P775" s="1"/>
  <c r="Q775" s="1"/>
  <c r="R775" s="1"/>
  <c r="N487" i="7941"/>
  <c r="O487" s="1"/>
  <c r="P487" s="1"/>
  <c r="Q487" s="1"/>
  <c r="M840" i="18"/>
  <c r="N1002"/>
  <c r="N488" i="7941"/>
  <c r="O488" s="1"/>
  <c r="P488" s="1"/>
  <c r="Q488" s="1"/>
  <c r="M841" i="18"/>
  <c r="N1003"/>
  <c r="N489" i="7941"/>
  <c r="O489" s="1"/>
  <c r="P489" s="1"/>
  <c r="Q489" s="1"/>
  <c r="M842" i="18"/>
  <c r="N1004"/>
  <c r="N490" i="7941"/>
  <c r="O490" s="1"/>
  <c r="P490" s="1"/>
  <c r="Q490" s="1"/>
  <c r="M843" i="18"/>
  <c r="N1005"/>
  <c r="N491" i="7941"/>
  <c r="O491" s="1"/>
  <c r="P491" s="1"/>
  <c r="Q491" s="1"/>
  <c r="M844" i="18"/>
  <c r="N1006"/>
  <c r="N492" i="7941"/>
  <c r="O492" s="1"/>
  <c r="P492" s="1"/>
  <c r="Q492" s="1"/>
  <c r="M845" i="18"/>
  <c r="N1007"/>
  <c r="N493" i="7941"/>
  <c r="O493" s="1"/>
  <c r="P493" s="1"/>
  <c r="Q493" s="1"/>
  <c r="M846" i="18"/>
  <c r="N1008"/>
  <c r="N494" i="7941"/>
  <c r="O494" s="1"/>
  <c r="P494" s="1"/>
  <c r="Q494" s="1"/>
  <c r="M847" i="18"/>
  <c r="N1009"/>
  <c r="N495" i="7941"/>
  <c r="O495" s="1"/>
  <c r="P495" s="1"/>
  <c r="Q495" s="1"/>
  <c r="M848" i="18"/>
  <c r="N1010"/>
  <c r="N496" i="7941"/>
  <c r="O496" s="1"/>
  <c r="P496" s="1"/>
  <c r="Q496" s="1"/>
  <c r="M849" i="18"/>
  <c r="N1011"/>
  <c r="N497" i="7941"/>
  <c r="O497" s="1"/>
  <c r="P497" s="1"/>
  <c r="Q497" s="1"/>
  <c r="M850" i="18"/>
  <c r="N1012"/>
  <c r="N498" i="7941"/>
  <c r="O498" s="1"/>
  <c r="P498" s="1"/>
  <c r="Q498" s="1"/>
  <c r="M851" i="18"/>
  <c r="N1013"/>
  <c r="N544"/>
  <c r="O738"/>
  <c r="M82" i="7941"/>
  <c r="N480" i="18"/>
  <c r="M739"/>
  <c r="M469"/>
  <c r="L71" i="7941"/>
  <c r="L246"/>
  <c r="M19"/>
  <c r="M740" i="18"/>
  <c r="L247" i="7941"/>
  <c r="M20"/>
  <c r="M741" i="18"/>
  <c r="L248" i="7941"/>
  <c r="M21"/>
  <c r="M1014" i="18"/>
  <c r="L693" i="7941"/>
  <c r="M499"/>
  <c r="M1015" i="18"/>
  <c r="L694" i="7941"/>
  <c r="M500"/>
  <c r="M1016" i="18"/>
  <c r="L695" i="7941"/>
  <c r="M501"/>
  <c r="M1017" i="18"/>
  <c r="L696" i="7941"/>
  <c r="M502"/>
  <c r="N502" l="1"/>
  <c r="O502" s="1"/>
  <c r="P502" s="1"/>
  <c r="Q502" s="1"/>
  <c r="M855" i="18"/>
  <c r="N1017"/>
  <c r="N501" i="7941"/>
  <c r="O501" s="1"/>
  <c r="P501" s="1"/>
  <c r="Q501" s="1"/>
  <c r="M854" i="18"/>
  <c r="N1016"/>
  <c r="N500" i="7941"/>
  <c r="O500" s="1"/>
  <c r="P500" s="1"/>
  <c r="Q500" s="1"/>
  <c r="M853" i="18"/>
  <c r="N1015"/>
  <c r="N499" i="7941"/>
  <c r="M472"/>
  <c r="L666"/>
  <c r="M852" i="18"/>
  <c r="N1014"/>
  <c r="M987"/>
  <c r="N21" i="7941"/>
  <c r="O21" s="1"/>
  <c r="P21" s="1"/>
  <c r="Q21" s="1"/>
  <c r="M547" i="18"/>
  <c r="N741"/>
  <c r="N20" i="7941"/>
  <c r="O20" s="1"/>
  <c r="P20" s="1"/>
  <c r="Q20" s="1"/>
  <c r="M546" i="18"/>
  <c r="N740"/>
  <c r="N19" i="7941"/>
  <c r="M7"/>
  <c r="L234"/>
  <c r="M545" i="18"/>
  <c r="N739"/>
  <c r="M727"/>
  <c r="O480"/>
  <c r="M245" i="7941"/>
  <c r="O544" i="18"/>
  <c r="P738"/>
  <c r="N82" i="7941"/>
  <c r="N851" i="18"/>
  <c r="N562" i="7941" s="1"/>
  <c r="O1013" i="18"/>
  <c r="M562" i="7941"/>
  <c r="M692" s="1"/>
  <c r="N692" s="1"/>
  <c r="O692" s="1"/>
  <c r="P692" s="1"/>
  <c r="Q692" s="1"/>
  <c r="N787" i="18"/>
  <c r="O787" s="1"/>
  <c r="P787" s="1"/>
  <c r="Q787" s="1"/>
  <c r="R787" s="1"/>
  <c r="N850"/>
  <c r="N561" i="7941" s="1"/>
  <c r="O1012" i="18"/>
  <c r="M561" i="7941"/>
  <c r="M691" s="1"/>
  <c r="N691" s="1"/>
  <c r="O691" s="1"/>
  <c r="P691" s="1"/>
  <c r="Q691" s="1"/>
  <c r="N786" i="18"/>
  <c r="O786" s="1"/>
  <c r="P786" s="1"/>
  <c r="Q786" s="1"/>
  <c r="R786" s="1"/>
  <c r="N849"/>
  <c r="N560" i="7941" s="1"/>
  <c r="O1011" i="18"/>
  <c r="M560" i="7941"/>
  <c r="M690" s="1"/>
  <c r="N690" s="1"/>
  <c r="O690" s="1"/>
  <c r="P690" s="1"/>
  <c r="Q690" s="1"/>
  <c r="N785" i="18"/>
  <c r="O785" s="1"/>
  <c r="P785" s="1"/>
  <c r="Q785" s="1"/>
  <c r="R785" s="1"/>
  <c r="N848"/>
  <c r="N559" i="7941" s="1"/>
  <c r="O1010" i="18"/>
  <c r="M559" i="7941"/>
  <c r="M689" s="1"/>
  <c r="N689" s="1"/>
  <c r="O689" s="1"/>
  <c r="P689" s="1"/>
  <c r="Q689" s="1"/>
  <c r="N784" i="18"/>
  <c r="O784" s="1"/>
  <c r="P784" s="1"/>
  <c r="Q784" s="1"/>
  <c r="R784" s="1"/>
  <c r="N847"/>
  <c r="N558" i="7941" s="1"/>
  <c r="O1009" i="18"/>
  <c r="M558" i="7941"/>
  <c r="M688" s="1"/>
  <c r="N688" s="1"/>
  <c r="O688" s="1"/>
  <c r="P688" s="1"/>
  <c r="Q688" s="1"/>
  <c r="N783" i="18"/>
  <c r="O783" s="1"/>
  <c r="P783" s="1"/>
  <c r="Q783" s="1"/>
  <c r="R783" s="1"/>
  <c r="N846"/>
  <c r="N557" i="7941" s="1"/>
  <c r="O1008" i="18"/>
  <c r="M557" i="7941"/>
  <c r="M687" s="1"/>
  <c r="N687" s="1"/>
  <c r="O687" s="1"/>
  <c r="P687" s="1"/>
  <c r="Q687" s="1"/>
  <c r="N782" i="18"/>
  <c r="O782" s="1"/>
  <c r="P782" s="1"/>
  <c r="Q782" s="1"/>
  <c r="R782" s="1"/>
  <c r="N845"/>
  <c r="N556" i="7941" s="1"/>
  <c r="O1007" i="18"/>
  <c r="M556" i="7941"/>
  <c r="M686" s="1"/>
  <c r="N686" s="1"/>
  <c r="O686" s="1"/>
  <c r="P686" s="1"/>
  <c r="Q686" s="1"/>
  <c r="N781" i="18"/>
  <c r="O781" s="1"/>
  <c r="P781" s="1"/>
  <c r="Q781" s="1"/>
  <c r="R781" s="1"/>
  <c r="N844"/>
  <c r="N555" i="7941" s="1"/>
  <c r="O1006" i="18"/>
  <c r="M555" i="7941"/>
  <c r="M685" s="1"/>
  <c r="N685" s="1"/>
  <c r="O685" s="1"/>
  <c r="P685" s="1"/>
  <c r="Q685" s="1"/>
  <c r="N780" i="18"/>
  <c r="O780" s="1"/>
  <c r="P780" s="1"/>
  <c r="Q780" s="1"/>
  <c r="R780" s="1"/>
  <c r="N843"/>
  <c r="N554" i="7941" s="1"/>
  <c r="O1005" i="18"/>
  <c r="M554" i="7941"/>
  <c r="M684" s="1"/>
  <c r="N684" s="1"/>
  <c r="O684" s="1"/>
  <c r="P684" s="1"/>
  <c r="Q684" s="1"/>
  <c r="N779" i="18"/>
  <c r="O779" s="1"/>
  <c r="P779" s="1"/>
  <c r="Q779" s="1"/>
  <c r="R779" s="1"/>
  <c r="N842"/>
  <c r="N553" i="7941" s="1"/>
  <c r="O1004" i="18"/>
  <c r="M553" i="7941"/>
  <c r="M683" s="1"/>
  <c r="N683" s="1"/>
  <c r="O683" s="1"/>
  <c r="P683" s="1"/>
  <c r="Q683" s="1"/>
  <c r="N778" i="18"/>
  <c r="O778" s="1"/>
  <c r="P778" s="1"/>
  <c r="Q778" s="1"/>
  <c r="R778" s="1"/>
  <c r="N841"/>
  <c r="N552" i="7941" s="1"/>
  <c r="O1003" i="18"/>
  <c r="M552" i="7941"/>
  <c r="M682" s="1"/>
  <c r="N682" s="1"/>
  <c r="O682" s="1"/>
  <c r="P682" s="1"/>
  <c r="Q682" s="1"/>
  <c r="N777" i="18"/>
  <c r="O777" s="1"/>
  <c r="P777" s="1"/>
  <c r="Q777" s="1"/>
  <c r="R777" s="1"/>
  <c r="N840"/>
  <c r="N551" i="7941" s="1"/>
  <c r="O1002" i="18"/>
  <c r="M551" i="7941"/>
  <c r="M681" s="1"/>
  <c r="N681" s="1"/>
  <c r="O681" s="1"/>
  <c r="P681" s="1"/>
  <c r="Q681" s="1"/>
  <c r="N776" i="18"/>
  <c r="O776" s="1"/>
  <c r="P776" s="1"/>
  <c r="Q776" s="1"/>
  <c r="R776" s="1"/>
  <c r="O839"/>
  <c r="O550" i="7941" s="1"/>
  <c r="P1001" i="18"/>
  <c r="O838"/>
  <c r="O549" i="7941" s="1"/>
  <c r="P1000" i="18"/>
  <c r="O837"/>
  <c r="O548" i="7941" s="1"/>
  <c r="P999" i="18"/>
  <c r="O772"/>
  <c r="M677" i="7941"/>
  <c r="O836" i="18"/>
  <c r="P998"/>
  <c r="N547" i="7941"/>
  <c r="N563" i="18"/>
  <c r="N101" i="7941" s="1"/>
  <c r="O757" i="18"/>
  <c r="M101" i="7941"/>
  <c r="M264" s="1"/>
  <c r="N264" s="1"/>
  <c r="O264" s="1"/>
  <c r="P264" s="1"/>
  <c r="Q264" s="1"/>
  <c r="N499" i="18"/>
  <c r="O499" s="1"/>
  <c r="P499" s="1"/>
  <c r="Q499" s="1"/>
  <c r="R499" s="1"/>
  <c r="N562"/>
  <c r="N100" i="7941" s="1"/>
  <c r="O756" i="18"/>
  <c r="M100" i="7941"/>
  <c r="M263" s="1"/>
  <c r="N263" s="1"/>
  <c r="O263" s="1"/>
  <c r="P263" s="1"/>
  <c r="Q263" s="1"/>
  <c r="N498" i="18"/>
  <c r="O498" s="1"/>
  <c r="P498" s="1"/>
  <c r="Q498" s="1"/>
  <c r="R498" s="1"/>
  <c r="N561"/>
  <c r="N99" i="7941" s="1"/>
  <c r="O755" i="18"/>
  <c r="M99" i="7941"/>
  <c r="M262" s="1"/>
  <c r="N262" s="1"/>
  <c r="O262" s="1"/>
  <c r="P262" s="1"/>
  <c r="Q262" s="1"/>
  <c r="N497" i="18"/>
  <c r="O497" s="1"/>
  <c r="P497" s="1"/>
  <c r="Q497" s="1"/>
  <c r="R497" s="1"/>
  <c r="N560"/>
  <c r="N98" i="7941" s="1"/>
  <c r="O754" i="18"/>
  <c r="M98" i="7941"/>
  <c r="M261" s="1"/>
  <c r="N261" s="1"/>
  <c r="O261" s="1"/>
  <c r="P261" s="1"/>
  <c r="Q261" s="1"/>
  <c r="N496" i="18"/>
  <c r="O496" s="1"/>
  <c r="P496" s="1"/>
  <c r="Q496" s="1"/>
  <c r="R496" s="1"/>
  <c r="N559"/>
  <c r="N97" i="7941" s="1"/>
  <c r="O753" i="18"/>
  <c r="M97" i="7941"/>
  <c r="M260" s="1"/>
  <c r="N260" s="1"/>
  <c r="O260" s="1"/>
  <c r="P260" s="1"/>
  <c r="Q260" s="1"/>
  <c r="N495" i="18"/>
  <c r="O495" s="1"/>
  <c r="P495" s="1"/>
  <c r="Q495" s="1"/>
  <c r="R495" s="1"/>
  <c r="N558"/>
  <c r="N96" i="7941" s="1"/>
  <c r="O752" i="18"/>
  <c r="M96" i="7941"/>
  <c r="M259" s="1"/>
  <c r="N259" s="1"/>
  <c r="O259" s="1"/>
  <c r="P259" s="1"/>
  <c r="Q259" s="1"/>
  <c r="N494" i="18"/>
  <c r="O494" s="1"/>
  <c r="P494" s="1"/>
  <c r="Q494" s="1"/>
  <c r="R494" s="1"/>
  <c r="N557"/>
  <c r="N95" i="7941" s="1"/>
  <c r="O751" i="18"/>
  <c r="M95" i="7941"/>
  <c r="M258" s="1"/>
  <c r="N258" s="1"/>
  <c r="O258" s="1"/>
  <c r="P258" s="1"/>
  <c r="Q258" s="1"/>
  <c r="N493" i="18"/>
  <c r="O493" s="1"/>
  <c r="P493" s="1"/>
  <c r="Q493" s="1"/>
  <c r="R493" s="1"/>
  <c r="N556"/>
  <c r="N94" i="7941" s="1"/>
  <c r="O750" i="18"/>
  <c r="M94" i="7941"/>
  <c r="M257" s="1"/>
  <c r="N257" s="1"/>
  <c r="O257" s="1"/>
  <c r="P257" s="1"/>
  <c r="Q257" s="1"/>
  <c r="N492" i="18"/>
  <c r="O492" s="1"/>
  <c r="P492" s="1"/>
  <c r="Q492" s="1"/>
  <c r="R492" s="1"/>
  <c r="N555"/>
  <c r="N93" i="7941" s="1"/>
  <c r="O749" i="18"/>
  <c r="M93" i="7941"/>
  <c r="M256" s="1"/>
  <c r="N256" s="1"/>
  <c r="O256" s="1"/>
  <c r="P256" s="1"/>
  <c r="Q256" s="1"/>
  <c r="N491" i="18"/>
  <c r="O491" s="1"/>
  <c r="P491" s="1"/>
  <c r="Q491" s="1"/>
  <c r="R491" s="1"/>
  <c r="N554"/>
  <c r="N92" i="7941" s="1"/>
  <c r="O748" i="18"/>
  <c r="M92" i="7941"/>
  <c r="M255" s="1"/>
  <c r="N255" s="1"/>
  <c r="O255" s="1"/>
  <c r="P255" s="1"/>
  <c r="Q255" s="1"/>
  <c r="N490" i="18"/>
  <c r="O490" s="1"/>
  <c r="P490" s="1"/>
  <c r="Q490" s="1"/>
  <c r="R490" s="1"/>
  <c r="N553"/>
  <c r="N91" i="7941" s="1"/>
  <c r="O747" i="18"/>
  <c r="M91" i="7941"/>
  <c r="M254" s="1"/>
  <c r="N254" s="1"/>
  <c r="O254" s="1"/>
  <c r="P254" s="1"/>
  <c r="Q254" s="1"/>
  <c r="N489" i="18"/>
  <c r="O489" s="1"/>
  <c r="P489" s="1"/>
  <c r="Q489" s="1"/>
  <c r="R489" s="1"/>
  <c r="N552"/>
  <c r="N90" i="7941" s="1"/>
  <c r="O746" i="18"/>
  <c r="M90" i="7941"/>
  <c r="M253" s="1"/>
  <c r="N253" s="1"/>
  <c r="O253" s="1"/>
  <c r="P253" s="1"/>
  <c r="Q253" s="1"/>
  <c r="N488" i="18"/>
  <c r="O488" s="1"/>
  <c r="P488" s="1"/>
  <c r="Q488" s="1"/>
  <c r="R488" s="1"/>
  <c r="N551"/>
  <c r="N89" i="7941" s="1"/>
  <c r="O745" i="18"/>
  <c r="M89" i="7941"/>
  <c r="M252" s="1"/>
  <c r="N252" s="1"/>
  <c r="O252" s="1"/>
  <c r="P252" s="1"/>
  <c r="Q252" s="1"/>
  <c r="N487" i="18"/>
  <c r="O487" s="1"/>
  <c r="P487" s="1"/>
  <c r="Q487" s="1"/>
  <c r="R487" s="1"/>
  <c r="N550"/>
  <c r="N88" i="7941" s="1"/>
  <c r="O744" i="18"/>
  <c r="M88" i="7941"/>
  <c r="M251" s="1"/>
  <c r="N251" s="1"/>
  <c r="O251" s="1"/>
  <c r="P251" s="1"/>
  <c r="Q251" s="1"/>
  <c r="N486" i="18"/>
  <c r="O486" s="1"/>
  <c r="P486" s="1"/>
  <c r="Q486" s="1"/>
  <c r="R486" s="1"/>
  <c r="N549"/>
  <c r="N87" i="7941" s="1"/>
  <c r="O743" i="18"/>
  <c r="M87" i="7941"/>
  <c r="M250" s="1"/>
  <c r="N250" s="1"/>
  <c r="O250" s="1"/>
  <c r="P250" s="1"/>
  <c r="Q250" s="1"/>
  <c r="N485" i="18"/>
  <c r="O485" s="1"/>
  <c r="P485" s="1"/>
  <c r="Q485" s="1"/>
  <c r="R485" s="1"/>
  <c r="N548"/>
  <c r="N86" i="7941" s="1"/>
  <c r="O742" i="18"/>
  <c r="M86" i="7941"/>
  <c r="M249" s="1"/>
  <c r="N249" s="1"/>
  <c r="O249" s="1"/>
  <c r="P249" s="1"/>
  <c r="Q249" s="1"/>
  <c r="N484" i="18"/>
  <c r="O484" s="1"/>
  <c r="P484" s="1"/>
  <c r="Q484" s="1"/>
  <c r="R484" s="1"/>
  <c r="M825"/>
  <c r="N987"/>
  <c r="O548" l="1"/>
  <c r="O86" i="7941" s="1"/>
  <c r="P742" i="18"/>
  <c r="O549"/>
  <c r="O87" i="7941" s="1"/>
  <c r="P743" i="18"/>
  <c r="O550"/>
  <c r="O88" i="7941" s="1"/>
  <c r="P744" i="18"/>
  <c r="O551"/>
  <c r="O89" i="7941" s="1"/>
  <c r="P745" i="18"/>
  <c r="O552"/>
  <c r="O90" i="7941" s="1"/>
  <c r="P746" i="18"/>
  <c r="O553"/>
  <c r="O91" i="7941" s="1"/>
  <c r="P747" i="18"/>
  <c r="O554"/>
  <c r="O92" i="7941" s="1"/>
  <c r="P748" i="18"/>
  <c r="O555"/>
  <c r="O93" i="7941" s="1"/>
  <c r="P749" i="18"/>
  <c r="O556"/>
  <c r="O94" i="7941" s="1"/>
  <c r="P750" i="18"/>
  <c r="O557"/>
  <c r="O95" i="7941" s="1"/>
  <c r="P751" i="18"/>
  <c r="O558"/>
  <c r="O96" i="7941" s="1"/>
  <c r="P752" i="18"/>
  <c r="O559"/>
  <c r="O97" i="7941" s="1"/>
  <c r="P753" i="18"/>
  <c r="O560"/>
  <c r="O98" i="7941" s="1"/>
  <c r="P754" i="18"/>
  <c r="O561"/>
  <c r="O99" i="7941" s="1"/>
  <c r="P755" i="18"/>
  <c r="O562"/>
  <c r="O100" i="7941" s="1"/>
  <c r="P756" i="18"/>
  <c r="O563"/>
  <c r="O101" i="7941" s="1"/>
  <c r="P757" i="18"/>
  <c r="P836"/>
  <c r="Q998"/>
  <c r="O547" i="7941"/>
  <c r="N677"/>
  <c r="P772" i="18"/>
  <c r="P837"/>
  <c r="P548" i="7941" s="1"/>
  <c r="Q999" i="18"/>
  <c r="Q837" s="1"/>
  <c r="Q548" i="7941" s="1"/>
  <c r="P838" i="18"/>
  <c r="P549" i="7941" s="1"/>
  <c r="Q1000" i="18"/>
  <c r="Q838" s="1"/>
  <c r="Q549" i="7941" s="1"/>
  <c r="P839" i="18"/>
  <c r="P550" i="7941" s="1"/>
  <c r="Q1001" i="18"/>
  <c r="Q839" s="1"/>
  <c r="Q550" i="7941" s="1"/>
  <c r="O840" i="18"/>
  <c r="O551" i="7941" s="1"/>
  <c r="P1002" i="18"/>
  <c r="O841"/>
  <c r="O552" i="7941" s="1"/>
  <c r="P1003" i="18"/>
  <c r="O842"/>
  <c r="O553" i="7941" s="1"/>
  <c r="P1004" i="18"/>
  <c r="O843"/>
  <c r="O554" i="7941" s="1"/>
  <c r="P1005" i="18"/>
  <c r="O844"/>
  <c r="O555" i="7941" s="1"/>
  <c r="P1006" i="18"/>
  <c r="O845"/>
  <c r="O556" i="7941" s="1"/>
  <c r="P1007" i="18"/>
  <c r="O846"/>
  <c r="O557" i="7941" s="1"/>
  <c r="P1008" i="18"/>
  <c r="O847"/>
  <c r="O558" i="7941" s="1"/>
  <c r="P1009" i="18"/>
  <c r="O848"/>
  <c r="O559" i="7941" s="1"/>
  <c r="P1010" i="18"/>
  <c r="O849"/>
  <c r="O560" i="7941" s="1"/>
  <c r="P1011" i="18"/>
  <c r="O850"/>
  <c r="O561" i="7941" s="1"/>
  <c r="P1012" i="18"/>
  <c r="O851"/>
  <c r="O562" i="7941" s="1"/>
  <c r="P1013" i="18"/>
  <c r="P544"/>
  <c r="Q738"/>
  <c r="O82" i="7941"/>
  <c r="N245"/>
  <c r="P480" i="18"/>
  <c r="N545"/>
  <c r="O739"/>
  <c r="N727"/>
  <c r="M83" i="7941"/>
  <c r="M533" i="18"/>
  <c r="N481"/>
  <c r="O19" i="7941"/>
  <c r="N7"/>
  <c r="N546" i="18"/>
  <c r="N84" i="7941" s="1"/>
  <c r="O740" i="18"/>
  <c r="M84" i="7941"/>
  <c r="M247" s="1"/>
  <c r="N247" s="1"/>
  <c r="O247" s="1"/>
  <c r="P247" s="1"/>
  <c r="Q247" s="1"/>
  <c r="N482" i="18"/>
  <c r="O482" s="1"/>
  <c r="P482" s="1"/>
  <c r="Q482" s="1"/>
  <c r="R482" s="1"/>
  <c r="N547"/>
  <c r="N85" i="7941" s="1"/>
  <c r="O741" i="18"/>
  <c r="M85" i="7941"/>
  <c r="M248" s="1"/>
  <c r="N248" s="1"/>
  <c r="O248" s="1"/>
  <c r="P248" s="1"/>
  <c r="Q248" s="1"/>
  <c r="N483" i="18"/>
  <c r="O483" s="1"/>
  <c r="P483" s="1"/>
  <c r="Q483" s="1"/>
  <c r="R483" s="1"/>
  <c r="N852"/>
  <c r="O1014"/>
  <c r="M563" i="7941"/>
  <c r="N788" i="18"/>
  <c r="O499" i="7941"/>
  <c r="N472"/>
  <c r="N853" i="18"/>
  <c r="N564" i="7941" s="1"/>
  <c r="O1015" i="18"/>
  <c r="M564" i="7941"/>
  <c r="M694" s="1"/>
  <c r="N694" s="1"/>
  <c r="O694" s="1"/>
  <c r="P694" s="1"/>
  <c r="Q694" s="1"/>
  <c r="N789" i="18"/>
  <c r="O789" s="1"/>
  <c r="P789" s="1"/>
  <c r="Q789" s="1"/>
  <c r="R789" s="1"/>
  <c r="N854"/>
  <c r="N565" i="7941" s="1"/>
  <c r="O1016" i="18"/>
  <c r="M565" i="7941"/>
  <c r="M695" s="1"/>
  <c r="N695" s="1"/>
  <c r="O695" s="1"/>
  <c r="P695" s="1"/>
  <c r="Q695" s="1"/>
  <c r="N790" i="18"/>
  <c r="O790" s="1"/>
  <c r="P790" s="1"/>
  <c r="Q790" s="1"/>
  <c r="R790" s="1"/>
  <c r="N855"/>
  <c r="N566" i="7941" s="1"/>
  <c r="O1017" i="18"/>
  <c r="M566" i="7941"/>
  <c r="M696" s="1"/>
  <c r="N696" s="1"/>
  <c r="O696" s="1"/>
  <c r="P696" s="1"/>
  <c r="Q696" s="1"/>
  <c r="N791" i="18"/>
  <c r="O791" s="1"/>
  <c r="P791" s="1"/>
  <c r="Q791" s="1"/>
  <c r="R791" s="1"/>
  <c r="O855" l="1"/>
  <c r="O566" i="7941" s="1"/>
  <c r="P1017" i="18"/>
  <c r="O854"/>
  <c r="O565" i="7941" s="1"/>
  <c r="P1016" i="18"/>
  <c r="O853"/>
  <c r="O564" i="7941" s="1"/>
  <c r="P1015" i="18"/>
  <c r="P499" i="7941"/>
  <c r="O472"/>
  <c r="O788" i="18"/>
  <c r="N761"/>
  <c r="M693" i="7941"/>
  <c r="M536"/>
  <c r="O852" i="18"/>
  <c r="O563" i="7941" s="1"/>
  <c r="P1014" i="18"/>
  <c r="O987"/>
  <c r="N563" i="7941"/>
  <c r="N536" s="1"/>
  <c r="N825" i="18"/>
  <c r="O547"/>
  <c r="O85" i="7941" s="1"/>
  <c r="P741" i="18"/>
  <c r="O546"/>
  <c r="O84" i="7941" s="1"/>
  <c r="P740" i="18"/>
  <c r="P19" i="7941"/>
  <c r="O7"/>
  <c r="O481" i="18"/>
  <c r="N469"/>
  <c r="M246" i="7941"/>
  <c r="M71"/>
  <c r="O545" i="18"/>
  <c r="P739"/>
  <c r="O727"/>
  <c r="N83" i="7941"/>
  <c r="N71" s="1"/>
  <c r="N533" i="18"/>
  <c r="Q480"/>
  <c r="O245" i="7941"/>
  <c r="Q544" i="18"/>
  <c r="P82" i="7941"/>
  <c r="P851" i="18"/>
  <c r="P562" i="7941" s="1"/>
  <c r="Q1013" i="18"/>
  <c r="Q851" s="1"/>
  <c r="Q562" i="7941" s="1"/>
  <c r="P850" i="18"/>
  <c r="P561" i="7941" s="1"/>
  <c r="Q1012" i="18"/>
  <c r="Q850" s="1"/>
  <c r="Q561" i="7941" s="1"/>
  <c r="P849" i="18"/>
  <c r="P560" i="7941" s="1"/>
  <c r="Q1011" i="18"/>
  <c r="Q849" s="1"/>
  <c r="Q560" i="7941" s="1"/>
  <c r="P848" i="18"/>
  <c r="P559" i="7941" s="1"/>
  <c r="Q1010" i="18"/>
  <c r="Q848" s="1"/>
  <c r="Q559" i="7941" s="1"/>
  <c r="P847" i="18"/>
  <c r="P558" i="7941" s="1"/>
  <c r="Q1009" i="18"/>
  <c r="Q847" s="1"/>
  <c r="Q558" i="7941" s="1"/>
  <c r="P846" i="18"/>
  <c r="P557" i="7941" s="1"/>
  <c r="Q1008" i="18"/>
  <c r="Q846" s="1"/>
  <c r="Q557" i="7941" s="1"/>
  <c r="P845" i="18"/>
  <c r="P556" i="7941" s="1"/>
  <c r="Q1007" i="18"/>
  <c r="Q845" s="1"/>
  <c r="Q556" i="7941" s="1"/>
  <c r="P844" i="18"/>
  <c r="P555" i="7941" s="1"/>
  <c r="Q1006" i="18"/>
  <c r="Q844" s="1"/>
  <c r="Q555" i="7941" s="1"/>
  <c r="P843" i="18"/>
  <c r="P554" i="7941" s="1"/>
  <c r="Q1005" i="18"/>
  <c r="Q843" s="1"/>
  <c r="Q554" i="7941" s="1"/>
  <c r="P842" i="18"/>
  <c r="P553" i="7941" s="1"/>
  <c r="Q1004" i="18"/>
  <c r="Q842" s="1"/>
  <c r="Q553" i="7941" s="1"/>
  <c r="P841" i="18"/>
  <c r="P552" i="7941" s="1"/>
  <c r="Q1003" i="18"/>
  <c r="Q841" s="1"/>
  <c r="Q552" i="7941" s="1"/>
  <c r="P840" i="18"/>
  <c r="P551" i="7941" s="1"/>
  <c r="Q1002" i="18"/>
  <c r="Q840" s="1"/>
  <c r="Q551" i="7941" s="1"/>
  <c r="Q772" i="18"/>
  <c r="O677" i="7941"/>
  <c r="Q836" i="18"/>
  <c r="P547" i="7941"/>
  <c r="P563" i="18"/>
  <c r="P101" i="7941" s="1"/>
  <c r="Q757" i="18"/>
  <c r="Q563" s="1"/>
  <c r="Q101" i="7941" s="1"/>
  <c r="P562" i="18"/>
  <c r="P100" i="7941" s="1"/>
  <c r="Q756" i="18"/>
  <c r="Q562" s="1"/>
  <c r="Q100" i="7941" s="1"/>
  <c r="P561" i="18"/>
  <c r="P99" i="7941" s="1"/>
  <c r="Q755" i="18"/>
  <c r="Q561" s="1"/>
  <c r="Q99" i="7941" s="1"/>
  <c r="P560" i="18"/>
  <c r="P98" i="7941" s="1"/>
  <c r="Q754" i="18"/>
  <c r="Q560" s="1"/>
  <c r="Q98" i="7941" s="1"/>
  <c r="P559" i="18"/>
  <c r="P97" i="7941" s="1"/>
  <c r="Q753" i="18"/>
  <c r="Q559" s="1"/>
  <c r="Q97" i="7941" s="1"/>
  <c r="P558" i="18"/>
  <c r="P96" i="7941" s="1"/>
  <c r="Q752" i="18"/>
  <c r="Q558" s="1"/>
  <c r="Q96" i="7941" s="1"/>
  <c r="P557" i="18"/>
  <c r="P95" i="7941" s="1"/>
  <c r="Q751" i="18"/>
  <c r="Q557" s="1"/>
  <c r="Q95" i="7941" s="1"/>
  <c r="P556" i="18"/>
  <c r="P94" i="7941" s="1"/>
  <c r="Q750" i="18"/>
  <c r="Q556" s="1"/>
  <c r="Q94" i="7941" s="1"/>
  <c r="P555" i="18"/>
  <c r="P93" i="7941" s="1"/>
  <c r="Q749" i="18"/>
  <c r="Q555" s="1"/>
  <c r="Q93" i="7941" s="1"/>
  <c r="P554" i="18"/>
  <c r="P92" i="7941" s="1"/>
  <c r="Q748" i="18"/>
  <c r="Q554" s="1"/>
  <c r="Q92" i="7941" s="1"/>
  <c r="P553" i="18"/>
  <c r="P91" i="7941" s="1"/>
  <c r="Q747" i="18"/>
  <c r="Q553" s="1"/>
  <c r="Q91" i="7941" s="1"/>
  <c r="P552" i="18"/>
  <c r="P90" i="7941" s="1"/>
  <c r="Q746" i="18"/>
  <c r="Q552" s="1"/>
  <c r="Q90" i="7941" s="1"/>
  <c r="P551" i="18"/>
  <c r="P89" i="7941" s="1"/>
  <c r="Q745" i="18"/>
  <c r="Q551" s="1"/>
  <c r="Q89" i="7941" s="1"/>
  <c r="P550" i="18"/>
  <c r="P88" i="7941" s="1"/>
  <c r="Q744" i="18"/>
  <c r="Q550" s="1"/>
  <c r="Q88" i="7941" s="1"/>
  <c r="P549" i="18"/>
  <c r="P87" i="7941" s="1"/>
  <c r="Q743" i="18"/>
  <c r="Q549" s="1"/>
  <c r="Q87" i="7941" s="1"/>
  <c r="P548" i="18"/>
  <c r="P86" i="7941" s="1"/>
  <c r="Q742" i="18"/>
  <c r="Q548" s="1"/>
  <c r="Q86" i="7941" s="1"/>
  <c r="O825" i="18"/>
  <c r="O536" i="7941"/>
  <c r="P987" i="18"/>
  <c r="Q547" i="7941" l="1"/>
  <c r="P677"/>
  <c r="R772" i="18"/>
  <c r="Q82" i="7941"/>
  <c r="P245"/>
  <c r="R480" i="18"/>
  <c r="P545"/>
  <c r="Q739"/>
  <c r="P727"/>
  <c r="O83" i="7941"/>
  <c r="O71" s="1"/>
  <c r="O533" i="18"/>
  <c r="N246" i="7941"/>
  <c r="M234"/>
  <c r="P481" i="18"/>
  <c r="O469"/>
  <c r="Q19" i="7941"/>
  <c r="Q7" s="1"/>
  <c r="P7"/>
  <c r="P546" i="18"/>
  <c r="P84" i="7941" s="1"/>
  <c r="Q740" i="18"/>
  <c r="Q546" s="1"/>
  <c r="Q84" i="7941" s="1"/>
  <c r="P547" i="18"/>
  <c r="P85" i="7941" s="1"/>
  <c r="Q741" i="18"/>
  <c r="Q547" s="1"/>
  <c r="Q85" i="7941" s="1"/>
  <c r="P852" i="18"/>
  <c r="Q1014"/>
  <c r="N693" i="7941"/>
  <c r="M666"/>
  <c r="P788" i="18"/>
  <c r="O761"/>
  <c r="Q499" i="7941"/>
  <c r="Q472" s="1"/>
  <c r="P472"/>
  <c r="P853" i="18"/>
  <c r="P564" i="7941" s="1"/>
  <c r="Q1015" i="18"/>
  <c r="Q853" s="1"/>
  <c r="Q564" i="7941" s="1"/>
  <c r="P854" i="18"/>
  <c r="P565" i="7941" s="1"/>
  <c r="Q1016" i="18"/>
  <c r="Q854" s="1"/>
  <c r="Q565" i="7941" s="1"/>
  <c r="P855" i="18"/>
  <c r="P566" i="7941" s="1"/>
  <c r="Q1017" i="18"/>
  <c r="Q855" s="1"/>
  <c r="Q566" i="7941" s="1"/>
  <c r="Q788" i="18" l="1"/>
  <c r="P761"/>
  <c r="L833" i="7941"/>
  <c r="L739"/>
  <c r="L757"/>
  <c r="L748"/>
  <c r="L825"/>
  <c r="L835"/>
  <c r="L827"/>
  <c r="L837"/>
  <c r="L814"/>
  <c r="L737"/>
  <c r="L826"/>
  <c r="L817"/>
  <c r="L731"/>
  <c r="L812"/>
  <c r="L758"/>
  <c r="L828"/>
  <c r="L734"/>
  <c r="L741"/>
  <c r="L813"/>
  <c r="L754"/>
  <c r="L810"/>
  <c r="L756"/>
  <c r="L759"/>
  <c r="L735"/>
  <c r="L752"/>
  <c r="L738"/>
  <c r="L760"/>
  <c r="L742"/>
  <c r="L750"/>
  <c r="L746"/>
  <c r="L824"/>
  <c r="L818"/>
  <c r="L831"/>
  <c r="L743"/>
  <c r="L751"/>
  <c r="L745"/>
  <c r="L732"/>
  <c r="L736"/>
  <c r="L747"/>
  <c r="L749"/>
  <c r="L808"/>
  <c r="L820"/>
  <c r="L834"/>
  <c r="L753"/>
  <c r="L816"/>
  <c r="L829"/>
  <c r="L809"/>
  <c r="L733"/>
  <c r="L755"/>
  <c r="L822"/>
  <c r="L823"/>
  <c r="L815"/>
  <c r="L819"/>
  <c r="L821"/>
  <c r="L830"/>
  <c r="L744"/>
  <c r="L811"/>
  <c r="L836"/>
  <c r="L740"/>
  <c r="L832"/>
  <c r="L700"/>
  <c r="L719"/>
  <c r="L714"/>
  <c r="L708"/>
  <c r="L706"/>
  <c r="L711"/>
  <c r="L712"/>
  <c r="L718"/>
  <c r="L726"/>
  <c r="L709"/>
  <c r="L716"/>
  <c r="L702"/>
  <c r="L717"/>
  <c r="L701"/>
  <c r="L710"/>
  <c r="L728"/>
  <c r="L723"/>
  <c r="L704"/>
  <c r="L703"/>
  <c r="L713"/>
  <c r="L715"/>
  <c r="L721"/>
  <c r="L699"/>
  <c r="L720"/>
  <c r="L725"/>
  <c r="L724"/>
  <c r="L707"/>
  <c r="L705"/>
  <c r="L722"/>
  <c r="L727"/>
  <c r="O693"/>
  <c r="N666"/>
  <c r="Q852" i="18"/>
  <c r="Q987"/>
  <c r="P563" i="7941"/>
  <c r="P536" s="1"/>
  <c r="P825" i="18"/>
  <c r="Q481"/>
  <c r="P469"/>
  <c r="L313" i="7941"/>
  <c r="L424"/>
  <c r="L384"/>
  <c r="L391"/>
  <c r="L383"/>
  <c r="L454"/>
  <c r="L309"/>
  <c r="L459"/>
  <c r="L449"/>
  <c r="L453"/>
  <c r="L310"/>
  <c r="L366"/>
  <c r="L467"/>
  <c r="L323"/>
  <c r="L434"/>
  <c r="L367"/>
  <c r="L463"/>
  <c r="L465"/>
  <c r="L429"/>
  <c r="L439"/>
  <c r="L312"/>
  <c r="L327"/>
  <c r="L425"/>
  <c r="L442"/>
  <c r="L389"/>
  <c r="L320"/>
  <c r="L458"/>
  <c r="L305"/>
  <c r="L423"/>
  <c r="L376"/>
  <c r="L315"/>
  <c r="L328"/>
  <c r="L300"/>
  <c r="L381"/>
  <c r="L457"/>
  <c r="L419"/>
  <c r="L461"/>
  <c r="L418"/>
  <c r="L387"/>
  <c r="L311"/>
  <c r="L445"/>
  <c r="L317"/>
  <c r="L363"/>
  <c r="L426"/>
  <c r="L468"/>
  <c r="L326"/>
  <c r="L464"/>
  <c r="L462"/>
  <c r="L379"/>
  <c r="L304"/>
  <c r="L299"/>
  <c r="L443"/>
  <c r="L422"/>
  <c r="L378"/>
  <c r="L420"/>
  <c r="L380"/>
  <c r="L385"/>
  <c r="L451"/>
  <c r="L388"/>
  <c r="L431"/>
  <c r="L386"/>
  <c r="L466"/>
  <c r="L370"/>
  <c r="L435"/>
  <c r="L306"/>
  <c r="L447"/>
  <c r="L448"/>
  <c r="L321"/>
  <c r="L324"/>
  <c r="L314"/>
  <c r="L301"/>
  <c r="L390"/>
  <c r="L428"/>
  <c r="L372"/>
  <c r="L427"/>
  <c r="L316"/>
  <c r="L374"/>
  <c r="L430"/>
  <c r="L436"/>
  <c r="L368"/>
  <c r="L417"/>
  <c r="L303"/>
  <c r="L377"/>
  <c r="L441"/>
  <c r="L440"/>
  <c r="L308"/>
  <c r="L456"/>
  <c r="L455"/>
  <c r="L382"/>
  <c r="L444"/>
  <c r="L460"/>
  <c r="L369"/>
  <c r="L371"/>
  <c r="L373"/>
  <c r="L452"/>
  <c r="L319"/>
  <c r="L446"/>
  <c r="L302"/>
  <c r="L432"/>
  <c r="L375"/>
  <c r="L433"/>
  <c r="L325"/>
  <c r="L364"/>
  <c r="L421"/>
  <c r="L365"/>
  <c r="L450"/>
  <c r="L318"/>
  <c r="L322"/>
  <c r="L307"/>
  <c r="L392"/>
  <c r="L346"/>
  <c r="L277"/>
  <c r="L401"/>
  <c r="L347"/>
  <c r="L338"/>
  <c r="L398"/>
  <c r="L411"/>
  <c r="L409"/>
  <c r="L403"/>
  <c r="L349"/>
  <c r="L350"/>
  <c r="L360"/>
  <c r="L399"/>
  <c r="L270"/>
  <c r="L357"/>
  <c r="L334"/>
  <c r="L331"/>
  <c r="L272"/>
  <c r="L284"/>
  <c r="L271"/>
  <c r="L402"/>
  <c r="L410"/>
  <c r="L295"/>
  <c r="L282"/>
  <c r="L404"/>
  <c r="L412"/>
  <c r="L408"/>
  <c r="L269"/>
  <c r="L286"/>
  <c r="L354"/>
  <c r="L278"/>
  <c r="L359"/>
  <c r="L355"/>
  <c r="L267"/>
  <c r="L414"/>
  <c r="L294"/>
  <c r="L407"/>
  <c r="L333"/>
  <c r="L341"/>
  <c r="L353"/>
  <c r="L283"/>
  <c r="L397"/>
  <c r="L343"/>
  <c r="L406"/>
  <c r="L335"/>
  <c r="L280"/>
  <c r="L281"/>
  <c r="L290"/>
  <c r="L296"/>
  <c r="L356"/>
  <c r="L396"/>
  <c r="L352"/>
  <c r="L351"/>
  <c r="L336"/>
  <c r="L405"/>
  <c r="L413"/>
  <c r="L339"/>
  <c r="L287"/>
  <c r="L337"/>
  <c r="L293"/>
  <c r="L292"/>
  <c r="L279"/>
  <c r="L344"/>
  <c r="L285"/>
  <c r="L276"/>
  <c r="L268"/>
  <c r="L291"/>
  <c r="L332"/>
  <c r="L342"/>
  <c r="L275"/>
  <c r="L289"/>
  <c r="L340"/>
  <c r="L400"/>
  <c r="L345"/>
  <c r="L358"/>
  <c r="L348"/>
  <c r="L288"/>
  <c r="L274"/>
  <c r="L395"/>
  <c r="L394" s="1"/>
  <c r="L273"/>
  <c r="O246"/>
  <c r="N234"/>
  <c r="Q545" i="18"/>
  <c r="Q727"/>
  <c r="P83" i="7941"/>
  <c r="P71" s="1"/>
  <c r="P533" i="18"/>
  <c r="Q245" i="7941"/>
  <c r="Q677"/>
  <c r="Q83" l="1"/>
  <c r="Q71" s="1"/>
  <c r="Q533" i="18"/>
  <c r="M299" i="7941"/>
  <c r="M363"/>
  <c r="M300"/>
  <c r="M364"/>
  <c r="M301"/>
  <c r="M365"/>
  <c r="M302"/>
  <c r="M366"/>
  <c r="M303"/>
  <c r="M367"/>
  <c r="M304"/>
  <c r="M368"/>
  <c r="M305"/>
  <c r="M369"/>
  <c r="M306"/>
  <c r="M370"/>
  <c r="M307"/>
  <c r="M371"/>
  <c r="M308"/>
  <c r="M372"/>
  <c r="M309"/>
  <c r="M373"/>
  <c r="M310"/>
  <c r="M374"/>
  <c r="M311"/>
  <c r="M375"/>
  <c r="M312"/>
  <c r="M376"/>
  <c r="M795"/>
  <c r="M790"/>
  <c r="M789"/>
  <c r="M787"/>
  <c r="M792"/>
  <c r="M786"/>
  <c r="M791"/>
  <c r="M794"/>
  <c r="M788"/>
  <c r="M798"/>
  <c r="M796"/>
  <c r="M797"/>
  <c r="M793"/>
  <c r="M785"/>
  <c r="M390"/>
  <c r="M801"/>
  <c r="N346"/>
  <c r="N358"/>
  <c r="M804"/>
  <c r="M313"/>
  <c r="N281"/>
  <c r="M322"/>
  <c r="N410"/>
  <c r="N268"/>
  <c r="M388"/>
  <c r="N403"/>
  <c r="N334"/>
  <c r="N280"/>
  <c r="M382"/>
  <c r="N414"/>
  <c r="M380"/>
  <c r="N292"/>
  <c r="M387"/>
  <c r="N397"/>
  <c r="N270"/>
  <c r="N296"/>
  <c r="N277"/>
  <c r="N284"/>
  <c r="N273"/>
  <c r="N356"/>
  <c r="N395"/>
  <c r="M377"/>
  <c r="M389"/>
  <c r="N355"/>
  <c r="M805"/>
  <c r="M316"/>
  <c r="N285"/>
  <c r="N348"/>
  <c r="N413"/>
  <c r="N353"/>
  <c r="M320"/>
  <c r="N360"/>
  <c r="N290"/>
  <c r="N279"/>
  <c r="N342"/>
  <c r="N359"/>
  <c r="N349"/>
  <c r="N294"/>
  <c r="M315"/>
  <c r="N339"/>
  <c r="N340"/>
  <c r="M378"/>
  <c r="N274"/>
  <c r="M385"/>
  <c r="M392"/>
  <c r="N350"/>
  <c r="N271"/>
  <c r="M800"/>
  <c r="M802"/>
  <c r="M379"/>
  <c r="M799"/>
  <c r="M384"/>
  <c r="N331"/>
  <c r="M318"/>
  <c r="N267"/>
  <c r="N398"/>
  <c r="N286"/>
  <c r="M323"/>
  <c r="M314"/>
  <c r="N352"/>
  <c r="N332"/>
  <c r="N411"/>
  <c r="N400"/>
  <c r="N282"/>
  <c r="N338"/>
  <c r="N278"/>
  <c r="N335"/>
  <c r="M803"/>
  <c r="N402"/>
  <c r="N293"/>
  <c r="N343"/>
  <c r="M319"/>
  <c r="M326"/>
  <c r="M327"/>
  <c r="N347"/>
  <c r="N333"/>
  <c r="N396"/>
  <c r="N287"/>
  <c r="M386"/>
  <c r="N272"/>
  <c r="N401"/>
  <c r="M381"/>
  <c r="N407"/>
  <c r="N404"/>
  <c r="N405"/>
  <c r="M383"/>
  <c r="N269"/>
  <c r="N291"/>
  <c r="N409"/>
  <c r="M391"/>
  <c r="N336"/>
  <c r="M324"/>
  <c r="N412"/>
  <c r="N289"/>
  <c r="M321"/>
  <c r="N351"/>
  <c r="N276"/>
  <c r="N283"/>
  <c r="N345"/>
  <c r="M328"/>
  <c r="N408"/>
  <c r="M317"/>
  <c r="N275"/>
  <c r="M325"/>
  <c r="N399"/>
  <c r="N295"/>
  <c r="N337"/>
  <c r="N288"/>
  <c r="N357"/>
  <c r="N406"/>
  <c r="N344"/>
  <c r="N354"/>
  <c r="N341"/>
  <c r="P246"/>
  <c r="O234"/>
  <c r="R481" i="18"/>
  <c r="R469" s="1"/>
  <c r="Q469"/>
  <c r="Q563" i="7941"/>
  <c r="Q536" s="1"/>
  <c r="Q825" i="18"/>
  <c r="M741" i="7941"/>
  <c r="M773"/>
  <c r="M736"/>
  <c r="M768"/>
  <c r="M735"/>
  <c r="M767"/>
  <c r="M733"/>
  <c r="M765"/>
  <c r="M738"/>
  <c r="M770"/>
  <c r="M732"/>
  <c r="M764"/>
  <c r="M737"/>
  <c r="M769"/>
  <c r="M740"/>
  <c r="M772"/>
  <c r="M734"/>
  <c r="M766"/>
  <c r="M744"/>
  <c r="M776"/>
  <c r="M742"/>
  <c r="M774"/>
  <c r="M743"/>
  <c r="M775"/>
  <c r="M739"/>
  <c r="M771"/>
  <c r="M731"/>
  <c r="M763"/>
  <c r="M759"/>
  <c r="N716"/>
  <c r="N701"/>
  <c r="N728"/>
  <c r="M760"/>
  <c r="N705"/>
  <c r="M749"/>
  <c r="M757"/>
  <c r="N703"/>
  <c r="N707"/>
  <c r="N712"/>
  <c r="M758"/>
  <c r="N706"/>
  <c r="M748"/>
  <c r="N709"/>
  <c r="M781"/>
  <c r="M779"/>
  <c r="N714"/>
  <c r="M747"/>
  <c r="M746"/>
  <c r="N699"/>
  <c r="N721"/>
  <c r="M780"/>
  <c r="N720"/>
  <c r="N725"/>
  <c r="N726"/>
  <c r="M778"/>
  <c r="N723"/>
  <c r="M754"/>
  <c r="M751"/>
  <c r="N704"/>
  <c r="N708"/>
  <c r="M777"/>
  <c r="M752"/>
  <c r="N718"/>
  <c r="M782"/>
  <c r="N722"/>
  <c r="N719"/>
  <c r="N700"/>
  <c r="M750"/>
  <c r="N710"/>
  <c r="N713"/>
  <c r="N715"/>
  <c r="N717"/>
  <c r="N711"/>
  <c r="N702"/>
  <c r="N724"/>
  <c r="M755"/>
  <c r="N727"/>
  <c r="M756"/>
  <c r="M753"/>
  <c r="M745"/>
  <c r="P693"/>
  <c r="O666"/>
  <c r="R788" i="18"/>
  <c r="R761" s="1"/>
  <c r="Q761"/>
  <c r="L266" i="7941"/>
  <c r="L330"/>
  <c r="M286"/>
  <c r="M458" s="1"/>
  <c r="J26" i="7946" s="1"/>
  <c r="M433" i="7941"/>
  <c r="M345"/>
  <c r="M287"/>
  <c r="M459" s="1"/>
  <c r="J27" i="7946" s="1"/>
  <c r="M290" i="7941"/>
  <c r="M462" s="1"/>
  <c r="J30" i="7946" s="1"/>
  <c r="M288" i="7941"/>
  <c r="M460" s="1"/>
  <c r="J28" i="7946" s="1"/>
  <c r="M291" i="7941"/>
  <c r="M463" s="1"/>
  <c r="J31" i="7946" s="1"/>
  <c r="M356" i="7941"/>
  <c r="M296"/>
  <c r="M468" s="1"/>
  <c r="J36" i="7946" s="1"/>
  <c r="M285" i="7941"/>
  <c r="M457" s="1"/>
  <c r="J25" i="7946" s="1"/>
  <c r="M352" i="7941"/>
  <c r="M358"/>
  <c r="M411"/>
  <c r="M432"/>
  <c r="M357"/>
  <c r="M289"/>
  <c r="M461" s="1"/>
  <c r="J29" i="7946" s="1"/>
  <c r="M360" i="7941"/>
  <c r="M354"/>
  <c r="M292"/>
  <c r="M464" s="1"/>
  <c r="J32" i="7946" s="1"/>
  <c r="M414" i="7941"/>
  <c r="M355"/>
  <c r="M350"/>
  <c r="M349"/>
  <c r="M409"/>
  <c r="M434"/>
  <c r="M413"/>
  <c r="M347"/>
  <c r="M436"/>
  <c r="M294"/>
  <c r="M466" s="1"/>
  <c r="J34" i="7946" s="1"/>
  <c r="M353" i="7941"/>
  <c r="M293"/>
  <c r="M465" s="1"/>
  <c r="J33" i="7946" s="1"/>
  <c r="M346" i="7941"/>
  <c r="M435"/>
  <c r="M283"/>
  <c r="M455" s="1"/>
  <c r="J23" i="7946" s="1"/>
  <c r="M348" i="7941"/>
  <c r="M359"/>
  <c r="M431"/>
  <c r="M282"/>
  <c r="M454" s="1"/>
  <c r="J22" i="7946" s="1"/>
  <c r="M281" i="7941"/>
  <c r="M453" s="1"/>
  <c r="J21" i="7946" s="1"/>
  <c r="M295" i="7941"/>
  <c r="M467" s="1"/>
  <c r="J35" i="7946" s="1"/>
  <c r="M284" i="7941"/>
  <c r="M456" s="1"/>
  <c r="J24" i="7946" s="1"/>
  <c r="M351" i="7941"/>
  <c r="M412"/>
  <c r="M410"/>
  <c r="L416"/>
  <c r="L298"/>
  <c r="L362"/>
  <c r="L438"/>
  <c r="M430"/>
  <c r="M408"/>
  <c r="M344"/>
  <c r="M280"/>
  <c r="M452" s="1"/>
  <c r="J20" i="7946" s="1"/>
  <c r="M429" i="7941"/>
  <c r="M407"/>
  <c r="M343"/>
  <c r="M279"/>
  <c r="M451" s="1"/>
  <c r="J19" i="7946" s="1"/>
  <c r="M428" i="7941"/>
  <c r="M406"/>
  <c r="M342"/>
  <c r="M278"/>
  <c r="M450" s="1"/>
  <c r="J18" i="7946" s="1"/>
  <c r="M427" i="7941"/>
  <c r="M405"/>
  <c r="M341"/>
  <c r="M277"/>
  <c r="M449" s="1"/>
  <c r="J17" i="7946" s="1"/>
  <c r="M426" i="7941"/>
  <c r="M404"/>
  <c r="M340"/>
  <c r="M276"/>
  <c r="M448" s="1"/>
  <c r="J16" i="7946" s="1"/>
  <c r="M425" i="7941"/>
  <c r="M403"/>
  <c r="M339"/>
  <c r="M275"/>
  <c r="M447" s="1"/>
  <c r="J15" i="7946" s="1"/>
  <c r="M424" i="7941"/>
  <c r="M402"/>
  <c r="M338"/>
  <c r="M274"/>
  <c r="M446" s="1"/>
  <c r="J14" i="7946" s="1"/>
  <c r="M423" i="7941"/>
  <c r="M401"/>
  <c r="M337"/>
  <c r="M273"/>
  <c r="M445" s="1"/>
  <c r="J13" i="7946" s="1"/>
  <c r="M422" i="7941"/>
  <c r="M400"/>
  <c r="M336"/>
  <c r="M272"/>
  <c r="M444" s="1"/>
  <c r="J12" i="7946" s="1"/>
  <c r="M421" i="7941"/>
  <c r="M399"/>
  <c r="M335"/>
  <c r="M271"/>
  <c r="M443" s="1"/>
  <c r="J11" i="7946" s="1"/>
  <c r="M420" i="7941"/>
  <c r="M398"/>
  <c r="M334"/>
  <c r="M270"/>
  <c r="M442" s="1"/>
  <c r="J10" i="7946" s="1"/>
  <c r="M419" i="7941"/>
  <c r="M397"/>
  <c r="M333"/>
  <c r="M269"/>
  <c r="M441" s="1"/>
  <c r="J9" i="7946" s="1"/>
  <c r="M418" i="7941"/>
  <c r="M396"/>
  <c r="M332"/>
  <c r="M268"/>
  <c r="M440" s="1"/>
  <c r="J8" i="7946" s="1"/>
  <c r="M417" i="7941"/>
  <c r="M416" s="1"/>
  <c r="M395"/>
  <c r="M394" s="1"/>
  <c r="M331"/>
  <c r="M330" s="1"/>
  <c r="M267"/>
  <c r="M266" s="1"/>
  <c r="L698"/>
  <c r="M717"/>
  <c r="M826" s="1"/>
  <c r="K25" i="7946" s="1"/>
  <c r="M714" i="7941"/>
  <c r="M823" s="1"/>
  <c r="K22" i="7946" s="1"/>
  <c r="M716" i="7941"/>
  <c r="M825" s="1"/>
  <c r="K24" i="7946" s="1"/>
  <c r="L807" i="7941"/>
  <c r="M724"/>
  <c r="M833" s="1"/>
  <c r="K32" i="7946" s="1"/>
  <c r="M727" i="7941"/>
  <c r="M836" s="1"/>
  <c r="K35" i="7946" s="1"/>
  <c r="M718" i="7941"/>
  <c r="M827" s="1"/>
  <c r="K26" i="7946" s="1"/>
  <c r="M720" i="7941"/>
  <c r="M829" s="1"/>
  <c r="K28" i="7946" s="1"/>
  <c r="M713" i="7941"/>
  <c r="M822" s="1"/>
  <c r="K21" i="7946" s="1"/>
  <c r="M723" i="7941"/>
  <c r="M832" s="1"/>
  <c r="K31" i="7946" s="1"/>
  <c r="M722" i="7941"/>
  <c r="M831" s="1"/>
  <c r="K30" i="7946" s="1"/>
  <c r="M721" i="7941"/>
  <c r="M830" s="1"/>
  <c r="K29" i="7946" s="1"/>
  <c r="M728" i="7941"/>
  <c r="M837" s="1"/>
  <c r="K36" i="7946" s="1"/>
  <c r="L730" i="7941"/>
  <c r="M725"/>
  <c r="M834" s="1"/>
  <c r="K33" i="7946" s="1"/>
  <c r="M715" i="7941"/>
  <c r="M824" s="1"/>
  <c r="K23" i="7946" s="1"/>
  <c r="M719" i="7941"/>
  <c r="M828" s="1"/>
  <c r="K27" i="7946" s="1"/>
  <c r="M726" i="7941"/>
  <c r="M835" s="1"/>
  <c r="K34" i="7946" s="1"/>
  <c r="M699" i="7941"/>
  <c r="M707"/>
  <c r="M816" s="1"/>
  <c r="K15" i="7946" s="1"/>
  <c r="M711" i="7941"/>
  <c r="M820" s="1"/>
  <c r="K19" i="7946" s="1"/>
  <c r="M710" i="7941"/>
  <c r="M819" s="1"/>
  <c r="K18" i="7946" s="1"/>
  <c r="M712" i="7941"/>
  <c r="M821" s="1"/>
  <c r="K20" i="7946" s="1"/>
  <c r="M702" i="7941"/>
  <c r="M811" s="1"/>
  <c r="K10" i="7946" s="1"/>
  <c r="M708" i="7941"/>
  <c r="M817" s="1"/>
  <c r="K16" i="7946" s="1"/>
  <c r="M705" i="7941"/>
  <c r="M814" s="1"/>
  <c r="K13" i="7946" s="1"/>
  <c r="M700" i="7941"/>
  <c r="M809" s="1"/>
  <c r="K8" i="7946" s="1"/>
  <c r="M706" i="7941"/>
  <c r="M815" s="1"/>
  <c r="K14" i="7946" s="1"/>
  <c r="M701" i="7941"/>
  <c r="M810" s="1"/>
  <c r="K9" i="7946" s="1"/>
  <c r="M703" i="7941"/>
  <c r="M812" s="1"/>
  <c r="K11" i="7946" s="1"/>
  <c r="M704" i="7941"/>
  <c r="M813" s="1"/>
  <c r="K12" i="7946" s="1"/>
  <c r="M709" i="7941"/>
  <c r="M818" s="1"/>
  <c r="K17" i="7946" s="1"/>
  <c r="N749" i="7941" l="1"/>
  <c r="N826"/>
  <c r="O716"/>
  <c r="N754"/>
  <c r="N744"/>
  <c r="N821"/>
  <c r="N750"/>
  <c r="O725"/>
  <c r="O721"/>
  <c r="O723"/>
  <c r="N756"/>
  <c r="O708"/>
  <c r="O705"/>
  <c r="N752"/>
  <c r="N829"/>
  <c r="N742"/>
  <c r="N819"/>
  <c r="O702"/>
  <c r="N738"/>
  <c r="N815"/>
  <c r="N746"/>
  <c r="N823"/>
  <c r="N748"/>
  <c r="N825"/>
  <c r="O720"/>
  <c r="O714"/>
  <c r="N747"/>
  <c r="N824"/>
  <c r="O706"/>
  <c r="N735"/>
  <c r="N812"/>
  <c r="O707"/>
  <c r="N757"/>
  <c r="N834"/>
  <c r="O715"/>
  <c r="N736"/>
  <c r="N813"/>
  <c r="O713"/>
  <c r="N741"/>
  <c r="N818"/>
  <c r="O712"/>
  <c r="O722"/>
  <c r="N740"/>
  <c r="N817"/>
  <c r="O699"/>
  <c r="O717"/>
  <c r="N760"/>
  <c r="N837"/>
  <c r="O711"/>
  <c r="O700"/>
  <c r="O727"/>
  <c r="O719"/>
  <c r="O704"/>
  <c r="N731"/>
  <c r="N808"/>
  <c r="N751"/>
  <c r="N828"/>
  <c r="N733"/>
  <c r="N810"/>
  <c r="N734"/>
  <c r="N811"/>
  <c r="N759"/>
  <c r="N836"/>
  <c r="O728"/>
  <c r="O724"/>
  <c r="N831"/>
  <c r="N758"/>
  <c r="N835"/>
  <c r="N827"/>
  <c r="O701"/>
  <c r="N833"/>
  <c r="N737"/>
  <c r="N814"/>
  <c r="N743"/>
  <c r="N820"/>
  <c r="N745"/>
  <c r="N822"/>
  <c r="O710"/>
  <c r="N755"/>
  <c r="N832"/>
  <c r="O726"/>
  <c r="O709"/>
  <c r="O718"/>
  <c r="N753"/>
  <c r="N830"/>
  <c r="N732"/>
  <c r="N809"/>
  <c r="N739"/>
  <c r="N816"/>
  <c r="O703"/>
  <c r="Q693"/>
  <c r="P666"/>
  <c r="O395"/>
  <c r="O360"/>
  <c r="O343"/>
  <c r="N384"/>
  <c r="O350"/>
  <c r="N311"/>
  <c r="N312"/>
  <c r="N363"/>
  <c r="N378"/>
  <c r="N369"/>
  <c r="N434"/>
  <c r="O410"/>
  <c r="N309"/>
  <c r="N313"/>
  <c r="N306"/>
  <c r="O273"/>
  <c r="O296"/>
  <c r="N324"/>
  <c r="O334"/>
  <c r="O344"/>
  <c r="N428"/>
  <c r="O290"/>
  <c r="O289"/>
  <c r="N422"/>
  <c r="O332"/>
  <c r="N373"/>
  <c r="O339"/>
  <c r="N299"/>
  <c r="O399"/>
  <c r="N302"/>
  <c r="O346"/>
  <c r="N316"/>
  <c r="N365"/>
  <c r="O347"/>
  <c r="O278"/>
  <c r="O338"/>
  <c r="N433"/>
  <c r="N321"/>
  <c r="O403"/>
  <c r="N314"/>
  <c r="N391"/>
  <c r="N435"/>
  <c r="O345"/>
  <c r="O279"/>
  <c r="O283"/>
  <c r="N382"/>
  <c r="O331"/>
  <c r="N420"/>
  <c r="N377"/>
  <c r="O267"/>
  <c r="N379"/>
  <c r="O348"/>
  <c r="O353"/>
  <c r="N368"/>
  <c r="N431"/>
  <c r="O357"/>
  <c r="O292"/>
  <c r="N432"/>
  <c r="O288"/>
  <c r="O269"/>
  <c r="O413"/>
  <c r="O284"/>
  <c r="N392"/>
  <c r="O412"/>
  <c r="O411"/>
  <c r="O270"/>
  <c r="O333"/>
  <c r="N305"/>
  <c r="O358"/>
  <c r="O295"/>
  <c r="O396"/>
  <c r="O349"/>
  <c r="N425"/>
  <c r="N325"/>
  <c r="N322"/>
  <c r="N367"/>
  <c r="N388"/>
  <c r="O280"/>
  <c r="O342"/>
  <c r="O294"/>
  <c r="O351"/>
  <c r="O400"/>
  <c r="N436"/>
  <c r="O274"/>
  <c r="O341"/>
  <c r="N429"/>
  <c r="N372"/>
  <c r="N390"/>
  <c r="O356"/>
  <c r="N371"/>
  <c r="N387"/>
  <c r="N421"/>
  <c r="N418"/>
  <c r="O337"/>
  <c r="O405"/>
  <c r="O281"/>
  <c r="N307"/>
  <c r="O359"/>
  <c r="O286"/>
  <c r="O336"/>
  <c r="N364"/>
  <c r="N424"/>
  <c r="N320"/>
  <c r="O285"/>
  <c r="O275"/>
  <c r="N386"/>
  <c r="N318"/>
  <c r="N300"/>
  <c r="N389"/>
  <c r="O276"/>
  <c r="O401"/>
  <c r="O340"/>
  <c r="O406"/>
  <c r="O291"/>
  <c r="N370"/>
  <c r="O409"/>
  <c r="N326"/>
  <c r="N381"/>
  <c r="N310"/>
  <c r="N419"/>
  <c r="O414"/>
  <c r="N366"/>
  <c r="O272"/>
  <c r="N375"/>
  <c r="N430"/>
  <c r="N319"/>
  <c r="N315"/>
  <c r="N380"/>
  <c r="N426"/>
  <c r="O293"/>
  <c r="N308"/>
  <c r="N327"/>
  <c r="N328"/>
  <c r="O271"/>
  <c r="N303"/>
  <c r="N301"/>
  <c r="N423"/>
  <c r="O402"/>
  <c r="N374"/>
  <c r="N450"/>
  <c r="O277"/>
  <c r="N427"/>
  <c r="N376"/>
  <c r="N383"/>
  <c r="O397"/>
  <c r="O354"/>
  <c r="N385"/>
  <c r="N417"/>
  <c r="N416" s="1"/>
  <c r="O398"/>
  <c r="O404"/>
  <c r="N323"/>
  <c r="O282"/>
  <c r="O287"/>
  <c r="O355"/>
  <c r="O352"/>
  <c r="O408"/>
  <c r="O335"/>
  <c r="N317"/>
  <c r="O407"/>
  <c r="O268"/>
  <c r="N304"/>
  <c r="N444"/>
  <c r="N463"/>
  <c r="N457"/>
  <c r="N440"/>
  <c r="N454"/>
  <c r="N465"/>
  <c r="N447"/>
  <c r="N455"/>
  <c r="N449"/>
  <c r="N441"/>
  <c r="N459"/>
  <c r="N458"/>
  <c r="N443"/>
  <c r="N451"/>
  <c r="N445"/>
  <c r="N468"/>
  <c r="N464"/>
  <c r="N452"/>
  <c r="N462"/>
  <c r="N439"/>
  <c r="N460"/>
  <c r="N467"/>
  <c r="N448"/>
  <c r="N466"/>
  <c r="N461"/>
  <c r="N446"/>
  <c r="N456"/>
  <c r="N442"/>
  <c r="N453"/>
  <c r="Q246"/>
  <c r="P234"/>
  <c r="M698"/>
  <c r="N698"/>
  <c r="M808"/>
  <c r="M762"/>
  <c r="M730"/>
  <c r="N266"/>
  <c r="N330"/>
  <c r="N394"/>
  <c r="M784"/>
  <c r="M439"/>
  <c r="M362"/>
  <c r="M298"/>
  <c r="J7" i="7946" l="1"/>
  <c r="J37" s="1"/>
  <c r="M438" i="7941"/>
  <c r="K7" i="7946"/>
  <c r="K37" s="1"/>
  <c r="M807" i="7941"/>
  <c r="O315"/>
  <c r="P337"/>
  <c r="P291"/>
  <c r="O425"/>
  <c r="P294"/>
  <c r="O314"/>
  <c r="P345"/>
  <c r="P350"/>
  <c r="O321"/>
  <c r="P339"/>
  <c r="P292"/>
  <c r="P273"/>
  <c r="O318"/>
  <c r="O378"/>
  <c r="O387"/>
  <c r="O422"/>
  <c r="O373"/>
  <c r="O431"/>
  <c r="O384"/>
  <c r="P412"/>
  <c r="O376"/>
  <c r="O433"/>
  <c r="O307"/>
  <c r="O363"/>
  <c r="P287"/>
  <c r="O380"/>
  <c r="P270"/>
  <c r="O309"/>
  <c r="O308"/>
  <c r="O377"/>
  <c r="P281"/>
  <c r="P354"/>
  <c r="O420"/>
  <c r="O372"/>
  <c r="P269"/>
  <c r="O386"/>
  <c r="P346"/>
  <c r="P413"/>
  <c r="O300"/>
  <c r="O303"/>
  <c r="O323"/>
  <c r="P400"/>
  <c r="P340"/>
  <c r="P342"/>
  <c r="P357"/>
  <c r="O427"/>
  <c r="O381"/>
  <c r="O436"/>
  <c r="O392"/>
  <c r="O419"/>
  <c r="P280"/>
  <c r="P344"/>
  <c r="O365"/>
  <c r="O310"/>
  <c r="O382"/>
  <c r="O375"/>
  <c r="O324"/>
  <c r="O312"/>
  <c r="O429"/>
  <c r="O325"/>
  <c r="P289"/>
  <c r="P405"/>
  <c r="P285"/>
  <c r="P347"/>
  <c r="O423"/>
  <c r="O305"/>
  <c r="P353"/>
  <c r="O367"/>
  <c r="O417"/>
  <c r="O435"/>
  <c r="P349"/>
  <c r="O426"/>
  <c r="O299"/>
  <c r="P268"/>
  <c r="O418"/>
  <c r="O432"/>
  <c r="P331"/>
  <c r="P293"/>
  <c r="P358"/>
  <c r="P348"/>
  <c r="P276"/>
  <c r="O424"/>
  <c r="O434"/>
  <c r="O302"/>
  <c r="P352"/>
  <c r="P397"/>
  <c r="P283"/>
  <c r="O366"/>
  <c r="P404"/>
  <c r="O390"/>
  <c r="P286"/>
  <c r="P403"/>
  <c r="P296"/>
  <c r="P395"/>
  <c r="P410"/>
  <c r="O368"/>
  <c r="P406"/>
  <c r="P343"/>
  <c r="P341"/>
  <c r="O304"/>
  <c r="P334"/>
  <c r="P351"/>
  <c r="O306"/>
  <c r="P396"/>
  <c r="P336"/>
  <c r="O317"/>
  <c r="P278"/>
  <c r="O320"/>
  <c r="P401"/>
  <c r="P338"/>
  <c r="O428"/>
  <c r="O421"/>
  <c r="O319"/>
  <c r="P279"/>
  <c r="O301"/>
  <c r="P271"/>
  <c r="O383"/>
  <c r="P411"/>
  <c r="P332"/>
  <c r="O369"/>
  <c r="O371"/>
  <c r="P359"/>
  <c r="P409"/>
  <c r="P272"/>
  <c r="O322"/>
  <c r="P360"/>
  <c r="P335"/>
  <c r="P277"/>
  <c r="P295"/>
  <c r="P414"/>
  <c r="P408"/>
  <c r="P290"/>
  <c r="P274"/>
  <c r="O370"/>
  <c r="O388"/>
  <c r="P284"/>
  <c r="O430"/>
  <c r="P402"/>
  <c r="O385"/>
  <c r="P398"/>
  <c r="O391"/>
  <c r="P288"/>
  <c r="O379"/>
  <c r="O311"/>
  <c r="P282"/>
  <c r="O327"/>
  <c r="O316"/>
  <c r="O313"/>
  <c r="O364"/>
  <c r="O374"/>
  <c r="P407"/>
  <c r="O389"/>
  <c r="P333"/>
  <c r="O328"/>
  <c r="P267"/>
  <c r="P355"/>
  <c r="O326"/>
  <c r="P356"/>
  <c r="P399"/>
  <c r="P275"/>
  <c r="O464"/>
  <c r="O459"/>
  <c r="O449"/>
  <c r="O465"/>
  <c r="O463"/>
  <c r="O457"/>
  <c r="O444"/>
  <c r="O453"/>
  <c r="O446"/>
  <c r="O442"/>
  <c r="O456"/>
  <c r="O451"/>
  <c r="O447"/>
  <c r="O454"/>
  <c r="O460"/>
  <c r="O439"/>
  <c r="O445"/>
  <c r="O443"/>
  <c r="O448"/>
  <c r="O462"/>
  <c r="O458"/>
  <c r="O452"/>
  <c r="O467"/>
  <c r="O441"/>
  <c r="O450"/>
  <c r="O468"/>
  <c r="O466"/>
  <c r="O461"/>
  <c r="O455"/>
  <c r="O440"/>
  <c r="Q234"/>
  <c r="P728"/>
  <c r="O743"/>
  <c r="P712"/>
  <c r="P720"/>
  <c r="P722"/>
  <c r="P708"/>
  <c r="P714"/>
  <c r="O745"/>
  <c r="O822"/>
  <c r="P700"/>
  <c r="O738"/>
  <c r="O815"/>
  <c r="P713"/>
  <c r="P707"/>
  <c r="O758"/>
  <c r="O835"/>
  <c r="P702"/>
  <c r="O751"/>
  <c r="O828"/>
  <c r="O742"/>
  <c r="O819"/>
  <c r="P704"/>
  <c r="P716"/>
  <c r="O753"/>
  <c r="O830"/>
  <c r="O744"/>
  <c r="O821"/>
  <c r="P725"/>
  <c r="O757"/>
  <c r="O834"/>
  <c r="P715"/>
  <c r="P703"/>
  <c r="P721"/>
  <c r="O734"/>
  <c r="O811"/>
  <c r="O749"/>
  <c r="P727"/>
  <c r="O735"/>
  <c r="O812"/>
  <c r="P701"/>
  <c r="O736"/>
  <c r="O813"/>
  <c r="O820"/>
  <c r="O826"/>
  <c r="P711"/>
  <c r="O739"/>
  <c r="P724"/>
  <c r="O752"/>
  <c r="O829"/>
  <c r="P717"/>
  <c r="P726"/>
  <c r="O737"/>
  <c r="O814"/>
  <c r="O740"/>
  <c r="O817"/>
  <c r="P709"/>
  <c r="O747"/>
  <c r="O824"/>
  <c r="P699"/>
  <c r="O748"/>
  <c r="O825"/>
  <c r="O754"/>
  <c r="O831"/>
  <c r="P705"/>
  <c r="P719"/>
  <c r="P723"/>
  <c r="O746"/>
  <c r="O823"/>
  <c r="P706"/>
  <c r="O756"/>
  <c r="O833"/>
  <c r="P718"/>
  <c r="O759"/>
  <c r="O836"/>
  <c r="O732"/>
  <c r="O760"/>
  <c r="O741"/>
  <c r="O818"/>
  <c r="O755"/>
  <c r="O832"/>
  <c r="O733"/>
  <c r="O810"/>
  <c r="P710"/>
  <c r="O750"/>
  <c r="O827"/>
  <c r="O731"/>
  <c r="O730" s="1"/>
  <c r="O808"/>
  <c r="O837"/>
  <c r="O809"/>
  <c r="O816"/>
  <c r="Q666"/>
  <c r="N438"/>
  <c r="O266"/>
  <c r="O330"/>
  <c r="N298"/>
  <c r="N362"/>
  <c r="O394"/>
  <c r="N807"/>
  <c r="N730"/>
  <c r="O698"/>
  <c r="Q707" l="1"/>
  <c r="Q816" s="1"/>
  <c r="P746"/>
  <c r="P823"/>
  <c r="P737"/>
  <c r="P814"/>
  <c r="P735"/>
  <c r="Q716"/>
  <c r="Q825" s="1"/>
  <c r="Q720"/>
  <c r="Q829" s="1"/>
  <c r="P736"/>
  <c r="P813"/>
  <c r="P759"/>
  <c r="P836"/>
  <c r="P733"/>
  <c r="P810"/>
  <c r="P745"/>
  <c r="P822"/>
  <c r="P742"/>
  <c r="P819"/>
  <c r="Q715"/>
  <c r="Q824" s="1"/>
  <c r="P731"/>
  <c r="P808"/>
  <c r="P760"/>
  <c r="P837"/>
  <c r="Q726"/>
  <c r="Q835" s="1"/>
  <c r="P812"/>
  <c r="Q706"/>
  <c r="Q815" s="1"/>
  <c r="Q703"/>
  <c r="Q812" s="1"/>
  <c r="P751"/>
  <c r="P828"/>
  <c r="P752"/>
  <c r="P829"/>
  <c r="Q708"/>
  <c r="Q817" s="1"/>
  <c r="Q728"/>
  <c r="Q837" s="1"/>
  <c r="Q718"/>
  <c r="Q827" s="1"/>
  <c r="Q724"/>
  <c r="Q833" s="1"/>
  <c r="P749"/>
  <c r="Q722"/>
  <c r="Q831" s="1"/>
  <c r="P734"/>
  <c r="P811"/>
  <c r="Q713"/>
  <c r="Q822" s="1"/>
  <c r="Q717"/>
  <c r="Q826" s="1"/>
  <c r="P757"/>
  <c r="P834"/>
  <c r="Q711"/>
  <c r="Q820" s="1"/>
  <c r="P754"/>
  <c r="P831"/>
  <c r="P755"/>
  <c r="P832"/>
  <c r="P826"/>
  <c r="Q704"/>
  <c r="Q813" s="1"/>
  <c r="Q710"/>
  <c r="Q819" s="1"/>
  <c r="P750"/>
  <c r="P827"/>
  <c r="P740"/>
  <c r="P817"/>
  <c r="Q725"/>
  <c r="Q834" s="1"/>
  <c r="Q709"/>
  <c r="Q818" s="1"/>
  <c r="Q721"/>
  <c r="Q830" s="1"/>
  <c r="P747"/>
  <c r="P824"/>
  <c r="Q699"/>
  <c r="Q714"/>
  <c r="Q823" s="1"/>
  <c r="Q712"/>
  <c r="Q821" s="1"/>
  <c r="Q723"/>
  <c r="Q832" s="1"/>
  <c r="Q700"/>
  <c r="Q809" s="1"/>
  <c r="P739"/>
  <c r="P816"/>
  <c r="P744"/>
  <c r="P821"/>
  <c r="Q702"/>
  <c r="Q811" s="1"/>
  <c r="Q705"/>
  <c r="Q814" s="1"/>
  <c r="Q719"/>
  <c r="Q828" s="1"/>
  <c r="Q701"/>
  <c r="Q810" s="1"/>
  <c r="P741"/>
  <c r="P818"/>
  <c r="P748"/>
  <c r="P825"/>
  <c r="Q727"/>
  <c r="Q836" s="1"/>
  <c r="P756"/>
  <c r="P833"/>
  <c r="P732"/>
  <c r="P809"/>
  <c r="P743"/>
  <c r="P820"/>
  <c r="P758"/>
  <c r="P835"/>
  <c r="P753"/>
  <c r="P830"/>
  <c r="P738"/>
  <c r="P815"/>
  <c r="P365"/>
  <c r="P436"/>
  <c r="P370"/>
  <c r="Q343"/>
  <c r="Q402"/>
  <c r="Q354"/>
  <c r="Q293"/>
  <c r="P304"/>
  <c r="P369"/>
  <c r="P379"/>
  <c r="P306"/>
  <c r="P446"/>
  <c r="P421"/>
  <c r="P432"/>
  <c r="P363"/>
  <c r="Q403"/>
  <c r="P375"/>
  <c r="Q283"/>
  <c r="Q335"/>
  <c r="Q341"/>
  <c r="P389"/>
  <c r="Q291"/>
  <c r="P372"/>
  <c r="Q274"/>
  <c r="P325"/>
  <c r="P465"/>
  <c r="P418"/>
  <c r="P383"/>
  <c r="P430"/>
  <c r="P310"/>
  <c r="Q284"/>
  <c r="Q344"/>
  <c r="Q340"/>
  <c r="Q399"/>
  <c r="P315"/>
  <c r="P455"/>
  <c r="P391"/>
  <c r="Q287"/>
  <c r="Q275"/>
  <c r="P417"/>
  <c r="Q269"/>
  <c r="Q339"/>
  <c r="P431"/>
  <c r="P309"/>
  <c r="Q349"/>
  <c r="P366"/>
  <c r="P386"/>
  <c r="Q279"/>
  <c r="Q451" s="1"/>
  <c r="P305"/>
  <c r="P433"/>
  <c r="Q286"/>
  <c r="Q350"/>
  <c r="P427"/>
  <c r="P390"/>
  <c r="P326"/>
  <c r="P466"/>
  <c r="Q351"/>
  <c r="P322"/>
  <c r="Q334"/>
  <c r="P300"/>
  <c r="Q411"/>
  <c r="Q414"/>
  <c r="P314"/>
  <c r="P308"/>
  <c r="P448"/>
  <c r="Q295"/>
  <c r="P364"/>
  <c r="Q353"/>
  <c r="P319"/>
  <c r="P459"/>
  <c r="Q338"/>
  <c r="P301"/>
  <c r="P441"/>
  <c r="P320"/>
  <c r="Q268"/>
  <c r="Q357"/>
  <c r="Q345"/>
  <c r="Q333"/>
  <c r="P428"/>
  <c r="Q273"/>
  <c r="Q277"/>
  <c r="Q449" s="1"/>
  <c r="P381"/>
  <c r="P387"/>
  <c r="P424"/>
  <c r="P384"/>
  <c r="P380"/>
  <c r="Q337"/>
  <c r="Q342"/>
  <c r="P377"/>
  <c r="Q288"/>
  <c r="Q271"/>
  <c r="Q443" s="1"/>
  <c r="P367"/>
  <c r="Q336"/>
  <c r="Q331"/>
  <c r="P435"/>
  <c r="Q276"/>
  <c r="Q448" s="1"/>
  <c r="P422"/>
  <c r="Q296"/>
  <c r="Q360"/>
  <c r="Q408"/>
  <c r="Q395"/>
  <c r="Q282"/>
  <c r="P423"/>
  <c r="P378"/>
  <c r="P454"/>
  <c r="P385"/>
  <c r="Q359"/>
  <c r="Q292"/>
  <c r="Q272"/>
  <c r="Q444" s="1"/>
  <c r="Q409"/>
  <c r="Q396"/>
  <c r="Q278"/>
  <c r="Q450" s="1"/>
  <c r="Q410"/>
  <c r="P327"/>
  <c r="P313"/>
  <c r="P317"/>
  <c r="Q404"/>
  <c r="P323"/>
  <c r="P463"/>
  <c r="P302"/>
  <c r="Q348"/>
  <c r="P303"/>
  <c r="P374"/>
  <c r="Q289"/>
  <c r="Q461" s="1"/>
  <c r="Q352"/>
  <c r="P373"/>
  <c r="Q332"/>
  <c r="Q267"/>
  <c r="Q281"/>
  <c r="Q453" s="1"/>
  <c r="P419"/>
  <c r="Q412"/>
  <c r="P312"/>
  <c r="Q397"/>
  <c r="P376"/>
  <c r="Q294"/>
  <c r="Q356"/>
  <c r="P321"/>
  <c r="P318"/>
  <c r="P434"/>
  <c r="P429"/>
  <c r="P388"/>
  <c r="Q347"/>
  <c r="P420"/>
  <c r="P307"/>
  <c r="P426"/>
  <c r="Q290"/>
  <c r="Q462" s="1"/>
  <c r="Q406"/>
  <c r="Q270"/>
  <c r="Q442" s="1"/>
  <c r="Q285"/>
  <c r="Q457" s="1"/>
  <c r="Q407"/>
  <c r="P371"/>
  <c r="Q413"/>
  <c r="P425"/>
  <c r="P328"/>
  <c r="P382"/>
  <c r="Q346"/>
  <c r="Q355"/>
  <c r="P311"/>
  <c r="Q358"/>
  <c r="P392"/>
  <c r="P324"/>
  <c r="P464"/>
  <c r="P368"/>
  <c r="P444"/>
  <c r="P316"/>
  <c r="Q401"/>
  <c r="Q280"/>
  <c r="Q452" s="1"/>
  <c r="Q405"/>
  <c r="Q398"/>
  <c r="Q400"/>
  <c r="P299"/>
  <c r="P298" s="1"/>
  <c r="P462"/>
  <c r="P451"/>
  <c r="P445"/>
  <c r="P467"/>
  <c r="P439"/>
  <c r="P450"/>
  <c r="P442"/>
  <c r="P456"/>
  <c r="P449"/>
  <c r="P443"/>
  <c r="P447"/>
  <c r="P458"/>
  <c r="P457"/>
  <c r="P440"/>
  <c r="P461"/>
  <c r="P453"/>
  <c r="P468"/>
  <c r="P452"/>
  <c r="P460"/>
  <c r="O807"/>
  <c r="P698"/>
  <c r="O438"/>
  <c r="P266"/>
  <c r="P394"/>
  <c r="P330"/>
  <c r="O298"/>
  <c r="O416"/>
  <c r="O362"/>
  <c r="Q439" l="1"/>
  <c r="Q266"/>
  <c r="Q808"/>
  <c r="Q807" s="1"/>
  <c r="Q698"/>
  <c r="P438"/>
  <c r="Q466"/>
  <c r="Q464"/>
  <c r="Q454"/>
  <c r="Q394"/>
  <c r="Q468"/>
  <c r="Q330"/>
  <c r="Q460"/>
  <c r="Q445"/>
  <c r="Q440"/>
  <c r="Q467"/>
  <c r="Q458"/>
  <c r="Q441"/>
  <c r="P416"/>
  <c r="Q447"/>
  <c r="Q459"/>
  <c r="Q456"/>
  <c r="Q446"/>
  <c r="Q463"/>
  <c r="Q455"/>
  <c r="P362"/>
  <c r="Q465"/>
  <c r="P807"/>
  <c r="P730"/>
  <c r="Q438" l="1"/>
</calcChain>
</file>

<file path=xl/comments1.xml><?xml version="1.0" encoding="utf-8"?>
<comments xmlns="http://schemas.openxmlformats.org/spreadsheetml/2006/main">
  <authors>
    <author>Rick Miles</author>
    <author>kyap</author>
    <author>kjdanova</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N6" authorId="2">
      <text>
        <r>
          <rPr>
            <b/>
            <sz val="9"/>
            <color indexed="81"/>
            <rFont val="Tahoma"/>
            <family val="2"/>
          </rPr>
          <t>Forecast  Group 3 asset values were added to the RAB, as contained in the PTRM or RFM for the current decision (in end of year terms).</t>
        </r>
      </text>
    </comment>
    <comment ref="O6" authorId="2">
      <text>
        <r>
          <rPr>
            <b/>
            <sz val="9"/>
            <color indexed="81"/>
            <rFont val="Tahoma"/>
            <family val="2"/>
          </rPr>
          <t>Based on the actual Group 3 assets values in the final year of the previous regulatory control period (in end of year terms).</t>
        </r>
        <r>
          <rPr>
            <sz val="9"/>
            <color indexed="81"/>
            <rFont val="Tahoma"/>
            <family val="2"/>
          </rPr>
          <t xml:space="preserve">
</t>
        </r>
      </text>
    </comment>
    <comment ref="P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Q6" authorId="3">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R6" authorId="3">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S6" authorId="3">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T6" authorId="3">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first year of the current regulatory control period, as contained in the PTRM for the current decision.</t>
        </r>
      </text>
    </comment>
    <comment ref="V6" authorId="0">
      <text>
        <r>
          <rPr>
            <sz val="8"/>
            <color indexed="81"/>
            <rFont val="Tahoma"/>
            <family val="2"/>
          </rPr>
          <t>Based on tax lives adopted for the current regulatory control period, as contained in the PTRM for the current decision. Enter a valid numeric life or n/a.</t>
        </r>
      </text>
    </comment>
    <comment ref="W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X6" authorId="1">
      <text>
        <r>
          <rPr>
            <sz val="8"/>
            <color indexed="81"/>
            <rFont val="Tahoma"/>
            <family val="2"/>
          </rPr>
          <t>Insert the base financial year that the curent regulatory control period commences in.</t>
        </r>
      </text>
    </comment>
    <comment ref="Y6" authorId="1">
      <text>
        <r>
          <rPr>
            <sz val="8"/>
            <color indexed="81"/>
            <rFont val="Tahoma"/>
            <family val="2"/>
          </rPr>
          <t>Insert the number of years for the current regulatory control period.</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G40" authorId="2">
      <text>
        <r>
          <rPr>
            <b/>
            <sz val="9"/>
            <color indexed="81"/>
            <rFont val="Tahoma"/>
            <family val="2"/>
          </rPr>
          <t xml:space="preserve">Capex as per Reg accounts in years 2007-08 to 2011-12. 2007-08 data has beeen allocated across the categories internally, as Reg Accounts in that year didn't contain required categories.
</t>
        </r>
        <r>
          <rPr>
            <sz val="9"/>
            <color indexed="81"/>
            <rFont val="Tahoma"/>
            <family val="2"/>
          </rPr>
          <t xml:space="preserve">
</t>
        </r>
      </text>
    </comment>
    <comment ref="L40" authorId="2">
      <text>
        <r>
          <rPr>
            <b/>
            <sz val="9"/>
            <color indexed="81"/>
            <rFont val="Tahoma"/>
            <family val="2"/>
          </rPr>
          <t>Capex in 2012-13 and 2013-14 as per Capex Forecast Model provided.</t>
        </r>
        <r>
          <rPr>
            <sz val="9"/>
            <color indexed="81"/>
            <rFont val="Tahoma"/>
            <family val="2"/>
          </rPr>
          <t xml:space="preserve">
</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3">
      <text>
        <r>
          <rPr>
            <sz val="8"/>
            <color indexed="81"/>
            <rFont val="Tahoma"/>
            <family val="2"/>
          </rPr>
          <t>Exclude half year rate of return. Inputs are assumed to be in middle of year terms because actual net capex is reported evenly over a financial year.</t>
        </r>
      </text>
    </comment>
    <comment ref="R140" authorId="1">
      <text>
        <r>
          <rPr>
            <sz val="8"/>
            <color indexed="81"/>
            <rFont val="Tahoma"/>
            <family val="2"/>
          </rPr>
          <t>Total for the regulatory control period.</t>
        </r>
      </text>
    </comment>
    <comment ref="F141" authorId="3">
      <text>
        <r>
          <rPr>
            <sz val="8"/>
            <color indexed="81"/>
            <rFont val="Tahoma"/>
            <family val="2"/>
          </rPr>
          <t>Exclude half year rate of return. Inputs are assumed to be in middle of year terms because actual capex is reported evenly over a financial year.</t>
        </r>
      </text>
    </comment>
    <comment ref="G142" authorId="2">
      <text>
        <r>
          <rPr>
            <b/>
            <sz val="9"/>
            <color indexed="81"/>
            <rFont val="Tahoma"/>
            <family val="2"/>
          </rPr>
          <t xml:space="preserve">Capex as per Reg accounts in years 2007-08 to 2011-12. 2007-08 data has beeen allocated across the categories internally, as Reg Accounts in that year didn't contain required categories.
</t>
        </r>
        <r>
          <rPr>
            <sz val="9"/>
            <color indexed="81"/>
            <rFont val="Tahoma"/>
            <family val="2"/>
          </rPr>
          <t xml:space="preserve">
</t>
        </r>
      </text>
    </comment>
    <comment ref="L142" authorId="2">
      <text>
        <r>
          <rPr>
            <b/>
            <sz val="9"/>
            <color indexed="81"/>
            <rFont val="Tahoma"/>
            <family val="2"/>
          </rPr>
          <t>Capex in 2012-13 and 2013-14 as per Capex Forecast Model provided.</t>
        </r>
        <r>
          <rPr>
            <sz val="9"/>
            <color indexed="81"/>
            <rFont val="Tahoma"/>
            <family val="2"/>
          </rPr>
          <t xml:space="preserve">
</t>
        </r>
      </text>
    </comment>
    <comment ref="R174" authorId="1">
      <text>
        <r>
          <rPr>
            <sz val="8"/>
            <color indexed="81"/>
            <rFont val="Tahoma"/>
            <family val="2"/>
          </rPr>
          <t>Total for the regulatory control period.</t>
        </r>
      </text>
    </comment>
    <comment ref="F175" authorId="3">
      <text>
        <r>
          <rPr>
            <sz val="8"/>
            <color indexed="81"/>
            <rFont val="Tahoma"/>
            <family val="2"/>
          </rPr>
          <t>Exclude half year rate of return. Inputs are assumed to be in middle of year terms because actual disposal is reported evenly over a financial year.</t>
        </r>
      </text>
    </comment>
    <comment ref="R208" authorId="1">
      <text>
        <r>
          <rPr>
            <sz val="8"/>
            <color indexed="81"/>
            <rFont val="Tahoma"/>
            <family val="2"/>
          </rPr>
          <t>Total for the regulatory control period.</t>
        </r>
      </text>
    </comment>
    <comment ref="F209" authorId="3">
      <text>
        <r>
          <rPr>
            <sz val="8"/>
            <color indexed="81"/>
            <rFont val="Tahoma"/>
            <family val="2"/>
          </rPr>
          <t>Exclude half year rate of return. Inputs are assumed to be in middle of year terms because actual net capex is reported evenly over a financial year.</t>
        </r>
      </text>
    </comment>
    <comment ref="R242" authorId="1">
      <text>
        <r>
          <rPr>
            <sz val="8"/>
            <color indexed="81"/>
            <rFont val="Tahoma"/>
            <family val="2"/>
          </rPr>
          <t>Total for the regulatory control period.</t>
        </r>
      </text>
    </comment>
    <comment ref="F245" authorId="1">
      <text>
        <r>
          <rPr>
            <sz val="8"/>
            <color indexed="81"/>
            <rFont val="Tahoma"/>
            <family val="2"/>
          </rPr>
          <t xml:space="preserve">Based on December to December CPI, consistent with the annual MAR adjustments.
</t>
        </r>
      </text>
    </comment>
    <comment ref="M245" authorId="2">
      <text>
        <r>
          <rPr>
            <b/>
            <sz val="9"/>
            <color indexed="81"/>
            <rFont val="Tahoma"/>
            <family val="2"/>
          </rPr>
          <t>Forecast inflation</t>
        </r>
      </text>
    </comment>
    <comment ref="F247" authorId="1">
      <text>
        <r>
          <rPr>
            <sz val="8"/>
            <color indexed="81"/>
            <rFont val="Tahoma"/>
            <family val="2"/>
          </rPr>
          <t xml:space="preserve">Forecast inflation rate used in the decisions covering the previous and current regulatory control periods.
</t>
        </r>
      </text>
    </comment>
    <comment ref="F250" authorId="1">
      <text>
        <r>
          <rPr>
            <sz val="8"/>
            <color indexed="81"/>
            <rFont val="Tahoma"/>
            <family val="2"/>
          </rPr>
          <t xml:space="preserve">Nominal vanilla WACC used in the decisions covering the previous and current regulatory control periods.
</t>
        </r>
      </text>
    </comment>
  </commentList>
</comments>
</file>

<file path=xl/comments2.xml><?xml version="1.0" encoding="utf-8"?>
<comments xmlns="http://schemas.openxmlformats.org/spreadsheetml/2006/main">
  <authors>
    <author>kyap</author>
    <author>kjdanova</author>
  </authors>
  <commentList>
    <comment ref="F6" authorId="0">
      <text>
        <r>
          <rPr>
            <sz val="8"/>
            <color indexed="81"/>
            <rFont val="Tahoma"/>
            <family val="2"/>
          </rPr>
          <t xml:space="preserve">Based on March to March CPI, consistent with the annual MAR adjustments.
</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 ref="H445" authorId="1">
      <text>
        <r>
          <rPr>
            <b/>
            <sz val="8"/>
            <color indexed="81"/>
            <rFont val="Tahoma"/>
            <family val="2"/>
          </rPr>
          <t>Formula has been adjusted to add forecast of Group 3 assets</t>
        </r>
      </text>
    </comment>
  </commentList>
</comments>
</file>

<file path=xl/comments3.xml><?xml version="1.0" encoding="utf-8"?>
<comments xmlns="http://schemas.openxmlformats.org/spreadsheetml/2006/main">
  <authors>
    <author>kjdanova</author>
    <author>kyap</author>
    <author>OfficeXP</author>
    <author>Peter Sherry</author>
  </authors>
  <commentList>
    <comment ref="H75" authorId="0">
      <text>
        <r>
          <rPr>
            <b/>
            <sz val="8"/>
            <color indexed="81"/>
            <rFont val="Tahoma"/>
            <family val="2"/>
          </rPr>
          <t xml:space="preserve">Real straight line depreciation is not in </t>
        </r>
        <r>
          <rPr>
            <sz val="8"/>
            <color indexed="81"/>
            <rFont val="Tahoma"/>
            <family val="2"/>
          </rPr>
          <t>use</t>
        </r>
      </text>
    </comment>
    <comment ref="H76" authorId="0">
      <text>
        <r>
          <rPr>
            <b/>
            <sz val="9"/>
            <color indexed="81"/>
            <rFont val="Tahoma"/>
            <family val="2"/>
          </rPr>
          <t>kjdanova:</t>
        </r>
        <r>
          <rPr>
            <sz val="9"/>
            <color indexed="81"/>
            <rFont val="Tahoma"/>
            <family val="2"/>
          </rPr>
          <t xml:space="preserve">
formula been as IF(H$3&gt;A1remlife,A1value-$G$630-SUM($G76:G76),IF(A1remlife="N/A","n/a",(A1value-$G$630)/A1remlife))
why do we need to deduct $G$630 every year?</t>
        </r>
      </text>
    </comment>
    <comment ref="H469" authorId="0">
      <text>
        <r>
          <rPr>
            <b/>
            <sz val="8"/>
            <color indexed="81"/>
            <rFont val="Tahoma"/>
            <family val="2"/>
          </rPr>
          <t>Adjusted to add Group 3 assets</t>
        </r>
      </text>
    </comment>
    <comment ref="G501" authorId="1">
      <text>
        <r>
          <rPr>
            <sz val="8"/>
            <color indexed="81"/>
            <rFont val="Tahoma"/>
            <family val="2"/>
          </rPr>
          <t>This column is based on the forecast net capex.</t>
        </r>
      </text>
    </comment>
    <comment ref="G533" authorId="1">
      <text>
        <r>
          <rPr>
            <sz val="8"/>
            <color indexed="81"/>
            <rFont val="Tahoma"/>
            <family val="2"/>
          </rPr>
          <t>This column is based on the forecast regulatory depreciation.</t>
        </r>
      </text>
    </comment>
    <comment ref="G565" authorId="2">
      <text>
        <r>
          <rPr>
            <sz val="8"/>
            <color indexed="81"/>
            <rFont val="Tahoma"/>
            <family val="2"/>
          </rPr>
          <t>This column is based on the prudent additional capex allowed in the previous regulatory control period (if any).</t>
        </r>
      </text>
    </comment>
    <comment ref="G597" authorId="2">
      <text>
        <r>
          <rPr>
            <sz val="8"/>
            <color indexed="81"/>
            <rFont val="Tahoma"/>
            <family val="2"/>
          </rPr>
          <t>This column is based on the foregone return on prudent additional capex allowed in the previous regulatory control period (if any).</t>
        </r>
      </text>
    </comment>
    <comment ref="G629" authorId="3">
      <text>
        <r>
          <rPr>
            <sz val="8"/>
            <color indexed="81"/>
            <rFont val="Tahoma"/>
            <family val="2"/>
          </rPr>
          <t>This column is based on the forecast assets under construction allowed in the previous regulatory control period (if any).</t>
        </r>
      </text>
    </comment>
    <comment ref="G661" authorId="3">
      <text>
        <r>
          <rPr>
            <sz val="8"/>
            <color indexed="81"/>
            <rFont val="Tahoma"/>
            <family val="2"/>
          </rPr>
          <t>This column is based on the forecast Group 3 assets allowed in the previous regulatory control period (if any).</t>
        </r>
      </text>
    </comment>
    <comment ref="G695" authorId="1">
      <text>
        <r>
          <rPr>
            <sz val="8"/>
            <color indexed="81"/>
            <rFont val="Tahoma"/>
            <family val="2"/>
          </rPr>
          <t>This column is based on forecast straight-line depreciation.</t>
        </r>
      </text>
    </comment>
    <comment ref="H695" authorId="0">
      <text>
        <r>
          <rPr>
            <b/>
            <sz val="8"/>
            <color indexed="81"/>
            <rFont val="Tahoma"/>
            <family val="2"/>
          </rPr>
          <t>Nominal straight line depreciation has been substituted by SP AusNet's internal calculations.
Please note, 2007-08 forecast capex final decision numbers were used in this calculation in order to comply with this model requirements.</t>
        </r>
      </text>
    </comment>
    <comment ref="H761" authorId="0">
      <text>
        <r>
          <rPr>
            <b/>
            <sz val="8"/>
            <color indexed="81"/>
            <rFont val="Tahoma"/>
            <family val="2"/>
          </rPr>
          <t>Group 3 assets are included</t>
        </r>
        <r>
          <rPr>
            <sz val="9"/>
            <color indexed="81"/>
            <rFont val="Tahoma"/>
            <family val="2"/>
          </rPr>
          <t xml:space="preserve">
</t>
        </r>
      </text>
    </comment>
    <comment ref="G793" authorId="1">
      <text>
        <r>
          <rPr>
            <sz val="8"/>
            <color indexed="81"/>
            <rFont val="Tahoma"/>
            <family val="2"/>
          </rPr>
          <t>This column is based on the forecast net capex.</t>
        </r>
      </text>
    </comment>
    <comment ref="G825" authorId="1">
      <text>
        <r>
          <rPr>
            <sz val="8"/>
            <color indexed="81"/>
            <rFont val="Tahoma"/>
            <family val="2"/>
          </rPr>
          <t>This column is based on the forecast regulatory depreciation.</t>
        </r>
      </text>
    </comment>
    <comment ref="G857" authorId="2">
      <text>
        <r>
          <rPr>
            <sz val="8"/>
            <color indexed="81"/>
            <rFont val="Tahoma"/>
            <family val="2"/>
          </rPr>
          <t>This column is based on the prudent additional capex allowed in the previous regulatory control period (if any).</t>
        </r>
      </text>
    </comment>
    <comment ref="G889" authorId="2">
      <text>
        <r>
          <rPr>
            <sz val="8"/>
            <color indexed="81"/>
            <rFont val="Tahoma"/>
            <family val="2"/>
          </rPr>
          <t>This column is based on the foregone return on prudent additional capex allowed in the previous regulatory control period (if any).</t>
        </r>
      </text>
    </comment>
    <comment ref="G921" authorId="0">
      <text>
        <r>
          <rPr>
            <b/>
            <sz val="8"/>
            <color indexed="81"/>
            <rFont val="Tahoma"/>
            <family val="2"/>
          </rPr>
          <t>This column is based on the forecast Group 3 assets allowed in the previous regulatory control period (if any).</t>
        </r>
      </text>
    </comment>
    <comment ref="G955" authorId="1">
      <text>
        <r>
          <rPr>
            <sz val="8"/>
            <color indexed="81"/>
            <rFont val="Tahoma"/>
            <family val="2"/>
          </rPr>
          <t xml:space="preserve">This column is based on forecast straight-line depreciation. </t>
        </r>
      </text>
    </comment>
    <comment ref="H955" authorId="0">
      <text>
        <r>
          <rPr>
            <b/>
            <sz val="8"/>
            <color indexed="81"/>
            <rFont val="Tahoma"/>
            <family val="2"/>
          </rPr>
          <t>Nominal straight line depreciation has been substituted by SP AusNet internal calculations.
Please note, 2007-08 forecast capex final decision numbers were used in this calculation in order to comply with this model requirements.</t>
        </r>
      </text>
    </comment>
  </commentList>
</comments>
</file>

<file path=xl/comments4.xml><?xml version="1.0" encoding="utf-8"?>
<comments xmlns="http://schemas.openxmlformats.org/spreadsheetml/2006/main">
  <authors>
    <author>kjdanova</author>
    <author>kyap</author>
    <author>OfficeXP</author>
    <author>Peter Sherry</author>
  </authors>
  <commentList>
    <comment ref="H7" authorId="0">
      <text>
        <r>
          <rPr>
            <b/>
            <sz val="8"/>
            <color indexed="81"/>
            <rFont val="Tahoma"/>
            <family val="2"/>
          </rPr>
          <t>Adjusted to add Group 3 assets</t>
        </r>
      </text>
    </comment>
    <comment ref="G39" authorId="1">
      <text>
        <r>
          <rPr>
            <sz val="8"/>
            <color indexed="81"/>
            <rFont val="Tahoma"/>
            <family val="2"/>
          </rPr>
          <t>This column is based on the forecast net capex.</t>
        </r>
      </text>
    </comment>
    <comment ref="G71" authorId="1">
      <text>
        <r>
          <rPr>
            <sz val="8"/>
            <color indexed="81"/>
            <rFont val="Tahoma"/>
            <family val="2"/>
          </rPr>
          <t>This column is based on the forecast regulatory depreciation.</t>
        </r>
      </text>
    </comment>
    <comment ref="G103" authorId="2">
      <text>
        <r>
          <rPr>
            <sz val="8"/>
            <color indexed="81"/>
            <rFont val="Tahoma"/>
            <family val="2"/>
          </rPr>
          <t>This column is based on the prudent additional capex allowed in the previous regulatory control period (if any).</t>
        </r>
      </text>
    </comment>
    <comment ref="G135" authorId="2">
      <text>
        <r>
          <rPr>
            <sz val="8"/>
            <color indexed="81"/>
            <rFont val="Tahoma"/>
            <family val="2"/>
          </rPr>
          <t>This column is based on the foregone return on prudent additional capex allowed in the previous regulatory control period (if any).</t>
        </r>
      </text>
    </comment>
    <comment ref="G167" authorId="3">
      <text>
        <r>
          <rPr>
            <sz val="8"/>
            <color indexed="81"/>
            <rFont val="Tahoma"/>
            <family val="2"/>
          </rPr>
          <t>This column is based on the forecast assets under construction allowed in the previous regulatory control period (if any).</t>
        </r>
      </text>
    </comment>
    <comment ref="G199" authorId="3">
      <text>
        <r>
          <rPr>
            <sz val="8"/>
            <color indexed="81"/>
            <rFont val="Tahoma"/>
            <family val="2"/>
          </rPr>
          <t>This column is based on the forecast Group 3 assets allowed in the previous regulatory control period (if any).</t>
        </r>
      </text>
    </comment>
    <comment ref="G234" authorId="0">
      <text>
        <r>
          <rPr>
            <b/>
            <sz val="8"/>
            <color indexed="81"/>
            <rFont val="Tahoma"/>
            <family val="2"/>
          </rPr>
          <t>Adjusted to add Group 3 assets</t>
        </r>
      </text>
    </comment>
    <comment ref="M439" authorId="0">
      <text>
        <r>
          <rPr>
            <b/>
            <sz val="9"/>
            <color indexed="81"/>
            <rFont val="Tahoma"/>
            <family val="2"/>
          </rPr>
          <t>Adjusted to include Group 3 assets</t>
        </r>
        <r>
          <rPr>
            <sz val="9"/>
            <color indexed="81"/>
            <rFont val="Tahoma"/>
            <family val="2"/>
          </rPr>
          <t xml:space="preserve">
</t>
        </r>
      </text>
    </comment>
    <comment ref="H472" authorId="0">
      <text>
        <r>
          <rPr>
            <b/>
            <sz val="8"/>
            <color indexed="81"/>
            <rFont val="Tahoma"/>
            <family val="2"/>
          </rPr>
          <t>Adjusted to include Group 3 assets</t>
        </r>
      </text>
    </comment>
    <comment ref="G504" authorId="1">
      <text>
        <r>
          <rPr>
            <sz val="8"/>
            <color indexed="81"/>
            <rFont val="Tahoma"/>
            <family val="2"/>
          </rPr>
          <t>This column is based on the forecast net capex.</t>
        </r>
      </text>
    </comment>
    <comment ref="G536" authorId="1">
      <text>
        <r>
          <rPr>
            <sz val="8"/>
            <color indexed="81"/>
            <rFont val="Tahoma"/>
            <family val="2"/>
          </rPr>
          <t>This column is based on the forecast regulatory depreciation.</t>
        </r>
      </text>
    </comment>
    <comment ref="G568" authorId="2">
      <text>
        <r>
          <rPr>
            <sz val="8"/>
            <color indexed="81"/>
            <rFont val="Tahoma"/>
            <family val="2"/>
          </rPr>
          <t>This column is based on the prudent additional capex allowed in the previous regulatory control period (if any).</t>
        </r>
      </text>
    </comment>
    <comment ref="G600" authorId="2">
      <text>
        <r>
          <rPr>
            <sz val="8"/>
            <color indexed="81"/>
            <rFont val="Tahoma"/>
            <family val="2"/>
          </rPr>
          <t>This column is based on the foregone return on prudent additional capex allowed in the previous regulatory control period (if any).</t>
        </r>
      </text>
    </comment>
    <comment ref="G632" authorId="3">
      <text>
        <r>
          <rPr>
            <sz val="8"/>
            <color indexed="81"/>
            <rFont val="Tahoma"/>
            <family val="2"/>
          </rPr>
          <t>This column is based on the forecast Group 3 assets allowed in the previous regulatory control period (if any).</t>
        </r>
      </text>
    </comment>
  </commentList>
</comments>
</file>

<file path=xl/sharedStrings.xml><?xml version="1.0" encoding="utf-8"?>
<sst xmlns="http://schemas.openxmlformats.org/spreadsheetml/2006/main" count="617" uniqueCount="165">
  <si>
    <t>Asset Class 1</t>
  </si>
  <si>
    <t>Asset Class 2</t>
  </si>
  <si>
    <t>Opening Asset Value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</si>
  <si>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</si>
  <si>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</si>
  <si>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</si>
  <si>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</si>
  <si>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</si>
  <si>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</si>
  <si>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</si>
  <si>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</si>
  <si>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</si>
  <si>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</si>
  <si>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</si>
  <si>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</si>
  <si>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</si>
  <si>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</si>
  <si>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</si>
  <si>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</si>
  <si>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Total</t>
  </si>
  <si>
    <t>n/a</t>
  </si>
  <si>
    <t>Base Financial Year</t>
  </si>
  <si>
    <t>Asset Class 18</t>
  </si>
  <si>
    <t>Asset Class 19</t>
  </si>
  <si>
    <t>Asset Class 20</t>
  </si>
  <si>
    <t>Inflation and Rate of Return</t>
  </si>
  <si>
    <t>Opening RAB</t>
  </si>
  <si>
    <t>Sub-total</t>
  </si>
  <si>
    <t>Introduction</t>
  </si>
  <si>
    <t>Nominal Actual Straight-line Depreciation</t>
  </si>
  <si>
    <t>Real Actual Straight-line Depreciation</t>
  </si>
  <si>
    <t>Nominal Actual Net Capex</t>
  </si>
  <si>
    <t>Land</t>
  </si>
  <si>
    <t>Actual CPI Inflation Rate</t>
  </si>
  <si>
    <t>Difference Between Actual and Forecast Net Capex</t>
  </si>
  <si>
    <t>Real Vanilla WACC</t>
  </si>
  <si>
    <t>Forecast Inflation Cumulative Index</t>
  </si>
  <si>
    <t>Forecast Inflation Rate</t>
  </si>
  <si>
    <t>Nominal Vanilla WACC</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</si>
  <si>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</si>
  <si>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</si>
  <si>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</si>
  <si>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</si>
  <si>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</si>
  <si>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</si>
  <si>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</si>
  <si>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</si>
  <si>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</si>
  <si>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</si>
  <si>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</si>
  <si>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</si>
  <si>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</si>
  <si>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</si>
  <si>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</si>
  <si>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</si>
  <si>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</si>
  <si>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</si>
  <si>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</si>
  <si>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</si>
  <si>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</si>
  <si>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</si>
  <si>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</si>
  <si>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</si>
  <si>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</si>
  <si>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</si>
  <si>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</si>
  <si>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</si>
  <si>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</si>
  <si>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</si>
  <si>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</si>
  <si>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</si>
  <si>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</si>
  <si>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</si>
  <si>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</si>
  <si>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</si>
  <si>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</si>
  <si>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</si>
  <si>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</si>
  <si>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</si>
  <si>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</si>
  <si>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</si>
  <si>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</si>
  <si>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</si>
  <si>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</si>
  <si>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</si>
  <si>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</si>
  <si>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</si>
  <si>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</si>
  <si>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</si>
  <si>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</si>
  <si>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</si>
  <si>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</si>
  <si>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</si>
  <si>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</si>
  <si>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</si>
  <si>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</si>
  <si>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</si>
  <si>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</si>
  <si>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</si>
  <si>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</si>
  <si>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</si>
  <si>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</si>
  <si>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Average Tax Remaining Life</t>
  </si>
  <si>
    <t>Closing Asset Values and Lives</t>
  </si>
  <si>
    <t>($m Nominal)</t>
  </si>
  <si>
    <t>(Age in years)</t>
  </si>
  <si>
    <t>Closing Asset Value</t>
  </si>
  <si>
    <t>Closing Tax Value</t>
  </si>
  <si>
    <t>Version: 2.0</t>
  </si>
  <si>
    <t>Opening Asset Value (As Commissioned)</t>
  </si>
  <si>
    <t>Opening Asset Value (Partially As Incurred)</t>
  </si>
  <si>
    <t>Opening Tax Asset Value</t>
  </si>
  <si>
    <t>Asset Class 21</t>
  </si>
  <si>
    <t>Asset Class 22</t>
  </si>
  <si>
    <t>Asset Class 23</t>
  </si>
  <si>
    <t>Asset Class 24</t>
  </si>
  <si>
    <t>Asset Class 25</t>
  </si>
  <si>
    <t>Asset Class 26</t>
  </si>
  <si>
    <t>Asset Class 27</t>
  </si>
  <si>
    <t>Asset Class 28</t>
  </si>
  <si>
    <t>Asset Class 29</t>
  </si>
  <si>
    <t>Asset Class 30</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</si>
  <si>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</si>
  <si>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</si>
  <si>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</si>
  <si>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</si>
  <si>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</si>
  <si>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</si>
  <si>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</si>
  <si>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Secondary</t>
  </si>
  <si>
    <t>Switchgear</t>
  </si>
  <si>
    <t>Transformers</t>
  </si>
  <si>
    <t>Reactive</t>
  </si>
  <si>
    <t>Towers and Conductor</t>
  </si>
  <si>
    <t>Establishment</t>
  </si>
  <si>
    <t>Communications</t>
  </si>
  <si>
    <t>Inventory</t>
  </si>
  <si>
    <t>IT</t>
  </si>
  <si>
    <t>Vehicles</t>
  </si>
  <si>
    <t>other</t>
  </si>
  <si>
    <t>premises</t>
  </si>
  <si>
    <t>Easements</t>
  </si>
  <si>
    <t>2008-09</t>
  </si>
  <si>
    <t>This label will appear at the top of each worksheet. Please update as required.</t>
  </si>
  <si>
    <t>SP AusNet  - RFM - data as at 28-February-2012</t>
  </si>
  <si>
    <t>SP AusNet modifications to the AER version 2.0 Feb 2011</t>
  </si>
  <si>
    <t>Headings on each sheet have been modified to access a label input on the sheet 'SP AusNet record of changes'.</t>
  </si>
  <si>
    <t>SP AusNet  - RFM - data as at 28-February-2013</t>
  </si>
  <si>
    <t>Real actual straight line depreciation calculation under the 'actual RAB roll forward' is not in use anymore and nominal actual straight line calculation has been replaced with internal calculations made outside of this model</t>
  </si>
  <si>
    <t>All changes and additional information highlighted in blue</t>
  </si>
  <si>
    <t>Non-contestable assets referred as Group 3 assets in PTRM and RFM</t>
  </si>
  <si>
    <t xml:space="preserve"> Forecast Group 3 Asset Roll in </t>
  </si>
  <si>
    <t>Prudent Group 3 Asset Roll in</t>
  </si>
  <si>
    <t>Nominal Adjustments for Difference Between Forecast and Actual Group 3 Asset Roll in</t>
  </si>
  <si>
    <t xml:space="preserve">Nominal Forecast Group 3 Asset Roll in </t>
  </si>
  <si>
    <t>Nominal Actual Group 3 Asset Roll in</t>
  </si>
  <si>
    <t>Nominal Difference Between Actual and Forecast Assets Group 3 assets</t>
  </si>
  <si>
    <t>Compounded Return on Difference - Group 3 Assets</t>
  </si>
  <si>
    <t>Nominal Forecast Group 3 Asset Roll-in</t>
  </si>
  <si>
    <t>Nominal Forecast Group 3 Asset Roll in</t>
  </si>
  <si>
    <t>Nominal Forecast Group 3 Asset Rollin</t>
  </si>
  <si>
    <t>Difference Between Actual and Forecast Group 3 Asset Roll in</t>
  </si>
  <si>
    <t>Return on Difference - Group 3 Asset Roll in</t>
  </si>
  <si>
    <t>Formulas in the following worksheets been adjusted to accommodate for the Group 3 assets addition.</t>
  </si>
  <si>
    <t>Two extra colums been inserted in the 'Input' worksheet to include 'Forecast Group 3 assets' and 'Prudent Group 3 assets'.</t>
  </si>
</sst>
</file>

<file path=xl/styles.xml><?xml version="1.0" encoding="utf-8"?>
<styleSheet xmlns="http://schemas.openxmlformats.org/spreadsheetml/2006/main">
  <numFmts count="10">
    <numFmt numFmtId="44" formatCode="_(&quot;$&quot;* #,##0.00_);_(&quot;$&quot;* \(#,##0.00\);_(&quot;$&quot;* &quot;-&quot;??_);_(@_)"/>
    <numFmt numFmtId="43" formatCode="_(* #,##0.00_);_(* \(#,##0.00\);_(* &quot;-&quot;??_);_(@_)"/>
    <numFmt numFmtId="164" formatCode="0.0%"/>
    <numFmt numFmtId="165" formatCode="0.0"/>
    <numFmt numFmtId="166" formatCode="_-* #,##0.0_-;\-* #,##0.0_-;_-* &quot;-&quot;??_-;_-@_-"/>
    <numFmt numFmtId="167" formatCode="_-* #,##0_-;\-* #,##0_-;_-* &quot;-&quot;??_-;_-@_-"/>
    <numFmt numFmtId="168" formatCode="_-* #,##0.000_-;\-* #,##0.000_-;_-* &quot;-&quot;??_-;_-@_-"/>
    <numFmt numFmtId="169" formatCode="_-&quot;$&quot;* #,##0.000_-;\-&quot;$&quot;* #,##0.000_-;_-&quot;$&quot;* &quot;-&quot;??_-;_-@_-"/>
    <numFmt numFmtId="170" formatCode="0.0000"/>
    <numFmt numFmtId="171" formatCode="_-* #,##0.0000_-;\-* #,##0.0000_-;_-* &quot;-&quot;??_-;_-@_-"/>
  </numFmts>
  <fonts count="40">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0"/>
      <color indexed="9"/>
      <name val="Arial"/>
      <family val="2"/>
    </font>
    <font>
      <sz val="12"/>
      <name val="Arial"/>
      <family val="2"/>
    </font>
    <font>
      <sz val="9"/>
      <color indexed="81"/>
      <name val="Tahoma"/>
      <family val="2"/>
    </font>
    <font>
      <b/>
      <sz val="9"/>
      <color indexed="81"/>
      <name val="Tahoma"/>
      <family val="2"/>
    </font>
    <font>
      <sz val="10"/>
      <name val="Arial"/>
      <family val="2"/>
    </font>
    <font>
      <b/>
      <sz val="18"/>
      <color theme="5" tint="-0.249977111117893"/>
      <name val="Arial"/>
      <family val="2"/>
    </font>
    <font>
      <b/>
      <sz val="10"/>
      <color rgb="FF002060"/>
      <name val="Arial"/>
      <family val="2"/>
    </font>
    <font>
      <b/>
      <sz val="8"/>
      <color indexed="81"/>
      <name val="Tahoma"/>
      <family val="2"/>
    </font>
  </fonts>
  <fills count="12">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theme="0"/>
        <bgColor indexed="64"/>
      </patternFill>
    </fill>
    <fill>
      <patternFill patternType="solid">
        <fgColor theme="3" tint="0.39997558519241921"/>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right style="dashed">
        <color indexed="23"/>
      </right>
      <top style="thin">
        <color indexed="23"/>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auto="1"/>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07">
    <xf numFmtId="0" fontId="0" fillId="0" borderId="0" xfId="0"/>
    <xf numFmtId="0" fontId="2" fillId="2" borderId="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4" applyNumberFormat="1"/>
    <xf numFmtId="0" fontId="0" fillId="3" borderId="0" xfId="0" applyFill="1"/>
    <xf numFmtId="0" fontId="8"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2" fillId="4" borderId="0" xfId="0" applyFont="1" applyFill="1" applyAlignment="1">
      <alignment horizontal="center" wrapText="1"/>
    </xf>
    <xf numFmtId="10" fontId="2" fillId="4" borderId="0" xfId="4" applyNumberFormat="1" applyFont="1" applyFill="1" applyAlignment="1">
      <alignment horizontal="center" wrapText="1"/>
    </xf>
    <xf numFmtId="0" fontId="0" fillId="4" borderId="0" xfId="0" applyFill="1" applyBorder="1"/>
    <xf numFmtId="0" fontId="4" fillId="4" borderId="0" xfId="0" applyFont="1" applyFill="1" applyBorder="1" applyAlignment="1">
      <alignment wrapText="1"/>
    </xf>
    <xf numFmtId="0" fontId="0" fillId="4" borderId="0" xfId="0" applyFill="1" applyBorder="1" applyAlignment="1">
      <alignment vertical="center" wrapText="1"/>
    </xf>
    <xf numFmtId="0" fontId="4"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0" fillId="4" borderId="0" xfId="0" applyFill="1" applyAlignment="1">
      <alignment horizontal="center"/>
    </xf>
    <xf numFmtId="0" fontId="0" fillId="4" borderId="0" xfId="0" applyFill="1" applyAlignment="1"/>
    <xf numFmtId="10" fontId="1" fillId="4" borderId="0" xfId="4" applyNumberFormat="1" applyFill="1"/>
    <xf numFmtId="10" fontId="0" fillId="4" borderId="0" xfId="4" applyNumberFormat="1" applyFont="1" applyFill="1"/>
    <xf numFmtId="164" fontId="0" fillId="4" borderId="0" xfId="4" applyNumberFormat="1" applyFont="1" applyFill="1"/>
    <xf numFmtId="167" fontId="4" fillId="4" borderId="0" xfId="1" applyNumberFormat="1" applyFont="1" applyFill="1"/>
    <xf numFmtId="0" fontId="2" fillId="2" borderId="0" xfId="0" applyFont="1" applyFill="1" applyBorder="1" applyAlignment="1">
      <alignment horizontal="center"/>
    </xf>
    <xf numFmtId="0" fontId="10" fillId="4" borderId="0" xfId="0" applyFont="1" applyFill="1" applyAlignment="1">
      <alignment horizontal="center"/>
    </xf>
    <xf numFmtId="0" fontId="10" fillId="4" borderId="0" xfId="0" applyFont="1" applyFill="1" applyAlignment="1">
      <alignment horizontal="right"/>
    </xf>
    <xf numFmtId="43" fontId="10" fillId="4" borderId="0" xfId="1" applyFont="1" applyFill="1" applyAlignment="1">
      <alignment horizontal="left"/>
    </xf>
    <xf numFmtId="167" fontId="0" fillId="4" borderId="0" xfId="1" applyNumberFormat="1" applyFont="1" applyFill="1"/>
    <xf numFmtId="165" fontId="0" fillId="4" borderId="0" xfId="0" applyNumberFormat="1" applyFill="1"/>
    <xf numFmtId="43" fontId="10" fillId="4" borderId="0" xfId="1" applyFont="1" applyFill="1" applyAlignment="1">
      <alignment horizontal="right"/>
    </xf>
    <xf numFmtId="0" fontId="0" fillId="4" borderId="2" xfId="0" applyFill="1" applyBorder="1"/>
    <xf numFmtId="0" fontId="2" fillId="4" borderId="2" xfId="0" applyFont="1" applyFill="1" applyBorder="1" applyAlignment="1">
      <alignment horizontal="right"/>
    </xf>
    <xf numFmtId="167" fontId="4" fillId="0" borderId="2" xfId="1" applyNumberFormat="1" applyFont="1" applyFill="1" applyBorder="1"/>
    <xf numFmtId="43" fontId="10" fillId="4" borderId="2" xfId="1" applyFont="1" applyFill="1" applyBorder="1" applyAlignment="1">
      <alignment horizontal="right"/>
    </xf>
    <xf numFmtId="43" fontId="0" fillId="4" borderId="0" xfId="0" applyNumberFormat="1" applyFill="1"/>
    <xf numFmtId="44" fontId="11" fillId="4" borderId="0" xfId="2" applyFont="1" applyFill="1" applyBorder="1" applyAlignment="1">
      <alignment horizontal="center" vertical="center"/>
    </xf>
    <xf numFmtId="0" fontId="2" fillId="4" borderId="0" xfId="0" applyFont="1" applyFill="1" applyBorder="1" applyAlignment="1">
      <alignment vertical="center"/>
    </xf>
    <xf numFmtId="0" fontId="4" fillId="4" borderId="0" xfId="0" applyFont="1" applyFill="1" applyBorder="1" applyAlignment="1">
      <alignment vertical="center"/>
    </xf>
    <xf numFmtId="10" fontId="1" fillId="4" borderId="0" xfId="4" applyNumberFormat="1" applyFill="1" applyBorder="1"/>
    <xf numFmtId="0" fontId="8" fillId="4" borderId="0" xfId="0" applyFont="1" applyFill="1" applyBorder="1" applyAlignment="1"/>
    <xf numFmtId="0" fontId="8" fillId="4" borderId="0" xfId="0" applyFont="1" applyFill="1"/>
    <xf numFmtId="0" fontId="0" fillId="4" borderId="0" xfId="0" applyFill="1" applyAlignment="1">
      <alignment wrapText="1"/>
    </xf>
    <xf numFmtId="0" fontId="0" fillId="4" borderId="0" xfId="0" applyFill="1" applyBorder="1" applyAlignment="1"/>
    <xf numFmtId="0" fontId="4" fillId="4" borderId="0" xfId="0" applyFont="1" applyFill="1"/>
    <xf numFmtId="43" fontId="10" fillId="4" borderId="3" xfId="1" applyFont="1" applyFill="1" applyBorder="1" applyAlignment="1">
      <alignment horizontal="right"/>
    </xf>
    <xf numFmtId="169" fontId="13" fillId="4" borderId="0" xfId="2" applyNumberFormat="1" applyFont="1" applyFill="1" applyBorder="1" applyAlignment="1">
      <alignment horizontal="center" vertical="center"/>
    </xf>
    <xf numFmtId="44" fontId="0" fillId="4" borderId="0" xfId="0" applyNumberFormat="1" applyFill="1"/>
    <xf numFmtId="0" fontId="4" fillId="0" borderId="0" xfId="0" applyFont="1"/>
    <xf numFmtId="10" fontId="1" fillId="4" borderId="0" xfId="1" applyNumberFormat="1" applyFill="1" applyBorder="1"/>
    <xf numFmtId="165" fontId="0" fillId="5" borderId="0" xfId="0" applyNumberFormat="1" applyFill="1" applyBorder="1" applyAlignment="1">
      <alignment horizontal="center" wrapText="1"/>
    </xf>
    <xf numFmtId="0" fontId="5" fillId="4" borderId="0" xfId="0" applyFont="1" applyFill="1" applyBorder="1" applyAlignment="1">
      <alignment horizontal="center" vertical="center"/>
    </xf>
    <xf numFmtId="0" fontId="12" fillId="4" borderId="0" xfId="0" applyFont="1" applyFill="1" applyBorder="1" applyAlignment="1">
      <alignment horizontal="center"/>
    </xf>
    <xf numFmtId="0" fontId="7" fillId="4" borderId="0" xfId="0" applyFont="1" applyFill="1" applyBorder="1"/>
    <xf numFmtId="0" fontId="4" fillId="4" borderId="0" xfId="0" applyFont="1" applyFill="1" applyBorder="1" applyAlignment="1"/>
    <xf numFmtId="0" fontId="4" fillId="4" borderId="2" xfId="0" applyFont="1" applyFill="1" applyBorder="1"/>
    <xf numFmtId="0" fontId="2" fillId="4" borderId="2" xfId="0" applyFont="1" applyFill="1" applyBorder="1"/>
    <xf numFmtId="0" fontId="7" fillId="4" borderId="0" xfId="0" applyFont="1" applyFill="1" applyBorder="1" applyAlignment="1">
      <alignment horizontal="left"/>
    </xf>
    <xf numFmtId="0" fontId="2" fillId="4" borderId="2" xfId="0" applyFont="1" applyFill="1" applyBorder="1" applyAlignment="1">
      <alignment horizontal="center"/>
    </xf>
    <xf numFmtId="0" fontId="2" fillId="4" borderId="2" xfId="0" applyFont="1" applyFill="1" applyBorder="1" applyAlignment="1">
      <alignment horizontal="left"/>
    </xf>
    <xf numFmtId="0" fontId="12" fillId="4" borderId="2" xfId="0" applyFont="1" applyFill="1" applyBorder="1" applyAlignment="1">
      <alignment horizontal="center"/>
    </xf>
    <xf numFmtId="44" fontId="10" fillId="4" borderId="0" xfId="2" applyFont="1" applyFill="1" applyBorder="1" applyAlignment="1">
      <alignment horizontal="center" vertical="center"/>
    </xf>
    <xf numFmtId="165" fontId="0" fillId="5" borderId="4" xfId="0" applyNumberFormat="1" applyFill="1" applyBorder="1" applyAlignment="1">
      <alignment horizontal="center" wrapText="1"/>
    </xf>
    <xf numFmtId="43" fontId="4" fillId="5" borderId="4" xfId="1" applyNumberFormat="1" applyFont="1" applyFill="1" applyBorder="1" applyAlignment="1">
      <alignment horizontal="right" vertical="center"/>
    </xf>
    <xf numFmtId="43" fontId="4" fillId="5" borderId="0" xfId="1" applyNumberFormat="1" applyFont="1" applyFill="1" applyBorder="1" applyAlignment="1">
      <alignment horizontal="right" vertical="center"/>
    </xf>
    <xf numFmtId="166" fontId="10" fillId="4" borderId="0" xfId="1" applyNumberFormat="1" applyFont="1" applyFill="1"/>
    <xf numFmtId="166" fontId="10" fillId="4" borderId="0" xfId="1" applyNumberFormat="1" applyFont="1" applyFill="1" applyAlignment="1">
      <alignment horizontal="right"/>
    </xf>
    <xf numFmtId="166" fontId="10" fillId="4" borderId="0" xfId="0" applyNumberFormat="1" applyFont="1" applyFill="1"/>
    <xf numFmtId="43" fontId="10" fillId="4" borderId="2" xfId="1" applyNumberFormat="1" applyFont="1" applyFill="1" applyBorder="1" applyAlignment="1">
      <alignment horizontal="right"/>
    </xf>
    <xf numFmtId="43" fontId="10" fillId="4" borderId="0" xfId="1" applyNumberFormat="1" applyFont="1" applyFill="1" applyAlignment="1">
      <alignment horizontal="right"/>
    </xf>
    <xf numFmtId="0" fontId="8" fillId="6" borderId="1" xfId="0" applyFont="1" applyFill="1" applyBorder="1"/>
    <xf numFmtId="0" fontId="7" fillId="6" borderId="1" xfId="0" applyFont="1" applyFill="1" applyBorder="1"/>
    <xf numFmtId="0" fontId="7" fillId="6" borderId="1" xfId="0" applyFont="1" applyFill="1" applyBorder="1" applyAlignment="1">
      <alignment horizontal="center"/>
    </xf>
    <xf numFmtId="10" fontId="7"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44" fontId="2" fillId="7" borderId="1" xfId="0" applyNumberFormat="1" applyFont="1" applyFill="1" applyBorder="1" applyAlignment="1">
      <alignment horizontal="center" wrapText="1"/>
    </xf>
    <xf numFmtId="0" fontId="7" fillId="7" borderId="1" xfId="0" applyFont="1" applyFill="1" applyBorder="1" applyAlignment="1">
      <alignment vertical="center"/>
    </xf>
    <xf numFmtId="0" fontId="1" fillId="7" borderId="1" xfId="0" applyFont="1" applyFill="1" applyBorder="1"/>
    <xf numFmtId="0" fontId="9" fillId="7" borderId="1" xfId="0" applyFont="1" applyFill="1" applyBorder="1" applyAlignment="1">
      <alignment vertical="center" wrapText="1"/>
    </xf>
    <xf numFmtId="0" fontId="9" fillId="7" borderId="1" xfId="0" applyFont="1" applyFill="1" applyBorder="1" applyAlignment="1">
      <alignment wrapText="1"/>
    </xf>
    <xf numFmtId="0" fontId="2" fillId="7" borderId="1" xfId="0" applyFont="1" applyFill="1" applyBorder="1"/>
    <xf numFmtId="0" fontId="2" fillId="6" borderId="1" xfId="0" applyFont="1" applyFill="1" applyBorder="1" applyAlignment="1">
      <alignment horizontal="center"/>
    </xf>
    <xf numFmtId="0" fontId="7" fillId="6" borderId="1" xfId="0" applyFont="1" applyFill="1" applyBorder="1" applyAlignment="1">
      <alignment horizontal="left"/>
    </xf>
    <xf numFmtId="167" fontId="4" fillId="7" borderId="1" xfId="1" applyNumberFormat="1" applyFont="1" applyFill="1" applyBorder="1"/>
    <xf numFmtId="43" fontId="4" fillId="7" borderId="1" xfId="1" applyFont="1" applyFill="1" applyBorder="1"/>
    <xf numFmtId="10" fontId="0" fillId="4" borderId="0" xfId="4" applyNumberFormat="1" applyFont="1" applyFill="1" applyBorder="1"/>
    <xf numFmtId="0" fontId="14" fillId="7" borderId="5" xfId="0" applyFont="1" applyFill="1" applyBorder="1" applyAlignment="1">
      <alignment horizontal="center"/>
    </xf>
    <xf numFmtId="0" fontId="14" fillId="7" borderId="6" xfId="0" applyFont="1" applyFill="1" applyBorder="1" applyAlignment="1">
      <alignment horizontal="center"/>
    </xf>
    <xf numFmtId="44" fontId="0" fillId="0" borderId="0" xfId="0" applyNumberFormat="1"/>
    <xf numFmtId="0" fontId="4" fillId="4" borderId="0" xfId="0" applyFont="1" applyFill="1" applyBorder="1"/>
    <xf numFmtId="10" fontId="4" fillId="4" borderId="2" xfId="4" applyNumberFormat="1" applyFont="1" applyFill="1" applyBorder="1" applyAlignment="1" applyProtection="1">
      <alignment horizontal="center"/>
    </xf>
    <xf numFmtId="43" fontId="4" fillId="4" borderId="0" xfId="1" applyNumberFormat="1" applyFont="1" applyFill="1" applyBorder="1" applyAlignment="1">
      <alignment horizontal="right" vertical="center"/>
    </xf>
    <xf numFmtId="170" fontId="1" fillId="4" borderId="0" xfId="1" applyNumberFormat="1" applyFill="1" applyBorder="1"/>
    <xf numFmtId="0" fontId="1" fillId="4" borderId="0" xfId="3" applyFill="1" applyBorder="1"/>
    <xf numFmtId="10" fontId="1" fillId="4" borderId="0" xfId="3" applyNumberFormat="1" applyFill="1" applyBorder="1"/>
    <xf numFmtId="0" fontId="1" fillId="4" borderId="0" xfId="3" applyFont="1" applyFill="1" applyBorder="1"/>
    <xf numFmtId="0" fontId="3" fillId="7" borderId="1" xfId="0" applyFont="1" applyFill="1" applyBorder="1" applyAlignment="1">
      <alignment vertical="center"/>
    </xf>
    <xf numFmtId="171" fontId="0" fillId="4" borderId="0" xfId="1" applyNumberFormat="1" applyFont="1" applyFill="1"/>
    <xf numFmtId="164" fontId="0" fillId="4" borderId="0" xfId="4" applyNumberFormat="1" applyFont="1" applyFill="1" applyBorder="1"/>
    <xf numFmtId="165" fontId="0" fillId="4" borderId="0" xfId="0" applyNumberFormat="1" applyFill="1" applyBorder="1"/>
    <xf numFmtId="43" fontId="10" fillId="4" borderId="0" xfId="1" applyFont="1" applyFill="1" applyBorder="1" applyAlignment="1">
      <alignment horizontal="right"/>
    </xf>
    <xf numFmtId="166" fontId="10" fillId="4" borderId="0" xfId="1" applyNumberFormat="1" applyFont="1" applyFill="1" applyBorder="1"/>
    <xf numFmtId="43" fontId="10" fillId="4" borderId="0" xfId="1" applyNumberFormat="1" applyFont="1" applyFill="1" applyBorder="1" applyAlignment="1">
      <alignment horizontal="right"/>
    </xf>
    <xf numFmtId="166" fontId="10" fillId="4" borderId="0" xfId="1" applyNumberFormat="1" applyFont="1" applyFill="1" applyBorder="1" applyAlignment="1">
      <alignment horizontal="right"/>
    </xf>
    <xf numFmtId="166" fontId="10" fillId="4" borderId="0" xfId="0" applyNumberFormat="1" applyFont="1" applyFill="1" applyBorder="1"/>
    <xf numFmtId="43" fontId="4" fillId="4" borderId="0" xfId="1" applyFont="1" applyFill="1" applyBorder="1"/>
    <xf numFmtId="10" fontId="1" fillId="5" borderId="4" xfId="4" applyNumberFormat="1" applyFill="1" applyBorder="1"/>
    <xf numFmtId="0" fontId="0" fillId="6" borderId="1" xfId="0" applyFill="1" applyBorder="1"/>
    <xf numFmtId="167" fontId="2" fillId="7" borderId="1" xfId="1" applyNumberFormat="1" applyFont="1" applyFill="1" applyBorder="1"/>
    <xf numFmtId="2" fontId="0" fillId="4" borderId="0" xfId="0" applyNumberFormat="1" applyFill="1"/>
    <xf numFmtId="43" fontId="16" fillId="4" borderId="0" xfId="0" applyNumberFormat="1" applyFont="1" applyFill="1"/>
    <xf numFmtId="43" fontId="4" fillId="4" borderId="0" xfId="1" applyNumberFormat="1" applyFont="1" applyFill="1" applyAlignment="1">
      <alignment horizontal="right"/>
    </xf>
    <xf numFmtId="0" fontId="4" fillId="4" borderId="0" xfId="0" quotePrefix="1" applyFont="1" applyFill="1" applyBorder="1" applyAlignment="1">
      <alignment horizontal="right"/>
    </xf>
    <xf numFmtId="167" fontId="4" fillId="4" borderId="0" xfId="1" applyNumberFormat="1" applyFont="1" applyFill="1" applyBorder="1"/>
    <xf numFmtId="43" fontId="4" fillId="4" borderId="0" xfId="0" applyNumberFormat="1" applyFont="1" applyFill="1"/>
    <xf numFmtId="43" fontId="10" fillId="4" borderId="3" xfId="1" applyNumberFormat="1" applyFont="1" applyFill="1" applyBorder="1" applyAlignment="1">
      <alignment horizontal="right"/>
    </xf>
    <xf numFmtId="43" fontId="4" fillId="7" borderId="1" xfId="1" applyNumberFormat="1" applyFont="1" applyFill="1" applyBorder="1"/>
    <xf numFmtId="43" fontId="4" fillId="4" borderId="0" xfId="1" applyNumberFormat="1" applyFont="1" applyFill="1" applyBorder="1"/>
    <xf numFmtId="0" fontId="0" fillId="7" borderId="0" xfId="0" applyFill="1" applyBorder="1"/>
    <xf numFmtId="167" fontId="2" fillId="4" borderId="0" xfId="1" applyNumberFormat="1" applyFont="1" applyFill="1" applyBorder="1"/>
    <xf numFmtId="43" fontId="16" fillId="4" borderId="0" xfId="1" applyNumberFormat="1" applyFont="1" applyFill="1"/>
    <xf numFmtId="0" fontId="4" fillId="6" borderId="1" xfId="0" applyFont="1" applyFill="1" applyBorder="1"/>
    <xf numFmtId="0" fontId="4" fillId="6" borderId="1" xfId="0" quotePrefix="1" applyFont="1" applyFill="1" applyBorder="1" applyAlignment="1">
      <alignment horizontal="right"/>
    </xf>
    <xf numFmtId="167" fontId="0" fillId="6" borderId="1" xfId="1" applyNumberFormat="1" applyFont="1" applyFill="1" applyBorder="1"/>
    <xf numFmtId="43" fontId="0" fillId="6" borderId="1" xfId="0" applyNumberFormat="1" applyFill="1" applyBorder="1"/>
    <xf numFmtId="165" fontId="0" fillId="6" borderId="1" xfId="0" applyNumberFormat="1" applyFill="1" applyBorder="1"/>
    <xf numFmtId="0" fontId="10" fillId="4" borderId="0" xfId="0" quotePrefix="1" applyFont="1" applyFill="1" applyBorder="1" applyAlignment="1">
      <alignment horizontal="right"/>
    </xf>
    <xf numFmtId="0" fontId="4" fillId="5" borderId="7" xfId="1" applyNumberFormat="1" applyFont="1" applyFill="1" applyBorder="1" applyAlignment="1">
      <alignment horizontal="right" vertical="center"/>
    </xf>
    <xf numFmtId="0" fontId="17" fillId="4" borderId="0" xfId="0" applyFont="1" applyFill="1"/>
    <xf numFmtId="0" fontId="18" fillId="4" borderId="0" xfId="0" applyFont="1" applyFill="1"/>
    <xf numFmtId="0" fontId="0" fillId="7" borderId="3" xfId="0" applyFill="1" applyBorder="1"/>
    <xf numFmtId="0" fontId="19" fillId="7" borderId="0" xfId="0" applyFont="1" applyFill="1" applyBorder="1"/>
    <xf numFmtId="0" fontId="0" fillId="7" borderId="2" xfId="0" applyFill="1" applyBorder="1"/>
    <xf numFmtId="0" fontId="0" fillId="6" borderId="0" xfId="0" applyFill="1"/>
    <xf numFmtId="0" fontId="20" fillId="4" borderId="0" xfId="0" applyFont="1" applyFill="1"/>
    <xf numFmtId="164" fontId="1" fillId="4" borderId="0" xfId="4" applyNumberFormat="1" applyFill="1"/>
    <xf numFmtId="164" fontId="1" fillId="4" borderId="0" xfId="4" applyNumberFormat="1" applyFill="1" applyBorder="1"/>
    <xf numFmtId="43" fontId="1" fillId="4" borderId="0" xfId="1" applyNumberFormat="1" applyFill="1"/>
    <xf numFmtId="167" fontId="1" fillId="4" borderId="0" xfId="1" applyNumberFormat="1" applyFill="1"/>
    <xf numFmtId="167" fontId="0" fillId="4" borderId="0" xfId="1" applyNumberFormat="1" applyFont="1" applyFill="1" applyBorder="1"/>
    <xf numFmtId="43" fontId="0" fillId="4" borderId="0" xfId="0" applyNumberFormat="1" applyFill="1" applyBorder="1"/>
    <xf numFmtId="170" fontId="1" fillId="4" borderId="0" xfId="3" applyNumberFormat="1" applyFill="1" applyBorder="1"/>
    <xf numFmtId="0" fontId="2" fillId="4" borderId="0" xfId="0" quotePrefix="1" applyFont="1" applyFill="1" applyBorder="1" applyAlignment="1">
      <alignment horizontal="right" vertical="center"/>
    </xf>
    <xf numFmtId="0" fontId="2" fillId="6" borderId="1" xfId="0" applyFont="1" applyFill="1" applyBorder="1" applyAlignment="1">
      <alignment horizontal="right"/>
    </xf>
    <xf numFmtId="43" fontId="10" fillId="8" borderId="8" xfId="1" applyNumberFormat="1" applyFont="1" applyFill="1" applyBorder="1" applyAlignment="1">
      <alignment horizontal="right"/>
    </xf>
    <xf numFmtId="43" fontId="10" fillId="8" borderId="9" xfId="1" applyNumberFormat="1" applyFont="1" applyFill="1" applyBorder="1" applyAlignment="1">
      <alignment horizontal="right"/>
    </xf>
    <xf numFmtId="43" fontId="10" fillId="8" borderId="10" xfId="1" applyNumberFormat="1" applyFont="1" applyFill="1" applyBorder="1" applyAlignment="1">
      <alignment horizontal="right"/>
    </xf>
    <xf numFmtId="43" fontId="10" fillId="8" borderId="0" xfId="1" applyNumberFormat="1" applyFont="1" applyFill="1" applyAlignment="1">
      <alignment horizontal="right"/>
    </xf>
    <xf numFmtId="2" fontId="4" fillId="4" borderId="0" xfId="0" applyNumberFormat="1" applyFont="1" applyFill="1"/>
    <xf numFmtId="165" fontId="4" fillId="4" borderId="0" xfId="0" applyNumberFormat="1" applyFont="1" applyFill="1"/>
    <xf numFmtId="0" fontId="4" fillId="4" borderId="0" xfId="0" applyFont="1" applyFill="1" applyAlignment="1">
      <alignment horizontal="left"/>
    </xf>
    <xf numFmtId="167" fontId="1" fillId="4" borderId="0" xfId="1" applyNumberFormat="1" applyFill="1" applyBorder="1"/>
    <xf numFmtId="43" fontId="16" fillId="4" borderId="0" xfId="0" applyNumberFormat="1" applyFont="1" applyFill="1" applyBorder="1"/>
    <xf numFmtId="43" fontId="2" fillId="7" borderId="1" xfId="0" applyNumberFormat="1" applyFont="1" applyFill="1" applyBorder="1"/>
    <xf numFmtId="0" fontId="0" fillId="4" borderId="0" xfId="0" applyFill="1" applyBorder="1" applyAlignment="1">
      <alignment horizontal="center"/>
    </xf>
    <xf numFmtId="0" fontId="2" fillId="7" borderId="1" xfId="0" applyFont="1" applyFill="1" applyBorder="1" applyAlignment="1">
      <alignment vertical="center"/>
    </xf>
    <xf numFmtId="10" fontId="4" fillId="4" borderId="0" xfId="4" applyNumberFormat="1" applyFont="1" applyFill="1" applyBorder="1" applyAlignment="1" applyProtection="1">
      <alignment horizontal="center"/>
    </xf>
    <xf numFmtId="0" fontId="10" fillId="4" borderId="2" xfId="0" applyFont="1" applyFill="1" applyBorder="1"/>
    <xf numFmtId="0" fontId="10" fillId="4" borderId="3" xfId="0" applyFont="1" applyFill="1" applyBorder="1"/>
    <xf numFmtId="43" fontId="16" fillId="4" borderId="0" xfId="1" applyNumberFormat="1" applyFont="1" applyFill="1" applyBorder="1" applyAlignment="1">
      <alignment horizontal="right"/>
    </xf>
    <xf numFmtId="43" fontId="10" fillId="4" borderId="0" xfId="1" applyNumberFormat="1" applyFont="1" applyFill="1"/>
    <xf numFmtId="43" fontId="10" fillId="4" borderId="0" xfId="0" applyNumberFormat="1" applyFont="1" applyFill="1"/>
    <xf numFmtId="43" fontId="4" fillId="5" borderId="12" xfId="1" applyNumberFormat="1" applyFont="1" applyFill="1" applyBorder="1" applyAlignment="1">
      <alignment horizontal="right" vertical="center"/>
    </xf>
    <xf numFmtId="0" fontId="21" fillId="0" borderId="0" xfId="0" applyFont="1"/>
    <xf numFmtId="167" fontId="22" fillId="4" borderId="0" xfId="1" applyNumberFormat="1" applyFont="1" applyFill="1"/>
    <xf numFmtId="44" fontId="10" fillId="7" borderId="1" xfId="2" applyFont="1" applyFill="1" applyBorder="1" applyAlignment="1">
      <alignment horizontal="center" vertical="center"/>
    </xf>
    <xf numFmtId="44" fontId="11" fillId="7" borderId="1" xfId="2" applyFont="1" applyFill="1" applyBorder="1" applyAlignment="1">
      <alignment horizontal="center" vertical="center"/>
    </xf>
    <xf numFmtId="0" fontId="0" fillId="7" borderId="0" xfId="0" applyFill="1"/>
    <xf numFmtId="0" fontId="7" fillId="7" borderId="0" xfId="0" applyFont="1" applyFill="1" applyBorder="1"/>
    <xf numFmtId="43" fontId="4" fillId="4" borderId="11" xfId="0" applyNumberFormat="1" applyFont="1" applyFill="1" applyBorder="1" applyAlignment="1">
      <alignment vertical="center"/>
    </xf>
    <xf numFmtId="43" fontId="4" fillId="4" borderId="4" xfId="0" applyNumberFormat="1" applyFont="1" applyFill="1" applyBorder="1" applyAlignment="1">
      <alignment vertical="center"/>
    </xf>
    <xf numFmtId="43" fontId="4" fillId="4" borderId="12" xfId="0" applyNumberFormat="1" applyFont="1" applyFill="1" applyBorder="1" applyAlignment="1">
      <alignment vertical="center"/>
    </xf>
    <xf numFmtId="43" fontId="4" fillId="4" borderId="0" xfId="0" applyNumberFormat="1" applyFont="1" applyFill="1" applyBorder="1" applyAlignment="1">
      <alignment vertical="center"/>
    </xf>
    <xf numFmtId="43" fontId="4" fillId="4" borderId="4" xfId="1" applyNumberFormat="1" applyFont="1" applyFill="1" applyBorder="1" applyAlignment="1">
      <alignment horizontal="right" vertical="center"/>
    </xf>
    <xf numFmtId="43" fontId="4" fillId="4" borderId="11" xfId="1" applyNumberFormat="1" applyFont="1" applyFill="1" applyBorder="1" applyAlignment="1">
      <alignment horizontal="right" vertical="center"/>
    </xf>
    <xf numFmtId="43" fontId="4" fillId="4" borderId="12" xfId="1" applyNumberFormat="1" applyFont="1" applyFill="1" applyBorder="1" applyAlignment="1">
      <alignment horizontal="right" vertical="center"/>
    </xf>
    <xf numFmtId="43" fontId="16" fillId="4" borderId="2" xfId="1" applyNumberFormat="1" applyFont="1" applyFill="1" applyBorder="1"/>
    <xf numFmtId="0" fontId="2" fillId="7" borderId="1" xfId="0" applyFont="1" applyFill="1" applyBorder="1" applyAlignment="1">
      <alignment horizontal="left"/>
    </xf>
    <xf numFmtId="0" fontId="10" fillId="7" borderId="1" xfId="0" applyFont="1" applyFill="1" applyBorder="1" applyAlignment="1">
      <alignment horizontal="right"/>
    </xf>
    <xf numFmtId="167" fontId="1" fillId="7" borderId="1" xfId="1" applyNumberFormat="1" applyFill="1" applyBorder="1"/>
    <xf numFmtId="43" fontId="4" fillId="7" borderId="1" xfId="0" applyNumberFormat="1" applyFont="1" applyFill="1" applyBorder="1"/>
    <xf numFmtId="43" fontId="16" fillId="7" borderId="1" xfId="0" applyNumberFormat="1" applyFont="1" applyFill="1" applyBorder="1"/>
    <xf numFmtId="165" fontId="4" fillId="7" borderId="1" xfId="0" applyNumberFormat="1" applyFont="1" applyFill="1" applyBorder="1"/>
    <xf numFmtId="0" fontId="10" fillId="4" borderId="0" xfId="0" applyFont="1" applyFill="1" applyAlignment="1">
      <alignment horizontal="left"/>
    </xf>
    <xf numFmtId="0" fontId="18" fillId="4" borderId="0" xfId="0" applyFont="1" applyFill="1" applyAlignment="1">
      <alignment vertical="center"/>
    </xf>
    <xf numFmtId="0" fontId="23" fillId="4" borderId="0" xfId="0" applyFont="1" applyFill="1" applyAlignment="1">
      <alignment vertical="center"/>
    </xf>
    <xf numFmtId="0" fontId="24" fillId="4" borderId="0" xfId="0" applyFont="1" applyFill="1"/>
    <xf numFmtId="0" fontId="25" fillId="4" borderId="0" xfId="0" applyFont="1" applyFill="1"/>
    <xf numFmtId="0" fontId="25" fillId="4" borderId="0" xfId="0" applyFont="1" applyFill="1" applyAlignment="1">
      <alignment vertical="center"/>
    </xf>
    <xf numFmtId="0" fontId="26" fillId="7" borderId="0" xfId="0" applyFont="1" applyFill="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44" fontId="11" fillId="5" borderId="4" xfId="2" applyFont="1" applyFill="1" applyBorder="1" applyAlignment="1">
      <alignment horizontal="center" vertical="center"/>
    </xf>
    <xf numFmtId="44" fontId="10" fillId="5" borderId="0" xfId="2" applyFont="1" applyFill="1" applyBorder="1" applyAlignment="1">
      <alignment horizontal="center" vertical="center"/>
    </xf>
    <xf numFmtId="44" fontId="11" fillId="5" borderId="0" xfId="2" applyFont="1" applyFill="1" applyBorder="1" applyAlignment="1">
      <alignment horizontal="center" vertical="center"/>
    </xf>
    <xf numFmtId="0" fontId="0" fillId="0" borderId="0" xfId="0" applyFill="1"/>
    <xf numFmtId="166" fontId="4" fillId="4" borderId="0" xfId="1" applyNumberFormat="1" applyFont="1" applyFill="1" applyBorder="1"/>
    <xf numFmtId="10" fontId="1" fillId="4" borderId="13" xfId="4" applyNumberFormat="1" applyFill="1" applyBorder="1"/>
    <xf numFmtId="43" fontId="16" fillId="4" borderId="13" xfId="0" applyNumberFormat="1" applyFont="1" applyFill="1" applyBorder="1"/>
    <xf numFmtId="43" fontId="0" fillId="4" borderId="13" xfId="0" applyNumberFormat="1" applyFill="1" applyBorder="1"/>
    <xf numFmtId="43" fontId="4" fillId="4" borderId="13" xfId="0" applyNumberFormat="1" applyFont="1" applyFill="1" applyBorder="1"/>
    <xf numFmtId="43" fontId="16" fillId="4" borderId="13" xfId="1" applyNumberFormat="1" applyFont="1" applyFill="1" applyBorder="1"/>
    <xf numFmtId="43" fontId="4" fillId="4" borderId="13" xfId="1" applyNumberFormat="1" applyFont="1" applyFill="1" applyBorder="1"/>
    <xf numFmtId="10" fontId="0" fillId="4" borderId="13" xfId="4" applyNumberFormat="1" applyFont="1" applyFill="1" applyBorder="1"/>
    <xf numFmtId="170" fontId="0" fillId="4" borderId="13" xfId="0" applyNumberFormat="1" applyFill="1" applyBorder="1"/>
    <xf numFmtId="167" fontId="0" fillId="4" borderId="13" xfId="1" applyNumberFormat="1" applyFont="1" applyFill="1" applyBorder="1"/>
    <xf numFmtId="0" fontId="0" fillId="4" borderId="13" xfId="0" applyFill="1" applyBorder="1"/>
    <xf numFmtId="167" fontId="1" fillId="4" borderId="13" xfId="1" applyNumberForma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1" applyFont="1" applyFill="1" applyBorder="1"/>
    <xf numFmtId="166" fontId="4" fillId="0" borderId="0" xfId="1" applyNumberFormat="1" applyFont="1" applyFill="1" applyBorder="1"/>
    <xf numFmtId="43" fontId="10" fillId="0" borderId="0" xfId="1" applyNumberFormat="1" applyFont="1" applyFill="1" applyBorder="1" applyAlignment="1">
      <alignment horizontal="right"/>
    </xf>
    <xf numFmtId="166" fontId="10" fillId="0" borderId="0" xfId="1" applyNumberFormat="1" applyFont="1" applyFill="1" applyBorder="1"/>
    <xf numFmtId="43" fontId="10" fillId="0" borderId="0" xfId="1" applyNumberFormat="1" applyFont="1" applyFill="1" applyAlignment="1">
      <alignment horizontal="right"/>
    </xf>
    <xf numFmtId="43" fontId="10" fillId="0" borderId="0" xfId="1" applyFont="1" applyFill="1" applyAlignment="1">
      <alignment horizontal="right"/>
    </xf>
    <xf numFmtId="0" fontId="0" fillId="0" borderId="0" xfId="0" applyFill="1" applyBorder="1"/>
    <xf numFmtId="10" fontId="0" fillId="5" borderId="4" xfId="4" applyNumberFormat="1" applyFont="1" applyFill="1" applyBorder="1" applyAlignment="1">
      <alignment vertical="center" wrapText="1"/>
    </xf>
    <xf numFmtId="43" fontId="10" fillId="8" borderId="9" xfId="1" applyFont="1" applyFill="1" applyBorder="1" applyAlignment="1">
      <alignment horizontal="right"/>
    </xf>
    <xf numFmtId="43" fontId="10" fillId="8" borderId="0" xfId="1" applyFont="1" applyFill="1" applyAlignment="1">
      <alignment horizontal="right"/>
    </xf>
    <xf numFmtId="43" fontId="10" fillId="8" borderId="10" xfId="1" applyFont="1" applyFill="1" applyBorder="1" applyAlignment="1">
      <alignment horizontal="right"/>
    </xf>
    <xf numFmtId="0" fontId="4" fillId="0" borderId="0" xfId="0" applyFont="1" applyFill="1" applyBorder="1"/>
    <xf numFmtId="164" fontId="1" fillId="0" borderId="0" xfId="4" applyNumberFormat="1" applyFill="1" applyBorder="1"/>
    <xf numFmtId="165" fontId="0" fillId="0" borderId="0" xfId="0" applyNumberFormat="1" applyFill="1" applyBorder="1"/>
    <xf numFmtId="10" fontId="0" fillId="0" borderId="0" xfId="4" applyNumberFormat="1" applyFont="1" applyFill="1" applyBorder="1"/>
    <xf numFmtId="164" fontId="0" fillId="0" borderId="0" xfId="4" applyNumberFormat="1" applyFont="1" applyFill="1" applyBorder="1"/>
    <xf numFmtId="43" fontId="10" fillId="0" borderId="0" xfId="1" applyFont="1" applyFill="1" applyBorder="1" applyAlignment="1">
      <alignment horizontal="right"/>
    </xf>
    <xf numFmtId="166" fontId="10" fillId="0" borderId="0" xfId="1" applyNumberFormat="1" applyFont="1" applyFill="1" applyBorder="1" applyAlignment="1">
      <alignment horizontal="right"/>
    </xf>
    <xf numFmtId="166" fontId="10" fillId="0" borderId="0" xfId="0" applyNumberFormat="1" applyFont="1" applyFill="1" applyBorder="1"/>
    <xf numFmtId="10" fontId="1" fillId="0" borderId="0" xfId="4" applyNumberFormat="1" applyFill="1" applyBorder="1"/>
    <xf numFmtId="0" fontId="8" fillId="0" borderId="0" xfId="0" applyFont="1" applyFill="1"/>
    <xf numFmtId="10" fontId="1" fillId="4" borderId="0" xfId="3" applyNumberFormat="1" applyFont="1" applyFill="1" applyBorder="1"/>
    <xf numFmtId="0" fontId="12" fillId="4" borderId="2" xfId="0" applyFont="1" applyFill="1" applyBorder="1" applyAlignment="1" applyProtection="1">
      <alignment horizontal="center"/>
    </xf>
    <xf numFmtId="170" fontId="0" fillId="4" borderId="14" xfId="0" applyNumberFormat="1" applyFill="1" applyBorder="1"/>
    <xf numFmtId="170" fontId="0" fillId="4" borderId="0" xfId="0" applyNumberFormat="1" applyFill="1" applyBorder="1"/>
    <xf numFmtId="170" fontId="1" fillId="4" borderId="13" xfId="1" applyNumberFormat="1" applyFill="1" applyBorder="1"/>
    <xf numFmtId="44" fontId="2" fillId="4" borderId="15" xfId="2" applyFont="1" applyFill="1" applyBorder="1" applyAlignment="1">
      <alignment horizontal="right" vertical="center"/>
    </xf>
    <xf numFmtId="0" fontId="2" fillId="4" borderId="15" xfId="0" quotePrefix="1" applyFont="1" applyFill="1" applyBorder="1" applyAlignment="1">
      <alignment horizontal="right" vertical="center"/>
    </xf>
    <xf numFmtId="44" fontId="16" fillId="4" borderId="0" xfId="0" applyNumberFormat="1" applyFont="1" applyFill="1"/>
    <xf numFmtId="0" fontId="28" fillId="4" borderId="0" xfId="0" applyFont="1" applyFill="1"/>
    <xf numFmtId="171" fontId="0" fillId="7" borderId="1" xfId="1" applyNumberFormat="1" applyFont="1" applyFill="1" applyBorder="1"/>
    <xf numFmtId="164" fontId="0" fillId="7" borderId="1" xfId="4" applyNumberFormat="1" applyFont="1" applyFill="1" applyBorder="1"/>
    <xf numFmtId="0" fontId="2" fillId="7" borderId="1" xfId="0" applyFont="1" applyFill="1" applyBorder="1" applyAlignment="1">
      <alignment horizontal="center"/>
    </xf>
    <xf numFmtId="0" fontId="10" fillId="7" borderId="1" xfId="0" quotePrefix="1" applyFont="1" applyFill="1" applyBorder="1" applyAlignment="1">
      <alignment horizontal="right"/>
    </xf>
    <xf numFmtId="165" fontId="0" fillId="7" borderId="1" xfId="0" applyNumberFormat="1" applyFill="1" applyBorder="1"/>
    <xf numFmtId="0" fontId="2" fillId="4" borderId="0" xfId="0" quotePrefix="1" applyFont="1" applyFill="1" applyBorder="1" applyAlignment="1">
      <alignment horizontal="right"/>
    </xf>
    <xf numFmtId="43" fontId="2" fillId="4" borderId="0" xfId="0" applyNumberFormat="1" applyFont="1" applyFill="1" applyBorder="1"/>
    <xf numFmtId="0" fontId="1" fillId="4" borderId="0" xfId="0" applyFont="1" applyFill="1"/>
    <xf numFmtId="0" fontId="29" fillId="4" borderId="0" xfId="0" applyFont="1" applyFill="1"/>
    <xf numFmtId="43" fontId="0" fillId="0" borderId="0" xfId="0" applyNumberFormat="1"/>
    <xf numFmtId="0" fontId="2" fillId="4" borderId="0" xfId="0" applyFont="1" applyFill="1"/>
    <xf numFmtId="0" fontId="16" fillId="4" borderId="0" xfId="0" applyFont="1" applyFill="1"/>
    <xf numFmtId="0" fontId="27" fillId="4" borderId="0" xfId="0" applyFont="1" applyFill="1" applyBorder="1" applyAlignment="1">
      <alignment horizontal="center"/>
    </xf>
    <xf numFmtId="0" fontId="14" fillId="4" borderId="0" xfId="0" applyFont="1" applyFill="1" applyBorder="1" applyAlignment="1">
      <alignment horizontal="center"/>
    </xf>
    <xf numFmtId="0" fontId="16" fillId="4" borderId="0" xfId="0" applyFont="1" applyFill="1" applyBorder="1"/>
    <xf numFmtId="43" fontId="16" fillId="4" borderId="0" xfId="0" applyNumberFormat="1" applyFont="1" applyFill="1" applyAlignment="1">
      <alignment horizontal="right"/>
    </xf>
    <xf numFmtId="43" fontId="16" fillId="4" borderId="0" xfId="0" applyNumberFormat="1" applyFont="1" applyFill="1" applyBorder="1" applyAlignment="1">
      <alignment horizontal="right"/>
    </xf>
    <xf numFmtId="0" fontId="0" fillId="4" borderId="3" xfId="0" applyFill="1" applyBorder="1"/>
    <xf numFmtId="0" fontId="16" fillId="0" borderId="0" xfId="0" applyFont="1"/>
    <xf numFmtId="43" fontId="16" fillId="0" borderId="0" xfId="0" applyNumberFormat="1" applyFont="1" applyAlignment="1">
      <alignment horizontal="right"/>
    </xf>
    <xf numFmtId="0" fontId="16" fillId="4" borderId="0" xfId="0" applyFont="1" applyFill="1" applyAlignment="1">
      <alignment horizontal="right"/>
    </xf>
    <xf numFmtId="0" fontId="16" fillId="0" borderId="0" xfId="0" applyFont="1" applyAlignment="1">
      <alignment horizontal="right"/>
    </xf>
    <xf numFmtId="43" fontId="1" fillId="4" borderId="0" xfId="3" applyNumberFormat="1" applyFont="1" applyFill="1" applyBorder="1"/>
    <xf numFmtId="43" fontId="4" fillId="4" borderId="0" xfId="3" applyNumberFormat="1" applyFont="1" applyFill="1" applyBorder="1"/>
    <xf numFmtId="43" fontId="4" fillId="4" borderId="0" xfId="3" applyNumberFormat="1" applyFont="1" applyFill="1" applyBorder="1" applyAlignment="1">
      <alignment vertical="justify"/>
    </xf>
    <xf numFmtId="43" fontId="10" fillId="4" borderId="0" xfId="0" quotePrefix="1" applyNumberFormat="1" applyFont="1" applyFill="1" applyBorder="1" applyAlignment="1">
      <alignment horizontal="right"/>
    </xf>
    <xf numFmtId="43" fontId="10" fillId="4" borderId="0" xfId="0" applyNumberFormat="1" applyFont="1" applyFill="1" applyAlignment="1">
      <alignment horizontal="right"/>
    </xf>
    <xf numFmtId="43" fontId="2" fillId="4" borderId="0" xfId="0" applyNumberFormat="1" applyFont="1" applyFill="1" applyAlignment="1">
      <alignment horizontal="right"/>
    </xf>
    <xf numFmtId="43" fontId="2" fillId="0" borderId="0" xfId="0" applyNumberFormat="1" applyFont="1" applyFill="1" applyAlignment="1">
      <alignment horizontal="right"/>
    </xf>
    <xf numFmtId="43" fontId="16" fillId="4" borderId="0" xfId="0" applyNumberFormat="1" applyFont="1" applyFill="1" applyAlignment="1">
      <alignment horizontal="left"/>
    </xf>
    <xf numFmtId="0" fontId="2" fillId="7" borderId="1" xfId="0" applyFont="1" applyFill="1" applyBorder="1" applyAlignment="1">
      <alignment horizontal="right"/>
    </xf>
    <xf numFmtId="0" fontId="0" fillId="7" borderId="1" xfId="0" applyFill="1" applyBorder="1" applyAlignment="1">
      <alignment horizontal="right"/>
    </xf>
    <xf numFmtId="0" fontId="4" fillId="4" borderId="0" xfId="0" applyFont="1" applyFill="1" applyBorder="1" applyAlignment="1">
      <alignment horizontal="right"/>
    </xf>
    <xf numFmtId="0" fontId="4" fillId="4" borderId="0" xfId="0" applyFont="1" applyFill="1" applyAlignment="1">
      <alignment horizontal="right"/>
    </xf>
    <xf numFmtId="43" fontId="16" fillId="0" borderId="0" xfId="0" applyNumberFormat="1" applyFont="1"/>
    <xf numFmtId="164" fontId="9" fillId="4" borderId="0" xfId="4" applyNumberFormat="1" applyFont="1" applyFill="1" applyBorder="1"/>
    <xf numFmtId="167" fontId="9" fillId="4" borderId="13" xfId="1" applyNumberFormat="1" applyFont="1" applyFill="1" applyBorder="1"/>
    <xf numFmtId="43" fontId="11" fillId="4" borderId="0" xfId="0" applyNumberFormat="1" applyFont="1" applyFill="1" applyBorder="1" applyAlignment="1">
      <alignment horizontal="right"/>
    </xf>
    <xf numFmtId="0" fontId="2" fillId="4" borderId="0" xfId="0" applyFont="1" applyFill="1" applyAlignment="1">
      <alignment horizontal="center"/>
    </xf>
    <xf numFmtId="43" fontId="2" fillId="4" borderId="0" xfId="0" applyNumberFormat="1" applyFont="1" applyFill="1" applyAlignment="1">
      <alignment horizontal="center"/>
    </xf>
    <xf numFmtId="0" fontId="2" fillId="0" borderId="0" xfId="0" applyFont="1" applyAlignment="1">
      <alignment horizontal="center"/>
    </xf>
    <xf numFmtId="43" fontId="4" fillId="4" borderId="0" xfId="0" applyNumberFormat="1" applyFont="1" applyFill="1" applyBorder="1" applyAlignment="1">
      <alignment horizontal="right"/>
    </xf>
    <xf numFmtId="43" fontId="4" fillId="9" borderId="0" xfId="0" applyNumberFormat="1" applyFont="1" applyFill="1" applyBorder="1"/>
    <xf numFmtId="0" fontId="2" fillId="4" borderId="3" xfId="0" applyFont="1" applyFill="1" applyBorder="1" applyAlignment="1">
      <alignment horizontal="center" wrapText="1"/>
    </xf>
    <xf numFmtId="43" fontId="2" fillId="4" borderId="3" xfId="0" applyNumberFormat="1" applyFont="1" applyFill="1" applyBorder="1" applyAlignment="1">
      <alignment horizontal="center" wrapText="1"/>
    </xf>
    <xf numFmtId="43" fontId="4" fillId="4" borderId="4" xfId="0" applyNumberFormat="1" applyFont="1" applyFill="1" applyBorder="1" applyAlignment="1">
      <alignment horizontal="right"/>
    </xf>
    <xf numFmtId="43" fontId="4" fillId="9" borderId="4" xfId="0" applyNumberFormat="1" applyFont="1" applyFill="1" applyBorder="1"/>
    <xf numFmtId="0" fontId="0" fillId="9" borderId="4" xfId="0" applyFill="1" applyBorder="1"/>
    <xf numFmtId="0" fontId="31" fillId="4" borderId="0" xfId="0" applyFont="1" applyFill="1"/>
    <xf numFmtId="0" fontId="4" fillId="4" borderId="7" xfId="0" applyFont="1" applyFill="1" applyBorder="1" applyAlignment="1">
      <alignment horizontal="right"/>
    </xf>
    <xf numFmtId="0" fontId="31" fillId="4" borderId="0" xfId="0" applyFont="1" applyFill="1" applyBorder="1"/>
    <xf numFmtId="0" fontId="7" fillId="4" borderId="0" xfId="0" applyFont="1" applyFill="1"/>
    <xf numFmtId="43" fontId="10" fillId="4" borderId="0" xfId="1" applyNumberFormat="1" applyFont="1" applyFill="1" applyBorder="1"/>
    <xf numFmtId="0" fontId="27" fillId="4" borderId="16" xfId="0" applyFont="1" applyFill="1" applyBorder="1" applyAlignment="1"/>
    <xf numFmtId="0" fontId="27" fillId="4" borderId="17" xfId="0" applyFont="1" applyFill="1" applyBorder="1" applyAlignment="1"/>
    <xf numFmtId="167" fontId="4" fillId="4" borderId="2" xfId="1" applyNumberFormat="1" applyFont="1" applyFill="1" applyBorder="1"/>
    <xf numFmtId="0" fontId="32" fillId="4" borderId="0" xfId="0" applyFont="1" applyFill="1"/>
    <xf numFmtId="43" fontId="4" fillId="5" borderId="18" xfId="1" applyNumberFormat="1" applyFont="1" applyFill="1" applyBorder="1" applyAlignment="1">
      <alignment horizontal="right" vertical="center"/>
    </xf>
    <xf numFmtId="43" fontId="4" fillId="4" borderId="19" xfId="0" applyNumberFormat="1" applyFont="1" applyFill="1" applyBorder="1" applyAlignment="1">
      <alignment vertical="center"/>
    </xf>
    <xf numFmtId="43" fontId="4" fillId="4" borderId="18" xfId="1" applyNumberFormat="1" applyFont="1" applyFill="1" applyBorder="1" applyAlignment="1">
      <alignment horizontal="right" vertical="center"/>
    </xf>
    <xf numFmtId="43" fontId="4" fillId="0" borderId="19" xfId="0" applyNumberFormat="1" applyFont="1" applyFill="1" applyBorder="1" applyAlignment="1">
      <alignment vertical="center"/>
    </xf>
    <xf numFmtId="43" fontId="4" fillId="4" borderId="0" xfId="0" applyNumberFormat="1" applyFont="1" applyFill="1" applyBorder="1" applyAlignment="1">
      <alignment horizontal="left"/>
    </xf>
    <xf numFmtId="43" fontId="4" fillId="4" borderId="4" xfId="0" applyNumberFormat="1" applyFont="1" applyFill="1" applyBorder="1" applyAlignment="1">
      <alignment horizontal="left"/>
    </xf>
    <xf numFmtId="43" fontId="4" fillId="4" borderId="0" xfId="1" applyFont="1" applyFill="1" applyBorder="1" applyAlignment="1">
      <alignment horizontal="center" vertical="center"/>
    </xf>
    <xf numFmtId="43" fontId="1" fillId="4" borderId="13" xfId="1" applyNumberFormat="1" applyFill="1" applyBorder="1"/>
    <xf numFmtId="43" fontId="0" fillId="4" borderId="13" xfId="1" applyNumberFormat="1" applyFont="1" applyFill="1" applyBorder="1"/>
    <xf numFmtId="43" fontId="0" fillId="4" borderId="0" xfId="1" applyNumberFormat="1" applyFont="1" applyFill="1"/>
    <xf numFmtId="43" fontId="9" fillId="4" borderId="13" xfId="1" applyNumberFormat="1" applyFont="1" applyFill="1" applyBorder="1"/>
    <xf numFmtId="43" fontId="9" fillId="4" borderId="0" xfId="1" applyNumberFormat="1" applyFont="1" applyFill="1"/>
    <xf numFmtId="43" fontId="4" fillId="4" borderId="0" xfId="0" applyNumberFormat="1" applyFont="1" applyFill="1" applyBorder="1"/>
    <xf numFmtId="43" fontId="0" fillId="4" borderId="0" xfId="1" applyNumberFormat="1" applyFont="1" applyFill="1" applyBorder="1"/>
    <xf numFmtId="43" fontId="4" fillId="4" borderId="0" xfId="1" applyNumberFormat="1" applyFont="1" applyFill="1"/>
    <xf numFmtId="168" fontId="16" fillId="4" borderId="0" xfId="0" applyNumberFormat="1" applyFont="1" applyFill="1" applyAlignment="1">
      <alignment horizontal="right"/>
    </xf>
    <xf numFmtId="43" fontId="4" fillId="4" borderId="0" xfId="0" applyNumberFormat="1" applyFont="1" applyFill="1" applyAlignment="1">
      <alignment horizontal="right"/>
    </xf>
    <xf numFmtId="43" fontId="4" fillId="4" borderId="4" xfId="0" applyNumberFormat="1" applyFont="1" applyFill="1" applyBorder="1"/>
    <xf numFmtId="43" fontId="10" fillId="4" borderId="0" xfId="0" applyNumberFormat="1" applyFont="1" applyFill="1" applyBorder="1" applyAlignment="1">
      <alignment horizontal="right"/>
    </xf>
    <xf numFmtId="0" fontId="8" fillId="4" borderId="2" xfId="0" applyFont="1" applyFill="1" applyBorder="1"/>
    <xf numFmtId="0" fontId="0" fillId="0" borderId="2" xfId="0" applyBorder="1"/>
    <xf numFmtId="17" fontId="8" fillId="4" borderId="0" xfId="0" quotePrefix="1" applyNumberFormat="1" applyFont="1" applyFill="1"/>
    <xf numFmtId="0" fontId="33" fillId="0" borderId="0" xfId="0" applyFont="1"/>
    <xf numFmtId="166" fontId="16" fillId="4" borderId="0" xfId="0" applyNumberFormat="1" applyFont="1" applyFill="1" applyAlignment="1">
      <alignment horizontal="right"/>
    </xf>
    <xf numFmtId="10" fontId="1" fillId="5" borderId="20" xfId="1" applyNumberFormat="1" applyFill="1" applyBorder="1"/>
    <xf numFmtId="10" fontId="1" fillId="10" borderId="0" xfId="4" applyNumberFormat="1" applyFill="1" applyBorder="1"/>
    <xf numFmtId="10" fontId="36" fillId="11" borderId="7" xfId="4" applyNumberFormat="1" applyFont="1" applyFill="1" applyBorder="1"/>
    <xf numFmtId="0" fontId="11" fillId="4" borderId="0" xfId="0" applyFont="1" applyFill="1" applyBorder="1" applyAlignment="1">
      <alignment horizontal="right"/>
    </xf>
    <xf numFmtId="43" fontId="1" fillId="11" borderId="0" xfId="1" applyNumberFormat="1" applyFill="1"/>
    <xf numFmtId="43" fontId="16" fillId="11" borderId="0" xfId="0" applyNumberFormat="1" applyFont="1" applyFill="1"/>
    <xf numFmtId="0" fontId="4" fillId="11" borderId="0" xfId="0" applyFont="1" applyFill="1"/>
    <xf numFmtId="0" fontId="10" fillId="11" borderId="0" xfId="0" quotePrefix="1" applyFont="1" applyFill="1" applyBorder="1" applyAlignment="1">
      <alignment horizontal="right"/>
    </xf>
    <xf numFmtId="0" fontId="0" fillId="11" borderId="0" xfId="0" applyFill="1"/>
    <xf numFmtId="167" fontId="36" fillId="11" borderId="0" xfId="1" applyNumberFormat="1" applyFont="1" applyFill="1"/>
    <xf numFmtId="43" fontId="4" fillId="11" borderId="13" xfId="1" applyNumberFormat="1" applyFont="1" applyFill="1" applyBorder="1"/>
    <xf numFmtId="43" fontId="4" fillId="11" borderId="0" xfId="0" applyNumberFormat="1" applyFont="1" applyFill="1"/>
    <xf numFmtId="43" fontId="10" fillId="11" borderId="2" xfId="1" applyNumberFormat="1" applyFont="1" applyFill="1" applyBorder="1" applyAlignment="1">
      <alignment horizontal="right"/>
    </xf>
    <xf numFmtId="43" fontId="36" fillId="11" borderId="13" xfId="1" applyNumberFormat="1" applyFont="1" applyFill="1" applyBorder="1"/>
    <xf numFmtId="43" fontId="36" fillId="11" borderId="0" xfId="1" applyNumberFormat="1" applyFont="1" applyFill="1"/>
    <xf numFmtId="43" fontId="4" fillId="11" borderId="0" xfId="0" applyNumberFormat="1" applyFont="1" applyFill="1" applyBorder="1"/>
    <xf numFmtId="43" fontId="0" fillId="11" borderId="0" xfId="0" applyNumberFormat="1" applyFill="1"/>
    <xf numFmtId="168" fontId="16" fillId="4" borderId="0" xfId="0" applyNumberFormat="1" applyFont="1" applyFill="1"/>
    <xf numFmtId="43" fontId="0" fillId="10" borderId="0" xfId="0" applyNumberFormat="1" applyFill="1"/>
    <xf numFmtId="43" fontId="16" fillId="10" borderId="0" xfId="0" applyNumberFormat="1" applyFont="1" applyFill="1"/>
    <xf numFmtId="0" fontId="1" fillId="11" borderId="0" xfId="0" applyFont="1" applyFill="1"/>
    <xf numFmtId="0" fontId="1" fillId="4" borderId="0" xfId="0" applyFont="1" applyFill="1" applyAlignment="1">
      <alignment horizontal="left"/>
    </xf>
    <xf numFmtId="43" fontId="4" fillId="10" borderId="13" xfId="0" applyNumberFormat="1" applyFont="1" applyFill="1" applyBorder="1"/>
    <xf numFmtId="43" fontId="10" fillId="10" borderId="0" xfId="0" quotePrefix="1" applyNumberFormat="1" applyFont="1" applyFill="1" applyBorder="1" applyAlignment="1">
      <alignment horizontal="right"/>
    </xf>
    <xf numFmtId="43" fontId="1" fillId="4" borderId="0" xfId="1" applyFill="1"/>
    <xf numFmtId="43" fontId="1" fillId="4" borderId="0" xfId="0" applyNumberFormat="1" applyFont="1" applyFill="1"/>
    <xf numFmtId="43" fontId="1" fillId="4" borderId="0" xfId="1" applyFont="1" applyFill="1"/>
    <xf numFmtId="171" fontId="10" fillId="4" borderId="0" xfId="1" applyNumberFormat="1" applyFont="1" applyFill="1" applyAlignment="1">
      <alignment horizontal="right"/>
    </xf>
    <xf numFmtId="10" fontId="1" fillId="10" borderId="13" xfId="4" applyNumberFormat="1" applyFill="1" applyBorder="1"/>
    <xf numFmtId="165" fontId="0" fillId="5" borderId="25" xfId="0" applyNumberFormat="1" applyFill="1" applyBorder="1" applyAlignment="1">
      <alignment horizontal="center" wrapText="1"/>
    </xf>
    <xf numFmtId="0" fontId="0" fillId="10" borderId="0" xfId="0" applyFill="1"/>
    <xf numFmtId="0" fontId="1" fillId="4" borderId="0" xfId="5" applyFont="1" applyFill="1"/>
    <xf numFmtId="0" fontId="37" fillId="0" borderId="0" xfId="5" applyFont="1" applyFill="1" applyBorder="1" applyAlignment="1">
      <alignment vertical="center"/>
    </xf>
    <xf numFmtId="0" fontId="8" fillId="4" borderId="0" xfId="5" applyFont="1" applyFill="1"/>
    <xf numFmtId="0" fontId="38" fillId="4" borderId="0" xfId="5" applyFont="1" applyFill="1"/>
    <xf numFmtId="0" fontId="1" fillId="10" borderId="0" xfId="0" applyFont="1" applyFill="1"/>
    <xf numFmtId="0" fontId="7" fillId="4" borderId="0" xfId="0" applyFont="1" applyFill="1" applyBorder="1" applyAlignment="1">
      <alignment horizontal="left" vertical="center"/>
    </xf>
    <xf numFmtId="43" fontId="9" fillId="11" borderId="0" xfId="1" applyNumberFormat="1" applyFont="1" applyFill="1"/>
    <xf numFmtId="166" fontId="4" fillId="4" borderId="0" xfId="0" applyNumberFormat="1" applyFont="1" applyFill="1"/>
    <xf numFmtId="166" fontId="16" fillId="4" borderId="0" xfId="0" applyNumberFormat="1" applyFont="1" applyFill="1"/>
    <xf numFmtId="2" fontId="1" fillId="5" borderId="4" xfId="0" applyNumberFormat="1" applyFont="1" applyFill="1" applyBorder="1" applyAlignment="1">
      <alignment horizontal="right" vertical="center" wrapText="1"/>
    </xf>
    <xf numFmtId="43" fontId="1" fillId="5" borderId="0" xfId="1" applyFont="1" applyFill="1" applyBorder="1" applyAlignment="1">
      <alignment horizontal="center" vertical="center"/>
    </xf>
    <xf numFmtId="43" fontId="1" fillId="4" borderId="0" xfId="1" applyFont="1" applyFill="1" applyBorder="1" applyAlignment="1">
      <alignment horizontal="center" vertical="center"/>
    </xf>
    <xf numFmtId="165" fontId="1" fillId="5" borderId="4" xfId="0" applyNumberFormat="1" applyFont="1" applyFill="1" applyBorder="1" applyAlignment="1">
      <alignment horizontal="center" vertical="center" wrapText="1"/>
    </xf>
    <xf numFmtId="43" fontId="1" fillId="11" borderId="25" xfId="1" applyFont="1" applyFill="1" applyBorder="1" applyAlignment="1">
      <alignment horizontal="center" vertical="center" wrapText="1"/>
    </xf>
    <xf numFmtId="43" fontId="1" fillId="5" borderId="4" xfId="1" applyNumberFormat="1" applyFont="1" applyFill="1" applyBorder="1" applyAlignment="1">
      <alignment horizontal="right" vertical="center"/>
    </xf>
    <xf numFmtId="43" fontId="1" fillId="5" borderId="4" xfId="1" applyFont="1" applyFill="1" applyBorder="1" applyAlignment="1">
      <alignment horizontal="center" vertical="center"/>
    </xf>
    <xf numFmtId="165" fontId="1" fillId="5" borderId="0" xfId="0" applyNumberFormat="1" applyFont="1" applyFill="1" applyBorder="1" applyAlignment="1">
      <alignment horizontal="center" vertical="center" wrapText="1"/>
    </xf>
    <xf numFmtId="43" fontId="1" fillId="11" borderId="0" xfId="1" applyFont="1" applyFill="1" applyBorder="1" applyAlignment="1">
      <alignment horizontal="center" vertical="center" wrapText="1"/>
    </xf>
    <xf numFmtId="43" fontId="1" fillId="5" borderId="0" xfId="1" applyNumberFormat="1" applyFont="1" applyFill="1" applyBorder="1" applyAlignment="1">
      <alignment horizontal="right" vertical="center"/>
    </xf>
    <xf numFmtId="43" fontId="1" fillId="11" borderId="0" xfId="1" applyFont="1" applyFill="1" applyBorder="1" applyAlignment="1">
      <alignment horizontal="right" vertical="center"/>
    </xf>
    <xf numFmtId="43" fontId="1" fillId="11" borderId="0" xfId="1" applyNumberFormat="1" applyFont="1" applyFill="1" applyBorder="1" applyAlignment="1">
      <alignment horizontal="right" vertical="center"/>
    </xf>
    <xf numFmtId="168" fontId="1" fillId="4" borderId="0" xfId="1" applyNumberFormat="1" applyFont="1" applyFill="1" applyBorder="1" applyAlignment="1">
      <alignment horizontal="center" vertical="center"/>
    </xf>
    <xf numFmtId="0" fontId="1" fillId="4" borderId="0" xfId="0" applyFont="1" applyFill="1" applyBorder="1" applyAlignment="1">
      <alignment horizontal="center" vertical="center"/>
    </xf>
    <xf numFmtId="43" fontId="1" fillId="5" borderId="12" xfId="1" applyNumberFormat="1" applyFont="1" applyFill="1" applyBorder="1" applyAlignment="1">
      <alignment horizontal="right" vertical="center"/>
    </xf>
    <xf numFmtId="43" fontId="1" fillId="5" borderId="21" xfId="1" applyNumberFormat="1" applyFont="1" applyFill="1" applyBorder="1" applyAlignment="1">
      <alignment horizontal="right" vertical="center"/>
    </xf>
    <xf numFmtId="43" fontId="1" fillId="10" borderId="0" xfId="1" applyFont="1" applyFill="1" applyBorder="1" applyAlignment="1">
      <alignment horizontal="center" vertical="center"/>
    </xf>
    <xf numFmtId="43" fontId="16" fillId="10" borderId="0" xfId="1" applyNumberFormat="1" applyFont="1" applyFill="1" applyBorder="1"/>
    <xf numFmtId="0" fontId="0" fillId="5" borderId="21" xfId="0" applyFill="1" applyBorder="1" applyAlignment="1">
      <alignment horizontal="left"/>
    </xf>
    <xf numFmtId="0" fontId="0" fillId="5" borderId="0" xfId="0" applyFill="1" applyBorder="1" applyAlignment="1">
      <alignment horizontal="left"/>
    </xf>
    <xf numFmtId="0" fontId="3" fillId="7" borderId="1" xfId="0" applyFont="1" applyFill="1" applyBorder="1" applyAlignment="1">
      <alignment horizontal="left" vertical="center"/>
    </xf>
    <xf numFmtId="0" fontId="2" fillId="7" borderId="1" xfId="0" applyFont="1" applyFill="1" applyBorder="1" applyAlignment="1">
      <alignment horizontal="left" vertical="center"/>
    </xf>
    <xf numFmtId="0" fontId="4" fillId="5" borderId="7" xfId="0" applyFont="1" applyFill="1" applyBorder="1" applyAlignment="1">
      <alignment horizontal="left" vertical="center"/>
    </xf>
    <xf numFmtId="0" fontId="4" fillId="5" borderId="4" xfId="0" applyFont="1" applyFill="1" applyBorder="1" applyAlignment="1">
      <alignment horizontal="left" vertical="center"/>
    </xf>
    <xf numFmtId="0" fontId="2" fillId="4" borderId="15" xfId="0" applyFont="1" applyFill="1" applyBorder="1" applyAlignment="1">
      <alignment horizontal="center" wrapText="1"/>
    </xf>
    <xf numFmtId="0" fontId="27" fillId="4" borderId="22" xfId="0" applyFont="1" applyFill="1" applyBorder="1" applyAlignment="1">
      <alignment horizontal="center" vertical="center" textRotation="255"/>
    </xf>
    <xf numFmtId="0" fontId="27" fillId="4" borderId="23" xfId="0" applyFont="1" applyFill="1" applyBorder="1" applyAlignment="1">
      <alignment horizontal="center" vertical="center" textRotation="255"/>
    </xf>
    <xf numFmtId="0" fontId="27" fillId="4" borderId="16" xfId="0" applyFont="1" applyFill="1" applyBorder="1" applyAlignment="1">
      <alignment horizontal="center"/>
    </xf>
    <xf numFmtId="0" fontId="27" fillId="4" borderId="17" xfId="0" applyFont="1" applyFill="1" applyBorder="1" applyAlignment="1">
      <alignment horizontal="center"/>
    </xf>
    <xf numFmtId="0" fontId="27" fillId="4" borderId="24"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30" fillId="4" borderId="16" xfId="0" applyFont="1" applyFill="1" applyBorder="1" applyAlignment="1">
      <alignment horizontal="center"/>
    </xf>
    <xf numFmtId="0" fontId="30" fillId="4" borderId="17" xfId="0" applyFont="1" applyFill="1" applyBorder="1" applyAlignment="1">
      <alignment horizontal="center"/>
    </xf>
    <xf numFmtId="43" fontId="4" fillId="4" borderId="21" xfId="0" applyNumberFormat="1" applyFont="1" applyFill="1" applyBorder="1" applyAlignment="1">
      <alignment horizontal="left"/>
    </xf>
    <xf numFmtId="43" fontId="4" fillId="4" borderId="0" xfId="0" applyNumberFormat="1" applyFont="1" applyFill="1" applyBorder="1" applyAlignment="1">
      <alignment horizontal="left"/>
    </xf>
    <xf numFmtId="43" fontId="0" fillId="4" borderId="0" xfId="0" applyNumberFormat="1" applyFill="1" applyAlignment="1">
      <alignment horizontal="left"/>
    </xf>
    <xf numFmtId="43" fontId="0" fillId="4" borderId="0" xfId="0" applyNumberFormat="1" applyFill="1" applyBorder="1" applyAlignment="1">
      <alignment horizontal="left"/>
    </xf>
    <xf numFmtId="0" fontId="2" fillId="4" borderId="3" xfId="0" applyFont="1" applyFill="1" applyBorder="1" applyAlignment="1">
      <alignment horizontal="center"/>
    </xf>
    <xf numFmtId="43" fontId="4" fillId="4" borderId="7" xfId="0" applyNumberFormat="1" applyFont="1" applyFill="1" applyBorder="1" applyAlignment="1">
      <alignment horizontal="left"/>
    </xf>
    <xf numFmtId="43" fontId="4" fillId="4" borderId="4" xfId="0" applyNumberFormat="1" applyFont="1" applyFill="1" applyBorder="1" applyAlignment="1">
      <alignment horizontal="left"/>
    </xf>
  </cellXfs>
  <cellStyles count="6">
    <cellStyle name="Comma" xfId="1" builtinId="3"/>
    <cellStyle name="Currency" xfId="2" builtinId="4"/>
    <cellStyle name="Normal" xfId="0" builtinId="0"/>
    <cellStyle name="Normal 2" xfId="5"/>
    <cellStyle name="Normal_2005 03 27 RAB model"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117475</xdr:rowOff>
    </xdr:from>
    <xdr:to>
      <xdr:col>1</xdr:col>
      <xdr:colOff>276225</xdr:colOff>
      <xdr:row>33</xdr:row>
      <xdr:rowOff>136525</xdr:rowOff>
    </xdr:to>
    <xdr:grpSp>
      <xdr:nvGrpSpPr>
        <xdr:cNvPr id="135246" name="Group 14"/>
        <xdr:cNvGrpSpPr>
          <a:grpSpLocks/>
        </xdr:cNvGrpSpPr>
      </xdr:nvGrpSpPr>
      <xdr:grpSpPr bwMode="auto">
        <a:xfrm>
          <a:off x="28575" y="3724275"/>
          <a:ext cx="400050" cy="4705350"/>
          <a:chOff x="3" y="395"/>
          <a:chExt cx="42" cy="497"/>
        </a:xfrm>
      </xdr:grpSpPr>
      <xdr:sp macro="" textlink="">
        <xdr:nvSpPr>
          <xdr:cNvPr id="135255"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xmlns="">
                <a:noFill/>
              </a14:hiddenFill>
            </a:ext>
          </a:extLst>
        </xdr:spPr>
      </xdr:sp>
      <xdr:sp macro="" textlink="">
        <xdr:nvSpPr>
          <xdr:cNvPr id="135256"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5" y="565"/>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8"/>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524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9525</xdr:colOff>
      <xdr:row>0</xdr:row>
      <xdr:rowOff>104775</xdr:rowOff>
    </xdr:from>
    <xdr:to>
      <xdr:col>5</xdr:col>
      <xdr:colOff>447675</xdr:colOff>
      <xdr:row>1</xdr:row>
      <xdr:rowOff>295275</xdr:rowOff>
    </xdr:to>
    <xdr:pic>
      <xdr:nvPicPr>
        <xdr:cNvPr id="135248"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525" y="104775"/>
          <a:ext cx="3467100" cy="752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85725</xdr:colOff>
      <xdr:row>7</xdr:row>
      <xdr:rowOff>142875</xdr:rowOff>
    </xdr:from>
    <xdr:to>
      <xdr:col>3</xdr:col>
      <xdr:colOff>266700</xdr:colOff>
      <xdr:row>8</xdr:row>
      <xdr:rowOff>152400</xdr:rowOff>
    </xdr:to>
    <xdr:grpSp>
      <xdr:nvGrpSpPr>
        <xdr:cNvPr id="135249" name="Group 67"/>
        <xdr:cNvGrpSpPr>
          <a:grpSpLocks/>
        </xdr:cNvGrpSpPr>
      </xdr:nvGrpSpPr>
      <xdr:grpSpPr bwMode="auto">
        <a:xfrm>
          <a:off x="85725" y="3203575"/>
          <a:ext cx="1997075" cy="352425"/>
          <a:chOff x="2" y="144"/>
          <a:chExt cx="209" cy="37"/>
        </a:xfrm>
      </xdr:grpSpPr>
      <xdr:grpSp>
        <xdr:nvGrpSpPr>
          <xdr:cNvPr id="135250" name="Group 68"/>
          <xdr:cNvGrpSpPr>
            <a:grpSpLocks/>
          </xdr:cNvGrpSpPr>
        </xdr:nvGrpSpPr>
        <xdr:grpSpPr bwMode="auto">
          <a:xfrm>
            <a:off x="2" y="152"/>
            <a:ext cx="200" cy="29"/>
            <a:chOff x="2" y="159"/>
            <a:chExt cx="200" cy="27"/>
          </a:xfrm>
        </xdr:grpSpPr>
        <xdr:sp macro="" textlink="">
          <xdr:nvSpPr>
            <xdr:cNvPr id="135253"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135254"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xmlns="">
                  <a:noFill/>
                </a14:hiddenFill>
              </a:ext>
            </a:extLst>
          </xdr:spPr>
        </xdr:sp>
      </xdr:grpSp>
      <xdr:sp macro="" textlink="">
        <xdr:nvSpPr>
          <xdr:cNvPr id="135251"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xmlns="" w="9525" algn="ctr">
                <a:solidFill>
                  <a:srgbClr val="000000"/>
                </a:solidFill>
                <a:miter lim="800000"/>
                <a:headEnd/>
                <a:tailEnd/>
              </a14:hiddenLine>
            </a:ext>
          </a:extLst>
        </xdr:spPr>
      </xdr:sp>
      <xdr:sp macro="" textlink="">
        <xdr:nvSpPr>
          <xdr:cNvPr id="135252"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xmlns=""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W47"/>
  <sheetViews>
    <sheetView showGridLines="0" showRowColHeaders="0" tabSelected="1" zoomScale="75" zoomScaleNormal="75" workbookViewId="0">
      <selection activeCell="G2" sqref="G2"/>
    </sheetView>
  </sheetViews>
  <sheetFormatPr defaultRowHeight="12.75"/>
  <cols>
    <col min="1" max="1" width="2.28515625" customWidth="1"/>
    <col min="2" max="2" width="15.7109375" customWidth="1"/>
  </cols>
  <sheetData>
    <row r="1" spans="1:23" ht="44.25" customHeight="1">
      <c r="A1" s="9"/>
      <c r="B1" s="9"/>
      <c r="D1" s="44"/>
      <c r="E1" s="129"/>
      <c r="G1" s="185" t="str">
        <f>'SP AusNet record of changes'!B2</f>
        <v>SP AusNet  - RFM - data as at 28-February-2013</v>
      </c>
      <c r="H1" s="9"/>
      <c r="I1" s="9"/>
      <c r="J1" s="9"/>
      <c r="K1" s="9"/>
      <c r="L1" s="244"/>
      <c r="M1" s="9"/>
      <c r="N1" s="9"/>
      <c r="O1" s="9"/>
      <c r="P1" s="9"/>
      <c r="Q1" s="9"/>
      <c r="R1" s="9"/>
      <c r="S1" s="9"/>
      <c r="T1" s="9"/>
      <c r="U1" s="9"/>
      <c r="V1" s="9"/>
      <c r="W1" s="9"/>
    </row>
    <row r="2" spans="1:23" ht="44.25" customHeight="1">
      <c r="A2" s="9"/>
      <c r="B2" s="9"/>
      <c r="D2" s="44"/>
      <c r="F2" s="44"/>
      <c r="G2" s="186" t="s">
        <v>64</v>
      </c>
      <c r="J2" s="9"/>
      <c r="K2" s="9"/>
      <c r="L2" s="9"/>
      <c r="M2" s="9"/>
      <c r="N2" s="9"/>
      <c r="O2" s="9"/>
      <c r="P2" s="9"/>
      <c r="Q2" s="9"/>
      <c r="R2" s="9"/>
      <c r="S2" s="9"/>
      <c r="T2" s="9"/>
      <c r="U2" s="9"/>
      <c r="V2" s="9"/>
      <c r="W2" s="9"/>
    </row>
    <row r="3" spans="1:23" ht="54.95" customHeight="1">
      <c r="A3" s="9"/>
      <c r="B3" s="9"/>
      <c r="D3" s="44"/>
      <c r="F3" s="130"/>
      <c r="I3" s="187" t="s">
        <v>63</v>
      </c>
      <c r="J3" s="9"/>
      <c r="K3" s="9"/>
      <c r="L3" s="9"/>
      <c r="M3" s="9"/>
      <c r="N3" s="9"/>
      <c r="O3" s="9"/>
      <c r="P3" s="9"/>
      <c r="Q3" s="9"/>
      <c r="R3" s="9"/>
      <c r="S3" s="9"/>
      <c r="T3" s="9"/>
      <c r="U3" s="9"/>
      <c r="V3" s="9"/>
      <c r="W3" s="9"/>
    </row>
    <row r="4" spans="1:23" ht="36" customHeight="1">
      <c r="A4" s="9"/>
      <c r="B4" s="9"/>
      <c r="D4" s="44"/>
      <c r="F4" s="130"/>
      <c r="G4" s="187"/>
      <c r="J4" s="9"/>
      <c r="L4" s="189" t="s">
        <v>108</v>
      </c>
      <c r="M4" s="9"/>
      <c r="N4" s="188"/>
      <c r="O4" s="9"/>
      <c r="Q4" s="9"/>
      <c r="R4" s="9"/>
      <c r="S4" s="9"/>
      <c r="T4" s="9"/>
      <c r="U4" s="9"/>
      <c r="V4" s="9"/>
      <c r="W4" s="9"/>
    </row>
    <row r="5" spans="1:23" ht="36" customHeight="1">
      <c r="A5" s="9"/>
      <c r="B5" s="9"/>
      <c r="D5" s="44"/>
      <c r="F5" s="130"/>
      <c r="G5" s="187"/>
      <c r="J5" s="9"/>
      <c r="L5" s="189" t="s">
        <v>128</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1"/>
      <c r="B7" s="131"/>
      <c r="C7" s="131"/>
      <c r="D7" s="131"/>
      <c r="E7" s="131"/>
      <c r="F7" s="131"/>
      <c r="G7" s="131"/>
      <c r="H7" s="131"/>
      <c r="I7" s="131"/>
      <c r="J7" s="131"/>
      <c r="K7" s="131"/>
      <c r="L7" s="131"/>
      <c r="M7" s="131"/>
      <c r="N7" s="131"/>
      <c r="O7" s="131"/>
      <c r="P7" s="131"/>
      <c r="Q7" s="131"/>
      <c r="R7" s="131"/>
      <c r="S7" s="131"/>
      <c r="T7" s="131"/>
      <c r="U7" s="131"/>
      <c r="V7" s="131"/>
      <c r="W7" s="131"/>
    </row>
    <row r="8" spans="1:23" ht="27">
      <c r="A8" s="119"/>
      <c r="B8" s="132" t="s">
        <v>28</v>
      </c>
      <c r="C8" s="119"/>
      <c r="D8" s="119"/>
      <c r="E8" s="119"/>
      <c r="F8" s="119"/>
      <c r="G8" s="119"/>
      <c r="H8" s="168"/>
      <c r="I8" s="119"/>
      <c r="J8" s="190" t="s">
        <v>73</v>
      </c>
      <c r="K8" s="168"/>
      <c r="L8" s="119"/>
      <c r="M8" s="119"/>
      <c r="N8" s="168"/>
      <c r="O8" s="168"/>
      <c r="P8" s="119"/>
      <c r="Q8" s="119"/>
      <c r="R8" s="119"/>
      <c r="S8" s="119"/>
      <c r="T8" s="119"/>
      <c r="U8" s="119"/>
      <c r="V8" s="119"/>
      <c r="W8" s="119"/>
    </row>
    <row r="9" spans="1:23" ht="15.75">
      <c r="A9" s="119"/>
      <c r="B9" s="119"/>
      <c r="C9" s="119"/>
      <c r="D9" s="119"/>
      <c r="E9" s="119"/>
      <c r="F9" s="119"/>
      <c r="G9" s="119"/>
      <c r="H9" s="168"/>
      <c r="I9" s="119"/>
      <c r="J9" s="169"/>
      <c r="K9" s="168"/>
      <c r="L9" s="119"/>
      <c r="M9" s="119"/>
      <c r="N9" s="119"/>
      <c r="O9" s="119"/>
      <c r="P9" s="119"/>
      <c r="Q9" s="119"/>
      <c r="R9" s="119"/>
      <c r="S9" s="119"/>
      <c r="T9" s="119"/>
      <c r="U9" s="119"/>
      <c r="V9" s="119"/>
      <c r="W9" s="119"/>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134"/>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1"/>
      <c r="D13" s="41"/>
      <c r="E13" s="41"/>
      <c r="F13" s="41"/>
      <c r="G13" s="41"/>
      <c r="H13" s="41"/>
      <c r="I13" s="41"/>
      <c r="J13" s="41"/>
      <c r="K13" s="41"/>
      <c r="L13" s="41"/>
      <c r="M13" s="9"/>
      <c r="N13" s="9"/>
      <c r="O13" s="9"/>
      <c r="P13" s="9"/>
      <c r="Q13" s="9"/>
      <c r="R13" s="9"/>
      <c r="S13" s="9"/>
      <c r="T13" s="9"/>
      <c r="U13" s="9"/>
      <c r="V13" s="9"/>
      <c r="W13" s="9"/>
    </row>
    <row r="14" spans="1:23" ht="15">
      <c r="A14" s="9"/>
      <c r="B14" s="9"/>
      <c r="C14" s="164" t="s">
        <v>44</v>
      </c>
      <c r="D14" s="41"/>
      <c r="E14" s="41"/>
      <c r="F14" s="41"/>
      <c r="G14" s="41"/>
      <c r="H14" s="41"/>
      <c r="I14" s="41"/>
      <c r="J14" s="41"/>
      <c r="K14" s="41"/>
      <c r="L14" s="41"/>
      <c r="M14" s="9"/>
      <c r="N14" s="9"/>
      <c r="O14" s="9"/>
      <c r="P14" s="9"/>
      <c r="Q14" s="9"/>
      <c r="R14" s="9"/>
      <c r="S14" s="9"/>
      <c r="T14" s="9"/>
      <c r="U14" s="9"/>
      <c r="V14" s="9"/>
      <c r="W14" s="9"/>
    </row>
    <row r="15" spans="1:23" ht="15">
      <c r="A15" s="9"/>
      <c r="B15" s="9"/>
      <c r="C15" s="164" t="s">
        <v>95</v>
      </c>
      <c r="D15" s="41"/>
      <c r="E15" s="41"/>
      <c r="F15" s="41"/>
      <c r="G15" s="41"/>
      <c r="H15" s="41"/>
      <c r="I15" s="41"/>
      <c r="J15" s="41"/>
      <c r="K15" s="41"/>
      <c r="L15" s="41"/>
      <c r="M15" s="9"/>
      <c r="N15" s="9"/>
      <c r="O15" s="9"/>
      <c r="P15" s="9"/>
      <c r="Q15" s="9"/>
      <c r="R15" s="9"/>
      <c r="S15" s="9"/>
      <c r="T15" s="9"/>
      <c r="U15" s="9"/>
      <c r="V15" s="9"/>
      <c r="W15" s="9"/>
    </row>
    <row r="16" spans="1:23" ht="15">
      <c r="A16" s="9"/>
      <c r="B16" s="9"/>
      <c r="C16" s="164"/>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C18" s="41"/>
      <c r="D18" s="41"/>
      <c r="E18" s="41"/>
      <c r="F18" s="41"/>
      <c r="G18" s="41"/>
      <c r="H18" s="41"/>
      <c r="I18" s="41"/>
      <c r="J18" s="41"/>
      <c r="K18" s="41"/>
      <c r="L18" s="41"/>
      <c r="M18" s="9"/>
      <c r="N18" s="9"/>
      <c r="O18" s="9"/>
      <c r="P18" s="9"/>
      <c r="Q18" s="9"/>
      <c r="R18" s="9"/>
      <c r="S18" s="9"/>
      <c r="T18" s="9"/>
      <c r="U18" s="9"/>
      <c r="V18" s="9"/>
      <c r="W18" s="9"/>
    </row>
    <row r="19" spans="1:23" ht="15">
      <c r="A19" s="9"/>
      <c r="B19" s="9"/>
      <c r="C19" s="41"/>
      <c r="D19" s="41"/>
      <c r="E19" s="41"/>
      <c r="F19" s="41"/>
      <c r="G19" s="41"/>
      <c r="H19" s="41"/>
      <c r="I19" s="41"/>
      <c r="J19" s="41"/>
      <c r="K19" s="41"/>
      <c r="L19" s="41"/>
      <c r="M19" s="9"/>
      <c r="N19" s="9"/>
      <c r="O19" s="9"/>
      <c r="P19" s="9"/>
      <c r="Q19" s="9"/>
      <c r="R19" s="9"/>
      <c r="S19" s="9"/>
      <c r="T19" s="9"/>
      <c r="U19" s="9"/>
      <c r="V19" s="9"/>
      <c r="W19" s="9"/>
    </row>
    <row r="20" spans="1:23" ht="15">
      <c r="A20" s="9"/>
      <c r="B20" s="9"/>
      <c r="C20" s="41"/>
      <c r="D20" s="41"/>
      <c r="E20" s="41"/>
      <c r="F20" s="41"/>
      <c r="G20" s="41"/>
      <c r="H20" s="41"/>
      <c r="I20" s="41"/>
      <c r="J20" s="41"/>
      <c r="K20" s="41"/>
      <c r="L20" s="41"/>
      <c r="M20" s="9"/>
      <c r="N20" s="9"/>
      <c r="O20" s="9"/>
      <c r="P20" s="9"/>
      <c r="Q20" s="9"/>
      <c r="R20" s="9"/>
      <c r="S20" s="9"/>
      <c r="T20" s="9"/>
      <c r="U20" s="9"/>
      <c r="V20" s="9"/>
      <c r="W20" s="9"/>
    </row>
    <row r="21" spans="1:23" ht="15">
      <c r="A21" s="9"/>
      <c r="B21" s="9"/>
      <c r="C21" s="41"/>
      <c r="D21" s="41"/>
      <c r="E21" s="41"/>
      <c r="F21" s="41"/>
      <c r="G21" s="41"/>
      <c r="H21" s="41"/>
      <c r="I21" s="41"/>
      <c r="J21" s="41"/>
      <c r="K21" s="41"/>
      <c r="L21" s="41"/>
      <c r="M21" s="9"/>
      <c r="N21" s="9"/>
      <c r="O21" s="9"/>
      <c r="P21" s="9"/>
      <c r="Q21" s="9"/>
      <c r="R21" s="9"/>
      <c r="S21" s="9"/>
      <c r="T21" s="9"/>
      <c r="U21" s="9"/>
      <c r="V21" s="9"/>
      <c r="W21" s="9"/>
    </row>
    <row r="22" spans="1:23" ht="15">
      <c r="A22" s="9"/>
      <c r="B22" s="9"/>
      <c r="C22" s="41"/>
      <c r="D22" s="41"/>
      <c r="E22" s="41"/>
      <c r="F22" s="41"/>
      <c r="G22" s="41"/>
      <c r="H22" s="41"/>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75">
      <c r="A25" s="9"/>
      <c r="B25" s="9"/>
      <c r="C25" s="296" t="s">
        <v>123</v>
      </c>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321" t="s">
        <v>124</v>
      </c>
      <c r="D27" s="322"/>
      <c r="E27" s="322"/>
      <c r="F27" s="321" t="s">
        <v>125</v>
      </c>
      <c r="G27" s="321"/>
      <c r="H27" s="321"/>
      <c r="I27" s="321"/>
      <c r="J27" s="321"/>
      <c r="K27" s="321"/>
      <c r="L27" s="321"/>
      <c r="M27" s="31"/>
      <c r="N27" s="31"/>
      <c r="O27" s="31"/>
      <c r="P27" s="31"/>
      <c r="Q27" s="31"/>
      <c r="R27" s="31"/>
      <c r="S27" s="31"/>
      <c r="T27" s="9"/>
      <c r="U27" s="9"/>
      <c r="V27" s="9"/>
      <c r="W27" s="9"/>
    </row>
    <row r="28" spans="1:23" ht="15">
      <c r="A28" s="9"/>
      <c r="B28" s="9"/>
      <c r="C28" s="323" t="s">
        <v>126</v>
      </c>
      <c r="F28" s="324" t="s">
        <v>127</v>
      </c>
      <c r="I28" s="41"/>
      <c r="J28" s="41"/>
      <c r="K28" s="41"/>
      <c r="L28" s="41"/>
      <c r="M28" s="9"/>
      <c r="N28" s="9"/>
      <c r="O28" s="9"/>
      <c r="P28" s="9"/>
      <c r="Q28" s="9"/>
      <c r="R28" s="9"/>
      <c r="S28" s="9"/>
      <c r="T28" s="9"/>
      <c r="U28" s="9"/>
      <c r="V28" s="9"/>
      <c r="W28" s="9"/>
    </row>
    <row r="29" spans="1:23" ht="15">
      <c r="A29" s="9"/>
      <c r="B29" s="9"/>
      <c r="C29" s="41"/>
      <c r="H29" s="41"/>
      <c r="I29" s="41"/>
      <c r="J29" s="41"/>
      <c r="K29" s="41"/>
      <c r="L29" s="41"/>
      <c r="M29" s="9"/>
      <c r="N29" s="9"/>
      <c r="O29" s="9"/>
      <c r="P29" s="9"/>
      <c r="Q29" s="9"/>
      <c r="R29" s="9"/>
      <c r="S29" s="9"/>
      <c r="T29" s="9"/>
      <c r="U29" s="9"/>
      <c r="V29" s="9"/>
      <c r="W29" s="9"/>
    </row>
    <row r="30" spans="1:23" ht="15">
      <c r="A30" s="9"/>
      <c r="B30" s="9"/>
      <c r="C30" s="41"/>
      <c r="N30" s="9"/>
      <c r="O30" s="9"/>
      <c r="P30" s="9"/>
      <c r="Q30" s="9"/>
      <c r="R30" s="9"/>
      <c r="S30" s="9"/>
      <c r="T30" s="9"/>
      <c r="U30" s="9"/>
      <c r="V30" s="9"/>
      <c r="W30" s="9"/>
    </row>
    <row r="31" spans="1:23" ht="15">
      <c r="A31" s="9"/>
      <c r="B31" s="9"/>
      <c r="C31" s="41"/>
      <c r="R31" s="9"/>
      <c r="S31" s="9"/>
      <c r="T31" s="9"/>
      <c r="U31" s="9"/>
      <c r="V31" s="9"/>
      <c r="W31" s="9"/>
    </row>
    <row r="32" spans="1:23" ht="15">
      <c r="A32" s="9"/>
      <c r="B32" s="9"/>
      <c r="C32" s="41"/>
      <c r="D32" s="6"/>
      <c r="E32" s="41"/>
      <c r="F32" s="41"/>
      <c r="G32" s="41"/>
      <c r="H32" s="41"/>
      <c r="I32" s="41"/>
      <c r="J32" s="41"/>
      <c r="K32" s="41"/>
      <c r="L32" s="41"/>
      <c r="M32" s="9"/>
      <c r="N32" s="9"/>
      <c r="O32" s="9"/>
      <c r="P32" s="9"/>
      <c r="Q32" s="9"/>
      <c r="R32" s="9"/>
      <c r="S32" s="9"/>
      <c r="T32" s="9"/>
      <c r="U32" s="9"/>
      <c r="V32" s="9"/>
      <c r="W32" s="9"/>
    </row>
    <row r="33" spans="1:23" ht="15">
      <c r="A33" s="9"/>
      <c r="B33" s="9"/>
      <c r="C33" s="41"/>
      <c r="D33" s="135"/>
      <c r="E33" s="41"/>
      <c r="F33" s="41"/>
      <c r="G33" s="41"/>
      <c r="H33" s="41"/>
      <c r="I33" s="41"/>
      <c r="J33" s="41"/>
      <c r="K33" s="41"/>
      <c r="L33" s="41"/>
      <c r="M33" s="9"/>
      <c r="N33" s="9"/>
      <c r="O33" s="9"/>
      <c r="P33" s="9"/>
      <c r="Q33" s="9"/>
      <c r="R33" s="9"/>
      <c r="S33" s="9"/>
      <c r="T33" s="9"/>
      <c r="U33" s="9"/>
      <c r="V33" s="9"/>
      <c r="W33" s="9"/>
    </row>
    <row r="34" spans="1:23" ht="13.5">
      <c r="A34" s="9"/>
      <c r="B34" s="9"/>
      <c r="C34" s="9"/>
      <c r="D34" s="135"/>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5"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B1:B17"/>
  <sheetViews>
    <sheetView zoomScaleNormal="100" workbookViewId="0">
      <selection activeCell="D33" sqref="D33"/>
    </sheetView>
  </sheetViews>
  <sheetFormatPr defaultRowHeight="12.75"/>
  <cols>
    <col min="1" max="16384" width="9.140625" style="356"/>
  </cols>
  <sheetData>
    <row r="1" spans="2:2">
      <c r="B1" s="357" t="s">
        <v>143</v>
      </c>
    </row>
    <row r="2" spans="2:2" ht="23.25">
      <c r="B2" s="358" t="s">
        <v>147</v>
      </c>
    </row>
    <row r="3" spans="2:2">
      <c r="B3" s="357"/>
    </row>
    <row r="4" spans="2:2" ht="15">
      <c r="B4" s="359"/>
    </row>
    <row r="5" spans="2:2">
      <c r="B5" s="360" t="s">
        <v>145</v>
      </c>
    </row>
    <row r="7" spans="2:2">
      <c r="B7" s="361" t="s">
        <v>146</v>
      </c>
    </row>
    <row r="9" spans="2:2">
      <c r="B9" s="361" t="s">
        <v>149</v>
      </c>
    </row>
    <row r="11" spans="2:2">
      <c r="B11" s="361" t="s">
        <v>150</v>
      </c>
    </row>
    <row r="13" spans="2:2">
      <c r="B13" s="361" t="s">
        <v>164</v>
      </c>
    </row>
    <row r="15" spans="2:2">
      <c r="B15" s="361" t="s">
        <v>163</v>
      </c>
    </row>
    <row r="17" spans="2:2">
      <c r="B17" s="361" t="s">
        <v>148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2"/>
  <dimension ref="A1:AU470"/>
  <sheetViews>
    <sheetView topLeftCell="E1" zoomScale="80" zoomScaleNormal="80" workbookViewId="0">
      <selection activeCell="F37" sqref="F37"/>
    </sheetView>
  </sheetViews>
  <sheetFormatPr defaultRowHeight="12.75" outlineLevelRow="1"/>
  <cols>
    <col min="1" max="4" width="1" customWidth="1"/>
    <col min="5" max="5" width="0.85546875" style="3" customWidth="1"/>
    <col min="6" max="6" width="38.7109375" customWidth="1"/>
    <col min="7" max="7" width="15.5703125" customWidth="1"/>
    <col min="8" max="8" width="12.140625" style="2" bestFit="1" customWidth="1"/>
    <col min="9" max="9" width="11.85546875" style="4" customWidth="1"/>
    <col min="10" max="10" width="12.42578125" customWidth="1"/>
    <col min="11" max="11" width="13.42578125" customWidth="1"/>
    <col min="12" max="12" width="12.7109375" customWidth="1"/>
    <col min="13" max="13" width="13.140625" customWidth="1"/>
    <col min="14" max="14" width="14.7109375" customWidth="1"/>
    <col min="15" max="15" width="14.28515625" customWidth="1"/>
    <col min="16" max="16" width="14.85546875" customWidth="1"/>
    <col min="17" max="17" width="14" customWidth="1"/>
    <col min="18" max="18" width="14.140625" customWidth="1"/>
    <col min="19" max="19" width="14.42578125" customWidth="1"/>
    <col min="20" max="21" width="13.140625" customWidth="1"/>
    <col min="22" max="22" width="11.85546875" customWidth="1"/>
    <col min="23" max="23" width="12.7109375" customWidth="1"/>
    <col min="24" max="24" width="11.85546875" customWidth="1"/>
    <col min="25" max="25" width="13.28515625"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ht="15.75">
      <c r="A1" s="12"/>
      <c r="B1" s="12"/>
      <c r="C1" s="12"/>
      <c r="D1" s="12"/>
      <c r="E1" s="12"/>
      <c r="F1" s="362" t="str">
        <f>'SP AusNet record of changes'!$B$2</f>
        <v>SP AusNet  - RFM - data as at 28-February-2013</v>
      </c>
      <c r="G1" s="51"/>
      <c r="H1" s="51"/>
      <c r="I1" s="51"/>
      <c r="J1" s="51"/>
      <c r="K1" s="51"/>
      <c r="L1" s="51"/>
      <c r="M1" s="51"/>
      <c r="N1" s="51"/>
      <c r="O1" s="51"/>
      <c r="P1" s="51"/>
      <c r="Q1" s="51"/>
      <c r="R1" s="51"/>
      <c r="S1" s="51"/>
      <c r="T1" s="51"/>
      <c r="U1" s="51"/>
      <c r="V1" s="51"/>
      <c r="W1" s="51"/>
      <c r="X1" s="51"/>
      <c r="Y1" s="9"/>
      <c r="Z1" s="9"/>
      <c r="AA1" s="19"/>
      <c r="AB1" s="9"/>
      <c r="AC1" s="9"/>
      <c r="AD1" s="9"/>
      <c r="AE1" s="198"/>
      <c r="AF1" s="198"/>
      <c r="AG1" s="198"/>
      <c r="AH1" s="198"/>
      <c r="AI1" s="198"/>
      <c r="AJ1" s="198"/>
      <c r="AK1" s="198"/>
      <c r="AL1" s="198"/>
      <c r="AM1" s="198"/>
      <c r="AN1" s="198"/>
      <c r="AO1" s="198"/>
      <c r="AP1" s="198"/>
      <c r="AQ1" s="198"/>
      <c r="AR1" s="198"/>
      <c r="AS1" s="198"/>
      <c r="AT1" s="198"/>
      <c r="AU1" s="198"/>
    </row>
    <row r="2" spans="1:47" ht="16.5" customHeight="1">
      <c r="A2" s="12"/>
      <c r="B2" s="12"/>
      <c r="C2" s="12"/>
      <c r="D2" s="12"/>
      <c r="E2" s="12"/>
      <c r="F2" s="53" t="str">
        <f>"Input Variables - RFM "&amp;Intro!L4</f>
        <v>Input Variables - RFM Version: 2.0</v>
      </c>
      <c r="G2" s="388" t="s">
        <v>75</v>
      </c>
      <c r="H2" s="389"/>
      <c r="I2" s="51"/>
      <c r="J2" s="51"/>
      <c r="K2" s="51"/>
      <c r="L2" s="51"/>
      <c r="M2" s="51"/>
      <c r="N2" s="51"/>
      <c r="O2" s="51"/>
      <c r="P2" s="51"/>
      <c r="Q2" s="51"/>
      <c r="R2" s="51"/>
      <c r="S2" s="51"/>
      <c r="T2" s="51"/>
      <c r="U2" s="51"/>
      <c r="V2" s="51"/>
      <c r="W2" s="51"/>
      <c r="X2" s="19"/>
      <c r="Y2" s="19"/>
      <c r="Z2" s="19"/>
      <c r="AA2" s="19"/>
      <c r="AB2" s="9"/>
      <c r="AC2" s="9"/>
      <c r="AD2" s="9"/>
      <c r="AE2" s="198"/>
      <c r="AF2" s="198"/>
      <c r="AG2" s="198"/>
      <c r="AH2" s="198"/>
      <c r="AI2" s="198"/>
      <c r="AJ2" s="198"/>
      <c r="AK2" s="198"/>
      <c r="AL2" s="198"/>
      <c r="AM2" s="198"/>
      <c r="AN2" s="198"/>
      <c r="AO2" s="198"/>
      <c r="AP2" s="198"/>
      <c r="AQ2" s="198"/>
      <c r="AR2" s="198"/>
      <c r="AS2" s="198"/>
      <c r="AT2" s="198"/>
      <c r="AU2" s="198"/>
    </row>
    <row r="3" spans="1:47" s="48"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4"/>
      <c r="AC3" s="44"/>
      <c r="AD3" s="44"/>
      <c r="AE3" s="212"/>
      <c r="AF3" s="212"/>
      <c r="AG3" s="212"/>
      <c r="AH3" s="212"/>
      <c r="AI3" s="212"/>
      <c r="AJ3" s="212"/>
      <c r="AK3" s="212"/>
      <c r="AL3" s="212"/>
      <c r="AM3" s="212"/>
      <c r="AN3" s="212"/>
      <c r="AO3" s="212"/>
      <c r="AP3" s="212"/>
      <c r="AQ3" s="212"/>
      <c r="AR3" s="212"/>
      <c r="AS3" s="212"/>
      <c r="AT3" s="212"/>
      <c r="AU3" s="212"/>
    </row>
    <row r="4" spans="1:47" s="6" customFormat="1" ht="15.75">
      <c r="A4" s="70"/>
      <c r="B4" s="70"/>
      <c r="C4" s="70"/>
      <c r="D4" s="70"/>
      <c r="E4" s="70"/>
      <c r="F4" s="71"/>
      <c r="G4" s="71"/>
      <c r="H4" s="72"/>
      <c r="I4" s="73"/>
      <c r="J4" s="71"/>
      <c r="K4" s="70"/>
      <c r="L4" s="70"/>
      <c r="M4" s="70"/>
      <c r="N4" s="70"/>
      <c r="O4" s="70"/>
      <c r="P4" s="70"/>
      <c r="Q4" s="70"/>
      <c r="R4" s="70"/>
      <c r="S4" s="70"/>
      <c r="T4" s="70"/>
      <c r="U4" s="70"/>
      <c r="V4" s="70"/>
      <c r="W4" s="70"/>
      <c r="X4" s="40"/>
      <c r="Y4" s="40"/>
      <c r="Z4" s="40"/>
      <c r="AA4" s="40"/>
      <c r="AB4" s="41"/>
      <c r="AC4" s="41"/>
      <c r="AD4" s="41"/>
      <c r="AE4" s="235"/>
      <c r="AF4" s="235"/>
      <c r="AG4" s="235"/>
      <c r="AH4" s="235"/>
      <c r="AI4" s="235"/>
      <c r="AJ4" s="235"/>
      <c r="AK4" s="235"/>
      <c r="AL4" s="235"/>
      <c r="AM4" s="235"/>
      <c r="AN4" s="235"/>
      <c r="AO4" s="235"/>
      <c r="AP4" s="235"/>
      <c r="AQ4" s="235"/>
      <c r="AR4" s="235"/>
      <c r="AS4" s="235"/>
      <c r="AT4" s="235"/>
      <c r="AU4" s="235"/>
    </row>
    <row r="5" spans="1:47">
      <c r="A5" s="74"/>
      <c r="B5" s="74"/>
      <c r="C5" s="74"/>
      <c r="D5" s="74"/>
      <c r="E5" s="74"/>
      <c r="F5" s="387" t="str">
        <f>"Opening Regulatory Asset Base for "&amp;CONCATENATE(LEFT(X7, 4)-1 &amp;"-" &amp;IF(X7&gt;"2009-10",,"0") &amp;RIGHT(X7,2)-1) &amp;" and Opening Tax Asset Base for "&amp;X7&amp;" ($m Nominal)"</f>
        <v>Opening Regulatory Asset Base for 2007-08 and Opening Tax Asset Base for 2008-09 ($m Nominal)</v>
      </c>
      <c r="G5" s="387"/>
      <c r="H5" s="387"/>
      <c r="I5" s="387"/>
      <c r="J5" s="387"/>
      <c r="K5" s="387"/>
      <c r="L5" s="75"/>
      <c r="M5" s="76"/>
      <c r="N5" s="75"/>
      <c r="O5" s="75"/>
      <c r="P5" s="75"/>
      <c r="Q5" s="75"/>
      <c r="R5" s="75"/>
      <c r="S5" s="75"/>
      <c r="T5" s="75"/>
      <c r="U5" s="75"/>
      <c r="V5" s="76"/>
      <c r="W5" s="76"/>
      <c r="X5" s="8"/>
      <c r="Y5" s="8"/>
      <c r="Z5" s="8"/>
      <c r="AA5" s="8"/>
      <c r="AB5" s="42"/>
      <c r="AC5" s="9"/>
      <c r="AD5" s="9"/>
      <c r="AE5" s="198"/>
      <c r="AF5" s="198"/>
      <c r="AG5" s="198"/>
      <c r="AH5" s="198"/>
      <c r="AI5" s="198"/>
      <c r="AJ5" s="198"/>
      <c r="AK5" s="198"/>
      <c r="AL5" s="198"/>
      <c r="AM5" s="198"/>
      <c r="AN5" s="198"/>
      <c r="AO5" s="198"/>
      <c r="AP5" s="198"/>
      <c r="AQ5" s="198"/>
      <c r="AR5" s="198"/>
      <c r="AS5" s="198"/>
      <c r="AT5" s="198"/>
      <c r="AU5" s="198"/>
    </row>
    <row r="6" spans="1:47" ht="65.25" customHeight="1">
      <c r="A6" s="12"/>
      <c r="B6" s="12"/>
      <c r="C6" s="12"/>
      <c r="D6" s="12"/>
      <c r="E6" s="12"/>
      <c r="F6" s="37"/>
      <c r="G6" s="390" t="s">
        <v>83</v>
      </c>
      <c r="H6" s="390"/>
      <c r="I6" s="390"/>
      <c r="J6" s="11" t="s">
        <v>2</v>
      </c>
      <c r="K6" s="10" t="s">
        <v>100</v>
      </c>
      <c r="L6" s="10" t="s">
        <v>93</v>
      </c>
      <c r="M6" s="10" t="s">
        <v>76</v>
      </c>
      <c r="N6" s="10" t="s">
        <v>151</v>
      </c>
      <c r="O6" s="10" t="s">
        <v>152</v>
      </c>
      <c r="P6" s="10" t="s">
        <v>71</v>
      </c>
      <c r="Q6" s="10" t="s">
        <v>46</v>
      </c>
      <c r="R6" s="10" t="s">
        <v>60</v>
      </c>
      <c r="S6" s="10" t="s">
        <v>47</v>
      </c>
      <c r="T6" s="10" t="s">
        <v>48</v>
      </c>
      <c r="U6" s="10" t="s">
        <v>111</v>
      </c>
      <c r="V6" s="10" t="s">
        <v>101</v>
      </c>
      <c r="W6" s="10" t="s">
        <v>92</v>
      </c>
      <c r="X6" s="10" t="s">
        <v>21</v>
      </c>
      <c r="Y6" s="10" t="s">
        <v>94</v>
      </c>
      <c r="Z6" s="9"/>
      <c r="AA6" s="9"/>
      <c r="AB6" s="9"/>
      <c r="AC6" s="9"/>
      <c r="AD6" s="9"/>
      <c r="AE6" s="198"/>
      <c r="AF6" s="198"/>
      <c r="AG6" s="198"/>
      <c r="AH6" s="198"/>
      <c r="AI6" s="198"/>
      <c r="AJ6" s="198"/>
      <c r="AK6" s="198"/>
      <c r="AL6" s="198"/>
      <c r="AM6" s="198"/>
      <c r="AN6" s="198"/>
      <c r="AO6" s="198"/>
      <c r="AP6" s="198"/>
      <c r="AQ6" s="198"/>
      <c r="AR6" s="198"/>
      <c r="AS6" s="198"/>
      <c r="AT6" s="198"/>
      <c r="AU6" s="198"/>
    </row>
    <row r="7" spans="1:47">
      <c r="A7" s="12"/>
      <c r="B7" s="12"/>
      <c r="C7" s="12"/>
      <c r="D7" s="12"/>
      <c r="E7" s="12"/>
      <c r="F7" s="173" t="s">
        <v>0</v>
      </c>
      <c r="G7" s="384" t="s">
        <v>129</v>
      </c>
      <c r="H7" s="385"/>
      <c r="I7" s="385"/>
      <c r="J7" s="366">
        <v>132.02570901226696</v>
      </c>
      <c r="K7" s="369">
        <v>9.9330276168729341</v>
      </c>
      <c r="L7" s="355">
        <v>15</v>
      </c>
      <c r="M7" s="355">
        <v>14.463151023717792</v>
      </c>
      <c r="N7" s="370">
        <v>17.722999999999999</v>
      </c>
      <c r="O7" s="370">
        <v>17.805840342812512</v>
      </c>
      <c r="P7" s="371">
        <v>5.009896309442194</v>
      </c>
      <c r="Q7" s="371">
        <v>-4.1510932628817514</v>
      </c>
      <c r="R7" s="371">
        <v>-12.351417430702048</v>
      </c>
      <c r="S7" s="371">
        <v>6.3991040000000003</v>
      </c>
      <c r="T7" s="372">
        <v>4.6134896100000002</v>
      </c>
      <c r="U7" s="372">
        <v>133.48397176155405</v>
      </c>
      <c r="V7" s="62">
        <v>20.639745307999554</v>
      </c>
      <c r="W7" s="62">
        <v>12.5</v>
      </c>
      <c r="X7" s="128" t="s">
        <v>142</v>
      </c>
      <c r="Y7" s="62">
        <v>6</v>
      </c>
      <c r="Z7" s="9"/>
      <c r="AA7" s="9"/>
      <c r="AB7" s="9"/>
      <c r="AC7" s="9"/>
      <c r="AD7" s="9"/>
      <c r="AE7" s="198"/>
      <c r="AF7" s="198"/>
      <c r="AG7" s="198"/>
      <c r="AH7" s="198"/>
      <c r="AI7" s="198"/>
      <c r="AJ7" s="198"/>
      <c r="AK7" s="198"/>
      <c r="AL7" s="198"/>
      <c r="AM7" s="198"/>
      <c r="AN7" s="198"/>
      <c r="AO7" s="198"/>
      <c r="AP7" s="198"/>
      <c r="AQ7" s="198"/>
      <c r="AR7" s="198"/>
      <c r="AS7" s="198"/>
      <c r="AT7" s="198"/>
      <c r="AU7" s="198"/>
    </row>
    <row r="8" spans="1:47">
      <c r="A8" s="12"/>
      <c r="B8" s="12"/>
      <c r="C8" s="12"/>
      <c r="D8" s="12"/>
      <c r="E8" s="12"/>
      <c r="F8" s="173" t="s">
        <v>1</v>
      </c>
      <c r="G8" s="384" t="s">
        <v>130</v>
      </c>
      <c r="H8" s="385"/>
      <c r="I8" s="385"/>
      <c r="J8" s="367">
        <v>248.91247950836242</v>
      </c>
      <c r="K8" s="373">
        <v>27.96367273783239</v>
      </c>
      <c r="L8" s="373">
        <v>45</v>
      </c>
      <c r="M8" s="50">
        <v>40.012027975872329</v>
      </c>
      <c r="N8" s="374">
        <v>59.128999999999998</v>
      </c>
      <c r="O8" s="374">
        <v>59.496416651838032</v>
      </c>
      <c r="P8" s="375">
        <v>9.9700462083033674</v>
      </c>
      <c r="Q8" s="375">
        <v>13.423609217639783</v>
      </c>
      <c r="R8" s="375">
        <v>-1.428515011584818</v>
      </c>
      <c r="S8" s="375">
        <v>4.6862470000000007</v>
      </c>
      <c r="T8" s="375">
        <v>2.2539754199999997</v>
      </c>
      <c r="U8" s="375">
        <v>309.28166081027092</v>
      </c>
      <c r="V8" s="373">
        <v>27.88650027890861</v>
      </c>
      <c r="W8" s="373">
        <v>40</v>
      </c>
      <c r="X8" s="8"/>
      <c r="Y8" s="8"/>
      <c r="Z8" s="9"/>
      <c r="AA8" s="9"/>
      <c r="AB8" s="9"/>
      <c r="AC8" s="9"/>
      <c r="AD8" s="9"/>
      <c r="AE8" s="198"/>
      <c r="AF8" s="198"/>
      <c r="AG8" s="198"/>
      <c r="AH8" s="198"/>
      <c r="AI8" s="198"/>
      <c r="AJ8" s="198"/>
      <c r="AK8" s="198"/>
      <c r="AL8" s="198"/>
      <c r="AM8" s="198"/>
      <c r="AN8" s="198"/>
      <c r="AO8" s="198"/>
      <c r="AP8" s="198"/>
      <c r="AQ8" s="198"/>
      <c r="AR8" s="198"/>
      <c r="AS8" s="198"/>
      <c r="AT8" s="198"/>
      <c r="AU8" s="198"/>
    </row>
    <row r="9" spans="1:47">
      <c r="A9" s="12"/>
      <c r="B9" s="12"/>
      <c r="C9" s="12"/>
      <c r="D9" s="12"/>
      <c r="E9" s="12"/>
      <c r="F9" s="173" t="s">
        <v>4</v>
      </c>
      <c r="G9" s="384" t="s">
        <v>131</v>
      </c>
      <c r="H9" s="385"/>
      <c r="I9" s="385"/>
      <c r="J9" s="367">
        <v>154.11914424024289</v>
      </c>
      <c r="K9" s="373">
        <v>20.903465153381525</v>
      </c>
      <c r="L9" s="50">
        <v>45</v>
      </c>
      <c r="M9" s="50">
        <v>7.479869950034308</v>
      </c>
      <c r="N9" s="374">
        <v>15.13</v>
      </c>
      <c r="O9" s="374">
        <v>15.20239041378694</v>
      </c>
      <c r="P9" s="375">
        <v>9.0020269407922626</v>
      </c>
      <c r="Q9" s="375">
        <v>4.4844492725845431</v>
      </c>
      <c r="R9" s="375">
        <v>-5.1534767631484444</v>
      </c>
      <c r="S9" s="375">
        <v>0</v>
      </c>
      <c r="T9" s="375">
        <v>0.5963920800000001</v>
      </c>
      <c r="U9" s="375">
        <v>146.1021986959592</v>
      </c>
      <c r="V9" s="50">
        <v>21.058400522840657</v>
      </c>
      <c r="W9" s="50">
        <v>40</v>
      </c>
      <c r="X9" s="8"/>
      <c r="Y9" s="8"/>
      <c r="Z9" s="9"/>
      <c r="AA9" s="9"/>
      <c r="AB9" s="9"/>
      <c r="AC9" s="9"/>
      <c r="AD9" s="9"/>
      <c r="AE9" s="198"/>
      <c r="AF9" s="198"/>
      <c r="AG9" s="198"/>
      <c r="AH9" s="198"/>
      <c r="AI9" s="198"/>
      <c r="AJ9" s="198"/>
      <c r="AK9" s="198"/>
      <c r="AL9" s="198"/>
      <c r="AM9" s="198"/>
      <c r="AN9" s="198"/>
      <c r="AO9" s="198"/>
      <c r="AP9" s="198"/>
      <c r="AQ9" s="198"/>
      <c r="AR9" s="198"/>
      <c r="AS9" s="198"/>
      <c r="AT9" s="198"/>
      <c r="AU9" s="198"/>
    </row>
    <row r="10" spans="1:47">
      <c r="A10" s="12"/>
      <c r="B10" s="12"/>
      <c r="C10" s="12"/>
      <c r="D10" s="12"/>
      <c r="E10" s="12"/>
      <c r="F10" s="173" t="s">
        <v>5</v>
      </c>
      <c r="G10" s="384" t="s">
        <v>132</v>
      </c>
      <c r="H10" s="385"/>
      <c r="I10" s="385"/>
      <c r="J10" s="367">
        <v>83.253732687574384</v>
      </c>
      <c r="K10" s="373">
        <v>22.312433705115868</v>
      </c>
      <c r="L10" s="50">
        <v>40</v>
      </c>
      <c r="M10" s="50">
        <v>0.62073609543853181</v>
      </c>
      <c r="N10" s="374">
        <v>12.513</v>
      </c>
      <c r="O10" s="374">
        <v>12.624618775203748</v>
      </c>
      <c r="P10" s="375">
        <v>1.9565416146037446</v>
      </c>
      <c r="Q10" s="375">
        <v>-5.2786908582716139</v>
      </c>
      <c r="R10" s="375">
        <v>-1.474197786426011</v>
      </c>
      <c r="S10" s="375">
        <v>0</v>
      </c>
      <c r="T10" s="375"/>
      <c r="U10" s="375">
        <v>76.161477072016808</v>
      </c>
      <c r="V10" s="50">
        <v>22.046435092661003</v>
      </c>
      <c r="W10" s="50">
        <v>40</v>
      </c>
      <c r="X10" s="8"/>
      <c r="Y10" s="8"/>
      <c r="Z10" s="9"/>
      <c r="AA10" s="9"/>
      <c r="AB10" s="9"/>
      <c r="AC10" s="9"/>
      <c r="AD10" s="9"/>
      <c r="AE10" s="198"/>
      <c r="AF10" s="198"/>
      <c r="AG10" s="198"/>
      <c r="AH10" s="198"/>
      <c r="AI10" s="198"/>
      <c r="AJ10" s="198"/>
      <c r="AK10" s="198"/>
      <c r="AL10" s="198"/>
      <c r="AM10" s="198"/>
      <c r="AN10" s="198"/>
      <c r="AO10" s="198"/>
      <c r="AP10" s="198"/>
      <c r="AQ10" s="198"/>
      <c r="AR10" s="198"/>
      <c r="AS10" s="198"/>
      <c r="AT10" s="198"/>
      <c r="AU10" s="198"/>
    </row>
    <row r="11" spans="1:47">
      <c r="A11" s="12"/>
      <c r="B11" s="12"/>
      <c r="C11" s="12"/>
      <c r="D11" s="12"/>
      <c r="E11" s="12"/>
      <c r="F11" s="173" t="s">
        <v>6</v>
      </c>
      <c r="G11" s="384" t="s">
        <v>133</v>
      </c>
      <c r="H11" s="385"/>
      <c r="I11" s="385"/>
      <c r="J11" s="367">
        <v>984.93801110802451</v>
      </c>
      <c r="K11" s="373">
        <v>29.468257345719277</v>
      </c>
      <c r="L11" s="50">
        <v>60</v>
      </c>
      <c r="M11" s="50">
        <v>1.7484066688185314</v>
      </c>
      <c r="N11" s="374">
        <v>5.907</v>
      </c>
      <c r="O11" s="374">
        <v>5.9110622347904194</v>
      </c>
      <c r="P11" s="375">
        <v>9.3974643039723151</v>
      </c>
      <c r="Q11" s="375">
        <v>43.78033030015623</v>
      </c>
      <c r="R11" s="375">
        <v>13.319989319926002</v>
      </c>
      <c r="S11" s="375">
        <v>4.1564750000000004</v>
      </c>
      <c r="T11" s="375">
        <v>2.1061156299999997</v>
      </c>
      <c r="U11" s="375">
        <v>881.85188734366284</v>
      </c>
      <c r="V11" s="50">
        <v>29.328707930027814</v>
      </c>
      <c r="W11" s="50">
        <v>47.5</v>
      </c>
      <c r="X11" s="8"/>
      <c r="Y11" s="8"/>
      <c r="Z11" s="9"/>
      <c r="AA11" s="9"/>
      <c r="AB11" s="9"/>
      <c r="AC11" s="9"/>
      <c r="AD11" s="9"/>
      <c r="AE11" s="198"/>
      <c r="AF11" s="198"/>
      <c r="AG11" s="198"/>
      <c r="AH11" s="198"/>
      <c r="AI11" s="198"/>
      <c r="AJ11" s="198"/>
      <c r="AK11" s="198"/>
      <c r="AL11" s="198"/>
      <c r="AM11" s="198"/>
      <c r="AN11" s="198"/>
      <c r="AO11" s="198"/>
      <c r="AP11" s="198"/>
      <c r="AQ11" s="198"/>
      <c r="AR11" s="198"/>
      <c r="AS11" s="198"/>
      <c r="AT11" s="198"/>
      <c r="AU11" s="198"/>
    </row>
    <row r="12" spans="1:47">
      <c r="A12" s="12"/>
      <c r="B12" s="12"/>
      <c r="C12" s="12"/>
      <c r="D12" s="12"/>
      <c r="E12" s="12"/>
      <c r="F12" s="173" t="s">
        <v>7</v>
      </c>
      <c r="G12" s="384" t="s">
        <v>134</v>
      </c>
      <c r="H12" s="385"/>
      <c r="I12" s="385"/>
      <c r="J12" s="367">
        <v>79.839482548432514</v>
      </c>
      <c r="K12" s="373">
        <v>34.678784161311349</v>
      </c>
      <c r="L12" s="50">
        <v>45</v>
      </c>
      <c r="M12" s="50">
        <v>13.314789247156508</v>
      </c>
      <c r="N12" s="374">
        <v>4.085</v>
      </c>
      <c r="O12" s="374">
        <v>4.1078273309182212</v>
      </c>
      <c r="P12" s="375">
        <v>1.9292989819905269</v>
      </c>
      <c r="Q12" s="375">
        <v>8.3654138145799326</v>
      </c>
      <c r="R12" s="375">
        <v>-3.8615828986139329</v>
      </c>
      <c r="S12" s="375">
        <v>0</v>
      </c>
      <c r="T12" s="375">
        <v>13.983938839999997</v>
      </c>
      <c r="U12" s="375">
        <v>91.020736669138699</v>
      </c>
      <c r="V12" s="50">
        <v>35.483872178078329</v>
      </c>
      <c r="W12" s="50">
        <v>40</v>
      </c>
      <c r="X12" s="8"/>
      <c r="Y12" s="8"/>
      <c r="Z12" s="9"/>
      <c r="AA12" s="9"/>
      <c r="AB12" s="9"/>
      <c r="AC12" s="9"/>
      <c r="AD12" s="9"/>
      <c r="AE12" s="198"/>
      <c r="AF12" s="198"/>
      <c r="AG12" s="198"/>
      <c r="AH12" s="198"/>
      <c r="AI12" s="198"/>
      <c r="AJ12" s="198"/>
      <c r="AK12" s="198"/>
      <c r="AL12" s="198"/>
      <c r="AM12" s="198"/>
      <c r="AN12" s="198"/>
      <c r="AO12" s="198"/>
      <c r="AP12" s="198"/>
      <c r="AQ12" s="198"/>
      <c r="AR12" s="198"/>
      <c r="AS12" s="198"/>
      <c r="AT12" s="198"/>
      <c r="AU12" s="198"/>
    </row>
    <row r="13" spans="1:47">
      <c r="A13" s="12"/>
      <c r="B13" s="12"/>
      <c r="C13" s="12"/>
      <c r="D13" s="12"/>
      <c r="E13" s="12"/>
      <c r="F13" s="173" t="s">
        <v>8</v>
      </c>
      <c r="G13" s="384" t="s">
        <v>135</v>
      </c>
      <c r="H13" s="385"/>
      <c r="I13" s="385"/>
      <c r="J13" s="367">
        <v>36.743106530439206</v>
      </c>
      <c r="K13" s="373">
        <v>8.5505941352824451</v>
      </c>
      <c r="L13" s="50">
        <v>15</v>
      </c>
      <c r="M13" s="50">
        <v>3.465776532865136</v>
      </c>
      <c r="N13" s="374">
        <v>1.3620000000000001</v>
      </c>
      <c r="O13" s="374">
        <v>1.3665862382849805</v>
      </c>
      <c r="P13" s="375">
        <v>6.3024287901060712</v>
      </c>
      <c r="Q13" s="375">
        <v>-15.18343373681337</v>
      </c>
      <c r="R13" s="375">
        <v>-13.219881986010956</v>
      </c>
      <c r="S13" s="375">
        <v>1.3286929999999999</v>
      </c>
      <c r="T13" s="375">
        <v>0.46451441999999998</v>
      </c>
      <c r="U13" s="375">
        <v>11.929682067475165</v>
      </c>
      <c r="V13" s="50">
        <v>10.028637765685154</v>
      </c>
      <c r="W13" s="50">
        <v>12.5</v>
      </c>
      <c r="X13" s="8"/>
      <c r="Y13" s="8"/>
      <c r="Z13" s="9"/>
      <c r="AA13" s="9"/>
      <c r="AB13" s="9"/>
      <c r="AC13" s="9"/>
      <c r="AD13" s="9"/>
      <c r="AE13" s="198"/>
      <c r="AF13" s="198"/>
      <c r="AG13" s="198"/>
      <c r="AH13" s="198"/>
      <c r="AI13" s="198"/>
      <c r="AJ13" s="198"/>
      <c r="AK13" s="198"/>
      <c r="AL13" s="198"/>
      <c r="AM13" s="198"/>
      <c r="AN13" s="198"/>
      <c r="AO13" s="198"/>
      <c r="AP13" s="198"/>
      <c r="AQ13" s="198"/>
      <c r="AR13" s="198"/>
      <c r="AS13" s="198"/>
      <c r="AT13" s="198"/>
      <c r="AU13" s="198"/>
    </row>
    <row r="14" spans="1:47">
      <c r="A14" s="12"/>
      <c r="B14" s="12"/>
      <c r="C14" s="12"/>
      <c r="D14" s="12"/>
      <c r="E14" s="12"/>
      <c r="F14" s="173" t="s">
        <v>9</v>
      </c>
      <c r="G14" s="384" t="s">
        <v>136</v>
      </c>
      <c r="H14" s="385"/>
      <c r="I14" s="385"/>
      <c r="J14" s="367">
        <v>4.7007864066062357</v>
      </c>
      <c r="K14" s="373" t="s">
        <v>20</v>
      </c>
      <c r="L14" s="50" t="s">
        <v>20</v>
      </c>
      <c r="M14" s="50">
        <v>0.29219122749760001</v>
      </c>
      <c r="N14" s="374">
        <v>0</v>
      </c>
      <c r="O14" s="374">
        <v>0</v>
      </c>
      <c r="P14" s="375">
        <v>-0.1190149191478946</v>
      </c>
      <c r="Q14" s="375">
        <v>1.5261711059192087</v>
      </c>
      <c r="R14" s="375">
        <v>0.70152223622115595</v>
      </c>
      <c r="S14" s="375">
        <v>0</v>
      </c>
      <c r="T14" s="375"/>
      <c r="U14" s="375">
        <v>5.9841243136739095</v>
      </c>
      <c r="V14" s="50" t="s">
        <v>20</v>
      </c>
      <c r="W14" s="50" t="s">
        <v>20</v>
      </c>
      <c r="X14" s="8"/>
      <c r="Y14" s="8"/>
      <c r="Z14" s="9"/>
      <c r="AA14" s="9"/>
      <c r="AB14" s="9"/>
      <c r="AC14" s="9"/>
      <c r="AD14" s="9"/>
      <c r="AE14" s="198"/>
      <c r="AF14" s="198"/>
      <c r="AG14" s="198"/>
      <c r="AH14" s="198"/>
      <c r="AI14" s="198"/>
      <c r="AJ14" s="198"/>
      <c r="AK14" s="198"/>
      <c r="AL14" s="198"/>
      <c r="AM14" s="198"/>
      <c r="AN14" s="198"/>
      <c r="AO14" s="198"/>
      <c r="AP14" s="198"/>
      <c r="AQ14" s="198"/>
      <c r="AR14" s="198"/>
      <c r="AS14" s="198"/>
      <c r="AT14" s="198"/>
      <c r="AU14" s="198"/>
    </row>
    <row r="15" spans="1:47">
      <c r="A15" s="12"/>
      <c r="B15" s="12"/>
      <c r="C15" s="12"/>
      <c r="D15" s="12"/>
      <c r="E15" s="12"/>
      <c r="F15" s="173" t="s">
        <v>10</v>
      </c>
      <c r="G15" s="384" t="s">
        <v>137</v>
      </c>
      <c r="H15" s="385"/>
      <c r="I15" s="385"/>
      <c r="J15" s="367">
        <v>16.14271263150075</v>
      </c>
      <c r="K15" s="373">
        <v>7.3375441228443181</v>
      </c>
      <c r="L15" s="50">
        <v>5</v>
      </c>
      <c r="M15" s="50">
        <v>2.3183776984613531</v>
      </c>
      <c r="N15" s="374">
        <v>0</v>
      </c>
      <c r="O15" s="374">
        <v>0</v>
      </c>
      <c r="P15" s="375">
        <v>3.9008862920846168</v>
      </c>
      <c r="Q15" s="375">
        <v>24.968912459906932</v>
      </c>
      <c r="R15" s="375">
        <v>3.1018293072285652</v>
      </c>
      <c r="S15" s="375">
        <v>0</v>
      </c>
      <c r="T15" s="375">
        <v>3.4024412430198385</v>
      </c>
      <c r="U15" s="375">
        <v>34.716235143501059</v>
      </c>
      <c r="V15" s="50">
        <v>7.5978153559953734</v>
      </c>
      <c r="W15" s="50">
        <v>3.5</v>
      </c>
      <c r="X15" s="8"/>
      <c r="Y15" s="8"/>
      <c r="Z15" s="9"/>
      <c r="AA15" s="9"/>
      <c r="AB15" s="9"/>
      <c r="AC15" s="9"/>
      <c r="AD15" s="9"/>
      <c r="AE15" s="198"/>
      <c r="AF15" s="198"/>
      <c r="AG15" s="198"/>
      <c r="AH15" s="198"/>
      <c r="AI15" s="198"/>
      <c r="AJ15" s="198"/>
      <c r="AK15" s="198"/>
      <c r="AL15" s="198"/>
      <c r="AM15" s="198"/>
      <c r="AN15" s="198"/>
      <c r="AO15" s="198"/>
      <c r="AP15" s="198"/>
      <c r="AQ15" s="198"/>
      <c r="AR15" s="198"/>
      <c r="AS15" s="198"/>
      <c r="AT15" s="198"/>
      <c r="AU15" s="198"/>
    </row>
    <row r="16" spans="1:47">
      <c r="A16" s="12"/>
      <c r="B16" s="12"/>
      <c r="C16" s="12"/>
      <c r="D16" s="12"/>
      <c r="E16" s="12"/>
      <c r="F16" s="173" t="s">
        <v>11</v>
      </c>
      <c r="G16" s="384" t="s">
        <v>138</v>
      </c>
      <c r="H16" s="385"/>
      <c r="I16" s="385"/>
      <c r="J16" s="367">
        <v>3.8998256791301116</v>
      </c>
      <c r="K16" s="373">
        <v>6.3294583343193214</v>
      </c>
      <c r="L16" s="50">
        <v>7</v>
      </c>
      <c r="M16" s="50">
        <v>0.31500994680163003</v>
      </c>
      <c r="N16" s="374">
        <v>0</v>
      </c>
      <c r="O16" s="376">
        <v>0</v>
      </c>
      <c r="P16" s="375">
        <v>0.14566511533793916</v>
      </c>
      <c r="Q16" s="375">
        <v>0.47844527194667513</v>
      </c>
      <c r="R16" s="375">
        <v>-0.35276175728998993</v>
      </c>
      <c r="S16" s="375">
        <v>0</v>
      </c>
      <c r="T16" s="375">
        <v>0.79015199999999997</v>
      </c>
      <c r="U16" s="375">
        <v>3.933253549615022</v>
      </c>
      <c r="V16" s="50">
        <v>6.6515800459069769</v>
      </c>
      <c r="W16" s="50">
        <v>8</v>
      </c>
      <c r="X16" s="8"/>
      <c r="Y16" s="8"/>
      <c r="Z16" s="9"/>
      <c r="AA16" s="9"/>
      <c r="AB16" s="9"/>
      <c r="AC16" s="9"/>
      <c r="AD16" s="9"/>
      <c r="AE16" s="198"/>
      <c r="AF16" s="198"/>
      <c r="AG16" s="198"/>
      <c r="AH16" s="198"/>
      <c r="AI16" s="198"/>
      <c r="AJ16" s="198"/>
      <c r="AK16" s="198"/>
      <c r="AL16" s="198"/>
      <c r="AM16" s="198"/>
      <c r="AN16" s="198"/>
      <c r="AO16" s="198"/>
      <c r="AP16" s="198"/>
      <c r="AQ16" s="198"/>
      <c r="AR16" s="198"/>
      <c r="AS16" s="198"/>
      <c r="AT16" s="198"/>
      <c r="AU16" s="198"/>
    </row>
    <row r="17" spans="1:47">
      <c r="A17" s="12"/>
      <c r="B17" s="12"/>
      <c r="C17" s="12"/>
      <c r="D17" s="12"/>
      <c r="E17" s="12"/>
      <c r="F17" s="173" t="s">
        <v>12</v>
      </c>
      <c r="G17" s="384" t="s">
        <v>139</v>
      </c>
      <c r="H17" s="385"/>
      <c r="I17" s="385"/>
      <c r="J17" s="367">
        <v>3.8757526879064059</v>
      </c>
      <c r="K17" s="373">
        <v>6.9950432145632657</v>
      </c>
      <c r="L17" s="50">
        <v>10</v>
      </c>
      <c r="M17" s="50">
        <v>0.56364122439537223</v>
      </c>
      <c r="N17" s="374">
        <v>0</v>
      </c>
      <c r="O17" s="376">
        <v>0</v>
      </c>
      <c r="P17" s="375">
        <v>1.5380787381567749</v>
      </c>
      <c r="Q17" s="375">
        <v>7.8062479102810922</v>
      </c>
      <c r="R17" s="375">
        <v>1.6983766857323237</v>
      </c>
      <c r="S17" s="375">
        <v>0.43269000000000002</v>
      </c>
      <c r="T17" s="375">
        <v>10.700122210000002</v>
      </c>
      <c r="U17" s="375">
        <v>9.5526882653632654</v>
      </c>
      <c r="V17" s="50">
        <v>7.2078319199699479</v>
      </c>
      <c r="W17" s="50">
        <v>10</v>
      </c>
      <c r="X17" s="8"/>
      <c r="Y17" s="8"/>
      <c r="Z17" s="9"/>
      <c r="AA17" s="9"/>
      <c r="AB17" s="9"/>
      <c r="AC17" s="9"/>
      <c r="AD17" s="9"/>
      <c r="AE17" s="198"/>
      <c r="AF17" s="198"/>
      <c r="AG17" s="198"/>
      <c r="AH17" s="198"/>
      <c r="AI17" s="198"/>
      <c r="AJ17" s="198"/>
      <c r="AK17" s="198"/>
      <c r="AL17" s="198"/>
      <c r="AM17" s="198"/>
      <c r="AN17" s="198"/>
      <c r="AO17" s="198"/>
      <c r="AP17" s="198"/>
      <c r="AQ17" s="198"/>
      <c r="AR17" s="198"/>
      <c r="AS17" s="198"/>
      <c r="AT17" s="198"/>
      <c r="AU17" s="198"/>
    </row>
    <row r="18" spans="1:47">
      <c r="A18" s="12"/>
      <c r="B18" s="12"/>
      <c r="C18" s="12"/>
      <c r="D18" s="12"/>
      <c r="E18" s="12"/>
      <c r="F18" s="173" t="s">
        <v>13</v>
      </c>
      <c r="G18" s="384" t="s">
        <v>140</v>
      </c>
      <c r="H18" s="385"/>
      <c r="I18" s="385"/>
      <c r="J18" s="367">
        <v>5.2657279599188227</v>
      </c>
      <c r="K18" s="373">
        <v>6.3688747673818549</v>
      </c>
      <c r="L18" s="50">
        <v>10</v>
      </c>
      <c r="M18" s="50">
        <v>0.63867493751028093</v>
      </c>
      <c r="N18" s="374">
        <v>0</v>
      </c>
      <c r="O18" s="376">
        <v>0</v>
      </c>
      <c r="P18" s="375">
        <v>1.7554403275244403</v>
      </c>
      <c r="Q18" s="375">
        <v>3.5830352175562075</v>
      </c>
      <c r="R18" s="375">
        <v>0.67583448337990049</v>
      </c>
      <c r="S18" s="375"/>
      <c r="T18" s="375">
        <v>0.3078779299999998</v>
      </c>
      <c r="U18" s="375">
        <v>6.5971095142836784</v>
      </c>
      <c r="V18" s="50">
        <v>6.5912788962292588</v>
      </c>
      <c r="W18" s="50">
        <v>20</v>
      </c>
      <c r="X18" s="8"/>
      <c r="Y18" s="8"/>
      <c r="Z18" s="9"/>
      <c r="AA18" s="9"/>
      <c r="AB18" s="9"/>
      <c r="AC18" s="9"/>
      <c r="AD18" s="9"/>
      <c r="AE18" s="198"/>
      <c r="AF18" s="198"/>
      <c r="AG18" s="198"/>
      <c r="AH18" s="198"/>
      <c r="AI18" s="198"/>
      <c r="AJ18" s="198"/>
      <c r="AK18" s="198"/>
      <c r="AL18" s="198"/>
      <c r="AM18" s="198"/>
      <c r="AN18" s="198"/>
      <c r="AO18" s="198"/>
      <c r="AP18" s="198"/>
      <c r="AQ18" s="198"/>
      <c r="AR18" s="198"/>
      <c r="AS18" s="198"/>
      <c r="AT18" s="198"/>
      <c r="AU18" s="198"/>
    </row>
    <row r="19" spans="1:47">
      <c r="A19" s="12"/>
      <c r="B19" s="12"/>
      <c r="C19" s="12"/>
      <c r="D19" s="12"/>
      <c r="E19" s="12"/>
      <c r="F19" s="173" t="s">
        <v>14</v>
      </c>
      <c r="G19" s="384" t="s">
        <v>32</v>
      </c>
      <c r="H19" s="385"/>
      <c r="I19" s="385"/>
      <c r="J19" s="367">
        <v>96.385254729241879</v>
      </c>
      <c r="K19" s="373" t="s">
        <v>20</v>
      </c>
      <c r="L19" s="50" t="s">
        <v>20</v>
      </c>
      <c r="M19" s="50">
        <v>0</v>
      </c>
      <c r="N19" s="374">
        <v>0</v>
      </c>
      <c r="O19" s="376">
        <v>0</v>
      </c>
      <c r="P19" s="375">
        <v>-2.5060166229602889</v>
      </c>
      <c r="Q19" s="375">
        <v>-2.4674295714323651</v>
      </c>
      <c r="R19" s="375">
        <v>-0.66707176255729972</v>
      </c>
      <c r="S19" s="375"/>
      <c r="T19" s="375"/>
      <c r="U19" s="375">
        <v>83.478960000000001</v>
      </c>
      <c r="V19" s="50" t="s">
        <v>20</v>
      </c>
      <c r="W19" s="50" t="s">
        <v>20</v>
      </c>
      <c r="X19" s="8"/>
      <c r="Y19" s="8"/>
      <c r="Z19" s="9"/>
      <c r="AA19" s="9"/>
      <c r="AB19" s="9"/>
      <c r="AC19" s="9"/>
      <c r="AD19" s="9"/>
      <c r="AE19" s="198"/>
      <c r="AF19" s="198"/>
      <c r="AG19" s="198"/>
      <c r="AH19" s="198"/>
      <c r="AI19" s="198"/>
      <c r="AJ19" s="198"/>
      <c r="AK19" s="198"/>
      <c r="AL19" s="198"/>
      <c r="AM19" s="198"/>
      <c r="AN19" s="198"/>
      <c r="AO19" s="198"/>
      <c r="AP19" s="198"/>
      <c r="AQ19" s="198"/>
      <c r="AR19" s="198"/>
      <c r="AS19" s="198"/>
      <c r="AT19" s="198"/>
      <c r="AU19" s="198"/>
    </row>
    <row r="20" spans="1:47">
      <c r="A20" s="12"/>
      <c r="B20" s="12"/>
      <c r="C20" s="12"/>
      <c r="D20" s="12"/>
      <c r="E20" s="12"/>
      <c r="F20" s="173" t="s">
        <v>15</v>
      </c>
      <c r="G20" s="384" t="s">
        <v>141</v>
      </c>
      <c r="H20" s="385"/>
      <c r="I20" s="385"/>
      <c r="J20" s="367">
        <v>106.13037685559563</v>
      </c>
      <c r="K20" s="373" t="s">
        <v>20</v>
      </c>
      <c r="L20" s="50" t="s">
        <v>20</v>
      </c>
      <c r="M20" s="50">
        <v>0</v>
      </c>
      <c r="N20" s="374">
        <v>0</v>
      </c>
      <c r="O20" s="376">
        <v>0</v>
      </c>
      <c r="P20" s="375">
        <v>-2.7593897982454862</v>
      </c>
      <c r="Q20" s="375">
        <v>5.9553694764592276E-2</v>
      </c>
      <c r="R20" s="375">
        <v>2.4458975599457162E-2</v>
      </c>
      <c r="S20" s="375"/>
      <c r="T20" s="375"/>
      <c r="U20" s="375">
        <v>94.584698999999986</v>
      </c>
      <c r="V20" s="50" t="s">
        <v>20</v>
      </c>
      <c r="W20" s="50" t="s">
        <v>20</v>
      </c>
      <c r="X20" s="8"/>
      <c r="Y20" s="8"/>
      <c r="Z20" s="9"/>
      <c r="AA20" s="9"/>
      <c r="AB20" s="9"/>
      <c r="AC20" s="9"/>
      <c r="AD20" s="9"/>
      <c r="AE20" s="198"/>
      <c r="AF20" s="198"/>
      <c r="AG20" s="198"/>
      <c r="AH20" s="198"/>
      <c r="AI20" s="198"/>
      <c r="AJ20" s="198"/>
      <c r="AK20" s="198"/>
      <c r="AL20" s="198"/>
      <c r="AM20" s="198"/>
      <c r="AN20" s="198"/>
      <c r="AO20" s="198"/>
      <c r="AP20" s="198"/>
      <c r="AQ20" s="198"/>
      <c r="AR20" s="198"/>
      <c r="AS20" s="198"/>
      <c r="AT20" s="198"/>
      <c r="AU20" s="198"/>
    </row>
    <row r="21" spans="1:47">
      <c r="A21" s="12"/>
      <c r="B21" s="12"/>
      <c r="C21" s="12"/>
      <c r="D21" s="12"/>
      <c r="E21" s="12"/>
      <c r="F21" s="173" t="s">
        <v>16</v>
      </c>
      <c r="G21" s="384"/>
      <c r="H21" s="385"/>
      <c r="I21" s="385"/>
      <c r="J21" s="367"/>
      <c r="K21" s="373" t="s">
        <v>20</v>
      </c>
      <c r="L21" s="50" t="s">
        <v>20</v>
      </c>
      <c r="M21" s="375"/>
      <c r="N21" s="374">
        <v>0</v>
      </c>
      <c r="O21" s="377">
        <v>0</v>
      </c>
      <c r="P21" s="375"/>
      <c r="Q21" s="375"/>
      <c r="R21" s="375"/>
      <c r="S21" s="375"/>
      <c r="T21" s="375"/>
      <c r="U21" s="375"/>
      <c r="V21" s="50" t="s">
        <v>20</v>
      </c>
      <c r="W21" s="50" t="s">
        <v>20</v>
      </c>
      <c r="X21" s="8"/>
      <c r="Y21" s="8"/>
      <c r="Z21" s="9"/>
      <c r="AA21" s="9"/>
      <c r="AB21" s="9"/>
      <c r="AC21" s="9"/>
      <c r="AD21" s="9"/>
      <c r="AE21" s="198"/>
      <c r="AF21" s="198"/>
      <c r="AG21" s="198"/>
      <c r="AH21" s="198"/>
      <c r="AI21" s="198"/>
      <c r="AJ21" s="198"/>
      <c r="AK21" s="198"/>
      <c r="AL21" s="198"/>
      <c r="AM21" s="198"/>
      <c r="AN21" s="198"/>
      <c r="AO21" s="198"/>
      <c r="AP21" s="198"/>
      <c r="AQ21" s="198"/>
      <c r="AR21" s="198"/>
      <c r="AS21" s="198"/>
      <c r="AT21" s="198"/>
      <c r="AU21" s="198"/>
    </row>
    <row r="22" spans="1:47">
      <c r="A22" s="12"/>
      <c r="B22" s="12"/>
      <c r="C22" s="12"/>
      <c r="D22" s="12"/>
      <c r="E22" s="12"/>
      <c r="F22" s="173" t="s">
        <v>17</v>
      </c>
      <c r="G22" s="384"/>
      <c r="H22" s="385"/>
      <c r="I22" s="385"/>
      <c r="J22" s="367"/>
      <c r="K22" s="373" t="s">
        <v>20</v>
      </c>
      <c r="L22" s="50" t="s">
        <v>20</v>
      </c>
      <c r="M22" s="375"/>
      <c r="N22" s="375"/>
      <c r="O22" s="375"/>
      <c r="P22" s="375"/>
      <c r="Q22" s="375"/>
      <c r="R22" s="375"/>
      <c r="S22" s="375"/>
      <c r="T22" s="375"/>
      <c r="U22" s="375"/>
      <c r="V22" s="50" t="s">
        <v>20</v>
      </c>
      <c r="W22" s="50" t="s">
        <v>20</v>
      </c>
      <c r="X22" s="8"/>
      <c r="Y22" s="8"/>
      <c r="Z22" s="9"/>
      <c r="AA22" s="9"/>
      <c r="AB22" s="9"/>
      <c r="AC22" s="9"/>
      <c r="AD22" s="9"/>
      <c r="AE22" s="198"/>
      <c r="AF22" s="198"/>
      <c r="AG22" s="198"/>
      <c r="AH22" s="198"/>
      <c r="AI22" s="198"/>
      <c r="AJ22" s="198"/>
      <c r="AK22" s="198"/>
      <c r="AL22" s="198"/>
      <c r="AM22" s="198"/>
      <c r="AN22" s="198"/>
      <c r="AO22" s="198"/>
      <c r="AP22" s="198"/>
      <c r="AQ22" s="198"/>
      <c r="AR22" s="198"/>
      <c r="AS22" s="198"/>
      <c r="AT22" s="198"/>
      <c r="AU22" s="198"/>
    </row>
    <row r="23" spans="1:47">
      <c r="A23" s="12"/>
      <c r="B23" s="12"/>
      <c r="C23" s="12"/>
      <c r="D23" s="12"/>
      <c r="E23" s="12"/>
      <c r="F23" s="303" t="s">
        <v>18</v>
      </c>
      <c r="G23" s="384"/>
      <c r="H23" s="385"/>
      <c r="I23" s="385"/>
      <c r="J23" s="367"/>
      <c r="K23" s="373" t="s">
        <v>20</v>
      </c>
      <c r="L23" s="50" t="s">
        <v>20</v>
      </c>
      <c r="M23" s="375"/>
      <c r="N23" s="375"/>
      <c r="O23" s="375"/>
      <c r="P23" s="375"/>
      <c r="Q23" s="375"/>
      <c r="R23" s="375"/>
      <c r="S23" s="375"/>
      <c r="T23" s="375"/>
      <c r="U23" s="375"/>
      <c r="V23" s="50" t="s">
        <v>20</v>
      </c>
      <c r="W23" s="50" t="s">
        <v>20</v>
      </c>
      <c r="X23" s="8"/>
      <c r="Y23" s="8"/>
      <c r="Z23" s="9"/>
      <c r="AA23" s="9"/>
      <c r="AB23" s="9"/>
      <c r="AC23" s="9"/>
      <c r="AD23" s="9"/>
      <c r="AE23" s="198"/>
      <c r="AF23" s="198"/>
      <c r="AG23" s="198"/>
      <c r="AH23" s="198"/>
      <c r="AI23" s="198"/>
      <c r="AJ23" s="198"/>
      <c r="AK23" s="198"/>
      <c r="AL23" s="198"/>
      <c r="AM23" s="198"/>
      <c r="AN23" s="198"/>
      <c r="AO23" s="198"/>
      <c r="AP23" s="198"/>
      <c r="AQ23" s="198"/>
      <c r="AR23" s="198"/>
      <c r="AS23" s="198"/>
      <c r="AT23" s="198"/>
      <c r="AU23" s="198"/>
    </row>
    <row r="24" spans="1:47">
      <c r="A24" s="12"/>
      <c r="B24" s="12"/>
      <c r="C24" s="12"/>
      <c r="D24" s="12"/>
      <c r="E24" s="12"/>
      <c r="F24" s="303" t="s">
        <v>22</v>
      </c>
      <c r="G24" s="384"/>
      <c r="H24" s="385"/>
      <c r="I24" s="385"/>
      <c r="J24" s="367"/>
      <c r="K24" s="373" t="s">
        <v>20</v>
      </c>
      <c r="L24" s="50" t="s">
        <v>20</v>
      </c>
      <c r="M24" s="375"/>
      <c r="N24" s="375"/>
      <c r="O24" s="375"/>
      <c r="P24" s="375"/>
      <c r="Q24" s="375"/>
      <c r="R24" s="375"/>
      <c r="S24" s="375"/>
      <c r="T24" s="375"/>
      <c r="U24" s="375"/>
      <c r="V24" s="50" t="s">
        <v>20</v>
      </c>
      <c r="W24" s="50" t="s">
        <v>20</v>
      </c>
      <c r="X24" s="8"/>
      <c r="Y24" s="8"/>
      <c r="Z24" s="9"/>
      <c r="AA24" s="9"/>
      <c r="AB24" s="9"/>
      <c r="AC24" s="9"/>
      <c r="AD24" s="9"/>
      <c r="AE24" s="198"/>
      <c r="AF24" s="198"/>
      <c r="AG24" s="198"/>
      <c r="AH24" s="198"/>
      <c r="AI24" s="198"/>
      <c r="AJ24" s="198"/>
      <c r="AK24" s="198"/>
      <c r="AL24" s="198"/>
      <c r="AM24" s="198"/>
      <c r="AN24" s="198"/>
      <c r="AO24" s="198"/>
      <c r="AP24" s="198"/>
      <c r="AQ24" s="198"/>
      <c r="AR24" s="198"/>
      <c r="AS24" s="198"/>
      <c r="AT24" s="198"/>
      <c r="AU24" s="198"/>
    </row>
    <row r="25" spans="1:47">
      <c r="A25" s="12"/>
      <c r="B25" s="12"/>
      <c r="C25" s="12"/>
      <c r="D25" s="12"/>
      <c r="E25" s="12"/>
      <c r="F25" s="303" t="s">
        <v>23</v>
      </c>
      <c r="G25" s="384"/>
      <c r="H25" s="385"/>
      <c r="I25" s="385"/>
      <c r="J25" s="367"/>
      <c r="K25" s="373" t="s">
        <v>20</v>
      </c>
      <c r="L25" s="50" t="s">
        <v>20</v>
      </c>
      <c r="M25" s="375"/>
      <c r="N25" s="375"/>
      <c r="O25" s="375"/>
      <c r="P25" s="375"/>
      <c r="Q25" s="375"/>
      <c r="R25" s="375"/>
      <c r="S25" s="375"/>
      <c r="T25" s="375"/>
      <c r="U25" s="375"/>
      <c r="V25" s="50" t="s">
        <v>20</v>
      </c>
      <c r="W25" s="50" t="s">
        <v>20</v>
      </c>
      <c r="X25" s="8"/>
      <c r="Y25" s="8"/>
      <c r="Z25" s="9"/>
      <c r="AA25" s="9"/>
      <c r="AB25" s="9"/>
      <c r="AC25" s="9"/>
      <c r="AD25" s="9"/>
      <c r="AE25" s="198"/>
      <c r="AF25" s="198"/>
      <c r="AG25" s="198"/>
      <c r="AH25" s="198"/>
      <c r="AI25" s="198"/>
      <c r="AJ25" s="198"/>
      <c r="AK25" s="198"/>
      <c r="AL25" s="198"/>
      <c r="AM25" s="198"/>
      <c r="AN25" s="198"/>
      <c r="AO25" s="198"/>
      <c r="AP25" s="198"/>
      <c r="AQ25" s="198"/>
      <c r="AR25" s="198"/>
      <c r="AS25" s="198"/>
      <c r="AT25" s="198"/>
      <c r="AU25" s="198"/>
    </row>
    <row r="26" spans="1:47">
      <c r="A26" s="12"/>
      <c r="B26" s="12"/>
      <c r="C26" s="12"/>
      <c r="D26" s="12"/>
      <c r="E26" s="12"/>
      <c r="F26" s="303" t="s">
        <v>24</v>
      </c>
      <c r="G26" s="384"/>
      <c r="H26" s="385"/>
      <c r="I26" s="385"/>
      <c r="J26" s="367"/>
      <c r="K26" s="373" t="s">
        <v>20</v>
      </c>
      <c r="L26" s="50" t="s">
        <v>20</v>
      </c>
      <c r="M26" s="375"/>
      <c r="N26" s="375"/>
      <c r="O26" s="375"/>
      <c r="P26" s="375"/>
      <c r="Q26" s="375"/>
      <c r="R26" s="375"/>
      <c r="S26" s="375"/>
      <c r="T26" s="375"/>
      <c r="U26" s="375"/>
      <c r="V26" s="50" t="s">
        <v>20</v>
      </c>
      <c r="W26" s="50" t="s">
        <v>20</v>
      </c>
      <c r="X26" s="8"/>
      <c r="Y26" s="8"/>
      <c r="Z26" s="9"/>
      <c r="AA26" s="9"/>
      <c r="AB26" s="9"/>
      <c r="AC26" s="9"/>
      <c r="AD26" s="9"/>
      <c r="AE26" s="198"/>
      <c r="AF26" s="198"/>
      <c r="AG26" s="198"/>
      <c r="AH26" s="198"/>
      <c r="AI26" s="198"/>
      <c r="AJ26" s="198"/>
      <c r="AK26" s="198"/>
      <c r="AL26" s="198"/>
      <c r="AM26" s="198"/>
      <c r="AN26" s="198"/>
      <c r="AO26" s="198"/>
      <c r="AP26" s="198"/>
      <c r="AQ26" s="198"/>
      <c r="AR26" s="198"/>
      <c r="AS26" s="198"/>
      <c r="AT26" s="198"/>
      <c r="AU26" s="198"/>
    </row>
    <row r="27" spans="1:47">
      <c r="A27" s="12"/>
      <c r="B27" s="12"/>
      <c r="C27" s="12"/>
      <c r="D27" s="12"/>
      <c r="E27" s="12"/>
      <c r="F27" s="303" t="s">
        <v>112</v>
      </c>
      <c r="G27" s="384"/>
      <c r="H27" s="385"/>
      <c r="I27" s="385"/>
      <c r="J27" s="367"/>
      <c r="K27" s="373" t="s">
        <v>20</v>
      </c>
      <c r="L27" s="50" t="s">
        <v>20</v>
      </c>
      <c r="M27" s="375"/>
      <c r="N27" s="375"/>
      <c r="O27" s="375"/>
      <c r="P27" s="375"/>
      <c r="Q27" s="375"/>
      <c r="R27" s="375"/>
      <c r="S27" s="375"/>
      <c r="T27" s="375"/>
      <c r="U27" s="375"/>
      <c r="V27" s="50" t="s">
        <v>20</v>
      </c>
      <c r="W27" s="50" t="s">
        <v>20</v>
      </c>
      <c r="X27" s="8"/>
      <c r="Y27" s="8"/>
      <c r="Z27" s="9"/>
      <c r="AA27" s="9"/>
      <c r="AB27" s="9"/>
      <c r="AC27" s="9"/>
      <c r="AD27" s="9"/>
      <c r="AE27" s="198"/>
      <c r="AF27" s="198"/>
      <c r="AG27" s="198"/>
      <c r="AH27" s="198"/>
      <c r="AI27" s="198"/>
      <c r="AJ27" s="198"/>
      <c r="AK27" s="198"/>
      <c r="AL27" s="198"/>
      <c r="AM27" s="198"/>
      <c r="AN27" s="198"/>
      <c r="AO27" s="198"/>
      <c r="AP27" s="198"/>
      <c r="AQ27" s="198"/>
      <c r="AR27" s="198"/>
      <c r="AS27" s="198"/>
      <c r="AT27" s="198"/>
      <c r="AU27" s="198"/>
    </row>
    <row r="28" spans="1:47">
      <c r="A28" s="12"/>
      <c r="B28" s="12"/>
      <c r="C28" s="12"/>
      <c r="D28" s="12"/>
      <c r="E28" s="12"/>
      <c r="F28" s="303" t="s">
        <v>113</v>
      </c>
      <c r="G28" s="384"/>
      <c r="H28" s="385"/>
      <c r="I28" s="385"/>
      <c r="J28" s="367"/>
      <c r="K28" s="373" t="s">
        <v>20</v>
      </c>
      <c r="L28" s="50" t="s">
        <v>20</v>
      </c>
      <c r="M28" s="375"/>
      <c r="N28" s="375"/>
      <c r="O28" s="375"/>
      <c r="P28" s="375"/>
      <c r="Q28" s="375"/>
      <c r="R28" s="375"/>
      <c r="S28" s="375"/>
      <c r="T28" s="375"/>
      <c r="U28" s="375"/>
      <c r="V28" s="50" t="s">
        <v>20</v>
      </c>
      <c r="W28" s="50" t="s">
        <v>20</v>
      </c>
      <c r="X28" s="8"/>
      <c r="Y28" s="8"/>
      <c r="Z28" s="9"/>
      <c r="AA28" s="9"/>
      <c r="AB28" s="9"/>
      <c r="AC28" s="9"/>
      <c r="AD28" s="9"/>
      <c r="AE28" s="198"/>
      <c r="AF28" s="198"/>
      <c r="AG28" s="198"/>
      <c r="AH28" s="198"/>
      <c r="AI28" s="198"/>
      <c r="AJ28" s="198"/>
      <c r="AK28" s="198"/>
      <c r="AL28" s="198"/>
      <c r="AM28" s="198"/>
      <c r="AN28" s="198"/>
      <c r="AO28" s="198"/>
      <c r="AP28" s="198"/>
      <c r="AQ28" s="198"/>
      <c r="AR28" s="198"/>
      <c r="AS28" s="198"/>
      <c r="AT28" s="198"/>
      <c r="AU28" s="198"/>
    </row>
    <row r="29" spans="1:47">
      <c r="A29" s="12"/>
      <c r="B29" s="12"/>
      <c r="C29" s="12"/>
      <c r="D29" s="12"/>
      <c r="E29" s="12"/>
      <c r="F29" s="303" t="s">
        <v>114</v>
      </c>
      <c r="G29" s="384"/>
      <c r="H29" s="385"/>
      <c r="I29" s="385"/>
      <c r="J29" s="367"/>
      <c r="K29" s="373" t="s">
        <v>20</v>
      </c>
      <c r="L29" s="50" t="s">
        <v>20</v>
      </c>
      <c r="M29" s="375"/>
      <c r="N29" s="375"/>
      <c r="O29" s="375"/>
      <c r="P29" s="375"/>
      <c r="Q29" s="375"/>
      <c r="R29" s="375"/>
      <c r="S29" s="375"/>
      <c r="T29" s="375"/>
      <c r="U29" s="375"/>
      <c r="V29" s="50" t="s">
        <v>20</v>
      </c>
      <c r="W29" s="50" t="s">
        <v>20</v>
      </c>
      <c r="X29" s="8"/>
      <c r="Y29" s="8"/>
      <c r="Z29" s="9"/>
      <c r="AA29" s="9"/>
      <c r="AB29" s="9"/>
      <c r="AC29" s="9"/>
      <c r="AD29" s="9"/>
      <c r="AE29" s="198"/>
      <c r="AF29" s="198"/>
      <c r="AG29" s="198"/>
      <c r="AH29" s="198"/>
      <c r="AI29" s="198"/>
      <c r="AJ29" s="198"/>
      <c r="AK29" s="198"/>
      <c r="AL29" s="198"/>
      <c r="AM29" s="198"/>
      <c r="AN29" s="198"/>
      <c r="AO29" s="198"/>
      <c r="AP29" s="198"/>
      <c r="AQ29" s="198"/>
      <c r="AR29" s="198"/>
      <c r="AS29" s="198"/>
      <c r="AT29" s="198"/>
      <c r="AU29" s="198"/>
    </row>
    <row r="30" spans="1:47">
      <c r="A30" s="12"/>
      <c r="B30" s="12"/>
      <c r="C30" s="12"/>
      <c r="D30" s="12"/>
      <c r="E30" s="12"/>
      <c r="F30" s="303" t="s">
        <v>115</v>
      </c>
      <c r="G30" s="384"/>
      <c r="H30" s="385"/>
      <c r="I30" s="385"/>
      <c r="J30" s="367"/>
      <c r="K30" s="373" t="s">
        <v>20</v>
      </c>
      <c r="L30" s="50" t="s">
        <v>20</v>
      </c>
      <c r="M30" s="375"/>
      <c r="N30" s="375"/>
      <c r="O30" s="375"/>
      <c r="P30" s="375"/>
      <c r="Q30" s="375"/>
      <c r="R30" s="375"/>
      <c r="S30" s="375"/>
      <c r="T30" s="375"/>
      <c r="U30" s="375"/>
      <c r="V30" s="50" t="s">
        <v>20</v>
      </c>
      <c r="W30" s="50" t="s">
        <v>20</v>
      </c>
      <c r="X30" s="8"/>
      <c r="Y30" s="8"/>
      <c r="Z30" s="9"/>
      <c r="AA30" s="9"/>
      <c r="AB30" s="9"/>
      <c r="AC30" s="9"/>
      <c r="AD30" s="9"/>
      <c r="AE30" s="198"/>
      <c r="AF30" s="198"/>
      <c r="AG30" s="198"/>
      <c r="AH30" s="198"/>
      <c r="AI30" s="198"/>
      <c r="AJ30" s="198"/>
      <c r="AK30" s="198"/>
      <c r="AL30" s="198"/>
      <c r="AM30" s="198"/>
      <c r="AN30" s="198"/>
      <c r="AO30" s="198"/>
      <c r="AP30" s="198"/>
      <c r="AQ30" s="198"/>
      <c r="AR30" s="198"/>
      <c r="AS30" s="198"/>
      <c r="AT30" s="198"/>
      <c r="AU30" s="198"/>
    </row>
    <row r="31" spans="1:47">
      <c r="A31" s="12"/>
      <c r="B31" s="12"/>
      <c r="C31" s="12"/>
      <c r="D31" s="12"/>
      <c r="E31" s="12"/>
      <c r="F31" s="303" t="s">
        <v>116</v>
      </c>
      <c r="G31" s="384"/>
      <c r="H31" s="385"/>
      <c r="I31" s="385"/>
      <c r="J31" s="367"/>
      <c r="K31" s="373" t="s">
        <v>20</v>
      </c>
      <c r="L31" s="50" t="s">
        <v>20</v>
      </c>
      <c r="M31" s="375"/>
      <c r="N31" s="375"/>
      <c r="O31" s="375"/>
      <c r="P31" s="375"/>
      <c r="Q31" s="375"/>
      <c r="R31" s="375"/>
      <c r="S31" s="375"/>
      <c r="T31" s="375"/>
      <c r="U31" s="375"/>
      <c r="V31" s="50" t="s">
        <v>20</v>
      </c>
      <c r="W31" s="50" t="s">
        <v>20</v>
      </c>
      <c r="X31" s="8"/>
      <c r="Y31" s="8"/>
      <c r="Z31" s="9"/>
      <c r="AA31" s="9"/>
      <c r="AB31" s="9"/>
      <c r="AC31" s="9"/>
      <c r="AD31" s="9"/>
      <c r="AE31" s="198"/>
      <c r="AF31" s="198"/>
      <c r="AG31" s="198"/>
      <c r="AH31" s="198"/>
      <c r="AI31" s="198"/>
      <c r="AJ31" s="198"/>
      <c r="AK31" s="198"/>
      <c r="AL31" s="198"/>
      <c r="AM31" s="198"/>
      <c r="AN31" s="198"/>
      <c r="AO31" s="198"/>
      <c r="AP31" s="198"/>
      <c r="AQ31" s="198"/>
      <c r="AR31" s="198"/>
      <c r="AS31" s="198"/>
      <c r="AT31" s="198"/>
      <c r="AU31" s="198"/>
    </row>
    <row r="32" spans="1:47">
      <c r="A32" s="12"/>
      <c r="B32" s="12"/>
      <c r="C32" s="12"/>
      <c r="D32" s="12"/>
      <c r="E32" s="12"/>
      <c r="F32" s="303" t="s">
        <v>117</v>
      </c>
      <c r="G32" s="384"/>
      <c r="H32" s="385"/>
      <c r="I32" s="385"/>
      <c r="J32" s="367"/>
      <c r="K32" s="373" t="s">
        <v>20</v>
      </c>
      <c r="L32" s="50" t="s">
        <v>20</v>
      </c>
      <c r="M32" s="375"/>
      <c r="N32" s="375"/>
      <c r="O32" s="375"/>
      <c r="P32" s="375"/>
      <c r="Q32" s="375"/>
      <c r="R32" s="375"/>
      <c r="S32" s="375"/>
      <c r="T32" s="375"/>
      <c r="U32" s="375"/>
      <c r="V32" s="50" t="s">
        <v>20</v>
      </c>
      <c r="W32" s="50" t="s">
        <v>20</v>
      </c>
      <c r="X32" s="8"/>
      <c r="Y32" s="8"/>
      <c r="Z32" s="9"/>
      <c r="AA32" s="9"/>
      <c r="AB32" s="9"/>
      <c r="AC32" s="9"/>
      <c r="AD32" s="9"/>
      <c r="AE32" s="198"/>
      <c r="AF32" s="198"/>
      <c r="AG32" s="198"/>
      <c r="AH32" s="198"/>
      <c r="AI32" s="198"/>
      <c r="AJ32" s="198"/>
      <c r="AK32" s="198"/>
      <c r="AL32" s="198"/>
      <c r="AM32" s="198"/>
      <c r="AN32" s="198"/>
      <c r="AO32" s="198"/>
      <c r="AP32" s="198"/>
      <c r="AQ32" s="198"/>
      <c r="AR32" s="198"/>
      <c r="AS32" s="198"/>
      <c r="AT32" s="198"/>
      <c r="AU32" s="198"/>
    </row>
    <row r="33" spans="1:47">
      <c r="A33" s="12"/>
      <c r="B33" s="12"/>
      <c r="C33" s="12"/>
      <c r="D33" s="12"/>
      <c r="E33" s="12"/>
      <c r="F33" s="303" t="s">
        <v>118</v>
      </c>
      <c r="G33" s="384"/>
      <c r="H33" s="385"/>
      <c r="I33" s="385"/>
      <c r="J33" s="367"/>
      <c r="K33" s="373" t="s">
        <v>20</v>
      </c>
      <c r="L33" s="50" t="s">
        <v>20</v>
      </c>
      <c r="M33" s="375"/>
      <c r="N33" s="375"/>
      <c r="O33" s="375"/>
      <c r="P33" s="375"/>
      <c r="Q33" s="375"/>
      <c r="R33" s="375"/>
      <c r="S33" s="375"/>
      <c r="T33" s="375"/>
      <c r="U33" s="375"/>
      <c r="V33" s="50" t="s">
        <v>20</v>
      </c>
      <c r="W33" s="50" t="s">
        <v>20</v>
      </c>
      <c r="X33" s="8"/>
      <c r="Y33" s="8"/>
      <c r="Z33" s="9"/>
      <c r="AA33" s="9"/>
      <c r="AB33" s="9"/>
      <c r="AC33" s="9"/>
      <c r="AD33" s="9"/>
      <c r="AE33" s="198"/>
      <c r="AF33" s="198"/>
      <c r="AG33" s="198"/>
      <c r="AH33" s="198"/>
      <c r="AI33" s="198"/>
      <c r="AJ33" s="198"/>
      <c r="AK33" s="198"/>
      <c r="AL33" s="198"/>
      <c r="AM33" s="198"/>
      <c r="AN33" s="198"/>
      <c r="AO33" s="198"/>
      <c r="AP33" s="198"/>
      <c r="AQ33" s="198"/>
      <c r="AR33" s="198"/>
      <c r="AS33" s="198"/>
      <c r="AT33" s="198"/>
      <c r="AU33" s="198"/>
    </row>
    <row r="34" spans="1:47">
      <c r="A34" s="12"/>
      <c r="B34" s="12"/>
      <c r="C34" s="12"/>
      <c r="D34" s="12"/>
      <c r="E34" s="12"/>
      <c r="F34" s="303" t="s">
        <v>119</v>
      </c>
      <c r="G34" s="384"/>
      <c r="H34" s="385"/>
      <c r="I34" s="385"/>
      <c r="J34" s="367"/>
      <c r="K34" s="373" t="s">
        <v>20</v>
      </c>
      <c r="L34" s="50" t="s">
        <v>20</v>
      </c>
      <c r="M34" s="375"/>
      <c r="N34" s="375"/>
      <c r="O34" s="375"/>
      <c r="P34" s="375"/>
      <c r="Q34" s="375"/>
      <c r="R34" s="375"/>
      <c r="S34" s="375"/>
      <c r="T34" s="375"/>
      <c r="U34" s="375"/>
      <c r="V34" s="50" t="s">
        <v>20</v>
      </c>
      <c r="W34" s="50" t="s">
        <v>20</v>
      </c>
      <c r="X34" s="8"/>
      <c r="Y34" s="8"/>
      <c r="Z34" s="9"/>
      <c r="AA34" s="9"/>
      <c r="AB34" s="9"/>
      <c r="AC34" s="9"/>
      <c r="AD34" s="9"/>
      <c r="AE34" s="198"/>
      <c r="AF34" s="198"/>
      <c r="AG34" s="198"/>
      <c r="AH34" s="198"/>
      <c r="AI34" s="198"/>
      <c r="AJ34" s="198"/>
      <c r="AK34" s="198"/>
      <c r="AL34" s="198"/>
      <c r="AM34" s="198"/>
      <c r="AN34" s="198"/>
      <c r="AO34" s="198"/>
      <c r="AP34" s="198"/>
      <c r="AQ34" s="198"/>
      <c r="AR34" s="198"/>
      <c r="AS34" s="198"/>
      <c r="AT34" s="198"/>
      <c r="AU34" s="198"/>
    </row>
    <row r="35" spans="1:47">
      <c r="A35" s="12"/>
      <c r="B35" s="12"/>
      <c r="C35" s="12"/>
      <c r="D35" s="12"/>
      <c r="E35" s="12"/>
      <c r="F35" s="303" t="s">
        <v>120</v>
      </c>
      <c r="G35" s="384"/>
      <c r="H35" s="385"/>
      <c r="I35" s="385"/>
      <c r="J35" s="367"/>
      <c r="K35" s="373" t="s">
        <v>20</v>
      </c>
      <c r="L35" s="50" t="s">
        <v>20</v>
      </c>
      <c r="M35" s="375"/>
      <c r="N35" s="375"/>
      <c r="O35" s="375"/>
      <c r="P35" s="375"/>
      <c r="Q35" s="375"/>
      <c r="R35" s="375"/>
      <c r="S35" s="375"/>
      <c r="T35" s="375"/>
      <c r="U35" s="375"/>
      <c r="V35" s="50" t="s">
        <v>20</v>
      </c>
      <c r="W35" s="50" t="s">
        <v>20</v>
      </c>
      <c r="X35" s="8"/>
      <c r="Y35" s="8"/>
      <c r="Z35" s="9"/>
      <c r="AA35" s="9"/>
      <c r="AB35" s="9"/>
      <c r="AC35" s="9"/>
      <c r="AD35" s="9"/>
      <c r="AE35" s="198"/>
      <c r="AF35" s="198"/>
      <c r="AG35" s="198"/>
      <c r="AH35" s="198"/>
      <c r="AI35" s="198"/>
      <c r="AJ35" s="198"/>
      <c r="AK35" s="198"/>
      <c r="AL35" s="198"/>
      <c r="AM35" s="198"/>
      <c r="AN35" s="198"/>
      <c r="AO35" s="198"/>
      <c r="AP35" s="198"/>
      <c r="AQ35" s="198"/>
      <c r="AR35" s="198"/>
      <c r="AS35" s="198"/>
      <c r="AT35" s="198"/>
      <c r="AU35" s="198"/>
    </row>
    <row r="36" spans="1:47">
      <c r="A36" s="12"/>
      <c r="B36" s="12"/>
      <c r="C36" s="12"/>
      <c r="D36" s="12"/>
      <c r="E36" s="12"/>
      <c r="F36" s="303" t="s">
        <v>121</v>
      </c>
      <c r="G36" s="384"/>
      <c r="H36" s="385"/>
      <c r="I36" s="385"/>
      <c r="J36" s="367"/>
      <c r="K36" s="373" t="s">
        <v>20</v>
      </c>
      <c r="L36" s="50" t="s">
        <v>20</v>
      </c>
      <c r="M36" s="375"/>
      <c r="N36" s="375"/>
      <c r="O36" s="375"/>
      <c r="P36" s="375"/>
      <c r="Q36" s="375"/>
      <c r="R36" s="375"/>
      <c r="S36" s="375"/>
      <c r="T36" s="375"/>
      <c r="U36" s="375"/>
      <c r="V36" s="50" t="s">
        <v>20</v>
      </c>
      <c r="W36" s="50" t="s">
        <v>20</v>
      </c>
      <c r="X36" s="8"/>
      <c r="Y36" s="8"/>
      <c r="Z36" s="9"/>
      <c r="AA36" s="9"/>
      <c r="AB36" s="9"/>
      <c r="AC36" s="9"/>
      <c r="AD36" s="9"/>
      <c r="AE36" s="198"/>
      <c r="AF36" s="198"/>
      <c r="AG36" s="198"/>
      <c r="AH36" s="198"/>
      <c r="AI36" s="198"/>
      <c r="AJ36" s="198"/>
      <c r="AK36" s="198"/>
      <c r="AL36" s="198"/>
      <c r="AM36" s="198"/>
      <c r="AN36" s="198"/>
      <c r="AO36" s="198"/>
      <c r="AP36" s="198"/>
      <c r="AQ36" s="198"/>
      <c r="AR36" s="198"/>
      <c r="AS36" s="198"/>
      <c r="AT36" s="198"/>
      <c r="AU36" s="198"/>
    </row>
    <row r="37" spans="1:47">
      <c r="A37" s="12"/>
      <c r="B37" s="12"/>
      <c r="C37" s="12"/>
      <c r="D37" s="12"/>
      <c r="E37" s="12"/>
      <c r="F37" s="173" t="s">
        <v>19</v>
      </c>
      <c r="G37" s="155"/>
      <c r="H37" s="155"/>
      <c r="I37" s="155"/>
      <c r="J37" s="368">
        <f>SUM(J7:J36)</f>
        <v>1956.232102585243</v>
      </c>
      <c r="K37" s="61"/>
      <c r="L37" s="36"/>
      <c r="M37" s="368">
        <f t="shared" ref="M37:U37" si="0">SUM(M7:M36)</f>
        <v>85.232652528569361</v>
      </c>
      <c r="N37" s="368">
        <f t="shared" si="0"/>
        <v>115.84899999999999</v>
      </c>
      <c r="O37" s="378">
        <f t="shared" si="0"/>
        <v>116.51474198763486</v>
      </c>
      <c r="P37" s="368">
        <f t="shared" si="0"/>
        <v>45.523352281960584</v>
      </c>
      <c r="Q37" s="368">
        <f t="shared" si="0"/>
        <v>81.395520835936082</v>
      </c>
      <c r="R37" s="368">
        <f t="shared" si="0"/>
        <v>-18.986894388246089</v>
      </c>
      <c r="S37" s="368">
        <f t="shared" si="0"/>
        <v>17.003209000000002</v>
      </c>
      <c r="T37" s="382">
        <f t="shared" si="0"/>
        <v>39.219019383019834</v>
      </c>
      <c r="U37" s="368">
        <f t="shared" si="0"/>
        <v>1888.6786842065144</v>
      </c>
      <c r="V37" s="61"/>
      <c r="W37" s="61"/>
      <c r="X37" s="61"/>
      <c r="Z37" s="8"/>
      <c r="AA37" s="8"/>
      <c r="AB37" s="8"/>
      <c r="AC37" s="8"/>
      <c r="AD37" s="8"/>
      <c r="AE37" s="198"/>
      <c r="AF37" s="198"/>
      <c r="AG37" s="198"/>
      <c r="AH37" s="198"/>
      <c r="AI37" s="198"/>
      <c r="AJ37" s="198"/>
      <c r="AK37" s="198"/>
      <c r="AL37" s="198"/>
      <c r="AM37" s="198"/>
      <c r="AN37" s="198"/>
      <c r="AO37" s="198"/>
      <c r="AP37" s="198"/>
      <c r="AQ37" s="198"/>
      <c r="AR37" s="198"/>
      <c r="AS37" s="198"/>
      <c r="AT37" s="198"/>
      <c r="AU37" s="198"/>
    </row>
    <row r="38" spans="1:47" ht="21" customHeight="1">
      <c r="A38" s="12"/>
      <c r="B38" s="12"/>
      <c r="C38" s="12"/>
      <c r="D38" s="12"/>
      <c r="E38" s="12"/>
      <c r="F38" s="91"/>
      <c r="G38" s="157"/>
      <c r="H38" s="51">
        <v>1000</v>
      </c>
      <c r="I38" s="379"/>
      <c r="J38" s="379"/>
      <c r="K38" s="379"/>
      <c r="L38" s="379"/>
      <c r="M38" s="379"/>
      <c r="N38" s="379"/>
      <c r="O38" s="379"/>
      <c r="P38" s="379"/>
      <c r="Q38" s="379"/>
      <c r="R38" s="379"/>
      <c r="S38" s="379"/>
      <c r="T38" s="379"/>
      <c r="U38" s="379"/>
      <c r="V38" s="51"/>
      <c r="W38" s="51"/>
      <c r="X38" s="51"/>
      <c r="Y38" s="8"/>
      <c r="Z38" s="8"/>
      <c r="AA38" s="8"/>
      <c r="AB38" s="42"/>
      <c r="AC38" s="9"/>
      <c r="AD38" s="9"/>
      <c r="AE38" s="198"/>
      <c r="AF38" s="198"/>
      <c r="AG38" s="198"/>
      <c r="AH38" s="198"/>
      <c r="AI38" s="198"/>
      <c r="AJ38" s="198"/>
      <c r="AK38" s="198"/>
      <c r="AL38" s="198"/>
      <c r="AM38" s="198"/>
      <c r="AN38" s="198"/>
      <c r="AO38" s="198"/>
      <c r="AP38" s="198"/>
      <c r="AQ38" s="198"/>
      <c r="AR38" s="198"/>
      <c r="AS38" s="198"/>
      <c r="AT38" s="198"/>
      <c r="AU38" s="198"/>
    </row>
    <row r="39" spans="1:47" ht="16.5" customHeight="1">
      <c r="A39" s="74"/>
      <c r="B39" s="74"/>
      <c r="C39" s="74"/>
      <c r="D39" s="74"/>
      <c r="E39" s="74"/>
      <c r="F39" s="387" t="s">
        <v>79</v>
      </c>
      <c r="G39" s="387"/>
      <c r="H39" s="387"/>
      <c r="I39" s="156"/>
      <c r="J39" s="156"/>
      <c r="K39" s="77"/>
      <c r="L39" s="77"/>
      <c r="M39" s="75"/>
      <c r="N39" s="75"/>
      <c r="O39" s="75"/>
      <c r="P39" s="75"/>
      <c r="Q39" s="75"/>
      <c r="R39" s="75"/>
      <c r="S39" s="75"/>
      <c r="T39" s="75"/>
      <c r="U39" s="75"/>
      <c r="V39" s="75"/>
      <c r="W39" s="75"/>
      <c r="X39" s="8"/>
      <c r="Y39" s="8"/>
      <c r="Z39" s="8"/>
      <c r="AA39" s="8"/>
      <c r="AB39" s="42"/>
      <c r="AC39" s="9"/>
      <c r="AD39" s="9"/>
      <c r="AE39" s="198"/>
      <c r="AF39" s="198"/>
      <c r="AG39" s="198"/>
      <c r="AH39" s="198"/>
      <c r="AI39" s="198"/>
      <c r="AJ39" s="198"/>
      <c r="AK39" s="198"/>
      <c r="AL39" s="198"/>
      <c r="AM39" s="198"/>
      <c r="AN39" s="198"/>
      <c r="AO39" s="198"/>
      <c r="AP39" s="198"/>
      <c r="AQ39" s="198"/>
      <c r="AR39" s="198"/>
      <c r="AS39" s="198"/>
      <c r="AT39" s="198"/>
      <c r="AU39" s="198"/>
    </row>
    <row r="40" spans="1:47">
      <c r="A40" s="12"/>
      <c r="B40" s="12"/>
      <c r="C40" s="12"/>
      <c r="D40" s="12"/>
      <c r="E40" s="12"/>
      <c r="F40" s="37" t="s">
        <v>3</v>
      </c>
      <c r="G40" s="242" t="str">
        <f>CONCATENATE(LEFT(H40, 4)-1 &amp;"-" &amp;IF(H40&gt;"2009-10",,"0") &amp;RIGHT(H40,2)-1)</f>
        <v>2007-08</v>
      </c>
      <c r="H40" s="242" t="str">
        <f>X7</f>
        <v>2008-09</v>
      </c>
      <c r="I40" s="242" t="str">
        <f>CONCATENATE(LEFT(H40, 4)+1 &amp;"-" &amp;IF(H40&gt;"2007-08",,"0") &amp;RIGHT(H40,2)+1)</f>
        <v>2009-10</v>
      </c>
      <c r="J40" s="242" t="str">
        <f t="shared" ref="J40:P40" si="1">CONCATENATE(LEFT(I40, 4)+1 &amp;"-" &amp;IF(I40&gt;"2007-08",,"0") &amp;RIGHT(I40,2)+1)</f>
        <v>2010-11</v>
      </c>
      <c r="K40" s="242" t="str">
        <f t="shared" si="1"/>
        <v>2011-12</v>
      </c>
      <c r="L40" s="242" t="str">
        <f t="shared" si="1"/>
        <v>2012-13</v>
      </c>
      <c r="M40" s="242" t="str">
        <f t="shared" si="1"/>
        <v>2013-14</v>
      </c>
      <c r="N40" s="242" t="str">
        <f t="shared" si="1"/>
        <v>2014-15</v>
      </c>
      <c r="O40" s="242" t="str">
        <f t="shared" si="1"/>
        <v>2015-16</v>
      </c>
      <c r="P40" s="242" t="str">
        <f t="shared" si="1"/>
        <v>2016-17</v>
      </c>
      <c r="Q40" s="242" t="str">
        <f>CONCATENATE(LEFT(P40, 4)+1 &amp;"-" &amp;IF(P40&gt;"2007-08",,"0") &amp;RIGHT(P40,2)+1)</f>
        <v>2017-18</v>
      </c>
      <c r="R40" s="143"/>
      <c r="S40" s="8"/>
      <c r="T40" s="8"/>
      <c r="U40" s="8"/>
      <c r="V40" s="8"/>
      <c r="W40" s="42"/>
      <c r="X40" s="9"/>
      <c r="Y40" s="9"/>
      <c r="Z40" s="9"/>
      <c r="AA40" s="9"/>
      <c r="AB40" s="9"/>
      <c r="AC40" s="9"/>
      <c r="AD40" s="9"/>
      <c r="AE40" s="198"/>
      <c r="AF40" s="198"/>
      <c r="AG40" s="198"/>
      <c r="AH40" s="198"/>
      <c r="AI40" s="198"/>
      <c r="AJ40" s="198"/>
      <c r="AK40" s="198"/>
      <c r="AL40" s="198"/>
      <c r="AM40" s="198"/>
      <c r="AN40" s="198"/>
      <c r="AO40" s="198"/>
      <c r="AP40" s="198"/>
      <c r="AQ40" s="198"/>
      <c r="AR40" s="198"/>
      <c r="AS40" s="198"/>
      <c r="AT40" s="198"/>
      <c r="AU40" s="198"/>
    </row>
    <row r="41" spans="1:47" hidden="1" outlineLevel="1">
      <c r="A41" s="12"/>
      <c r="B41" s="12"/>
      <c r="C41" s="12"/>
      <c r="D41" s="12"/>
      <c r="E41" s="12"/>
      <c r="F41" s="173" t="str">
        <f>Asset1</f>
        <v>Secondary</v>
      </c>
      <c r="G41" s="380">
        <v>18.73217621557831</v>
      </c>
      <c r="H41" s="375">
        <v>11.476929884125635</v>
      </c>
      <c r="I41" s="375">
        <v>8.7566423402152171</v>
      </c>
      <c r="J41" s="375">
        <v>13.224187230855025</v>
      </c>
      <c r="K41" s="375">
        <v>18.741720759124863</v>
      </c>
      <c r="L41" s="375">
        <v>33.419214556</v>
      </c>
      <c r="M41" s="375">
        <v>19.144894606318474</v>
      </c>
      <c r="N41" s="63"/>
      <c r="O41" s="63"/>
      <c r="P41" s="63"/>
      <c r="Q41" s="63"/>
      <c r="R41" s="8"/>
      <c r="S41" s="8"/>
      <c r="T41" s="8"/>
      <c r="U41" s="8"/>
      <c r="V41" s="8"/>
      <c r="W41" s="42"/>
      <c r="X41" s="9"/>
      <c r="Y41" s="9"/>
      <c r="Z41" s="9"/>
      <c r="AA41" s="9"/>
      <c r="AB41" s="9"/>
      <c r="AC41" s="9"/>
      <c r="AD41" s="9"/>
      <c r="AE41" s="198"/>
      <c r="AF41" s="198"/>
      <c r="AG41" s="198"/>
      <c r="AH41" s="198"/>
      <c r="AI41" s="198"/>
      <c r="AJ41" s="198"/>
      <c r="AK41" s="198"/>
      <c r="AL41" s="198"/>
      <c r="AM41" s="198"/>
      <c r="AN41" s="198"/>
      <c r="AO41" s="198"/>
      <c r="AP41" s="198"/>
      <c r="AQ41" s="198"/>
      <c r="AR41" s="198"/>
      <c r="AS41" s="198"/>
      <c r="AT41" s="198"/>
      <c r="AU41" s="198"/>
    </row>
    <row r="42" spans="1:47" hidden="1" outlineLevel="1">
      <c r="A42" s="12"/>
      <c r="B42" s="12"/>
      <c r="C42" s="12"/>
      <c r="D42" s="12"/>
      <c r="E42" s="12"/>
      <c r="F42" s="173" t="str">
        <f>Asset2</f>
        <v>Switchgear</v>
      </c>
      <c r="G42" s="380">
        <v>47.67171476011427</v>
      </c>
      <c r="H42" s="375">
        <v>28.715257525997437</v>
      </c>
      <c r="I42" s="375">
        <v>38.602389680157536</v>
      </c>
      <c r="J42" s="375">
        <v>30.230322204621263</v>
      </c>
      <c r="K42" s="375">
        <v>27.976860455573753</v>
      </c>
      <c r="L42" s="375">
        <v>39.866827832000006</v>
      </c>
      <c r="M42" s="375">
        <v>41.485633998963628</v>
      </c>
      <c r="N42" s="64"/>
      <c r="O42" s="64"/>
      <c r="P42" s="64"/>
      <c r="Q42" s="64"/>
      <c r="R42" s="8"/>
      <c r="S42" s="8"/>
      <c r="T42" s="8"/>
      <c r="U42" s="8"/>
      <c r="V42" s="8"/>
      <c r="W42" s="42"/>
      <c r="X42" s="9"/>
      <c r="Y42" s="9"/>
      <c r="Z42" s="9"/>
      <c r="AA42" s="9"/>
      <c r="AB42" s="9"/>
      <c r="AC42" s="9"/>
      <c r="AD42" s="9"/>
      <c r="AE42" s="198"/>
      <c r="AF42" s="198"/>
      <c r="AG42" s="198"/>
      <c r="AH42" s="198"/>
      <c r="AI42" s="198"/>
      <c r="AJ42" s="198"/>
      <c r="AK42" s="198"/>
      <c r="AL42" s="198"/>
      <c r="AM42" s="198"/>
      <c r="AN42" s="198"/>
      <c r="AO42" s="198"/>
      <c r="AP42" s="198"/>
      <c r="AQ42" s="198"/>
      <c r="AR42" s="198"/>
      <c r="AS42" s="198"/>
      <c r="AT42" s="198"/>
      <c r="AU42" s="198"/>
    </row>
    <row r="43" spans="1:47" hidden="1" outlineLevel="1">
      <c r="A43" s="12"/>
      <c r="B43" s="12"/>
      <c r="C43" s="12"/>
      <c r="D43" s="12"/>
      <c r="E43" s="12"/>
      <c r="F43" s="173" t="str">
        <f>Asset3</f>
        <v>Transformers</v>
      </c>
      <c r="G43" s="380">
        <v>12.316655489399336</v>
      </c>
      <c r="H43" s="375">
        <v>10.7731416977918</v>
      </c>
      <c r="I43" s="375">
        <v>6.8575255476725214</v>
      </c>
      <c r="J43" s="375">
        <v>16.391599549102455</v>
      </c>
      <c r="K43" s="375">
        <v>23.11331169224448</v>
      </c>
      <c r="L43" s="375">
        <v>32.882706498000005</v>
      </c>
      <c r="M43" s="375">
        <v>33.719913338368471</v>
      </c>
      <c r="N43" s="64"/>
      <c r="O43" s="64"/>
      <c r="P43" s="64"/>
      <c r="Q43" s="64"/>
      <c r="R43" s="8"/>
      <c r="S43" s="8"/>
      <c r="T43" s="8"/>
      <c r="U43" s="8"/>
      <c r="V43" s="8"/>
      <c r="W43" s="42"/>
      <c r="X43" s="9"/>
      <c r="Y43" s="9"/>
      <c r="Z43" s="9"/>
      <c r="AA43" s="9"/>
      <c r="AB43" s="9"/>
      <c r="AC43" s="9"/>
      <c r="AD43" s="9"/>
      <c r="AE43" s="198"/>
      <c r="AF43" s="198"/>
      <c r="AG43" s="198"/>
      <c r="AH43" s="198"/>
      <c r="AI43" s="198"/>
      <c r="AJ43" s="198"/>
      <c r="AK43" s="198"/>
      <c r="AL43" s="198"/>
      <c r="AM43" s="198"/>
      <c r="AN43" s="198"/>
      <c r="AO43" s="198"/>
      <c r="AP43" s="198"/>
      <c r="AQ43" s="198"/>
      <c r="AR43" s="198"/>
      <c r="AS43" s="198"/>
      <c r="AT43" s="198"/>
      <c r="AU43" s="198"/>
    </row>
    <row r="44" spans="1:47" hidden="1" outlineLevel="1">
      <c r="A44" s="12"/>
      <c r="B44" s="12"/>
      <c r="C44" s="12"/>
      <c r="D44" s="12"/>
      <c r="E44" s="12"/>
      <c r="F44" s="173" t="str">
        <f>Asset4</f>
        <v>Reactive</v>
      </c>
      <c r="G44" s="380">
        <v>0.10741420130617492</v>
      </c>
      <c r="H44" s="375">
        <v>1.8978262120960905</v>
      </c>
      <c r="I44" s="375">
        <v>1.6861357342874126</v>
      </c>
      <c r="J44" s="375">
        <v>0.46315771237965986</v>
      </c>
      <c r="K44" s="375">
        <v>1.5974247945280713</v>
      </c>
      <c r="L44" s="375">
        <v>0.94433064000000011</v>
      </c>
      <c r="M44" s="375">
        <v>0.8496432489003729</v>
      </c>
      <c r="N44" s="193"/>
      <c r="O44" s="193"/>
      <c r="P44" s="193"/>
      <c r="Q44" s="193"/>
      <c r="R44" s="8"/>
      <c r="S44" s="8"/>
      <c r="T44" s="8"/>
      <c r="U44" s="8"/>
      <c r="V44" s="8"/>
      <c r="W44" s="42"/>
      <c r="X44" s="9"/>
      <c r="Y44" s="9"/>
      <c r="Z44" s="9"/>
      <c r="AA44" s="9"/>
      <c r="AB44" s="9"/>
      <c r="AC44" s="9"/>
      <c r="AD44" s="9"/>
      <c r="AE44" s="198"/>
      <c r="AF44" s="198"/>
      <c r="AG44" s="198"/>
      <c r="AH44" s="198"/>
      <c r="AI44" s="198"/>
      <c r="AJ44" s="198"/>
      <c r="AK44" s="198"/>
      <c r="AL44" s="198"/>
      <c r="AM44" s="198"/>
      <c r="AN44" s="198"/>
      <c r="AO44" s="198"/>
      <c r="AP44" s="198"/>
      <c r="AQ44" s="198"/>
      <c r="AR44" s="198"/>
      <c r="AS44" s="198"/>
      <c r="AT44" s="198"/>
      <c r="AU44" s="198"/>
    </row>
    <row r="45" spans="1:47" hidden="1" outlineLevel="1">
      <c r="A45" s="12"/>
      <c r="B45" s="12"/>
      <c r="C45" s="12"/>
      <c r="D45" s="12"/>
      <c r="E45" s="12"/>
      <c r="F45" s="173" t="str">
        <f>Asset5</f>
        <v>Towers and Conductor</v>
      </c>
      <c r="G45" s="380">
        <v>2.3562396072502012</v>
      </c>
      <c r="H45" s="375">
        <v>7.7188719598814277</v>
      </c>
      <c r="I45" s="375">
        <v>14.814957379812364</v>
      </c>
      <c r="J45" s="375">
        <v>25.084464115594155</v>
      </c>
      <c r="K45" s="375">
        <v>32.386436008402534</v>
      </c>
      <c r="L45" s="375">
        <v>24.051193784000006</v>
      </c>
      <c r="M45" s="375">
        <v>4.8289975899740858</v>
      </c>
      <c r="N45" s="193"/>
      <c r="O45" s="193"/>
      <c r="P45" s="193"/>
      <c r="Q45" s="193"/>
      <c r="R45" s="8"/>
      <c r="S45" s="8"/>
      <c r="T45" s="8"/>
      <c r="U45" s="8"/>
      <c r="V45" s="8"/>
      <c r="W45" s="42"/>
      <c r="X45" s="9"/>
      <c r="Y45" s="9"/>
      <c r="Z45" s="9"/>
      <c r="AA45" s="9"/>
      <c r="AB45" s="9"/>
      <c r="AC45" s="9"/>
      <c r="AD45" s="9"/>
      <c r="AE45" s="198"/>
      <c r="AF45" s="198"/>
      <c r="AG45" s="198"/>
      <c r="AH45" s="198"/>
      <c r="AI45" s="198"/>
      <c r="AJ45" s="198"/>
      <c r="AK45" s="198"/>
      <c r="AL45" s="198"/>
      <c r="AM45" s="198"/>
      <c r="AN45" s="198"/>
      <c r="AO45" s="198"/>
      <c r="AP45" s="198"/>
      <c r="AQ45" s="198"/>
      <c r="AR45" s="198"/>
      <c r="AS45" s="198"/>
      <c r="AT45" s="198"/>
      <c r="AU45" s="198"/>
    </row>
    <row r="46" spans="1:47" hidden="1" outlineLevel="1">
      <c r="A46" s="12"/>
      <c r="B46" s="12"/>
      <c r="C46" s="12"/>
      <c r="D46" s="12"/>
      <c r="E46" s="12"/>
      <c r="F46" s="173" t="str">
        <f>Asset6</f>
        <v>Establishment</v>
      </c>
      <c r="G46" s="380">
        <v>14.142512632023376</v>
      </c>
      <c r="H46" s="375">
        <v>10.999678156060835</v>
      </c>
      <c r="I46" s="375">
        <v>10.896313967813608</v>
      </c>
      <c r="J46" s="375">
        <v>3.9374150450863161</v>
      </c>
      <c r="K46" s="375">
        <v>11.476867702612884</v>
      </c>
      <c r="L46" s="375">
        <v>9.7538688710000017</v>
      </c>
      <c r="M46" s="375">
        <v>8.9972685006320052</v>
      </c>
      <c r="N46" s="193"/>
      <c r="O46" s="193"/>
      <c r="P46" s="193"/>
      <c r="Q46" s="193"/>
      <c r="R46" s="8"/>
      <c r="S46" s="8"/>
      <c r="T46" s="8"/>
      <c r="U46" s="8"/>
      <c r="V46" s="8"/>
      <c r="W46" s="42"/>
      <c r="X46" s="9"/>
      <c r="Y46" s="9"/>
      <c r="Z46" s="9"/>
      <c r="AA46" s="9"/>
      <c r="AB46" s="9"/>
      <c r="AC46" s="9"/>
      <c r="AD46" s="9"/>
      <c r="AE46" s="198"/>
      <c r="AF46" s="198"/>
      <c r="AG46" s="198"/>
      <c r="AH46" s="198"/>
      <c r="AI46" s="198"/>
      <c r="AJ46" s="198"/>
      <c r="AK46" s="198"/>
      <c r="AL46" s="198"/>
      <c r="AM46" s="198"/>
      <c r="AN46" s="198"/>
      <c r="AO46" s="198"/>
      <c r="AP46" s="198"/>
      <c r="AQ46" s="198"/>
      <c r="AR46" s="198"/>
      <c r="AS46" s="198"/>
      <c r="AT46" s="198"/>
      <c r="AU46" s="198"/>
    </row>
    <row r="47" spans="1:47" hidden="1" outlineLevel="1">
      <c r="A47" s="12"/>
      <c r="B47" s="12"/>
      <c r="C47" s="12"/>
      <c r="D47" s="12"/>
      <c r="E47" s="12"/>
      <c r="F47" s="173" t="str">
        <f>Asset7</f>
        <v>Communications</v>
      </c>
      <c r="G47" s="380">
        <v>1.1328154523602714</v>
      </c>
      <c r="H47" s="375">
        <v>7.7902966665511606</v>
      </c>
      <c r="I47" s="375">
        <v>19.557638901140237</v>
      </c>
      <c r="J47" s="375">
        <v>4.9025720535545094</v>
      </c>
      <c r="K47" s="375">
        <v>3.9863296953039202</v>
      </c>
      <c r="L47" s="375">
        <v>4.6350278190000003</v>
      </c>
      <c r="M47" s="375">
        <v>5.4169458339551424</v>
      </c>
      <c r="N47" s="193"/>
      <c r="O47" s="193"/>
      <c r="P47" s="193"/>
      <c r="Q47" s="193"/>
      <c r="R47" s="8"/>
      <c r="S47" s="8"/>
      <c r="T47" s="8"/>
      <c r="U47" s="8"/>
      <c r="V47" s="8"/>
      <c r="W47" s="42"/>
      <c r="X47" s="9"/>
      <c r="Y47" s="9"/>
      <c r="Z47" s="9"/>
      <c r="AA47" s="9"/>
      <c r="AB47" s="9"/>
      <c r="AC47" s="9"/>
      <c r="AD47" s="9"/>
      <c r="AE47" s="198"/>
      <c r="AF47" s="198"/>
      <c r="AG47" s="198"/>
      <c r="AH47" s="198"/>
      <c r="AI47" s="198"/>
      <c r="AJ47" s="198"/>
      <c r="AK47" s="198"/>
      <c r="AL47" s="198"/>
      <c r="AM47" s="198"/>
      <c r="AN47" s="198"/>
      <c r="AO47" s="198"/>
      <c r="AP47" s="198"/>
      <c r="AQ47" s="198"/>
      <c r="AR47" s="198"/>
      <c r="AS47" s="198"/>
      <c r="AT47" s="198"/>
      <c r="AU47" s="198"/>
    </row>
    <row r="48" spans="1:47" hidden="1" outlineLevel="1">
      <c r="A48" s="12"/>
      <c r="B48" s="12"/>
      <c r="C48" s="12"/>
      <c r="D48" s="12"/>
      <c r="E48" s="12"/>
      <c r="F48" s="173" t="str">
        <f>Asset8</f>
        <v>Inventory</v>
      </c>
      <c r="G48" s="380">
        <v>0</v>
      </c>
      <c r="H48" s="375">
        <v>0</v>
      </c>
      <c r="I48" s="375">
        <v>0</v>
      </c>
      <c r="J48" s="375">
        <v>0</v>
      </c>
      <c r="K48" s="375">
        <v>0</v>
      </c>
      <c r="L48" s="375">
        <v>0</v>
      </c>
      <c r="M48" s="375">
        <v>0</v>
      </c>
      <c r="N48" s="193"/>
      <c r="O48" s="193"/>
      <c r="P48" s="193"/>
      <c r="Q48" s="193"/>
      <c r="R48" s="8"/>
      <c r="S48" s="8"/>
      <c r="T48" s="8"/>
      <c r="U48" s="8"/>
      <c r="V48" s="8"/>
      <c r="W48" s="42"/>
      <c r="X48" s="9"/>
      <c r="Y48" s="9"/>
      <c r="Z48" s="9"/>
      <c r="AA48" s="9"/>
      <c r="AB48" s="9"/>
      <c r="AC48" s="9"/>
      <c r="AD48" s="9"/>
      <c r="AE48" s="198"/>
      <c r="AF48" s="198"/>
      <c r="AG48" s="198"/>
      <c r="AH48" s="198"/>
      <c r="AI48" s="198"/>
      <c r="AJ48" s="198"/>
      <c r="AK48" s="198"/>
      <c r="AL48" s="198"/>
      <c r="AM48" s="198"/>
      <c r="AN48" s="198"/>
      <c r="AO48" s="198"/>
      <c r="AP48" s="198"/>
      <c r="AQ48" s="198"/>
      <c r="AR48" s="198"/>
      <c r="AS48" s="198"/>
      <c r="AT48" s="198"/>
      <c r="AU48" s="198"/>
    </row>
    <row r="49" spans="1:47" hidden="1" outlineLevel="1">
      <c r="A49" s="12"/>
      <c r="B49" s="12"/>
      <c r="C49" s="12"/>
      <c r="D49" s="12"/>
      <c r="E49" s="12"/>
      <c r="F49" s="173" t="str">
        <f>Asset9</f>
        <v>IT</v>
      </c>
      <c r="G49" s="380">
        <v>9.6615777238275324</v>
      </c>
      <c r="H49" s="375">
        <v>7.2198272787752948</v>
      </c>
      <c r="I49" s="375">
        <v>6.0138663725582768</v>
      </c>
      <c r="J49" s="375">
        <v>11.621552035900853</v>
      </c>
      <c r="K49" s="375">
        <v>10.788935379190496</v>
      </c>
      <c r="L49" s="375">
        <v>16.8</v>
      </c>
      <c r="M49" s="375">
        <v>17.530917835671346</v>
      </c>
      <c r="N49" s="193"/>
      <c r="O49" s="193"/>
      <c r="P49" s="193"/>
      <c r="Q49" s="193"/>
      <c r="R49" s="8"/>
      <c r="S49" s="8"/>
      <c r="T49" s="8"/>
      <c r="U49" s="8"/>
      <c r="V49" s="8"/>
      <c r="W49" s="42"/>
      <c r="X49" s="9"/>
      <c r="Y49" s="9"/>
      <c r="Z49" s="9"/>
      <c r="AA49" s="9"/>
      <c r="AB49" s="9"/>
      <c r="AC49" s="9"/>
      <c r="AD49" s="9"/>
      <c r="AE49" s="198"/>
      <c r="AF49" s="198"/>
      <c r="AG49" s="198"/>
      <c r="AH49" s="198"/>
      <c r="AI49" s="198"/>
      <c r="AJ49" s="198"/>
      <c r="AK49" s="198"/>
      <c r="AL49" s="198"/>
      <c r="AM49" s="198"/>
      <c r="AN49" s="198"/>
      <c r="AO49" s="198"/>
      <c r="AP49" s="198"/>
      <c r="AQ49" s="198"/>
      <c r="AR49" s="198"/>
      <c r="AS49" s="198"/>
      <c r="AT49" s="198"/>
      <c r="AU49" s="198"/>
    </row>
    <row r="50" spans="1:47" hidden="1" outlineLevel="1">
      <c r="A50" s="12"/>
      <c r="B50" s="12"/>
      <c r="C50" s="12"/>
      <c r="D50" s="12"/>
      <c r="E50" s="12"/>
      <c r="F50" s="173" t="str">
        <f>Asset10</f>
        <v>Vehicles</v>
      </c>
      <c r="G50" s="380">
        <v>0.98892180108156835</v>
      </c>
      <c r="H50" s="375">
        <v>0.96680352259495472</v>
      </c>
      <c r="I50" s="375">
        <v>0.29344996999999995</v>
      </c>
      <c r="J50" s="375">
        <v>-1.0300700000000001E-2</v>
      </c>
      <c r="K50" s="375">
        <v>0.17240365999999999</v>
      </c>
      <c r="L50" s="375">
        <v>1.5750000000000002</v>
      </c>
      <c r="M50" s="375">
        <v>1.6242069138276554</v>
      </c>
      <c r="N50" s="193"/>
      <c r="O50" s="193"/>
      <c r="P50" s="193"/>
      <c r="Q50" s="193"/>
      <c r="R50" s="8"/>
      <c r="S50" s="8"/>
      <c r="T50" s="8"/>
      <c r="U50" s="8"/>
      <c r="V50" s="8"/>
      <c r="W50" s="42"/>
      <c r="X50" s="9"/>
      <c r="Y50" s="9"/>
      <c r="Z50" s="9"/>
      <c r="AA50" s="9"/>
      <c r="AB50" s="9"/>
      <c r="AC50" s="9"/>
      <c r="AD50" s="9"/>
      <c r="AE50" s="198"/>
      <c r="AF50" s="198"/>
      <c r="AG50" s="198"/>
      <c r="AH50" s="198"/>
      <c r="AI50" s="198"/>
      <c r="AJ50" s="198"/>
      <c r="AK50" s="198"/>
      <c r="AL50" s="198"/>
      <c r="AM50" s="198"/>
      <c r="AN50" s="198"/>
      <c r="AO50" s="198"/>
      <c r="AP50" s="198"/>
      <c r="AQ50" s="198"/>
      <c r="AR50" s="198"/>
      <c r="AS50" s="198"/>
      <c r="AT50" s="198"/>
      <c r="AU50" s="198"/>
    </row>
    <row r="51" spans="1:47" hidden="1" outlineLevel="1">
      <c r="A51" s="12"/>
      <c r="B51" s="12"/>
      <c r="C51" s="12"/>
      <c r="D51" s="12"/>
      <c r="E51" s="12"/>
      <c r="F51" s="173" t="str">
        <f>Asset11</f>
        <v>other</v>
      </c>
      <c r="G51" s="380">
        <v>2.240709994448828</v>
      </c>
      <c r="H51" s="375">
        <v>3.76089185020939</v>
      </c>
      <c r="I51" s="375">
        <v>2.6120978187618658</v>
      </c>
      <c r="J51" s="375">
        <v>2.9888851264295102</v>
      </c>
      <c r="K51" s="375">
        <v>1.3086836722094763</v>
      </c>
      <c r="L51" s="375">
        <v>2.1</v>
      </c>
      <c r="M51" s="375">
        <v>1.6435235470941887</v>
      </c>
      <c r="N51" s="193"/>
      <c r="O51" s="193"/>
      <c r="P51" s="193"/>
      <c r="Q51" s="193"/>
      <c r="R51" s="8"/>
      <c r="S51" s="8"/>
      <c r="T51" s="8"/>
      <c r="U51" s="8"/>
      <c r="V51" s="8"/>
      <c r="W51" s="42"/>
      <c r="X51" s="9"/>
      <c r="Y51" s="9"/>
      <c r="Z51" s="9"/>
      <c r="AA51" s="9"/>
      <c r="AB51" s="9"/>
      <c r="AC51" s="9"/>
      <c r="AD51" s="9"/>
      <c r="AE51" s="198"/>
      <c r="AF51" s="198"/>
      <c r="AG51" s="198"/>
      <c r="AH51" s="198"/>
      <c r="AI51" s="198"/>
      <c r="AJ51" s="198"/>
      <c r="AK51" s="198"/>
      <c r="AL51" s="198"/>
      <c r="AM51" s="198"/>
      <c r="AN51" s="198"/>
      <c r="AO51" s="198"/>
      <c r="AP51" s="198"/>
      <c r="AQ51" s="198"/>
      <c r="AR51" s="198"/>
      <c r="AS51" s="198"/>
      <c r="AT51" s="198"/>
      <c r="AU51" s="198"/>
    </row>
    <row r="52" spans="1:47" hidden="1" outlineLevel="1">
      <c r="A52" s="12"/>
      <c r="B52" s="12"/>
      <c r="C52" s="12"/>
      <c r="D52" s="12"/>
      <c r="E52" s="12"/>
      <c r="F52" s="173" t="str">
        <f>Asset12</f>
        <v>premises</v>
      </c>
      <c r="G52" s="380">
        <v>0.14544680535415355</v>
      </c>
      <c r="H52" s="375">
        <v>0.23748018591597272</v>
      </c>
      <c r="I52" s="375">
        <v>0.22652758000000001</v>
      </c>
      <c r="J52" s="375">
        <v>0.13037910237710923</v>
      </c>
      <c r="K52" s="375">
        <v>0.10860647</v>
      </c>
      <c r="L52" s="375">
        <v>0.21</v>
      </c>
      <c r="M52" s="375">
        <v>0.21656092184368742</v>
      </c>
      <c r="N52" s="193"/>
      <c r="O52" s="193"/>
      <c r="P52" s="193"/>
      <c r="Q52" s="193"/>
      <c r="R52" s="8"/>
      <c r="S52" s="8"/>
      <c r="T52" s="8"/>
      <c r="U52" s="8"/>
      <c r="V52" s="8"/>
      <c r="W52" s="42"/>
      <c r="X52" s="9"/>
      <c r="Y52" s="9"/>
      <c r="Z52" s="9"/>
      <c r="AA52" s="9"/>
      <c r="AB52" s="9"/>
      <c r="AC52" s="9"/>
      <c r="AD52" s="9"/>
      <c r="AE52" s="198"/>
      <c r="AF52" s="198"/>
      <c r="AG52" s="198"/>
      <c r="AH52" s="198"/>
      <c r="AI52" s="198"/>
      <c r="AJ52" s="198"/>
      <c r="AK52" s="198"/>
      <c r="AL52" s="198"/>
      <c r="AM52" s="198"/>
      <c r="AN52" s="198"/>
      <c r="AO52" s="198"/>
      <c r="AP52" s="198"/>
      <c r="AQ52" s="198"/>
      <c r="AR52" s="198"/>
      <c r="AS52" s="198"/>
      <c r="AT52" s="198"/>
      <c r="AU52" s="198"/>
    </row>
    <row r="53" spans="1:47" hidden="1" outlineLevel="1">
      <c r="A53" s="12"/>
      <c r="B53" s="12"/>
      <c r="C53" s="12"/>
      <c r="D53" s="12"/>
      <c r="E53" s="12"/>
      <c r="F53" s="173" t="str">
        <f>Asset13</f>
        <v>Land</v>
      </c>
      <c r="G53" s="380">
        <v>0</v>
      </c>
      <c r="H53" s="375">
        <v>0</v>
      </c>
      <c r="I53" s="375">
        <v>0</v>
      </c>
      <c r="J53" s="375">
        <v>0</v>
      </c>
      <c r="K53" s="375">
        <v>0</v>
      </c>
      <c r="L53" s="375">
        <v>0</v>
      </c>
      <c r="M53" s="375">
        <v>0</v>
      </c>
      <c r="N53" s="193"/>
      <c r="O53" s="193"/>
      <c r="P53" s="193"/>
      <c r="Q53" s="193"/>
      <c r="R53" s="8"/>
      <c r="S53" s="8"/>
      <c r="T53" s="8"/>
      <c r="U53" s="8"/>
      <c r="V53" s="8"/>
      <c r="W53" s="42"/>
      <c r="X53" s="9"/>
      <c r="Y53" s="9"/>
      <c r="Z53" s="9"/>
      <c r="AA53" s="9"/>
      <c r="AB53" s="9"/>
      <c r="AC53" s="9"/>
      <c r="AD53" s="9"/>
      <c r="AE53" s="198"/>
      <c r="AF53" s="198"/>
      <c r="AG53" s="198"/>
      <c r="AH53" s="198"/>
      <c r="AI53" s="198"/>
      <c r="AJ53" s="198"/>
      <c r="AK53" s="198"/>
      <c r="AL53" s="198"/>
      <c r="AM53" s="198"/>
      <c r="AN53" s="198"/>
      <c r="AO53" s="198"/>
      <c r="AP53" s="198"/>
      <c r="AQ53" s="198"/>
      <c r="AR53" s="198"/>
      <c r="AS53" s="198"/>
      <c r="AT53" s="198"/>
      <c r="AU53" s="198"/>
    </row>
    <row r="54" spans="1:47" hidden="1" outlineLevel="1">
      <c r="A54" s="12"/>
      <c r="B54" s="12"/>
      <c r="C54" s="12"/>
      <c r="D54" s="12"/>
      <c r="E54" s="12"/>
      <c r="F54" s="173" t="str">
        <f>Asset14</f>
        <v>Easements</v>
      </c>
      <c r="G54" s="380">
        <v>0</v>
      </c>
      <c r="H54" s="375">
        <v>0</v>
      </c>
      <c r="I54" s="375">
        <v>0</v>
      </c>
      <c r="J54" s="375">
        <v>0</v>
      </c>
      <c r="K54" s="375">
        <v>0</v>
      </c>
      <c r="L54" s="375">
        <v>0</v>
      </c>
      <c r="M54" s="375">
        <v>0</v>
      </c>
      <c r="N54" s="193"/>
      <c r="O54" s="193"/>
      <c r="P54" s="193"/>
      <c r="Q54" s="193"/>
      <c r="R54" s="8"/>
      <c r="S54" s="8"/>
      <c r="T54" s="8"/>
      <c r="U54" s="8"/>
      <c r="V54" s="8"/>
      <c r="W54" s="42"/>
      <c r="X54" s="9"/>
      <c r="Y54" s="9"/>
      <c r="Z54" s="9"/>
      <c r="AA54" s="9"/>
      <c r="AB54" s="9"/>
      <c r="AC54" s="9"/>
      <c r="AD54" s="9"/>
      <c r="AE54" s="198"/>
      <c r="AF54" s="198"/>
      <c r="AG54" s="198"/>
      <c r="AH54" s="198"/>
      <c r="AI54" s="198"/>
      <c r="AJ54" s="198"/>
      <c r="AK54" s="198"/>
      <c r="AL54" s="198"/>
      <c r="AM54" s="198"/>
      <c r="AN54" s="198"/>
      <c r="AO54" s="198"/>
      <c r="AP54" s="198"/>
      <c r="AQ54" s="198"/>
      <c r="AR54" s="198"/>
      <c r="AS54" s="198"/>
      <c r="AT54" s="198"/>
      <c r="AU54" s="198"/>
    </row>
    <row r="55" spans="1:47" hidden="1" outlineLevel="1">
      <c r="A55" s="12"/>
      <c r="B55" s="12"/>
      <c r="C55" s="12"/>
      <c r="D55" s="12"/>
      <c r="E55" s="12"/>
      <c r="F55" s="173">
        <f>Asset15</f>
        <v>0</v>
      </c>
      <c r="G55" s="163"/>
      <c r="H55" s="64"/>
      <c r="I55" s="64"/>
      <c r="J55" s="64"/>
      <c r="K55" s="64"/>
      <c r="L55" s="64"/>
      <c r="M55" s="192"/>
      <c r="N55" s="193"/>
      <c r="O55" s="193"/>
      <c r="P55" s="193"/>
      <c r="Q55" s="193"/>
      <c r="R55" s="8"/>
      <c r="S55" s="8"/>
      <c r="T55" s="8"/>
      <c r="U55" s="8"/>
      <c r="V55" s="8"/>
      <c r="W55" s="42"/>
      <c r="X55" s="9"/>
      <c r="Y55" s="9"/>
      <c r="Z55" s="9"/>
      <c r="AA55" s="9"/>
      <c r="AB55" s="9"/>
      <c r="AC55" s="9"/>
      <c r="AD55" s="9"/>
      <c r="AE55" s="198"/>
      <c r="AF55" s="198"/>
      <c r="AG55" s="198"/>
      <c r="AH55" s="198"/>
      <c r="AI55" s="198"/>
      <c r="AJ55" s="198"/>
      <c r="AK55" s="198"/>
      <c r="AL55" s="198"/>
      <c r="AM55" s="198"/>
      <c r="AN55" s="198"/>
      <c r="AO55" s="198"/>
      <c r="AP55" s="198"/>
      <c r="AQ55" s="198"/>
      <c r="AR55" s="198"/>
      <c r="AS55" s="198"/>
      <c r="AT55" s="198"/>
      <c r="AU55" s="198"/>
    </row>
    <row r="56" spans="1:47" hidden="1" outlineLevel="1">
      <c r="A56" s="12"/>
      <c r="B56" s="12"/>
      <c r="C56" s="12"/>
      <c r="D56" s="12"/>
      <c r="E56" s="12"/>
      <c r="F56" s="173">
        <f>Asset16</f>
        <v>0</v>
      </c>
      <c r="G56" s="163"/>
      <c r="H56" s="64"/>
      <c r="I56" s="64"/>
      <c r="J56" s="64"/>
      <c r="K56" s="64"/>
      <c r="L56" s="64"/>
      <c r="M56" s="192"/>
      <c r="N56" s="193"/>
      <c r="O56" s="193"/>
      <c r="P56" s="193"/>
      <c r="Q56" s="193"/>
      <c r="R56" s="8"/>
      <c r="S56" s="8"/>
      <c r="T56" s="8"/>
      <c r="U56" s="8"/>
      <c r="V56" s="8"/>
      <c r="W56" s="42"/>
      <c r="X56" s="9"/>
      <c r="Y56" s="9"/>
      <c r="Z56" s="9"/>
      <c r="AA56" s="9"/>
      <c r="AB56" s="9"/>
      <c r="AC56" s="9"/>
      <c r="AD56" s="9"/>
      <c r="AE56" s="198"/>
      <c r="AF56" s="198"/>
      <c r="AG56" s="198"/>
      <c r="AH56" s="198"/>
      <c r="AI56" s="198"/>
      <c r="AJ56" s="198"/>
      <c r="AK56" s="198"/>
      <c r="AL56" s="198"/>
      <c r="AM56" s="198"/>
      <c r="AN56" s="198"/>
      <c r="AO56" s="198"/>
      <c r="AP56" s="198"/>
      <c r="AQ56" s="198"/>
      <c r="AR56" s="198"/>
      <c r="AS56" s="198"/>
      <c r="AT56" s="198"/>
      <c r="AU56" s="198"/>
    </row>
    <row r="57" spans="1:47" hidden="1" outlineLevel="1">
      <c r="A57" s="12"/>
      <c r="B57" s="12"/>
      <c r="C57" s="12"/>
      <c r="D57" s="12"/>
      <c r="E57" s="12"/>
      <c r="F57" s="173">
        <f>Asset17</f>
        <v>0</v>
      </c>
      <c r="G57" s="163"/>
      <c r="H57" s="64"/>
      <c r="I57" s="64"/>
      <c r="J57" s="64"/>
      <c r="K57" s="64"/>
      <c r="L57" s="64"/>
      <c r="M57" s="192"/>
      <c r="N57" s="193"/>
      <c r="O57" s="193"/>
      <c r="P57" s="193"/>
      <c r="Q57" s="193"/>
      <c r="R57" s="8"/>
      <c r="S57" s="8"/>
      <c r="T57" s="8"/>
      <c r="U57" s="8"/>
      <c r="V57" s="8"/>
      <c r="W57" s="42"/>
      <c r="X57" s="9"/>
      <c r="Y57" s="9"/>
      <c r="Z57" s="9"/>
      <c r="AA57" s="9"/>
      <c r="AB57" s="9"/>
      <c r="AC57" s="9"/>
      <c r="AD57" s="9"/>
      <c r="AE57" s="198"/>
      <c r="AF57" s="198"/>
      <c r="AG57" s="198"/>
      <c r="AH57" s="198"/>
      <c r="AI57" s="198"/>
      <c r="AJ57" s="198"/>
      <c r="AK57" s="198"/>
      <c r="AL57" s="198"/>
      <c r="AM57" s="198"/>
      <c r="AN57" s="198"/>
      <c r="AO57" s="198"/>
      <c r="AP57" s="198"/>
      <c r="AQ57" s="198"/>
      <c r="AR57" s="198"/>
      <c r="AS57" s="198"/>
      <c r="AT57" s="198"/>
      <c r="AU57" s="198"/>
    </row>
    <row r="58" spans="1:47" hidden="1" outlineLevel="1">
      <c r="A58" s="12"/>
      <c r="B58" s="12"/>
      <c r="C58" s="12"/>
      <c r="D58" s="12"/>
      <c r="E58" s="12"/>
      <c r="F58" s="173">
        <f>Asset18</f>
        <v>0</v>
      </c>
      <c r="G58" s="163"/>
      <c r="H58" s="64"/>
      <c r="I58" s="64"/>
      <c r="J58" s="64"/>
      <c r="K58" s="64"/>
      <c r="L58" s="64"/>
      <c r="M58" s="192"/>
      <c r="N58" s="193"/>
      <c r="O58" s="193"/>
      <c r="P58" s="193"/>
      <c r="Q58" s="193"/>
      <c r="R58" s="8"/>
      <c r="S58" s="8"/>
      <c r="T58" s="8"/>
      <c r="U58" s="8"/>
      <c r="V58" s="8"/>
      <c r="W58" s="42"/>
      <c r="X58" s="9"/>
      <c r="Y58" s="9"/>
      <c r="Z58" s="9"/>
      <c r="AA58" s="9"/>
      <c r="AB58" s="9"/>
      <c r="AC58" s="9"/>
      <c r="AD58" s="9"/>
      <c r="AE58" s="198"/>
      <c r="AF58" s="198"/>
      <c r="AG58" s="198"/>
      <c r="AH58" s="198"/>
      <c r="AI58" s="198"/>
      <c r="AJ58" s="198"/>
      <c r="AK58" s="198"/>
      <c r="AL58" s="198"/>
      <c r="AM58" s="198"/>
      <c r="AN58" s="198"/>
      <c r="AO58" s="198"/>
      <c r="AP58" s="198"/>
      <c r="AQ58" s="198"/>
      <c r="AR58" s="198"/>
      <c r="AS58" s="198"/>
      <c r="AT58" s="198"/>
      <c r="AU58" s="198"/>
    </row>
    <row r="59" spans="1:47" hidden="1" outlineLevel="1">
      <c r="A59" s="12"/>
      <c r="B59" s="12"/>
      <c r="C59" s="12"/>
      <c r="D59" s="12"/>
      <c r="E59" s="12"/>
      <c r="F59" s="173">
        <f>Asset19</f>
        <v>0</v>
      </c>
      <c r="G59" s="163"/>
      <c r="H59" s="64"/>
      <c r="I59" s="64"/>
      <c r="J59" s="64"/>
      <c r="K59" s="64"/>
      <c r="L59" s="64"/>
      <c r="M59" s="192"/>
      <c r="N59" s="193"/>
      <c r="O59" s="193"/>
      <c r="P59" s="193"/>
      <c r="Q59" s="193"/>
      <c r="R59" s="8"/>
      <c r="S59" s="8"/>
      <c r="T59" s="8"/>
      <c r="U59" s="8"/>
      <c r="V59" s="8"/>
      <c r="W59" s="42"/>
      <c r="X59" s="9"/>
      <c r="Y59" s="9"/>
      <c r="Z59" s="9"/>
      <c r="AA59" s="9"/>
      <c r="AB59" s="9"/>
      <c r="AC59" s="9"/>
      <c r="AD59" s="9"/>
      <c r="AE59" s="198"/>
      <c r="AF59" s="198"/>
      <c r="AG59" s="198"/>
      <c r="AH59" s="198"/>
      <c r="AI59" s="198"/>
      <c r="AJ59" s="198"/>
      <c r="AK59" s="198"/>
      <c r="AL59" s="198"/>
      <c r="AM59" s="198"/>
      <c r="AN59" s="198"/>
      <c r="AO59" s="198"/>
      <c r="AP59" s="198"/>
      <c r="AQ59" s="198"/>
      <c r="AR59" s="198"/>
      <c r="AS59" s="198"/>
      <c r="AT59" s="198"/>
      <c r="AU59" s="198"/>
    </row>
    <row r="60" spans="1:47" hidden="1" outlineLevel="1">
      <c r="A60" s="12"/>
      <c r="B60" s="12"/>
      <c r="C60" s="12"/>
      <c r="D60" s="12"/>
      <c r="E60" s="12"/>
      <c r="F60" s="303">
        <f>Asset20</f>
        <v>0</v>
      </c>
      <c r="G60" s="302"/>
      <c r="H60" s="64"/>
      <c r="I60" s="64"/>
      <c r="J60" s="64"/>
      <c r="K60" s="64"/>
      <c r="L60" s="64"/>
      <c r="M60" s="192"/>
      <c r="N60" s="193"/>
      <c r="O60" s="193"/>
      <c r="P60" s="193"/>
      <c r="Q60" s="193"/>
      <c r="R60" s="8"/>
      <c r="S60" s="8"/>
      <c r="T60" s="8"/>
      <c r="U60" s="8"/>
      <c r="V60" s="8"/>
      <c r="W60" s="42"/>
      <c r="X60" s="9"/>
      <c r="Y60" s="9"/>
      <c r="Z60" s="9"/>
      <c r="AA60" s="9"/>
      <c r="AB60" s="9"/>
      <c r="AC60" s="9"/>
      <c r="AD60" s="9"/>
      <c r="AE60" s="198"/>
      <c r="AF60" s="198"/>
      <c r="AG60" s="198"/>
      <c r="AH60" s="198"/>
      <c r="AI60" s="198"/>
      <c r="AJ60" s="198"/>
      <c r="AK60" s="198"/>
      <c r="AL60" s="198"/>
      <c r="AM60" s="198"/>
      <c r="AN60" s="198"/>
      <c r="AO60" s="198"/>
      <c r="AP60" s="198"/>
      <c r="AQ60" s="198"/>
      <c r="AR60" s="198"/>
      <c r="AS60" s="198"/>
      <c r="AT60" s="198"/>
      <c r="AU60" s="198"/>
    </row>
    <row r="61" spans="1:47" hidden="1" outlineLevel="1">
      <c r="A61" s="12"/>
      <c r="B61" s="12"/>
      <c r="C61" s="12"/>
      <c r="D61" s="12"/>
      <c r="E61" s="12"/>
      <c r="F61" s="303">
        <f>Asset21</f>
        <v>0</v>
      </c>
      <c r="G61" s="302"/>
      <c r="H61" s="64"/>
      <c r="I61" s="64"/>
      <c r="J61" s="64"/>
      <c r="K61" s="64"/>
      <c r="L61" s="64"/>
      <c r="M61" s="192"/>
      <c r="N61" s="193"/>
      <c r="O61" s="193"/>
      <c r="P61" s="193"/>
      <c r="Q61" s="193"/>
      <c r="R61" s="8"/>
      <c r="S61" s="8"/>
      <c r="T61" s="8"/>
      <c r="U61" s="8"/>
      <c r="V61" s="8"/>
      <c r="W61" s="42"/>
      <c r="X61" s="9"/>
      <c r="Y61" s="9"/>
      <c r="Z61" s="9"/>
      <c r="AA61" s="9"/>
      <c r="AB61" s="9"/>
      <c r="AC61" s="9"/>
      <c r="AD61" s="9"/>
      <c r="AE61" s="198"/>
      <c r="AF61" s="198"/>
      <c r="AG61" s="198"/>
      <c r="AH61" s="198"/>
      <c r="AI61" s="198"/>
      <c r="AJ61" s="198"/>
      <c r="AK61" s="198"/>
      <c r="AL61" s="198"/>
      <c r="AM61" s="198"/>
      <c r="AN61" s="198"/>
      <c r="AO61" s="198"/>
      <c r="AP61" s="198"/>
      <c r="AQ61" s="198"/>
      <c r="AR61" s="198"/>
      <c r="AS61" s="198"/>
      <c r="AT61" s="198"/>
      <c r="AU61" s="198"/>
    </row>
    <row r="62" spans="1:47" hidden="1" outlineLevel="1">
      <c r="A62" s="12"/>
      <c r="B62" s="12"/>
      <c r="C62" s="12"/>
      <c r="D62" s="12"/>
      <c r="E62" s="12"/>
      <c r="F62" s="303">
        <f>Asset22</f>
        <v>0</v>
      </c>
      <c r="G62" s="302"/>
      <c r="H62" s="64"/>
      <c r="I62" s="64"/>
      <c r="J62" s="64"/>
      <c r="K62" s="64"/>
      <c r="L62" s="64"/>
      <c r="M62" s="192"/>
      <c r="N62" s="193"/>
      <c r="O62" s="193"/>
      <c r="P62" s="193"/>
      <c r="Q62" s="193"/>
      <c r="R62" s="8"/>
      <c r="S62" s="8"/>
      <c r="T62" s="8"/>
      <c r="U62" s="8"/>
      <c r="V62" s="8"/>
      <c r="W62" s="42"/>
      <c r="X62" s="9"/>
      <c r="Y62" s="9"/>
      <c r="Z62" s="9"/>
      <c r="AA62" s="9"/>
      <c r="AB62" s="9"/>
      <c r="AC62" s="9"/>
      <c r="AD62" s="9"/>
      <c r="AE62" s="198"/>
      <c r="AF62" s="198"/>
      <c r="AG62" s="198"/>
      <c r="AH62" s="198"/>
      <c r="AI62" s="198"/>
      <c r="AJ62" s="198"/>
      <c r="AK62" s="198"/>
      <c r="AL62" s="198"/>
      <c r="AM62" s="198"/>
      <c r="AN62" s="198"/>
      <c r="AO62" s="198"/>
      <c r="AP62" s="198"/>
      <c r="AQ62" s="198"/>
      <c r="AR62" s="198"/>
      <c r="AS62" s="198"/>
      <c r="AT62" s="198"/>
      <c r="AU62" s="198"/>
    </row>
    <row r="63" spans="1:47" hidden="1" outlineLevel="1">
      <c r="A63" s="12"/>
      <c r="B63" s="12"/>
      <c r="C63" s="12"/>
      <c r="D63" s="12"/>
      <c r="E63" s="12"/>
      <c r="F63" s="303">
        <f>Asset23</f>
        <v>0</v>
      </c>
      <c r="G63" s="302"/>
      <c r="H63" s="64"/>
      <c r="I63" s="64"/>
      <c r="J63" s="64"/>
      <c r="K63" s="64"/>
      <c r="L63" s="64"/>
      <c r="M63" s="192"/>
      <c r="N63" s="193"/>
      <c r="O63" s="193"/>
      <c r="P63" s="193"/>
      <c r="Q63" s="193"/>
      <c r="R63" s="8"/>
      <c r="S63" s="8"/>
      <c r="T63" s="8"/>
      <c r="U63" s="8"/>
      <c r="V63" s="8"/>
      <c r="W63" s="42"/>
      <c r="X63" s="9"/>
      <c r="Y63" s="9"/>
      <c r="Z63" s="9"/>
      <c r="AA63" s="9"/>
      <c r="AB63" s="9"/>
      <c r="AC63" s="9"/>
      <c r="AD63" s="9"/>
      <c r="AE63" s="198"/>
      <c r="AF63" s="198"/>
      <c r="AG63" s="198"/>
      <c r="AH63" s="198"/>
      <c r="AI63" s="198"/>
      <c r="AJ63" s="198"/>
      <c r="AK63" s="198"/>
      <c r="AL63" s="198"/>
      <c r="AM63" s="198"/>
      <c r="AN63" s="198"/>
      <c r="AO63" s="198"/>
      <c r="AP63" s="198"/>
      <c r="AQ63" s="198"/>
      <c r="AR63" s="198"/>
      <c r="AS63" s="198"/>
      <c r="AT63" s="198"/>
      <c r="AU63" s="198"/>
    </row>
    <row r="64" spans="1:47" hidden="1" outlineLevel="1">
      <c r="A64" s="12"/>
      <c r="B64" s="12"/>
      <c r="C64" s="12"/>
      <c r="D64" s="12"/>
      <c r="E64" s="12"/>
      <c r="F64" s="303">
        <f>Asset24</f>
        <v>0</v>
      </c>
      <c r="G64" s="302"/>
      <c r="H64" s="64"/>
      <c r="I64" s="64"/>
      <c r="J64" s="64"/>
      <c r="K64" s="64"/>
      <c r="L64" s="64"/>
      <c r="M64" s="192"/>
      <c r="N64" s="193"/>
      <c r="O64" s="193"/>
      <c r="P64" s="193"/>
      <c r="Q64" s="193"/>
      <c r="R64" s="8"/>
      <c r="S64" s="8"/>
      <c r="T64" s="8"/>
      <c r="U64" s="8"/>
      <c r="V64" s="8"/>
      <c r="W64" s="42"/>
      <c r="X64" s="9"/>
      <c r="Y64" s="9"/>
      <c r="Z64" s="9"/>
      <c r="AA64" s="9"/>
      <c r="AB64" s="9"/>
      <c r="AC64" s="9"/>
      <c r="AD64" s="9"/>
      <c r="AE64" s="198"/>
      <c r="AF64" s="198"/>
      <c r="AG64" s="198"/>
      <c r="AH64" s="198"/>
      <c r="AI64" s="198"/>
      <c r="AJ64" s="198"/>
      <c r="AK64" s="198"/>
      <c r="AL64" s="198"/>
      <c r="AM64" s="198"/>
      <c r="AN64" s="198"/>
      <c r="AO64" s="198"/>
      <c r="AP64" s="198"/>
      <c r="AQ64" s="198"/>
      <c r="AR64" s="198"/>
      <c r="AS64" s="198"/>
      <c r="AT64" s="198"/>
      <c r="AU64" s="198"/>
    </row>
    <row r="65" spans="1:47" hidden="1" outlineLevel="1">
      <c r="A65" s="12"/>
      <c r="B65" s="12"/>
      <c r="C65" s="12"/>
      <c r="D65" s="12"/>
      <c r="E65" s="12"/>
      <c r="F65" s="303">
        <f>Asset25</f>
        <v>0</v>
      </c>
      <c r="G65" s="302"/>
      <c r="H65" s="64"/>
      <c r="I65" s="64"/>
      <c r="J65" s="64"/>
      <c r="K65" s="64"/>
      <c r="L65" s="64"/>
      <c r="M65" s="192"/>
      <c r="N65" s="193"/>
      <c r="O65" s="193"/>
      <c r="P65" s="193"/>
      <c r="Q65" s="193"/>
      <c r="R65" s="8"/>
      <c r="S65" s="8"/>
      <c r="T65" s="8"/>
      <c r="U65" s="8"/>
      <c r="V65" s="8"/>
      <c r="W65" s="42"/>
      <c r="X65" s="9"/>
      <c r="Y65" s="9"/>
      <c r="Z65" s="9"/>
      <c r="AA65" s="9"/>
      <c r="AB65" s="9"/>
      <c r="AC65" s="9"/>
      <c r="AD65" s="9"/>
      <c r="AE65" s="198"/>
      <c r="AF65" s="198"/>
      <c r="AG65" s="198"/>
      <c r="AH65" s="198"/>
      <c r="AI65" s="198"/>
      <c r="AJ65" s="198"/>
      <c r="AK65" s="198"/>
      <c r="AL65" s="198"/>
      <c r="AM65" s="198"/>
      <c r="AN65" s="198"/>
      <c r="AO65" s="198"/>
      <c r="AP65" s="198"/>
      <c r="AQ65" s="198"/>
      <c r="AR65" s="198"/>
      <c r="AS65" s="198"/>
      <c r="AT65" s="198"/>
      <c r="AU65" s="198"/>
    </row>
    <row r="66" spans="1:47" hidden="1" outlineLevel="1">
      <c r="A66" s="12"/>
      <c r="B66" s="12"/>
      <c r="C66" s="12"/>
      <c r="D66" s="12"/>
      <c r="E66" s="12"/>
      <c r="F66" s="303">
        <f>Asset26</f>
        <v>0</v>
      </c>
      <c r="G66" s="302"/>
      <c r="H66" s="64"/>
      <c r="I66" s="64"/>
      <c r="J66" s="64"/>
      <c r="K66" s="64"/>
      <c r="L66" s="64"/>
      <c r="M66" s="192"/>
      <c r="N66" s="193"/>
      <c r="O66" s="193"/>
      <c r="P66" s="193"/>
      <c r="Q66" s="193"/>
      <c r="R66" s="8"/>
      <c r="S66" s="8"/>
      <c r="T66" s="8"/>
      <c r="U66" s="8"/>
      <c r="V66" s="8"/>
      <c r="W66" s="42"/>
      <c r="X66" s="9"/>
      <c r="Y66" s="9"/>
      <c r="Z66" s="9"/>
      <c r="AA66" s="9"/>
      <c r="AB66" s="9"/>
      <c r="AC66" s="9"/>
      <c r="AD66" s="9"/>
      <c r="AE66" s="198"/>
      <c r="AF66" s="198"/>
      <c r="AG66" s="198"/>
      <c r="AH66" s="198"/>
      <c r="AI66" s="198"/>
      <c r="AJ66" s="198"/>
      <c r="AK66" s="198"/>
      <c r="AL66" s="198"/>
      <c r="AM66" s="198"/>
      <c r="AN66" s="198"/>
      <c r="AO66" s="198"/>
      <c r="AP66" s="198"/>
      <c r="AQ66" s="198"/>
      <c r="AR66" s="198"/>
      <c r="AS66" s="198"/>
      <c r="AT66" s="198"/>
      <c r="AU66" s="198"/>
    </row>
    <row r="67" spans="1:47" hidden="1" outlineLevel="1">
      <c r="A67" s="12"/>
      <c r="B67" s="12"/>
      <c r="C67" s="12"/>
      <c r="D67" s="12"/>
      <c r="E67" s="12"/>
      <c r="F67" s="303">
        <f>Asset27</f>
        <v>0</v>
      </c>
      <c r="G67" s="302"/>
      <c r="H67" s="64"/>
      <c r="I67" s="64"/>
      <c r="J67" s="64"/>
      <c r="K67" s="64"/>
      <c r="L67" s="64"/>
      <c r="M67" s="192"/>
      <c r="N67" s="193"/>
      <c r="O67" s="193"/>
      <c r="P67" s="193"/>
      <c r="Q67" s="193"/>
      <c r="R67" s="8"/>
      <c r="S67" s="8"/>
      <c r="T67" s="8"/>
      <c r="U67" s="8"/>
      <c r="V67" s="8"/>
      <c r="W67" s="42"/>
      <c r="X67" s="9"/>
      <c r="Y67" s="9"/>
      <c r="Z67" s="9"/>
      <c r="AA67" s="9"/>
      <c r="AB67" s="9"/>
      <c r="AC67" s="9"/>
      <c r="AD67" s="9"/>
      <c r="AE67" s="198"/>
      <c r="AF67" s="198"/>
      <c r="AG67" s="198"/>
      <c r="AH67" s="198"/>
      <c r="AI67" s="198"/>
      <c r="AJ67" s="198"/>
      <c r="AK67" s="198"/>
      <c r="AL67" s="198"/>
      <c r="AM67" s="198"/>
      <c r="AN67" s="198"/>
      <c r="AO67" s="198"/>
      <c r="AP67" s="198"/>
      <c r="AQ67" s="198"/>
      <c r="AR67" s="198"/>
      <c r="AS67" s="198"/>
      <c r="AT67" s="198"/>
      <c r="AU67" s="198"/>
    </row>
    <row r="68" spans="1:47" hidden="1" outlineLevel="1">
      <c r="A68" s="12"/>
      <c r="B68" s="12"/>
      <c r="C68" s="12"/>
      <c r="D68" s="12"/>
      <c r="E68" s="12"/>
      <c r="F68" s="303">
        <f>Asset28</f>
        <v>0</v>
      </c>
      <c r="G68" s="302"/>
      <c r="H68" s="64"/>
      <c r="I68" s="64"/>
      <c r="J68" s="64"/>
      <c r="K68" s="64"/>
      <c r="L68" s="64"/>
      <c r="M68" s="192"/>
      <c r="N68" s="193"/>
      <c r="O68" s="193"/>
      <c r="P68" s="193"/>
      <c r="Q68" s="193"/>
      <c r="R68" s="8"/>
      <c r="S68" s="8"/>
      <c r="T68" s="8"/>
      <c r="U68" s="8"/>
      <c r="V68" s="8"/>
      <c r="W68" s="42"/>
      <c r="X68" s="9"/>
      <c r="Y68" s="9"/>
      <c r="Z68" s="9"/>
      <c r="AA68" s="9"/>
      <c r="AB68" s="9"/>
      <c r="AC68" s="9"/>
      <c r="AD68" s="9"/>
      <c r="AE68" s="198"/>
      <c r="AF68" s="198"/>
      <c r="AG68" s="198"/>
      <c r="AH68" s="198"/>
      <c r="AI68" s="198"/>
      <c r="AJ68" s="198"/>
      <c r="AK68" s="198"/>
      <c r="AL68" s="198"/>
      <c r="AM68" s="198"/>
      <c r="AN68" s="198"/>
      <c r="AO68" s="198"/>
      <c r="AP68" s="198"/>
      <c r="AQ68" s="198"/>
      <c r="AR68" s="198"/>
      <c r="AS68" s="198"/>
      <c r="AT68" s="198"/>
      <c r="AU68" s="198"/>
    </row>
    <row r="69" spans="1:47" hidden="1" outlineLevel="1">
      <c r="A69" s="12"/>
      <c r="B69" s="12"/>
      <c r="C69" s="12"/>
      <c r="D69" s="12"/>
      <c r="E69" s="12"/>
      <c r="F69" s="303">
        <f>Asset29</f>
        <v>0</v>
      </c>
      <c r="G69" s="302"/>
      <c r="H69" s="64"/>
      <c r="I69" s="64"/>
      <c r="J69" s="64"/>
      <c r="K69" s="64"/>
      <c r="L69" s="64"/>
      <c r="M69" s="192"/>
      <c r="N69" s="193"/>
      <c r="O69" s="193"/>
      <c r="P69" s="193"/>
      <c r="Q69" s="193"/>
      <c r="R69" s="8"/>
      <c r="S69" s="8"/>
      <c r="T69" s="8"/>
      <c r="U69" s="8"/>
      <c r="V69" s="8"/>
      <c r="W69" s="42"/>
      <c r="X69" s="9"/>
      <c r="Y69" s="9"/>
      <c r="Z69" s="9"/>
      <c r="AA69" s="9"/>
      <c r="AB69" s="9"/>
      <c r="AC69" s="9"/>
      <c r="AD69" s="9"/>
      <c r="AE69" s="198"/>
      <c r="AF69" s="198"/>
      <c r="AG69" s="198"/>
      <c r="AH69" s="198"/>
      <c r="AI69" s="198"/>
      <c r="AJ69" s="198"/>
      <c r="AK69" s="198"/>
      <c r="AL69" s="198"/>
      <c r="AM69" s="198"/>
      <c r="AN69" s="198"/>
      <c r="AO69" s="198"/>
      <c r="AP69" s="198"/>
      <c r="AQ69" s="198"/>
      <c r="AR69" s="198"/>
      <c r="AS69" s="198"/>
      <c r="AT69" s="198"/>
      <c r="AU69" s="198"/>
    </row>
    <row r="70" spans="1:47" hidden="1" outlineLevel="1">
      <c r="A70" s="12"/>
      <c r="B70" s="12"/>
      <c r="C70" s="12"/>
      <c r="D70" s="12"/>
      <c r="E70" s="12"/>
      <c r="F70" s="303">
        <f>Asset30</f>
        <v>0</v>
      </c>
      <c r="G70" s="302"/>
      <c r="H70" s="64"/>
      <c r="I70" s="64"/>
      <c r="J70" s="64"/>
      <c r="K70" s="64"/>
      <c r="L70" s="64"/>
      <c r="M70" s="192"/>
      <c r="N70" s="193"/>
      <c r="O70" s="193"/>
      <c r="P70" s="193"/>
      <c r="Q70" s="193"/>
      <c r="R70" s="8"/>
      <c r="S70" s="8"/>
      <c r="T70" s="8"/>
      <c r="U70" s="8"/>
      <c r="V70" s="8"/>
      <c r="W70" s="42"/>
      <c r="X70" s="9"/>
      <c r="Y70" s="9"/>
      <c r="Z70" s="9"/>
      <c r="AA70" s="9"/>
      <c r="AB70" s="9"/>
      <c r="AC70" s="9"/>
      <c r="AD70" s="9"/>
      <c r="AE70" s="198"/>
      <c r="AF70" s="198"/>
      <c r="AG70" s="198"/>
      <c r="AH70" s="198"/>
      <c r="AI70" s="198"/>
      <c r="AJ70" s="198"/>
      <c r="AK70" s="198"/>
      <c r="AL70" s="198"/>
      <c r="AM70" s="198"/>
      <c r="AN70" s="198"/>
      <c r="AO70" s="198"/>
      <c r="AP70" s="198"/>
      <c r="AQ70" s="198"/>
      <c r="AR70" s="198"/>
      <c r="AS70" s="198"/>
      <c r="AT70" s="198"/>
      <c r="AU70" s="198"/>
    </row>
    <row r="71" spans="1:47" collapsed="1">
      <c r="A71" s="12"/>
      <c r="B71" s="12"/>
      <c r="C71" s="12"/>
      <c r="D71" s="12"/>
      <c r="E71" s="12"/>
      <c r="F71" s="173" t="s">
        <v>19</v>
      </c>
      <c r="G71" s="308">
        <f t="shared" ref="G71:Q71" si="2">SUM(G41:G70)</f>
        <v>109.49618468274402</v>
      </c>
      <c r="H71" s="308">
        <f t="shared" si="2"/>
        <v>91.557004939999999</v>
      </c>
      <c r="I71" s="308">
        <f t="shared" si="2"/>
        <v>110.31754529241904</v>
      </c>
      <c r="J71" s="308">
        <f t="shared" si="2"/>
        <v>108.96423347590084</v>
      </c>
      <c r="K71" s="308">
        <f t="shared" si="2"/>
        <v>131.65758028919046</v>
      </c>
      <c r="L71" s="308">
        <f t="shared" si="2"/>
        <v>166.23817</v>
      </c>
      <c r="M71" s="308">
        <f t="shared" si="2"/>
        <v>135.45850633554906</v>
      </c>
      <c r="N71" s="308">
        <f t="shared" si="2"/>
        <v>0</v>
      </c>
      <c r="O71" s="308">
        <f t="shared" si="2"/>
        <v>0</v>
      </c>
      <c r="P71" s="308">
        <f t="shared" si="2"/>
        <v>0</v>
      </c>
      <c r="Q71" s="308">
        <f t="shared" si="2"/>
        <v>0</v>
      </c>
      <c r="R71" s="36"/>
      <c r="S71" s="36"/>
      <c r="T71" s="36"/>
      <c r="U71" s="36"/>
      <c r="V71" s="36"/>
      <c r="W71" s="36"/>
      <c r="X71" s="47"/>
      <c r="Y71" s="8"/>
      <c r="Z71" s="8"/>
      <c r="AA71" s="42"/>
      <c r="AB71" s="9"/>
      <c r="AC71" s="9"/>
      <c r="AD71" s="9"/>
      <c r="AE71" s="198"/>
      <c r="AF71" s="198"/>
      <c r="AG71" s="198"/>
      <c r="AH71" s="198"/>
      <c r="AI71" s="198"/>
      <c r="AJ71" s="198"/>
      <c r="AK71" s="198"/>
      <c r="AL71" s="198"/>
      <c r="AM71" s="198"/>
      <c r="AN71" s="198"/>
      <c r="AO71" s="198"/>
      <c r="AP71" s="198"/>
      <c r="AQ71" s="198"/>
      <c r="AR71" s="198"/>
      <c r="AS71" s="198"/>
      <c r="AT71" s="198"/>
      <c r="AU71" s="198"/>
    </row>
    <row r="72" spans="1:47" ht="21" customHeight="1">
      <c r="A72" s="9"/>
      <c r="B72" s="9"/>
      <c r="C72" s="9"/>
      <c r="D72" s="9"/>
      <c r="E72" s="9"/>
      <c r="F72" s="9"/>
      <c r="G72" s="9"/>
      <c r="H72" s="18"/>
      <c r="I72" s="20"/>
      <c r="J72" s="9"/>
      <c r="K72" s="9"/>
      <c r="L72" s="9"/>
      <c r="M72" s="9"/>
      <c r="N72" s="9"/>
      <c r="O72" s="9"/>
      <c r="P72" s="9"/>
      <c r="Q72" s="9"/>
      <c r="R72" s="243">
        <f>SUM(G71:Q71)</f>
        <v>853.68922501580334</v>
      </c>
      <c r="S72" s="9"/>
      <c r="T72" s="9"/>
      <c r="U72" s="9"/>
      <c r="V72" s="9"/>
      <c r="W72" s="9"/>
      <c r="X72" s="9"/>
      <c r="Y72" s="9"/>
      <c r="Z72" s="9"/>
      <c r="AA72" s="19"/>
      <c r="AB72" s="9"/>
      <c r="AC72" s="9"/>
      <c r="AD72" s="9"/>
      <c r="AE72" s="198"/>
      <c r="AF72" s="198"/>
      <c r="AG72" s="198"/>
      <c r="AH72" s="198"/>
      <c r="AI72" s="198"/>
      <c r="AJ72" s="198"/>
      <c r="AK72" s="198"/>
      <c r="AL72" s="198"/>
      <c r="AM72" s="198"/>
      <c r="AN72" s="198"/>
      <c r="AO72" s="198"/>
      <c r="AP72" s="198"/>
      <c r="AQ72" s="198"/>
      <c r="AR72" s="198"/>
      <c r="AS72" s="198"/>
      <c r="AT72" s="198"/>
      <c r="AU72" s="198"/>
    </row>
    <row r="73" spans="1:47" ht="13.5" customHeight="1">
      <c r="A73" s="74"/>
      <c r="B73" s="74"/>
      <c r="C73" s="74"/>
      <c r="D73" s="74"/>
      <c r="E73" s="74"/>
      <c r="F73" s="387" t="s">
        <v>80</v>
      </c>
      <c r="G73" s="387"/>
      <c r="H73" s="156"/>
      <c r="I73" s="156"/>
      <c r="J73" s="156"/>
      <c r="K73" s="77"/>
      <c r="L73" s="77"/>
      <c r="M73" s="75"/>
      <c r="N73" s="75"/>
      <c r="O73" s="75"/>
      <c r="P73" s="75"/>
      <c r="Q73" s="75"/>
      <c r="R73" s="75"/>
      <c r="S73" s="75"/>
      <c r="T73" s="75"/>
      <c r="U73" s="75"/>
      <c r="V73" s="75"/>
      <c r="W73" s="75"/>
      <c r="X73" s="8"/>
      <c r="Y73" s="8"/>
      <c r="Z73" s="8"/>
      <c r="AA73" s="8"/>
      <c r="AB73" s="42"/>
      <c r="AC73" s="9"/>
      <c r="AD73" s="9"/>
      <c r="AE73" s="198"/>
      <c r="AF73" s="198"/>
      <c r="AG73" s="198"/>
      <c r="AH73" s="198"/>
      <c r="AI73" s="198"/>
      <c r="AJ73" s="198"/>
      <c r="AK73" s="198"/>
      <c r="AL73" s="198"/>
      <c r="AM73" s="198"/>
      <c r="AN73" s="198"/>
      <c r="AO73" s="198"/>
      <c r="AP73" s="198"/>
      <c r="AQ73" s="198"/>
      <c r="AR73" s="198"/>
      <c r="AS73" s="198"/>
      <c r="AT73" s="198"/>
      <c r="AU73" s="198"/>
    </row>
    <row r="74" spans="1:47">
      <c r="A74" s="12"/>
      <c r="B74" s="12"/>
      <c r="C74" s="12"/>
      <c r="D74" s="12"/>
      <c r="E74" s="12"/>
      <c r="F74" s="37" t="s">
        <v>3</v>
      </c>
      <c r="G74" s="242" t="str">
        <f>G40</f>
        <v>2007-08</v>
      </c>
      <c r="H74" s="242" t="str">
        <f t="shared" ref="H74:Q74" si="3">H40</f>
        <v>2008-09</v>
      </c>
      <c r="I74" s="242" t="str">
        <f t="shared" si="3"/>
        <v>2009-10</v>
      </c>
      <c r="J74" s="242" t="str">
        <f t="shared" si="3"/>
        <v>2010-11</v>
      </c>
      <c r="K74" s="242" t="str">
        <f t="shared" si="3"/>
        <v>2011-12</v>
      </c>
      <c r="L74" s="242" t="str">
        <f t="shared" si="3"/>
        <v>2012-13</v>
      </c>
      <c r="M74" s="242" t="str">
        <f t="shared" si="3"/>
        <v>2013-14</v>
      </c>
      <c r="N74" s="242" t="str">
        <f t="shared" si="3"/>
        <v>2014-15</v>
      </c>
      <c r="O74" s="242" t="str">
        <f t="shared" si="3"/>
        <v>2015-16</v>
      </c>
      <c r="P74" s="242" t="str">
        <f t="shared" si="3"/>
        <v>2016-17</v>
      </c>
      <c r="Q74" s="242" t="str">
        <f t="shared" si="3"/>
        <v>2017-18</v>
      </c>
      <c r="R74" s="8"/>
      <c r="S74" s="8"/>
      <c r="T74" s="8"/>
      <c r="U74" s="8"/>
      <c r="V74" s="8"/>
      <c r="W74" s="42"/>
      <c r="X74" s="9"/>
      <c r="Y74" s="9"/>
      <c r="Z74" s="9"/>
      <c r="AA74" s="9"/>
      <c r="AB74" s="9"/>
      <c r="AC74" s="9"/>
      <c r="AD74" s="9"/>
      <c r="AE74" s="198"/>
      <c r="AF74" s="198"/>
      <c r="AG74" s="198"/>
      <c r="AH74" s="198"/>
      <c r="AI74" s="198"/>
      <c r="AJ74" s="198"/>
      <c r="AK74" s="198"/>
      <c r="AL74" s="198"/>
      <c r="AM74" s="198"/>
      <c r="AN74" s="198"/>
      <c r="AO74" s="198"/>
      <c r="AP74" s="198"/>
      <c r="AQ74" s="198"/>
      <c r="AR74" s="198"/>
      <c r="AS74" s="198"/>
      <c r="AT74" s="198"/>
      <c r="AU74" s="198"/>
    </row>
    <row r="75" spans="1:47" hidden="1" outlineLevel="1">
      <c r="A75" s="12"/>
      <c r="B75" s="12"/>
      <c r="C75" s="12"/>
      <c r="D75" s="12"/>
      <c r="E75" s="12"/>
      <c r="F75" s="173" t="str">
        <f>Asset1</f>
        <v>Secondary</v>
      </c>
      <c r="G75" s="380">
        <v>0</v>
      </c>
      <c r="H75" s="381">
        <v>0</v>
      </c>
      <c r="I75" s="371">
        <v>0</v>
      </c>
      <c r="J75" s="371">
        <v>0</v>
      </c>
      <c r="K75" s="371">
        <v>0</v>
      </c>
      <c r="L75" s="371">
        <v>0</v>
      </c>
      <c r="M75" s="371">
        <v>0</v>
      </c>
      <c r="N75" s="191"/>
      <c r="O75" s="191"/>
      <c r="P75" s="191"/>
      <c r="Q75" s="191"/>
      <c r="R75" s="8"/>
      <c r="S75" s="8"/>
      <c r="T75" s="8"/>
      <c r="U75" s="8"/>
      <c r="V75" s="8"/>
      <c r="W75" s="42"/>
      <c r="X75" s="9"/>
      <c r="Y75" s="9"/>
      <c r="Z75" s="9"/>
      <c r="AA75" s="9"/>
      <c r="AB75" s="9"/>
      <c r="AC75" s="9"/>
      <c r="AD75" s="9"/>
      <c r="AE75" s="198"/>
      <c r="AF75" s="198"/>
      <c r="AG75" s="198"/>
      <c r="AH75" s="198"/>
      <c r="AI75" s="198"/>
      <c r="AJ75" s="198"/>
      <c r="AK75" s="198"/>
      <c r="AL75" s="198"/>
      <c r="AM75" s="198"/>
      <c r="AN75" s="198"/>
      <c r="AO75" s="198"/>
      <c r="AP75" s="198"/>
      <c r="AQ75" s="198"/>
      <c r="AR75" s="198"/>
      <c r="AS75" s="198"/>
      <c r="AT75" s="198"/>
      <c r="AU75" s="198"/>
    </row>
    <row r="76" spans="1:47" hidden="1" outlineLevel="1">
      <c r="A76" s="12"/>
      <c r="B76" s="12"/>
      <c r="C76" s="12"/>
      <c r="D76" s="12"/>
      <c r="E76" s="12"/>
      <c r="F76" s="173" t="str">
        <f>Asset2</f>
        <v>Switchgear</v>
      </c>
      <c r="G76" s="380">
        <v>0</v>
      </c>
      <c r="H76" s="381">
        <v>0</v>
      </c>
      <c r="I76" s="375">
        <v>0</v>
      </c>
      <c r="J76" s="375">
        <v>0</v>
      </c>
      <c r="K76" s="375">
        <v>0</v>
      </c>
      <c r="L76" s="375">
        <v>0</v>
      </c>
      <c r="M76" s="375">
        <v>0</v>
      </c>
      <c r="N76" s="193"/>
      <c r="O76" s="193"/>
      <c r="P76" s="193"/>
      <c r="Q76" s="193"/>
      <c r="R76" s="8"/>
      <c r="S76" s="8"/>
      <c r="T76" s="8"/>
      <c r="U76" s="8"/>
      <c r="V76" s="8"/>
      <c r="W76" s="42"/>
      <c r="X76" s="9"/>
      <c r="Y76" s="9"/>
      <c r="Z76" s="9"/>
      <c r="AA76" s="9"/>
      <c r="AB76" s="9"/>
      <c r="AC76" s="9"/>
      <c r="AD76" s="9"/>
      <c r="AE76" s="198"/>
      <c r="AF76" s="198"/>
      <c r="AG76" s="198"/>
      <c r="AH76" s="198"/>
      <c r="AI76" s="198"/>
      <c r="AJ76" s="198"/>
      <c r="AK76" s="198"/>
      <c r="AL76" s="198"/>
      <c r="AM76" s="198"/>
      <c r="AN76" s="198"/>
      <c r="AO76" s="198"/>
      <c r="AP76" s="198"/>
      <c r="AQ76" s="198"/>
      <c r="AR76" s="198"/>
      <c r="AS76" s="198"/>
      <c r="AT76" s="198"/>
      <c r="AU76" s="198"/>
    </row>
    <row r="77" spans="1:47" hidden="1" outlineLevel="1">
      <c r="A77" s="12"/>
      <c r="B77" s="12"/>
      <c r="C77" s="12"/>
      <c r="D77" s="12"/>
      <c r="E77" s="12"/>
      <c r="F77" s="173" t="str">
        <f>Asset3</f>
        <v>Transformers</v>
      </c>
      <c r="G77" s="380">
        <v>0</v>
      </c>
      <c r="H77" s="381">
        <v>0</v>
      </c>
      <c r="I77" s="375">
        <v>0</v>
      </c>
      <c r="J77" s="375">
        <v>0</v>
      </c>
      <c r="K77" s="375">
        <v>0</v>
      </c>
      <c r="L77" s="375">
        <v>0</v>
      </c>
      <c r="M77" s="375">
        <v>0.30299999999999999</v>
      </c>
      <c r="N77" s="193"/>
      <c r="O77" s="193"/>
      <c r="P77" s="193"/>
      <c r="Q77" s="193"/>
      <c r="R77" s="8"/>
      <c r="S77" s="8"/>
      <c r="T77" s="8"/>
      <c r="U77" s="8"/>
      <c r="V77" s="8"/>
      <c r="W77" s="42"/>
      <c r="X77" s="9"/>
      <c r="Y77" s="9"/>
      <c r="Z77" s="9"/>
      <c r="AA77" s="9"/>
      <c r="AB77" s="9"/>
      <c r="AC77" s="9"/>
      <c r="AD77" s="9"/>
      <c r="AE77" s="198"/>
      <c r="AF77" s="198"/>
      <c r="AG77" s="198"/>
      <c r="AH77" s="198"/>
      <c r="AI77" s="198"/>
      <c r="AJ77" s="198"/>
      <c r="AK77" s="198"/>
      <c r="AL77" s="198"/>
      <c r="AM77" s="198"/>
      <c r="AN77" s="198"/>
      <c r="AO77" s="198"/>
      <c r="AP77" s="198"/>
      <c r="AQ77" s="198"/>
      <c r="AR77" s="198"/>
      <c r="AS77" s="198"/>
      <c r="AT77" s="198"/>
      <c r="AU77" s="198"/>
    </row>
    <row r="78" spans="1:47" hidden="1" outlineLevel="1">
      <c r="A78" s="12"/>
      <c r="B78" s="12"/>
      <c r="C78" s="12"/>
      <c r="D78" s="12"/>
      <c r="E78" s="12"/>
      <c r="F78" s="173" t="str">
        <f>Asset4</f>
        <v>Reactive</v>
      </c>
      <c r="G78" s="380">
        <v>0</v>
      </c>
      <c r="H78" s="381">
        <v>0</v>
      </c>
      <c r="I78" s="375">
        <v>0</v>
      </c>
      <c r="J78" s="375">
        <v>0</v>
      </c>
      <c r="K78" s="375">
        <v>0</v>
      </c>
      <c r="L78" s="375">
        <v>0</v>
      </c>
      <c r="M78" s="375">
        <v>0</v>
      </c>
      <c r="N78" s="193"/>
      <c r="O78" s="193"/>
      <c r="P78" s="193"/>
      <c r="Q78" s="193"/>
      <c r="R78" s="8"/>
      <c r="S78" s="8"/>
      <c r="T78" s="8"/>
      <c r="U78" s="8"/>
      <c r="V78" s="8"/>
      <c r="W78" s="42"/>
      <c r="X78" s="9"/>
      <c r="Y78" s="9"/>
      <c r="Z78" s="9"/>
      <c r="AA78" s="9"/>
      <c r="AB78" s="9"/>
      <c r="AC78" s="9"/>
      <c r="AD78" s="9"/>
      <c r="AE78" s="198"/>
      <c r="AF78" s="198"/>
      <c r="AG78" s="198"/>
      <c r="AH78" s="198"/>
      <c r="AI78" s="198"/>
      <c r="AJ78" s="198"/>
      <c r="AK78" s="198"/>
      <c r="AL78" s="198"/>
      <c r="AM78" s="198"/>
      <c r="AN78" s="198"/>
      <c r="AO78" s="198"/>
      <c r="AP78" s="198"/>
      <c r="AQ78" s="198"/>
      <c r="AR78" s="198"/>
      <c r="AS78" s="198"/>
      <c r="AT78" s="198"/>
      <c r="AU78" s="198"/>
    </row>
    <row r="79" spans="1:47" hidden="1" outlineLevel="1">
      <c r="A79" s="12"/>
      <c r="B79" s="12"/>
      <c r="C79" s="12"/>
      <c r="D79" s="12"/>
      <c r="E79" s="12"/>
      <c r="F79" s="173" t="str">
        <f>Asset5</f>
        <v>Towers and Conductor</v>
      </c>
      <c r="G79" s="380">
        <v>0</v>
      </c>
      <c r="H79" s="381">
        <v>0</v>
      </c>
      <c r="I79" s="375">
        <v>0</v>
      </c>
      <c r="J79" s="375">
        <v>0</v>
      </c>
      <c r="K79" s="375">
        <v>0</v>
      </c>
      <c r="L79" s="375">
        <v>0</v>
      </c>
      <c r="M79" s="375">
        <v>0</v>
      </c>
      <c r="N79" s="193"/>
      <c r="O79" s="193"/>
      <c r="P79" s="193"/>
      <c r="Q79" s="193"/>
      <c r="R79" s="8"/>
      <c r="S79" s="8"/>
      <c r="T79" s="8"/>
      <c r="U79" s="8"/>
      <c r="V79" s="8"/>
      <c r="W79" s="42"/>
      <c r="X79" s="9"/>
      <c r="Y79" s="9"/>
      <c r="Z79" s="9"/>
      <c r="AA79" s="9"/>
      <c r="AB79" s="9"/>
      <c r="AC79" s="9"/>
      <c r="AD79" s="9"/>
      <c r="AE79" s="198"/>
      <c r="AF79" s="198"/>
      <c r="AG79" s="198"/>
      <c r="AH79" s="198"/>
      <c r="AI79" s="198"/>
      <c r="AJ79" s="198"/>
      <c r="AK79" s="198"/>
      <c r="AL79" s="198"/>
      <c r="AM79" s="198"/>
      <c r="AN79" s="198"/>
      <c r="AO79" s="198"/>
      <c r="AP79" s="198"/>
      <c r="AQ79" s="198"/>
      <c r="AR79" s="198"/>
      <c r="AS79" s="198"/>
      <c r="AT79" s="198"/>
      <c r="AU79" s="198"/>
    </row>
    <row r="80" spans="1:47" hidden="1" outlineLevel="1">
      <c r="A80" s="12"/>
      <c r="B80" s="12"/>
      <c r="C80" s="12"/>
      <c r="D80" s="12"/>
      <c r="E80" s="12"/>
      <c r="F80" s="173" t="str">
        <f>Asset6</f>
        <v>Establishment</v>
      </c>
      <c r="G80" s="380">
        <v>0</v>
      </c>
      <c r="H80" s="381">
        <v>0</v>
      </c>
      <c r="I80" s="375">
        <v>0</v>
      </c>
      <c r="J80" s="375">
        <v>0</v>
      </c>
      <c r="K80" s="375">
        <v>0</v>
      </c>
      <c r="L80" s="375">
        <v>0</v>
      </c>
      <c r="M80" s="375">
        <v>0</v>
      </c>
      <c r="N80" s="193"/>
      <c r="O80" s="193"/>
      <c r="P80" s="193"/>
      <c r="Q80" s="193"/>
      <c r="R80" s="8"/>
      <c r="S80" s="8"/>
      <c r="T80" s="8"/>
      <c r="U80" s="8"/>
      <c r="V80" s="8"/>
      <c r="W80" s="42"/>
      <c r="X80" s="9"/>
      <c r="Y80" s="9"/>
      <c r="Z80" s="9"/>
      <c r="AA80" s="9"/>
      <c r="AB80" s="9"/>
      <c r="AC80" s="9"/>
      <c r="AD80" s="9"/>
      <c r="AE80" s="198"/>
      <c r="AF80" s="198"/>
      <c r="AG80" s="198"/>
      <c r="AH80" s="198"/>
      <c r="AI80" s="198"/>
      <c r="AJ80" s="198"/>
      <c r="AK80" s="198"/>
      <c r="AL80" s="198"/>
      <c r="AM80" s="198"/>
      <c r="AN80" s="198"/>
      <c r="AO80" s="198"/>
      <c r="AP80" s="198"/>
      <c r="AQ80" s="198"/>
      <c r="AR80" s="198"/>
      <c r="AS80" s="198"/>
      <c r="AT80" s="198"/>
      <c r="AU80" s="198"/>
    </row>
    <row r="81" spans="1:47" hidden="1" outlineLevel="1">
      <c r="A81" s="12"/>
      <c r="B81" s="12"/>
      <c r="C81" s="12"/>
      <c r="D81" s="12"/>
      <c r="E81" s="12"/>
      <c r="F81" s="173" t="str">
        <f>Asset7</f>
        <v>Communications</v>
      </c>
      <c r="G81" s="380">
        <v>0</v>
      </c>
      <c r="H81" s="381">
        <v>0</v>
      </c>
      <c r="I81" s="375">
        <v>0</v>
      </c>
      <c r="J81" s="375">
        <v>0</v>
      </c>
      <c r="K81" s="375">
        <v>0</v>
      </c>
      <c r="L81" s="375">
        <v>0</v>
      </c>
      <c r="M81" s="375">
        <v>0</v>
      </c>
      <c r="N81" s="193"/>
      <c r="O81" s="193"/>
      <c r="P81" s="193"/>
      <c r="Q81" s="193"/>
      <c r="R81" s="8"/>
      <c r="S81" s="8"/>
      <c r="T81" s="8"/>
      <c r="U81" s="8"/>
      <c r="V81" s="8"/>
      <c r="W81" s="42"/>
      <c r="X81" s="9"/>
      <c r="Y81" s="9"/>
      <c r="Z81" s="9"/>
      <c r="AA81" s="9"/>
      <c r="AB81" s="9"/>
      <c r="AC81" s="9"/>
      <c r="AD81" s="9"/>
      <c r="AE81" s="198"/>
      <c r="AF81" s="198"/>
      <c r="AG81" s="198"/>
      <c r="AH81" s="198"/>
      <c r="AI81" s="198"/>
      <c r="AJ81" s="198"/>
      <c r="AK81" s="198"/>
      <c r="AL81" s="198"/>
      <c r="AM81" s="198"/>
      <c r="AN81" s="198"/>
      <c r="AO81" s="198"/>
      <c r="AP81" s="198"/>
      <c r="AQ81" s="198"/>
      <c r="AR81" s="198"/>
      <c r="AS81" s="198"/>
      <c r="AT81" s="198"/>
      <c r="AU81" s="198"/>
    </row>
    <row r="82" spans="1:47" hidden="1" outlineLevel="1">
      <c r="A82" s="12"/>
      <c r="B82" s="12"/>
      <c r="C82" s="12"/>
      <c r="D82" s="12"/>
      <c r="E82" s="12"/>
      <c r="F82" s="173" t="str">
        <f>Asset8</f>
        <v>Inventory</v>
      </c>
      <c r="G82" s="380">
        <v>0</v>
      </c>
      <c r="H82" s="381">
        <v>0</v>
      </c>
      <c r="I82" s="375">
        <v>0</v>
      </c>
      <c r="J82" s="375">
        <v>0</v>
      </c>
      <c r="K82" s="375">
        <v>0</v>
      </c>
      <c r="L82" s="375">
        <v>0</v>
      </c>
      <c r="M82" s="375">
        <v>0</v>
      </c>
      <c r="N82" s="193"/>
      <c r="O82" s="193"/>
      <c r="P82" s="193"/>
      <c r="Q82" s="193"/>
      <c r="R82" s="8"/>
      <c r="S82" s="8"/>
      <c r="T82" s="8"/>
      <c r="U82" s="8"/>
      <c r="V82" s="8"/>
      <c r="W82" s="42"/>
      <c r="X82" s="9"/>
      <c r="Y82" s="9"/>
      <c r="Z82" s="9"/>
      <c r="AA82" s="9"/>
      <c r="AB82" s="9"/>
      <c r="AC82" s="9"/>
      <c r="AD82" s="9"/>
      <c r="AE82" s="198"/>
      <c r="AF82" s="198"/>
      <c r="AG82" s="198"/>
      <c r="AH82" s="198"/>
      <c r="AI82" s="198"/>
      <c r="AJ82" s="198"/>
      <c r="AK82" s="198"/>
      <c r="AL82" s="198"/>
      <c r="AM82" s="198"/>
      <c r="AN82" s="198"/>
      <c r="AO82" s="198"/>
      <c r="AP82" s="198"/>
      <c r="AQ82" s="198"/>
      <c r="AR82" s="198"/>
      <c r="AS82" s="198"/>
      <c r="AT82" s="198"/>
      <c r="AU82" s="198"/>
    </row>
    <row r="83" spans="1:47" hidden="1" outlineLevel="1">
      <c r="A83" s="12"/>
      <c r="B83" s="12"/>
      <c r="C83" s="12"/>
      <c r="D83" s="12"/>
      <c r="E83" s="12"/>
      <c r="F83" s="173" t="str">
        <f>Asset9</f>
        <v>IT</v>
      </c>
      <c r="G83" s="380">
        <v>5.1799999999999992E-2</v>
      </c>
      <c r="H83" s="381">
        <v>0.194383</v>
      </c>
      <c r="I83" s="375">
        <v>0</v>
      </c>
      <c r="J83" s="375">
        <v>7.54E-4</v>
      </c>
      <c r="K83" s="375">
        <v>0</v>
      </c>
      <c r="L83" s="375">
        <v>0</v>
      </c>
      <c r="M83" s="375">
        <v>0</v>
      </c>
      <c r="N83" s="193"/>
      <c r="O83" s="193"/>
      <c r="P83" s="193"/>
      <c r="Q83" s="193"/>
      <c r="R83" s="8"/>
      <c r="S83" s="8"/>
      <c r="T83" s="8"/>
      <c r="U83" s="8"/>
      <c r="V83" s="8"/>
      <c r="W83" s="42"/>
      <c r="X83" s="9"/>
      <c r="Y83" s="9"/>
      <c r="Z83" s="9"/>
      <c r="AA83" s="9"/>
      <c r="AB83" s="9"/>
      <c r="AC83" s="9"/>
      <c r="AD83" s="9"/>
      <c r="AE83" s="198"/>
      <c r="AF83" s="198"/>
      <c r="AG83" s="198"/>
      <c r="AH83" s="198"/>
      <c r="AI83" s="198"/>
      <c r="AJ83" s="198"/>
      <c r="AK83" s="198"/>
      <c r="AL83" s="198"/>
      <c r="AM83" s="198"/>
      <c r="AN83" s="198"/>
      <c r="AO83" s="198"/>
      <c r="AP83" s="198"/>
      <c r="AQ83" s="198"/>
      <c r="AR83" s="198"/>
      <c r="AS83" s="198"/>
      <c r="AT83" s="198"/>
      <c r="AU83" s="198"/>
    </row>
    <row r="84" spans="1:47" hidden="1" outlineLevel="1">
      <c r="A84" s="12"/>
      <c r="B84" s="12"/>
      <c r="C84" s="12"/>
      <c r="D84" s="12"/>
      <c r="E84" s="12"/>
      <c r="F84" s="173" t="str">
        <f>Asset10</f>
        <v>Vehicles</v>
      </c>
      <c r="G84" s="380">
        <v>2.2199999999999998E-3</v>
      </c>
      <c r="H84" s="381">
        <v>0.476952895115272</v>
      </c>
      <c r="I84" s="375">
        <v>3.1290331880908809E-2</v>
      </c>
      <c r="J84" s="375">
        <v>0.141208</v>
      </c>
      <c r="K84" s="375">
        <v>0</v>
      </c>
      <c r="L84" s="375">
        <v>0</v>
      </c>
      <c r="M84" s="375">
        <v>0</v>
      </c>
      <c r="N84" s="193"/>
      <c r="O84" s="193"/>
      <c r="P84" s="193"/>
      <c r="Q84" s="193"/>
      <c r="R84" s="8"/>
      <c r="S84" s="8"/>
      <c r="T84" s="8"/>
      <c r="U84" s="8"/>
      <c r="V84" s="8"/>
      <c r="W84" s="42"/>
      <c r="X84" s="9"/>
      <c r="Y84" s="9"/>
      <c r="Z84" s="9"/>
      <c r="AA84" s="9"/>
      <c r="AB84" s="9"/>
      <c r="AC84" s="9"/>
      <c r="AD84" s="9"/>
      <c r="AE84" s="198"/>
      <c r="AF84" s="198"/>
      <c r="AG84" s="198"/>
      <c r="AH84" s="198"/>
      <c r="AI84" s="198"/>
      <c r="AJ84" s="198"/>
      <c r="AK84" s="198"/>
      <c r="AL84" s="198"/>
      <c r="AM84" s="198"/>
      <c r="AN84" s="198"/>
      <c r="AO84" s="198"/>
      <c r="AP84" s="198"/>
      <c r="AQ84" s="198"/>
      <c r="AR84" s="198"/>
      <c r="AS84" s="198"/>
      <c r="AT84" s="198"/>
      <c r="AU84" s="198"/>
    </row>
    <row r="85" spans="1:47" hidden="1" outlineLevel="1">
      <c r="A85" s="12"/>
      <c r="B85" s="12"/>
      <c r="C85" s="12"/>
      <c r="D85" s="12"/>
      <c r="E85" s="12"/>
      <c r="F85" s="173" t="str">
        <f>Asset11</f>
        <v>other</v>
      </c>
      <c r="G85" s="380">
        <v>1.702E-2</v>
      </c>
      <c r="H85" s="381">
        <v>1.1655238422892384E-2</v>
      </c>
      <c r="I85" s="375">
        <v>0</v>
      </c>
      <c r="J85" s="375">
        <v>8.1670000000000006E-3</v>
      </c>
      <c r="K85" s="375">
        <v>0</v>
      </c>
      <c r="L85" s="375">
        <v>0</v>
      </c>
      <c r="M85" s="375">
        <v>0</v>
      </c>
      <c r="N85" s="193"/>
      <c r="O85" s="193"/>
      <c r="P85" s="193"/>
      <c r="Q85" s="193"/>
      <c r="R85" s="8"/>
      <c r="S85" s="8"/>
      <c r="T85" s="8"/>
      <c r="U85" s="8"/>
      <c r="V85" s="8"/>
      <c r="W85" s="42"/>
      <c r="X85" s="9"/>
      <c r="Y85" s="9"/>
      <c r="Z85" s="9"/>
      <c r="AA85" s="9"/>
      <c r="AB85" s="9"/>
      <c r="AC85" s="9"/>
      <c r="AD85" s="9"/>
      <c r="AE85" s="198"/>
      <c r="AF85" s="198"/>
      <c r="AG85" s="198"/>
      <c r="AH85" s="198"/>
      <c r="AI85" s="198"/>
      <c r="AJ85" s="198"/>
      <c r="AK85" s="198"/>
      <c r="AL85" s="198"/>
      <c r="AM85" s="198"/>
      <c r="AN85" s="198"/>
      <c r="AO85" s="198"/>
      <c r="AP85" s="198"/>
      <c r="AQ85" s="198"/>
      <c r="AR85" s="198"/>
      <c r="AS85" s="198"/>
      <c r="AT85" s="198"/>
      <c r="AU85" s="198"/>
    </row>
    <row r="86" spans="1:47" hidden="1" outlineLevel="1">
      <c r="A86" s="12"/>
      <c r="B86" s="12"/>
      <c r="C86" s="12"/>
      <c r="D86" s="12"/>
      <c r="E86" s="12"/>
      <c r="F86" s="173" t="str">
        <f>Asset12</f>
        <v>premises</v>
      </c>
      <c r="G86" s="380">
        <v>2.96E-3</v>
      </c>
      <c r="H86" s="381">
        <v>0</v>
      </c>
      <c r="I86" s="375">
        <v>0</v>
      </c>
      <c r="J86" s="375">
        <v>0</v>
      </c>
      <c r="K86" s="375">
        <v>0</v>
      </c>
      <c r="L86" s="375">
        <v>0</v>
      </c>
      <c r="M86" s="375">
        <v>0</v>
      </c>
      <c r="N86" s="193"/>
      <c r="O86" s="193"/>
      <c r="P86" s="193"/>
      <c r="Q86" s="193"/>
      <c r="R86" s="8"/>
      <c r="S86" s="8"/>
      <c r="T86" s="8"/>
      <c r="U86" s="8"/>
      <c r="V86" s="8"/>
      <c r="W86" s="42"/>
      <c r="X86" s="9"/>
      <c r="Y86" s="9"/>
      <c r="Z86" s="9"/>
      <c r="AA86" s="9"/>
      <c r="AB86" s="9"/>
      <c r="AC86" s="9"/>
      <c r="AD86" s="9"/>
      <c r="AE86" s="198"/>
      <c r="AF86" s="198"/>
      <c r="AG86" s="198"/>
      <c r="AH86" s="198"/>
      <c r="AI86" s="198"/>
      <c r="AJ86" s="198"/>
      <c r="AK86" s="198"/>
      <c r="AL86" s="198"/>
      <c r="AM86" s="198"/>
      <c r="AN86" s="198"/>
      <c r="AO86" s="198"/>
      <c r="AP86" s="198"/>
      <c r="AQ86" s="198"/>
      <c r="AR86" s="198"/>
      <c r="AS86" s="198"/>
      <c r="AT86" s="198"/>
      <c r="AU86" s="198"/>
    </row>
    <row r="87" spans="1:47" hidden="1" outlineLevel="1">
      <c r="A87" s="12"/>
      <c r="B87" s="12"/>
      <c r="C87" s="12"/>
      <c r="D87" s="12"/>
      <c r="E87" s="12"/>
      <c r="F87" s="173" t="str">
        <f>Asset13</f>
        <v>Land</v>
      </c>
      <c r="G87" s="380">
        <v>0</v>
      </c>
      <c r="H87" s="381">
        <v>0</v>
      </c>
      <c r="I87" s="375">
        <v>0</v>
      </c>
      <c r="J87" s="375">
        <v>0.47399999999999998</v>
      </c>
      <c r="K87" s="375">
        <v>0.96799999999999997</v>
      </c>
      <c r="L87" s="375">
        <v>0</v>
      </c>
      <c r="M87" s="375">
        <v>0</v>
      </c>
      <c r="N87" s="193"/>
      <c r="O87" s="193"/>
      <c r="P87" s="193"/>
      <c r="Q87" s="193"/>
      <c r="R87" s="8"/>
      <c r="S87" s="8"/>
      <c r="T87" s="8"/>
      <c r="U87" s="8"/>
      <c r="V87" s="8"/>
      <c r="W87" s="42"/>
      <c r="X87" s="9"/>
      <c r="Y87" s="9"/>
      <c r="Z87" s="9"/>
      <c r="AA87" s="9"/>
      <c r="AB87" s="9"/>
      <c r="AC87" s="9"/>
      <c r="AD87" s="9"/>
      <c r="AE87" s="198"/>
      <c r="AF87" s="198"/>
      <c r="AG87" s="198"/>
      <c r="AH87" s="198"/>
      <c r="AI87" s="198"/>
      <c r="AJ87" s="198"/>
      <c r="AK87" s="198"/>
      <c r="AL87" s="198"/>
      <c r="AM87" s="198"/>
      <c r="AN87" s="198"/>
      <c r="AO87" s="198"/>
      <c r="AP87" s="198"/>
      <c r="AQ87" s="198"/>
      <c r="AR87" s="198"/>
      <c r="AS87" s="198"/>
      <c r="AT87" s="198"/>
      <c r="AU87" s="198"/>
    </row>
    <row r="88" spans="1:47" hidden="1" outlineLevel="1">
      <c r="A88" s="12"/>
      <c r="B88" s="12"/>
      <c r="C88" s="12"/>
      <c r="D88" s="12"/>
      <c r="E88" s="12"/>
      <c r="F88" s="173" t="str">
        <f>Asset14</f>
        <v>Easements</v>
      </c>
      <c r="G88" s="380">
        <v>0</v>
      </c>
      <c r="H88" s="381">
        <v>0</v>
      </c>
      <c r="I88" s="375">
        <v>0</v>
      </c>
      <c r="J88" s="375">
        <v>0</v>
      </c>
      <c r="K88" s="375">
        <v>0</v>
      </c>
      <c r="L88" s="375">
        <v>0</v>
      </c>
      <c r="M88" s="375">
        <v>0</v>
      </c>
      <c r="N88" s="193"/>
      <c r="O88" s="193"/>
      <c r="P88" s="193"/>
      <c r="Q88" s="193"/>
      <c r="R88" s="8"/>
      <c r="S88" s="8"/>
      <c r="T88" s="8"/>
      <c r="U88" s="8"/>
      <c r="V88" s="8"/>
      <c r="W88" s="42"/>
      <c r="X88" s="9"/>
      <c r="Y88" s="9"/>
      <c r="Z88" s="9"/>
      <c r="AA88" s="9"/>
      <c r="AB88" s="9"/>
      <c r="AC88" s="9"/>
      <c r="AD88" s="9"/>
      <c r="AE88" s="198"/>
      <c r="AF88" s="198"/>
      <c r="AG88" s="198"/>
      <c r="AH88" s="198"/>
      <c r="AI88" s="198"/>
      <c r="AJ88" s="198"/>
      <c r="AK88" s="198"/>
      <c r="AL88" s="198"/>
      <c r="AM88" s="198"/>
      <c r="AN88" s="198"/>
      <c r="AO88" s="198"/>
      <c r="AP88" s="198"/>
      <c r="AQ88" s="198"/>
      <c r="AR88" s="198"/>
      <c r="AS88" s="198"/>
      <c r="AT88" s="198"/>
      <c r="AU88" s="198"/>
    </row>
    <row r="89" spans="1:47" hidden="1" outlineLevel="1">
      <c r="A89" s="12"/>
      <c r="B89" s="12"/>
      <c r="C89" s="12"/>
      <c r="D89" s="12"/>
      <c r="E89" s="12"/>
      <c r="F89" s="173">
        <f>Asset15</f>
        <v>0</v>
      </c>
      <c r="G89" s="163"/>
      <c r="H89" s="64"/>
      <c r="I89" s="64"/>
      <c r="J89" s="64"/>
      <c r="K89" s="64"/>
      <c r="L89" s="64"/>
      <c r="M89" s="194"/>
      <c r="N89" s="193"/>
      <c r="O89" s="193"/>
      <c r="P89" s="193"/>
      <c r="Q89" s="193"/>
      <c r="R89" s="8"/>
      <c r="S89" s="8"/>
      <c r="T89" s="8"/>
      <c r="U89" s="8"/>
      <c r="V89" s="8"/>
      <c r="W89" s="42"/>
      <c r="X89" s="9"/>
      <c r="Y89" s="9"/>
      <c r="Z89" s="9"/>
      <c r="AA89" s="9"/>
      <c r="AB89" s="9"/>
      <c r="AC89" s="9"/>
      <c r="AD89" s="9"/>
      <c r="AE89" s="198"/>
      <c r="AF89" s="198"/>
      <c r="AG89" s="198"/>
      <c r="AH89" s="198"/>
      <c r="AI89" s="198"/>
      <c r="AJ89" s="198"/>
      <c r="AK89" s="198"/>
      <c r="AL89" s="198"/>
      <c r="AM89" s="198"/>
      <c r="AN89" s="198"/>
      <c r="AO89" s="198"/>
      <c r="AP89" s="198"/>
      <c r="AQ89" s="198"/>
      <c r="AR89" s="198"/>
      <c r="AS89" s="198"/>
      <c r="AT89" s="198"/>
      <c r="AU89" s="198"/>
    </row>
    <row r="90" spans="1:47" hidden="1" outlineLevel="1">
      <c r="A90" s="12"/>
      <c r="B90" s="12"/>
      <c r="C90" s="12"/>
      <c r="D90" s="12"/>
      <c r="E90" s="12"/>
      <c r="F90" s="173">
        <f>Asset16</f>
        <v>0</v>
      </c>
      <c r="G90" s="163"/>
      <c r="H90" s="64"/>
      <c r="I90" s="64"/>
      <c r="J90" s="64"/>
      <c r="K90" s="64"/>
      <c r="L90" s="64"/>
      <c r="M90" s="194"/>
      <c r="N90" s="193"/>
      <c r="O90" s="193"/>
      <c r="P90" s="193"/>
      <c r="Q90" s="193"/>
      <c r="R90" s="8"/>
      <c r="S90" s="8"/>
      <c r="T90" s="8"/>
      <c r="U90" s="8"/>
      <c r="V90" s="8"/>
      <c r="W90" s="42"/>
      <c r="X90" s="9"/>
      <c r="Y90" s="9"/>
      <c r="Z90" s="9"/>
      <c r="AA90" s="9"/>
      <c r="AB90" s="9"/>
      <c r="AC90" s="9"/>
      <c r="AD90" s="9"/>
      <c r="AE90" s="198"/>
      <c r="AF90" s="198"/>
      <c r="AG90" s="198"/>
      <c r="AH90" s="198"/>
      <c r="AI90" s="198"/>
      <c r="AJ90" s="198"/>
      <c r="AK90" s="198"/>
      <c r="AL90" s="198"/>
      <c r="AM90" s="198"/>
      <c r="AN90" s="198"/>
      <c r="AO90" s="198"/>
      <c r="AP90" s="198"/>
      <c r="AQ90" s="198"/>
      <c r="AR90" s="198"/>
      <c r="AS90" s="198"/>
      <c r="AT90" s="198"/>
      <c r="AU90" s="198"/>
    </row>
    <row r="91" spans="1:47" hidden="1" outlineLevel="1">
      <c r="A91" s="12"/>
      <c r="B91" s="12"/>
      <c r="C91" s="12"/>
      <c r="D91" s="12"/>
      <c r="E91" s="12"/>
      <c r="F91" s="173">
        <f>Asset17</f>
        <v>0</v>
      </c>
      <c r="G91" s="163"/>
      <c r="H91" s="64"/>
      <c r="I91" s="64"/>
      <c r="J91" s="64"/>
      <c r="K91" s="64"/>
      <c r="L91" s="64"/>
      <c r="M91" s="194"/>
      <c r="N91" s="193"/>
      <c r="O91" s="193"/>
      <c r="P91" s="193"/>
      <c r="Q91" s="193"/>
      <c r="R91" s="8"/>
      <c r="S91" s="8"/>
      <c r="T91" s="8"/>
      <c r="U91" s="8"/>
      <c r="V91" s="8"/>
      <c r="W91" s="42"/>
      <c r="X91" s="9"/>
      <c r="Y91" s="9"/>
      <c r="Z91" s="9"/>
      <c r="AA91" s="9"/>
      <c r="AB91" s="9"/>
      <c r="AC91" s="9"/>
      <c r="AD91" s="9"/>
      <c r="AE91" s="198"/>
      <c r="AF91" s="198"/>
      <c r="AG91" s="198"/>
      <c r="AH91" s="198"/>
      <c r="AI91" s="198"/>
      <c r="AJ91" s="198"/>
      <c r="AK91" s="198"/>
      <c r="AL91" s="198"/>
      <c r="AM91" s="198"/>
      <c r="AN91" s="198"/>
      <c r="AO91" s="198"/>
      <c r="AP91" s="198"/>
      <c r="AQ91" s="198"/>
      <c r="AR91" s="198"/>
      <c r="AS91" s="198"/>
      <c r="AT91" s="198"/>
      <c r="AU91" s="198"/>
    </row>
    <row r="92" spans="1:47" hidden="1" outlineLevel="1">
      <c r="A92" s="12"/>
      <c r="B92" s="12"/>
      <c r="C92" s="12"/>
      <c r="D92" s="12"/>
      <c r="E92" s="12"/>
      <c r="F92" s="173">
        <f>Asset18</f>
        <v>0</v>
      </c>
      <c r="G92" s="163"/>
      <c r="H92" s="64"/>
      <c r="I92" s="64"/>
      <c r="J92" s="64"/>
      <c r="K92" s="64"/>
      <c r="L92" s="64"/>
      <c r="M92" s="194"/>
      <c r="N92" s="193"/>
      <c r="O92" s="193"/>
      <c r="P92" s="193"/>
      <c r="Q92" s="193"/>
      <c r="R92" s="8"/>
      <c r="S92" s="8"/>
      <c r="T92" s="8"/>
      <c r="U92" s="8"/>
      <c r="V92" s="8"/>
      <c r="W92" s="42"/>
      <c r="X92" s="9"/>
      <c r="Y92" s="9"/>
      <c r="Z92" s="9"/>
      <c r="AA92" s="9"/>
      <c r="AB92" s="9"/>
      <c r="AC92" s="9"/>
      <c r="AD92" s="9"/>
      <c r="AE92" s="198"/>
      <c r="AF92" s="198"/>
      <c r="AG92" s="198"/>
      <c r="AH92" s="198"/>
      <c r="AI92" s="198"/>
      <c r="AJ92" s="198"/>
      <c r="AK92" s="198"/>
      <c r="AL92" s="198"/>
      <c r="AM92" s="198"/>
      <c r="AN92" s="198"/>
      <c r="AO92" s="198"/>
      <c r="AP92" s="198"/>
      <c r="AQ92" s="198"/>
      <c r="AR92" s="198"/>
      <c r="AS92" s="198"/>
      <c r="AT92" s="198"/>
      <c r="AU92" s="198"/>
    </row>
    <row r="93" spans="1:47" hidden="1" outlineLevel="1">
      <c r="A93" s="12"/>
      <c r="B93" s="12"/>
      <c r="C93" s="12"/>
      <c r="D93" s="12"/>
      <c r="E93" s="12"/>
      <c r="F93" s="173">
        <f>Asset19</f>
        <v>0</v>
      </c>
      <c r="G93" s="163"/>
      <c r="H93" s="64"/>
      <c r="I93" s="64"/>
      <c r="J93" s="64"/>
      <c r="K93" s="64"/>
      <c r="L93" s="64"/>
      <c r="M93" s="194"/>
      <c r="N93" s="193"/>
      <c r="O93" s="193"/>
      <c r="P93" s="193"/>
      <c r="Q93" s="193"/>
      <c r="R93" s="8"/>
      <c r="S93" s="8"/>
      <c r="T93" s="8"/>
      <c r="U93" s="8"/>
      <c r="V93" s="8"/>
      <c r="W93" s="42"/>
      <c r="X93" s="9"/>
      <c r="Y93" s="9"/>
      <c r="Z93" s="9"/>
      <c r="AA93" s="9"/>
      <c r="AB93" s="9"/>
      <c r="AC93" s="9"/>
      <c r="AD93" s="9"/>
      <c r="AE93" s="198"/>
      <c r="AF93" s="198"/>
      <c r="AG93" s="198"/>
      <c r="AH93" s="198"/>
      <c r="AI93" s="198"/>
      <c r="AJ93" s="198"/>
      <c r="AK93" s="198"/>
      <c r="AL93" s="198"/>
      <c r="AM93" s="198"/>
      <c r="AN93" s="198"/>
      <c r="AO93" s="198"/>
      <c r="AP93" s="198"/>
      <c r="AQ93" s="198"/>
      <c r="AR93" s="198"/>
      <c r="AS93" s="198"/>
      <c r="AT93" s="198"/>
      <c r="AU93" s="198"/>
    </row>
    <row r="94" spans="1:47" hidden="1" outlineLevel="1">
      <c r="A94" s="12"/>
      <c r="B94" s="12"/>
      <c r="C94" s="12"/>
      <c r="D94" s="12"/>
      <c r="E94" s="12"/>
      <c r="F94" s="303">
        <f>Asset20</f>
        <v>0</v>
      </c>
      <c r="G94" s="302"/>
      <c r="H94" s="64"/>
      <c r="I94" s="64"/>
      <c r="J94" s="64"/>
      <c r="K94" s="64"/>
      <c r="L94" s="64"/>
      <c r="M94" s="194"/>
      <c r="N94" s="193"/>
      <c r="O94" s="193"/>
      <c r="P94" s="193"/>
      <c r="Q94" s="193"/>
      <c r="R94" s="8"/>
      <c r="S94" s="8"/>
      <c r="T94" s="8"/>
      <c r="U94" s="8"/>
      <c r="V94" s="8"/>
      <c r="W94" s="42"/>
      <c r="X94" s="9"/>
      <c r="Y94" s="9"/>
      <c r="Z94" s="9"/>
      <c r="AA94" s="9"/>
      <c r="AB94" s="9"/>
      <c r="AC94" s="9"/>
      <c r="AD94" s="9"/>
      <c r="AE94" s="198"/>
      <c r="AF94" s="198"/>
      <c r="AG94" s="198"/>
      <c r="AH94" s="198"/>
      <c r="AI94" s="198"/>
      <c r="AJ94" s="198"/>
      <c r="AK94" s="198"/>
      <c r="AL94" s="198"/>
      <c r="AM94" s="198"/>
      <c r="AN94" s="198"/>
      <c r="AO94" s="198"/>
      <c r="AP94" s="198"/>
      <c r="AQ94" s="198"/>
      <c r="AR94" s="198"/>
      <c r="AS94" s="198"/>
      <c r="AT94" s="198"/>
      <c r="AU94" s="198"/>
    </row>
    <row r="95" spans="1:47" hidden="1" outlineLevel="1">
      <c r="A95" s="12"/>
      <c r="B95" s="12"/>
      <c r="C95" s="12"/>
      <c r="D95" s="12"/>
      <c r="E95" s="12"/>
      <c r="F95" s="303">
        <f>Asset21</f>
        <v>0</v>
      </c>
      <c r="G95" s="302"/>
      <c r="H95" s="64"/>
      <c r="I95" s="64"/>
      <c r="J95" s="64"/>
      <c r="K95" s="64"/>
      <c r="L95" s="64"/>
      <c r="M95" s="194"/>
      <c r="N95" s="193"/>
      <c r="O95" s="193"/>
      <c r="P95" s="193"/>
      <c r="Q95" s="193"/>
      <c r="R95" s="8"/>
      <c r="S95" s="8"/>
      <c r="T95" s="8"/>
      <c r="U95" s="8"/>
      <c r="V95" s="8"/>
      <c r="W95" s="42"/>
      <c r="X95" s="9"/>
      <c r="Y95" s="9"/>
      <c r="Z95" s="9"/>
      <c r="AA95" s="9"/>
      <c r="AB95" s="9"/>
      <c r="AC95" s="9"/>
      <c r="AD95" s="9"/>
      <c r="AE95" s="198"/>
      <c r="AF95" s="198"/>
      <c r="AG95" s="198"/>
      <c r="AH95" s="198"/>
      <c r="AI95" s="198"/>
      <c r="AJ95" s="198"/>
      <c r="AK95" s="198"/>
      <c r="AL95" s="198"/>
      <c r="AM95" s="198"/>
      <c r="AN95" s="198"/>
      <c r="AO95" s="198"/>
      <c r="AP95" s="198"/>
      <c r="AQ95" s="198"/>
      <c r="AR95" s="198"/>
      <c r="AS95" s="198"/>
      <c r="AT95" s="198"/>
      <c r="AU95" s="198"/>
    </row>
    <row r="96" spans="1:47" hidden="1" outlineLevel="1">
      <c r="A96" s="12"/>
      <c r="B96" s="12"/>
      <c r="C96" s="12"/>
      <c r="D96" s="12"/>
      <c r="E96" s="12"/>
      <c r="F96" s="303">
        <f>Asset22</f>
        <v>0</v>
      </c>
      <c r="G96" s="302"/>
      <c r="H96" s="64"/>
      <c r="I96" s="64"/>
      <c r="J96" s="64"/>
      <c r="K96" s="64"/>
      <c r="L96" s="64"/>
      <c r="M96" s="194"/>
      <c r="N96" s="193"/>
      <c r="O96" s="193"/>
      <c r="P96" s="193"/>
      <c r="Q96" s="193"/>
      <c r="R96" s="8"/>
      <c r="S96" s="8"/>
      <c r="T96" s="8"/>
      <c r="U96" s="8"/>
      <c r="V96" s="8"/>
      <c r="W96" s="42"/>
      <c r="X96" s="9"/>
      <c r="Y96" s="9"/>
      <c r="Z96" s="9"/>
      <c r="AA96" s="9"/>
      <c r="AB96" s="9"/>
      <c r="AC96" s="9"/>
      <c r="AD96" s="9"/>
      <c r="AE96" s="198"/>
      <c r="AF96" s="198"/>
      <c r="AG96" s="198"/>
      <c r="AH96" s="198"/>
      <c r="AI96" s="198"/>
      <c r="AJ96" s="198"/>
      <c r="AK96" s="198"/>
      <c r="AL96" s="198"/>
      <c r="AM96" s="198"/>
      <c r="AN96" s="198"/>
      <c r="AO96" s="198"/>
      <c r="AP96" s="198"/>
      <c r="AQ96" s="198"/>
      <c r="AR96" s="198"/>
      <c r="AS96" s="198"/>
      <c r="AT96" s="198"/>
      <c r="AU96" s="198"/>
    </row>
    <row r="97" spans="1:47" hidden="1" outlineLevel="1">
      <c r="A97" s="12"/>
      <c r="B97" s="12"/>
      <c r="C97" s="12"/>
      <c r="D97" s="12"/>
      <c r="E97" s="12"/>
      <c r="F97" s="303">
        <f>Asset23</f>
        <v>0</v>
      </c>
      <c r="G97" s="302"/>
      <c r="H97" s="64"/>
      <c r="I97" s="64"/>
      <c r="J97" s="64"/>
      <c r="K97" s="64"/>
      <c r="L97" s="64"/>
      <c r="M97" s="194"/>
      <c r="N97" s="193"/>
      <c r="O97" s="193"/>
      <c r="P97" s="193"/>
      <c r="Q97" s="193"/>
      <c r="R97" s="8"/>
      <c r="S97" s="8"/>
      <c r="T97" s="8"/>
      <c r="U97" s="8"/>
      <c r="V97" s="8"/>
      <c r="W97" s="42"/>
      <c r="X97" s="9"/>
      <c r="Y97" s="9"/>
      <c r="Z97" s="9"/>
      <c r="AA97" s="9"/>
      <c r="AB97" s="9"/>
      <c r="AC97" s="9"/>
      <c r="AD97" s="9"/>
      <c r="AE97" s="198"/>
      <c r="AF97" s="198"/>
      <c r="AG97" s="198"/>
      <c r="AH97" s="198"/>
      <c r="AI97" s="198"/>
      <c r="AJ97" s="198"/>
      <c r="AK97" s="198"/>
      <c r="AL97" s="198"/>
      <c r="AM97" s="198"/>
      <c r="AN97" s="198"/>
      <c r="AO97" s="198"/>
      <c r="AP97" s="198"/>
      <c r="AQ97" s="198"/>
      <c r="AR97" s="198"/>
      <c r="AS97" s="198"/>
      <c r="AT97" s="198"/>
      <c r="AU97" s="198"/>
    </row>
    <row r="98" spans="1:47" hidden="1" outlineLevel="1">
      <c r="A98" s="12"/>
      <c r="B98" s="12"/>
      <c r="C98" s="12"/>
      <c r="D98" s="12"/>
      <c r="E98" s="12"/>
      <c r="F98" s="303">
        <f>Asset24</f>
        <v>0</v>
      </c>
      <c r="G98" s="302"/>
      <c r="H98" s="64"/>
      <c r="I98" s="64"/>
      <c r="J98" s="64"/>
      <c r="K98" s="64"/>
      <c r="L98" s="64"/>
      <c r="M98" s="194"/>
      <c r="N98" s="193"/>
      <c r="O98" s="193"/>
      <c r="P98" s="193"/>
      <c r="Q98" s="193"/>
      <c r="R98" s="8"/>
      <c r="S98" s="8"/>
      <c r="T98" s="8"/>
      <c r="U98" s="8"/>
      <c r="V98" s="8"/>
      <c r="W98" s="42"/>
      <c r="X98" s="9"/>
      <c r="Y98" s="9"/>
      <c r="Z98" s="9"/>
      <c r="AA98" s="9"/>
      <c r="AB98" s="9"/>
      <c r="AC98" s="9"/>
      <c r="AD98" s="9"/>
      <c r="AE98" s="198"/>
      <c r="AF98" s="198"/>
      <c r="AG98" s="198"/>
      <c r="AH98" s="198"/>
      <c r="AI98" s="198"/>
      <c r="AJ98" s="198"/>
      <c r="AK98" s="198"/>
      <c r="AL98" s="198"/>
      <c r="AM98" s="198"/>
      <c r="AN98" s="198"/>
      <c r="AO98" s="198"/>
      <c r="AP98" s="198"/>
      <c r="AQ98" s="198"/>
      <c r="AR98" s="198"/>
      <c r="AS98" s="198"/>
      <c r="AT98" s="198"/>
      <c r="AU98" s="198"/>
    </row>
    <row r="99" spans="1:47" hidden="1" outlineLevel="1">
      <c r="A99" s="12"/>
      <c r="B99" s="12"/>
      <c r="C99" s="12"/>
      <c r="D99" s="12"/>
      <c r="E99" s="12"/>
      <c r="F99" s="303">
        <f>Asset25</f>
        <v>0</v>
      </c>
      <c r="G99" s="302"/>
      <c r="H99" s="64"/>
      <c r="I99" s="64"/>
      <c r="J99" s="64"/>
      <c r="K99" s="64"/>
      <c r="L99" s="64"/>
      <c r="M99" s="194"/>
      <c r="N99" s="193"/>
      <c r="O99" s="193"/>
      <c r="P99" s="193"/>
      <c r="Q99" s="193"/>
      <c r="R99" s="8"/>
      <c r="S99" s="8"/>
      <c r="T99" s="8"/>
      <c r="U99" s="8"/>
      <c r="V99" s="8"/>
      <c r="W99" s="42"/>
      <c r="X99" s="9"/>
      <c r="Y99" s="9"/>
      <c r="Z99" s="9"/>
      <c r="AA99" s="9"/>
      <c r="AB99" s="9"/>
      <c r="AC99" s="9"/>
      <c r="AD99" s="9"/>
      <c r="AE99" s="198"/>
      <c r="AF99" s="198"/>
      <c r="AG99" s="198"/>
      <c r="AH99" s="198"/>
      <c r="AI99" s="198"/>
      <c r="AJ99" s="198"/>
      <c r="AK99" s="198"/>
      <c r="AL99" s="198"/>
      <c r="AM99" s="198"/>
      <c r="AN99" s="198"/>
      <c r="AO99" s="198"/>
      <c r="AP99" s="198"/>
      <c r="AQ99" s="198"/>
      <c r="AR99" s="198"/>
      <c r="AS99" s="198"/>
      <c r="AT99" s="198"/>
      <c r="AU99" s="198"/>
    </row>
    <row r="100" spans="1:47" hidden="1" outlineLevel="1">
      <c r="A100" s="12"/>
      <c r="B100" s="12"/>
      <c r="C100" s="12"/>
      <c r="D100" s="12"/>
      <c r="E100" s="12"/>
      <c r="F100" s="303">
        <f>Asset26</f>
        <v>0</v>
      </c>
      <c r="G100" s="302"/>
      <c r="H100" s="64"/>
      <c r="I100" s="64"/>
      <c r="J100" s="64"/>
      <c r="K100" s="64"/>
      <c r="L100" s="64"/>
      <c r="M100" s="194"/>
      <c r="N100" s="193"/>
      <c r="O100" s="193"/>
      <c r="P100" s="193"/>
      <c r="Q100" s="193"/>
      <c r="R100" s="8"/>
      <c r="S100" s="8"/>
      <c r="T100" s="8"/>
      <c r="U100" s="8"/>
      <c r="V100" s="8"/>
      <c r="W100" s="42"/>
      <c r="X100" s="9"/>
      <c r="Y100" s="9"/>
      <c r="Z100" s="9"/>
      <c r="AA100" s="9"/>
      <c r="AB100" s="9"/>
      <c r="AC100" s="9"/>
      <c r="AD100" s="9"/>
      <c r="AE100" s="198"/>
      <c r="AF100" s="198"/>
      <c r="AG100" s="198"/>
      <c r="AH100" s="198"/>
      <c r="AI100" s="198"/>
      <c r="AJ100" s="198"/>
      <c r="AK100" s="198"/>
      <c r="AL100" s="198"/>
      <c r="AM100" s="198"/>
      <c r="AN100" s="198"/>
      <c r="AO100" s="198"/>
      <c r="AP100" s="198"/>
      <c r="AQ100" s="198"/>
      <c r="AR100" s="198"/>
      <c r="AS100" s="198"/>
      <c r="AT100" s="198"/>
      <c r="AU100" s="198"/>
    </row>
    <row r="101" spans="1:47" hidden="1" outlineLevel="1">
      <c r="A101" s="12"/>
      <c r="B101" s="12"/>
      <c r="C101" s="12"/>
      <c r="D101" s="12"/>
      <c r="E101" s="12"/>
      <c r="F101" s="303">
        <f>Asset27</f>
        <v>0</v>
      </c>
      <c r="G101" s="302"/>
      <c r="H101" s="64"/>
      <c r="I101" s="64"/>
      <c r="J101" s="64"/>
      <c r="K101" s="64"/>
      <c r="L101" s="64"/>
      <c r="M101" s="194"/>
      <c r="N101" s="193"/>
      <c r="O101" s="193"/>
      <c r="P101" s="193"/>
      <c r="Q101" s="193"/>
      <c r="R101" s="8"/>
      <c r="S101" s="8"/>
      <c r="T101" s="8"/>
      <c r="U101" s="8"/>
      <c r="V101" s="8"/>
      <c r="W101" s="42"/>
      <c r="X101" s="9"/>
      <c r="Y101" s="9"/>
      <c r="Z101" s="9"/>
      <c r="AA101" s="9"/>
      <c r="AB101" s="9"/>
      <c r="AC101" s="9"/>
      <c r="AD101" s="9"/>
      <c r="AE101" s="198"/>
      <c r="AF101" s="198"/>
      <c r="AG101" s="198"/>
      <c r="AH101" s="198"/>
      <c r="AI101" s="198"/>
      <c r="AJ101" s="198"/>
      <c r="AK101" s="198"/>
      <c r="AL101" s="198"/>
      <c r="AM101" s="198"/>
      <c r="AN101" s="198"/>
      <c r="AO101" s="198"/>
      <c r="AP101" s="198"/>
      <c r="AQ101" s="198"/>
      <c r="AR101" s="198"/>
      <c r="AS101" s="198"/>
      <c r="AT101" s="198"/>
      <c r="AU101" s="198"/>
    </row>
    <row r="102" spans="1:47" hidden="1" outlineLevel="1">
      <c r="A102" s="12"/>
      <c r="B102" s="12"/>
      <c r="C102" s="12"/>
      <c r="D102" s="12"/>
      <c r="E102" s="12"/>
      <c r="F102" s="303">
        <f>Asset28</f>
        <v>0</v>
      </c>
      <c r="G102" s="302"/>
      <c r="H102" s="64"/>
      <c r="I102" s="64"/>
      <c r="J102" s="64"/>
      <c r="K102" s="64"/>
      <c r="L102" s="64"/>
      <c r="M102" s="194"/>
      <c r="N102" s="193"/>
      <c r="O102" s="193"/>
      <c r="P102" s="193"/>
      <c r="Q102" s="193"/>
      <c r="R102" s="8"/>
      <c r="S102" s="8"/>
      <c r="T102" s="8"/>
      <c r="U102" s="8"/>
      <c r="V102" s="8"/>
      <c r="W102" s="42"/>
      <c r="X102" s="9"/>
      <c r="Y102" s="9"/>
      <c r="Z102" s="9"/>
      <c r="AA102" s="9"/>
      <c r="AB102" s="9"/>
      <c r="AC102" s="9"/>
      <c r="AD102" s="9"/>
      <c r="AE102" s="198"/>
      <c r="AF102" s="198"/>
      <c r="AG102" s="198"/>
      <c r="AH102" s="198"/>
      <c r="AI102" s="198"/>
      <c r="AJ102" s="198"/>
      <c r="AK102" s="198"/>
      <c r="AL102" s="198"/>
      <c r="AM102" s="198"/>
      <c r="AN102" s="198"/>
      <c r="AO102" s="198"/>
      <c r="AP102" s="198"/>
      <c r="AQ102" s="198"/>
      <c r="AR102" s="198"/>
      <c r="AS102" s="198"/>
      <c r="AT102" s="198"/>
      <c r="AU102" s="198"/>
    </row>
    <row r="103" spans="1:47" hidden="1" outlineLevel="1">
      <c r="A103" s="12"/>
      <c r="B103" s="12"/>
      <c r="C103" s="12"/>
      <c r="D103" s="12"/>
      <c r="E103" s="12"/>
      <c r="F103" s="303">
        <f>Asset29</f>
        <v>0</v>
      </c>
      <c r="G103" s="302"/>
      <c r="H103" s="64"/>
      <c r="I103" s="64"/>
      <c r="J103" s="64"/>
      <c r="K103" s="64"/>
      <c r="L103" s="64"/>
      <c r="M103" s="194"/>
      <c r="N103" s="193"/>
      <c r="O103" s="193"/>
      <c r="P103" s="193"/>
      <c r="Q103" s="193"/>
      <c r="R103" s="8"/>
      <c r="S103" s="8"/>
      <c r="T103" s="8"/>
      <c r="U103" s="8"/>
      <c r="V103" s="8"/>
      <c r="W103" s="42"/>
      <c r="X103" s="9"/>
      <c r="Y103" s="9"/>
      <c r="Z103" s="9"/>
      <c r="AA103" s="9"/>
      <c r="AB103" s="9"/>
      <c r="AC103" s="9"/>
      <c r="AD103" s="9"/>
      <c r="AE103" s="198"/>
      <c r="AF103" s="198"/>
      <c r="AG103" s="198"/>
      <c r="AH103" s="198"/>
      <c r="AI103" s="198"/>
      <c r="AJ103" s="198"/>
      <c r="AK103" s="198"/>
      <c r="AL103" s="198"/>
      <c r="AM103" s="198"/>
      <c r="AN103" s="198"/>
      <c r="AO103" s="198"/>
      <c r="AP103" s="198"/>
      <c r="AQ103" s="198"/>
      <c r="AR103" s="198"/>
      <c r="AS103" s="198"/>
      <c r="AT103" s="198"/>
      <c r="AU103" s="198"/>
    </row>
    <row r="104" spans="1:47" hidden="1" outlineLevel="1">
      <c r="A104" s="12"/>
      <c r="B104" s="12"/>
      <c r="C104" s="12"/>
      <c r="D104" s="12"/>
      <c r="E104" s="12"/>
      <c r="F104" s="303">
        <f>Asset30</f>
        <v>0</v>
      </c>
      <c r="G104" s="302"/>
      <c r="H104" s="64"/>
      <c r="I104" s="64"/>
      <c r="J104" s="64"/>
      <c r="K104" s="64"/>
      <c r="L104" s="64"/>
      <c r="M104" s="194"/>
      <c r="N104" s="193"/>
      <c r="O104" s="193"/>
      <c r="P104" s="193"/>
      <c r="Q104" s="193"/>
      <c r="R104" s="8"/>
      <c r="S104" s="8"/>
      <c r="T104" s="8"/>
      <c r="U104" s="8"/>
      <c r="V104" s="8"/>
      <c r="W104" s="42"/>
      <c r="X104" s="9"/>
      <c r="Y104" s="9"/>
      <c r="Z104" s="9"/>
      <c r="AA104" s="9"/>
      <c r="AB104" s="9"/>
      <c r="AC104" s="9"/>
      <c r="AD104" s="9"/>
      <c r="AE104" s="198"/>
      <c r="AF104" s="198"/>
      <c r="AG104" s="198"/>
      <c r="AH104" s="198"/>
      <c r="AI104" s="198"/>
      <c r="AJ104" s="198"/>
      <c r="AK104" s="198"/>
      <c r="AL104" s="198"/>
      <c r="AM104" s="198"/>
      <c r="AN104" s="198"/>
      <c r="AO104" s="198"/>
      <c r="AP104" s="198"/>
      <c r="AQ104" s="198"/>
      <c r="AR104" s="198"/>
      <c r="AS104" s="198"/>
      <c r="AT104" s="198"/>
      <c r="AU104" s="198"/>
    </row>
    <row r="105" spans="1:47" collapsed="1">
      <c r="A105" s="12"/>
      <c r="B105" s="12"/>
      <c r="C105" s="12"/>
      <c r="D105" s="12"/>
      <c r="E105" s="12"/>
      <c r="F105" s="173" t="s">
        <v>19</v>
      </c>
      <c r="G105" s="308">
        <f t="shared" ref="G105:Q105" si="4">SUM(G75:G104)</f>
        <v>7.3999999999999996E-2</v>
      </c>
      <c r="H105" s="308">
        <f t="shared" si="4"/>
        <v>0.68299113353816443</v>
      </c>
      <c r="I105" s="308">
        <f t="shared" si="4"/>
        <v>3.1290331880908809E-2</v>
      </c>
      <c r="J105" s="308">
        <f t="shared" si="4"/>
        <v>0.62412899999999993</v>
      </c>
      <c r="K105" s="308">
        <f t="shared" si="4"/>
        <v>0.96799999999999997</v>
      </c>
      <c r="L105" s="308">
        <f t="shared" si="4"/>
        <v>0</v>
      </c>
      <c r="M105" s="308">
        <f t="shared" si="4"/>
        <v>0.30299999999999999</v>
      </c>
      <c r="N105" s="308">
        <f t="shared" si="4"/>
        <v>0</v>
      </c>
      <c r="O105" s="308">
        <f t="shared" si="4"/>
        <v>0</v>
      </c>
      <c r="P105" s="308">
        <f t="shared" si="4"/>
        <v>0</v>
      </c>
      <c r="Q105" s="308">
        <f t="shared" si="4"/>
        <v>0</v>
      </c>
      <c r="R105" s="36"/>
      <c r="S105" s="36"/>
      <c r="T105" s="36"/>
      <c r="U105" s="36"/>
      <c r="V105" s="36"/>
      <c r="W105" s="36"/>
      <c r="X105" s="47"/>
      <c r="Y105" s="8"/>
      <c r="Z105" s="8"/>
      <c r="AA105" s="42"/>
      <c r="AB105" s="9"/>
      <c r="AC105" s="9"/>
      <c r="AD105" s="9"/>
      <c r="AE105" s="198"/>
      <c r="AF105" s="198"/>
      <c r="AG105" s="198"/>
      <c r="AH105" s="198"/>
      <c r="AI105" s="198"/>
      <c r="AJ105" s="198"/>
      <c r="AK105" s="198"/>
      <c r="AL105" s="198"/>
      <c r="AM105" s="198"/>
      <c r="AN105" s="198"/>
      <c r="AO105" s="198"/>
      <c r="AP105" s="198"/>
      <c r="AQ105" s="198"/>
      <c r="AR105" s="198"/>
      <c r="AS105" s="198"/>
      <c r="AT105" s="198"/>
      <c r="AU105" s="198"/>
    </row>
    <row r="106" spans="1:47" ht="20.25" customHeight="1">
      <c r="A106" s="12"/>
      <c r="B106" s="12"/>
      <c r="C106" s="12"/>
      <c r="D106" s="12"/>
      <c r="F106" s="9"/>
      <c r="G106" s="9"/>
      <c r="H106" s="18"/>
      <c r="I106" s="20"/>
      <c r="J106" s="9"/>
      <c r="K106" s="9"/>
      <c r="L106" s="9"/>
      <c r="M106" s="9"/>
      <c r="N106" s="9"/>
      <c r="O106" s="9"/>
      <c r="P106" s="9"/>
      <c r="Q106" s="9"/>
      <c r="R106" s="243">
        <f>SUM(G105:Q105)</f>
        <v>2.6834104654190729</v>
      </c>
      <c r="S106" s="9"/>
      <c r="T106" s="9"/>
      <c r="U106" s="9"/>
      <c r="V106" s="9"/>
      <c r="W106" s="9"/>
      <c r="X106" s="9"/>
      <c r="Y106" s="9"/>
      <c r="Z106" s="9"/>
      <c r="AA106" s="19"/>
      <c r="AB106" s="9"/>
      <c r="AC106" s="9"/>
      <c r="AD106" s="9"/>
      <c r="AE106" s="198"/>
      <c r="AF106" s="198"/>
      <c r="AG106" s="198"/>
      <c r="AH106" s="198"/>
      <c r="AI106" s="198"/>
      <c r="AJ106" s="198"/>
      <c r="AK106" s="198"/>
      <c r="AL106" s="198"/>
      <c r="AM106" s="198"/>
      <c r="AN106" s="198"/>
      <c r="AO106" s="198"/>
      <c r="AP106" s="198"/>
      <c r="AQ106" s="198"/>
      <c r="AR106" s="198"/>
      <c r="AS106" s="198"/>
      <c r="AT106" s="198"/>
      <c r="AU106" s="198"/>
    </row>
    <row r="107" spans="1:47" ht="13.5" customHeight="1">
      <c r="A107" s="74"/>
      <c r="B107" s="74"/>
      <c r="C107" s="74"/>
      <c r="D107" s="74"/>
      <c r="E107" s="74"/>
      <c r="F107" s="387" t="str">
        <f>"Actual Net Capital Expenditure – As Incurred ($m Real "&amp;CONCATENATE(LEFT(X7, 4)-1 &amp;"-" &amp;IF(X7&gt;"2009-10",,"0") &amp;RIGHT(X7,2)-1)&amp;")"</f>
        <v>Actual Net Capital Expenditure – As Incurred ($m Real 2007-08)</v>
      </c>
      <c r="G107" s="387"/>
      <c r="H107" s="387"/>
      <c r="I107" s="156"/>
      <c r="J107" s="156"/>
      <c r="K107" s="77"/>
      <c r="L107" s="77"/>
      <c r="M107" s="75"/>
      <c r="N107" s="75"/>
      <c r="O107" s="75"/>
      <c r="P107" s="75"/>
      <c r="Q107" s="75"/>
      <c r="R107" s="75"/>
      <c r="S107" s="75"/>
      <c r="T107" s="75"/>
      <c r="U107" s="75"/>
      <c r="V107" s="75"/>
      <c r="W107" s="75"/>
      <c r="X107" s="8"/>
      <c r="Y107" s="8"/>
      <c r="Z107" s="8"/>
      <c r="AA107" s="8"/>
      <c r="AB107" s="42"/>
      <c r="AC107" s="9"/>
      <c r="AD107" s="9"/>
      <c r="AE107" s="198"/>
      <c r="AF107" s="198"/>
      <c r="AG107" s="198"/>
      <c r="AH107" s="198"/>
      <c r="AI107" s="198"/>
      <c r="AJ107" s="198"/>
      <c r="AK107" s="198"/>
      <c r="AL107" s="198"/>
      <c r="AM107" s="198"/>
      <c r="AN107" s="198"/>
      <c r="AO107" s="198"/>
      <c r="AP107" s="198"/>
      <c r="AQ107" s="198"/>
      <c r="AR107" s="198"/>
      <c r="AS107" s="198"/>
      <c r="AT107" s="198"/>
      <c r="AU107" s="198"/>
    </row>
    <row r="108" spans="1:47">
      <c r="A108" s="12"/>
      <c r="B108" s="12"/>
      <c r="C108" s="12"/>
      <c r="D108" s="12"/>
      <c r="E108" s="12"/>
      <c r="F108" s="37" t="s">
        <v>3</v>
      </c>
      <c r="G108" s="242" t="str">
        <f>G40</f>
        <v>2007-08</v>
      </c>
      <c r="H108" s="242" t="str">
        <f t="shared" ref="H108:Q108" si="5">H40</f>
        <v>2008-09</v>
      </c>
      <c r="I108" s="242" t="str">
        <f t="shared" si="5"/>
        <v>2009-10</v>
      </c>
      <c r="J108" s="242" t="str">
        <f t="shared" si="5"/>
        <v>2010-11</v>
      </c>
      <c r="K108" s="242" t="str">
        <f t="shared" si="5"/>
        <v>2011-12</v>
      </c>
      <c r="L108" s="242" t="str">
        <f t="shared" si="5"/>
        <v>2012-13</v>
      </c>
      <c r="M108" s="242" t="str">
        <f t="shared" si="5"/>
        <v>2013-14</v>
      </c>
      <c r="N108" s="242" t="str">
        <f t="shared" si="5"/>
        <v>2014-15</v>
      </c>
      <c r="O108" s="242" t="str">
        <f t="shared" si="5"/>
        <v>2015-16</v>
      </c>
      <c r="P108" s="242" t="str">
        <f t="shared" si="5"/>
        <v>2016-17</v>
      </c>
      <c r="Q108" s="242" t="str">
        <f t="shared" si="5"/>
        <v>2017-18</v>
      </c>
      <c r="R108" s="8"/>
      <c r="S108" s="8"/>
      <c r="T108" s="8"/>
      <c r="U108" s="8"/>
      <c r="V108" s="8"/>
      <c r="W108" s="42"/>
      <c r="X108" s="9"/>
      <c r="Y108" s="9"/>
      <c r="Z108" s="9"/>
      <c r="AA108" s="9"/>
      <c r="AB108" s="9"/>
      <c r="AC108" s="9"/>
      <c r="AD108" s="9"/>
      <c r="AE108" s="198"/>
      <c r="AF108" s="198"/>
      <c r="AG108" s="198"/>
      <c r="AH108" s="198"/>
      <c r="AI108" s="198"/>
      <c r="AJ108" s="198"/>
      <c r="AK108" s="198"/>
      <c r="AL108" s="198"/>
      <c r="AM108" s="198"/>
      <c r="AN108" s="198"/>
      <c r="AO108" s="198"/>
      <c r="AP108" s="198"/>
      <c r="AQ108" s="198"/>
      <c r="AR108" s="198"/>
      <c r="AS108" s="198"/>
      <c r="AT108" s="198"/>
      <c r="AU108" s="198"/>
    </row>
    <row r="109" spans="1:47" hidden="1" outlineLevel="1">
      <c r="A109" s="12"/>
      <c r="B109" s="12"/>
      <c r="C109" s="12"/>
      <c r="D109" s="12"/>
      <c r="E109" s="12"/>
      <c r="F109" s="173" t="str">
        <f>Asset1</f>
        <v>Secondary</v>
      </c>
      <c r="G109" s="170">
        <f t="shared" ref="G109:Q109" si="6">(G41-G75)/G$246</f>
        <v>18.73217621557831</v>
      </c>
      <c r="H109" s="171">
        <f t="shared" si="6"/>
        <v>11.147174247230083</v>
      </c>
      <c r="I109" s="171">
        <f t="shared" si="6"/>
        <v>8.2027583367678698</v>
      </c>
      <c r="J109" s="171">
        <f t="shared" si="6"/>
        <v>12.131923978749004</v>
      </c>
      <c r="K109" s="171">
        <f t="shared" si="6"/>
        <v>16.749066540482275</v>
      </c>
      <c r="L109" s="171">
        <f t="shared" si="6"/>
        <v>28.967044946811594</v>
      </c>
      <c r="M109" s="171">
        <f t="shared" si="6"/>
        <v>16.236458396506642</v>
      </c>
      <c r="N109" s="171">
        <f t="shared" si="6"/>
        <v>0</v>
      </c>
      <c r="O109" s="171">
        <f t="shared" si="6"/>
        <v>0</v>
      </c>
      <c r="P109" s="171">
        <f t="shared" si="6"/>
        <v>0</v>
      </c>
      <c r="Q109" s="171">
        <f t="shared" si="6"/>
        <v>0</v>
      </c>
      <c r="R109" s="8"/>
      <c r="S109" s="8"/>
      <c r="T109" s="8"/>
      <c r="U109" s="8"/>
      <c r="V109" s="8"/>
      <c r="W109" s="42"/>
      <c r="X109" s="9"/>
      <c r="Y109" s="9"/>
      <c r="Z109" s="9"/>
      <c r="AA109" s="9"/>
      <c r="AB109" s="9"/>
      <c r="AC109" s="9"/>
      <c r="AD109" s="9"/>
      <c r="AE109" s="198"/>
      <c r="AF109" s="198"/>
      <c r="AG109" s="198"/>
      <c r="AH109" s="198"/>
      <c r="AI109" s="198"/>
      <c r="AJ109" s="198"/>
      <c r="AK109" s="198"/>
      <c r="AL109" s="198"/>
      <c r="AM109" s="198"/>
      <c r="AN109" s="198"/>
      <c r="AO109" s="198"/>
      <c r="AP109" s="198"/>
      <c r="AQ109" s="198"/>
      <c r="AR109" s="198"/>
      <c r="AS109" s="198"/>
      <c r="AT109" s="198"/>
      <c r="AU109" s="198"/>
    </row>
    <row r="110" spans="1:47" hidden="1" outlineLevel="1">
      <c r="A110" s="12"/>
      <c r="B110" s="12"/>
      <c r="C110" s="12"/>
      <c r="D110" s="12"/>
      <c r="E110" s="12"/>
      <c r="F110" s="173" t="str">
        <f>Asset2</f>
        <v>Switchgear</v>
      </c>
      <c r="G110" s="172">
        <f t="shared" ref="G110:Q110" si="7">(G42-G76)/G$246</f>
        <v>47.67171476011427</v>
      </c>
      <c r="H110" s="173">
        <f t="shared" si="7"/>
        <v>27.890209527124309</v>
      </c>
      <c r="I110" s="173">
        <f t="shared" si="7"/>
        <v>36.160672260629497</v>
      </c>
      <c r="J110" s="173">
        <f t="shared" si="7"/>
        <v>27.733422435508004</v>
      </c>
      <c r="K110" s="173">
        <f t="shared" si="7"/>
        <v>25.002309200239758</v>
      </c>
      <c r="L110" s="173">
        <f t="shared" si="7"/>
        <v>34.555695250144929</v>
      </c>
      <c r="M110" s="173">
        <f t="shared" si="7"/>
        <v>35.183258217288376</v>
      </c>
      <c r="N110" s="173">
        <f t="shared" si="7"/>
        <v>0</v>
      </c>
      <c r="O110" s="173">
        <f t="shared" si="7"/>
        <v>0</v>
      </c>
      <c r="P110" s="173">
        <f t="shared" si="7"/>
        <v>0</v>
      </c>
      <c r="Q110" s="173">
        <f t="shared" si="7"/>
        <v>0</v>
      </c>
      <c r="R110" s="8"/>
      <c r="S110" s="8"/>
      <c r="T110" s="8"/>
      <c r="U110" s="8"/>
      <c r="V110" s="8"/>
      <c r="W110" s="42"/>
      <c r="X110" s="9"/>
      <c r="Y110" s="9"/>
      <c r="Z110" s="9"/>
      <c r="AA110" s="9"/>
      <c r="AB110" s="9"/>
      <c r="AC110" s="9"/>
      <c r="AD110" s="9"/>
      <c r="AE110" s="198"/>
      <c r="AF110" s="198"/>
      <c r="AG110" s="198"/>
      <c r="AH110" s="198"/>
      <c r="AI110" s="198"/>
      <c r="AJ110" s="198"/>
      <c r="AK110" s="198"/>
      <c r="AL110" s="198"/>
      <c r="AM110" s="198"/>
      <c r="AN110" s="198"/>
      <c r="AO110" s="198"/>
      <c r="AP110" s="198"/>
      <c r="AQ110" s="198"/>
      <c r="AR110" s="198"/>
      <c r="AS110" s="198"/>
      <c r="AT110" s="198"/>
      <c r="AU110" s="198"/>
    </row>
    <row r="111" spans="1:47" hidden="1" outlineLevel="1">
      <c r="A111" s="12"/>
      <c r="B111" s="12"/>
      <c r="C111" s="12"/>
      <c r="D111" s="12"/>
      <c r="E111" s="12"/>
      <c r="F111" s="173" t="str">
        <f>Asset3</f>
        <v>Transformers</v>
      </c>
      <c r="G111" s="172">
        <f t="shared" ref="G111:Q111" si="8">(G43-G77)/G$246</f>
        <v>12.316655489399336</v>
      </c>
      <c r="H111" s="173">
        <f t="shared" si="8"/>
        <v>10.463607332958308</v>
      </c>
      <c r="I111" s="173">
        <f t="shared" si="8"/>
        <v>6.4237664015848015</v>
      </c>
      <c r="J111" s="173">
        <f t="shared" si="8"/>
        <v>15.037721120268035</v>
      </c>
      <c r="K111" s="173">
        <f t="shared" si="8"/>
        <v>20.655861885885152</v>
      </c>
      <c r="L111" s="173">
        <f t="shared" si="8"/>
        <v>28.502011485167227</v>
      </c>
      <c r="M111" s="173">
        <f t="shared" si="8"/>
        <v>28.340313922596369</v>
      </c>
      <c r="N111" s="173">
        <f t="shared" si="8"/>
        <v>0</v>
      </c>
      <c r="O111" s="173">
        <f t="shared" si="8"/>
        <v>0</v>
      </c>
      <c r="P111" s="173">
        <f t="shared" si="8"/>
        <v>0</v>
      </c>
      <c r="Q111" s="173">
        <f t="shared" si="8"/>
        <v>0</v>
      </c>
      <c r="R111" s="8"/>
      <c r="S111" s="8"/>
      <c r="T111" s="8"/>
      <c r="U111" s="8"/>
      <c r="V111" s="8"/>
      <c r="W111" s="42"/>
      <c r="X111" s="9"/>
      <c r="Y111" s="9"/>
      <c r="Z111" s="9"/>
      <c r="AA111" s="9"/>
      <c r="AB111" s="9"/>
      <c r="AC111" s="9"/>
      <c r="AD111" s="9"/>
      <c r="AE111" s="198"/>
      <c r="AF111" s="198"/>
      <c r="AG111" s="198"/>
      <c r="AH111" s="198"/>
      <c r="AI111" s="198"/>
      <c r="AJ111" s="198"/>
      <c r="AK111" s="198"/>
      <c r="AL111" s="198"/>
      <c r="AM111" s="198"/>
      <c r="AN111" s="198"/>
      <c r="AO111" s="198"/>
      <c r="AP111" s="198"/>
      <c r="AQ111" s="198"/>
      <c r="AR111" s="198"/>
      <c r="AS111" s="198"/>
      <c r="AT111" s="198"/>
      <c r="AU111" s="198"/>
    </row>
    <row r="112" spans="1:47" hidden="1" outlineLevel="1">
      <c r="A112" s="12"/>
      <c r="B112" s="12"/>
      <c r="C112" s="12"/>
      <c r="D112" s="12"/>
      <c r="E112" s="12"/>
      <c r="F112" s="173" t="str">
        <f>Asset4</f>
        <v>Reactive</v>
      </c>
      <c r="G112" s="172">
        <f t="shared" ref="G112:Q112" si="9">(G44-G78)/G$246</f>
        <v>0.10741420130617492</v>
      </c>
      <c r="H112" s="173">
        <f t="shared" si="9"/>
        <v>1.8432977887629114</v>
      </c>
      <c r="I112" s="173">
        <f t="shared" si="9"/>
        <v>1.5794825703716426</v>
      </c>
      <c r="J112" s="173">
        <f t="shared" si="9"/>
        <v>0.42490279808281478</v>
      </c>
      <c r="K112" s="173">
        <f t="shared" si="9"/>
        <v>1.427583652581121</v>
      </c>
      <c r="L112" s="173">
        <f t="shared" si="9"/>
        <v>0.818525164548495</v>
      </c>
      <c r="M112" s="173">
        <f>(M44-M78)/M$246</f>
        <v>0.72056793972063715</v>
      </c>
      <c r="N112" s="173">
        <f t="shared" si="9"/>
        <v>0</v>
      </c>
      <c r="O112" s="173">
        <f t="shared" si="9"/>
        <v>0</v>
      </c>
      <c r="P112" s="173">
        <f t="shared" si="9"/>
        <v>0</v>
      </c>
      <c r="Q112" s="173">
        <f t="shared" si="9"/>
        <v>0</v>
      </c>
      <c r="R112" s="8"/>
      <c r="S112" s="8"/>
      <c r="T112" s="8"/>
      <c r="U112" s="8"/>
      <c r="V112" s="8"/>
      <c r="W112" s="42"/>
      <c r="X112" s="9"/>
      <c r="Y112" s="9"/>
      <c r="Z112" s="9"/>
      <c r="AA112" s="9"/>
      <c r="AB112" s="9"/>
      <c r="AC112" s="9"/>
      <c r="AD112" s="9"/>
      <c r="AE112" s="198"/>
      <c r="AF112" s="198"/>
      <c r="AG112" s="198"/>
      <c r="AH112" s="198"/>
      <c r="AI112" s="198"/>
      <c r="AJ112" s="198"/>
      <c r="AK112" s="198"/>
      <c r="AL112" s="198"/>
      <c r="AM112" s="198"/>
      <c r="AN112" s="198"/>
      <c r="AO112" s="198"/>
      <c r="AP112" s="198"/>
      <c r="AQ112" s="198"/>
      <c r="AR112" s="198"/>
      <c r="AS112" s="198"/>
      <c r="AT112" s="198"/>
      <c r="AU112" s="198"/>
    </row>
    <row r="113" spans="1:47" hidden="1" outlineLevel="1">
      <c r="A113" s="12"/>
      <c r="B113" s="12"/>
      <c r="C113" s="12"/>
      <c r="D113" s="12"/>
      <c r="E113" s="12"/>
      <c r="F113" s="173" t="str">
        <f>Asset5</f>
        <v>Towers and Conductor</v>
      </c>
      <c r="G113" s="172">
        <f t="shared" ref="G113:Q113" si="10">(G45-G79)/G$246</f>
        <v>2.3562396072502012</v>
      </c>
      <c r="H113" s="173">
        <f t="shared" si="10"/>
        <v>7.4970930028829619</v>
      </c>
      <c r="I113" s="173">
        <f t="shared" si="10"/>
        <v>13.87786670217363</v>
      </c>
      <c r="J113" s="173">
        <f t="shared" si="10"/>
        <v>23.012590973303194</v>
      </c>
      <c r="K113" s="173">
        <f t="shared" si="10"/>
        <v>28.943050570727546</v>
      </c>
      <c r="L113" s="173">
        <f t="shared" si="10"/>
        <v>20.847049238639915</v>
      </c>
      <c r="M113" s="173">
        <f t="shared" si="10"/>
        <v>4.0953904463160882</v>
      </c>
      <c r="N113" s="173">
        <f t="shared" si="10"/>
        <v>0</v>
      </c>
      <c r="O113" s="173">
        <f t="shared" si="10"/>
        <v>0</v>
      </c>
      <c r="P113" s="173">
        <f t="shared" si="10"/>
        <v>0</v>
      </c>
      <c r="Q113" s="173">
        <f t="shared" si="10"/>
        <v>0</v>
      </c>
      <c r="R113" s="8"/>
      <c r="S113" s="8"/>
      <c r="T113" s="8"/>
      <c r="U113" s="8"/>
      <c r="V113" s="8"/>
      <c r="W113" s="42"/>
      <c r="X113" s="9"/>
      <c r="Y113" s="9"/>
      <c r="Z113" s="9"/>
      <c r="AA113" s="9"/>
      <c r="AB113" s="9"/>
      <c r="AC113" s="9"/>
      <c r="AD113" s="9"/>
      <c r="AE113" s="198"/>
      <c r="AF113" s="198"/>
      <c r="AG113" s="198"/>
      <c r="AH113" s="198"/>
      <c r="AI113" s="198"/>
      <c r="AJ113" s="198"/>
      <c r="AK113" s="198"/>
      <c r="AL113" s="198"/>
      <c r="AM113" s="198"/>
      <c r="AN113" s="198"/>
      <c r="AO113" s="198"/>
      <c r="AP113" s="198"/>
      <c r="AQ113" s="198"/>
      <c r="AR113" s="198"/>
      <c r="AS113" s="198"/>
      <c r="AT113" s="198"/>
      <c r="AU113" s="198"/>
    </row>
    <row r="114" spans="1:47" hidden="1" outlineLevel="1">
      <c r="A114" s="12"/>
      <c r="B114" s="12"/>
      <c r="C114" s="12"/>
      <c r="D114" s="12"/>
      <c r="E114" s="12"/>
      <c r="F114" s="173" t="str">
        <f>Asset6</f>
        <v>Establishment</v>
      </c>
      <c r="G114" s="172">
        <f t="shared" ref="G114:Q114" si="11">(G46-G80)/G$246</f>
        <v>14.142512632023376</v>
      </c>
      <c r="H114" s="173">
        <f t="shared" si="11"/>
        <v>10.683634936086571</v>
      </c>
      <c r="I114" s="173">
        <f t="shared" si="11"/>
        <v>10.207089289126603</v>
      </c>
      <c r="J114" s="173">
        <f t="shared" si="11"/>
        <v>3.6122008230732869</v>
      </c>
      <c r="K114" s="173">
        <f t="shared" si="11"/>
        <v>10.25662602158795</v>
      </c>
      <c r="L114" s="173">
        <f t="shared" si="11"/>
        <v>8.4544404093673364</v>
      </c>
      <c r="M114" s="173">
        <f t="shared" si="11"/>
        <v>7.630429871601307</v>
      </c>
      <c r="N114" s="173">
        <f t="shared" si="11"/>
        <v>0</v>
      </c>
      <c r="O114" s="173">
        <f t="shared" si="11"/>
        <v>0</v>
      </c>
      <c r="P114" s="173">
        <f t="shared" si="11"/>
        <v>0</v>
      </c>
      <c r="Q114" s="173">
        <f t="shared" si="11"/>
        <v>0</v>
      </c>
      <c r="R114" s="8"/>
      <c r="S114" s="8"/>
      <c r="T114" s="8"/>
      <c r="U114" s="8"/>
      <c r="V114" s="8"/>
      <c r="W114" s="42"/>
      <c r="X114" s="9"/>
      <c r="Y114" s="9"/>
      <c r="Z114" s="9"/>
      <c r="AA114" s="9"/>
      <c r="AB114" s="9"/>
      <c r="AC114" s="9"/>
      <c r="AD114" s="9"/>
      <c r="AE114" s="198"/>
      <c r="AF114" s="198"/>
      <c r="AG114" s="198"/>
      <c r="AH114" s="198"/>
      <c r="AI114" s="198"/>
      <c r="AJ114" s="198"/>
      <c r="AK114" s="198"/>
      <c r="AL114" s="198"/>
      <c r="AM114" s="198"/>
      <c r="AN114" s="198"/>
      <c r="AO114" s="198"/>
      <c r="AP114" s="198"/>
      <c r="AQ114" s="198"/>
      <c r="AR114" s="198"/>
      <c r="AS114" s="198"/>
      <c r="AT114" s="198"/>
      <c r="AU114" s="198"/>
    </row>
    <row r="115" spans="1:47" hidden="1" outlineLevel="1">
      <c r="A115" s="12"/>
      <c r="B115" s="12"/>
      <c r="C115" s="12"/>
      <c r="D115" s="12"/>
      <c r="E115" s="12"/>
      <c r="F115" s="173" t="str">
        <f>Asset7</f>
        <v>Communications</v>
      </c>
      <c r="G115" s="172">
        <f t="shared" ref="G115:Q115" si="12">(G47-G81)/G$246</f>
        <v>1.1328154523602714</v>
      </c>
      <c r="H115" s="173">
        <f t="shared" si="12"/>
        <v>7.5664655318470055</v>
      </c>
      <c r="I115" s="173">
        <f t="shared" si="12"/>
        <v>18.320559332092209</v>
      </c>
      <c r="J115" s="173">
        <f t="shared" si="12"/>
        <v>4.4976398485411577</v>
      </c>
      <c r="K115" s="173">
        <f t="shared" si="12"/>
        <v>3.5624957909181583</v>
      </c>
      <c r="L115" s="173">
        <f t="shared" si="12"/>
        <v>4.0175408353093642</v>
      </c>
      <c r="M115" s="173">
        <f t="shared" si="12"/>
        <v>4.59401931834691</v>
      </c>
      <c r="N115" s="173">
        <f t="shared" si="12"/>
        <v>0</v>
      </c>
      <c r="O115" s="173">
        <f t="shared" si="12"/>
        <v>0</v>
      </c>
      <c r="P115" s="173">
        <f t="shared" si="12"/>
        <v>0</v>
      </c>
      <c r="Q115" s="173">
        <f t="shared" si="12"/>
        <v>0</v>
      </c>
      <c r="R115" s="8"/>
      <c r="S115" s="8"/>
      <c r="T115" s="8"/>
      <c r="U115" s="8"/>
      <c r="V115" s="8"/>
      <c r="W115" s="42"/>
      <c r="X115" s="9"/>
      <c r="Y115" s="9"/>
      <c r="Z115" s="9"/>
      <c r="AA115" s="9"/>
      <c r="AB115" s="9"/>
      <c r="AC115" s="9"/>
      <c r="AD115" s="9"/>
      <c r="AE115" s="198"/>
      <c r="AF115" s="198"/>
      <c r="AG115" s="198"/>
      <c r="AH115" s="198"/>
      <c r="AI115" s="198"/>
      <c r="AJ115" s="198"/>
      <c r="AK115" s="198"/>
      <c r="AL115" s="198"/>
      <c r="AM115" s="198"/>
      <c r="AN115" s="198"/>
      <c r="AO115" s="198"/>
      <c r="AP115" s="198"/>
      <c r="AQ115" s="198"/>
      <c r="AR115" s="198"/>
      <c r="AS115" s="198"/>
      <c r="AT115" s="198"/>
      <c r="AU115" s="198"/>
    </row>
    <row r="116" spans="1:47" hidden="1" outlineLevel="1">
      <c r="A116" s="12"/>
      <c r="B116" s="12"/>
      <c r="C116" s="12"/>
      <c r="D116" s="12"/>
      <c r="E116" s="12"/>
      <c r="F116" s="173" t="str">
        <f>Asset8</f>
        <v>Inventory</v>
      </c>
      <c r="G116" s="172">
        <f t="shared" ref="G116:Q116" si="13">(G48-G82)/G$246</f>
        <v>0</v>
      </c>
      <c r="H116" s="173">
        <f t="shared" si="13"/>
        <v>0</v>
      </c>
      <c r="I116" s="173">
        <f t="shared" si="13"/>
        <v>0</v>
      </c>
      <c r="J116" s="173">
        <f t="shared" si="13"/>
        <v>0</v>
      </c>
      <c r="K116" s="173">
        <f t="shared" si="13"/>
        <v>0</v>
      </c>
      <c r="L116" s="173">
        <f t="shared" si="13"/>
        <v>0</v>
      </c>
      <c r="M116" s="173">
        <f t="shared" si="13"/>
        <v>0</v>
      </c>
      <c r="N116" s="173">
        <f t="shared" si="13"/>
        <v>0</v>
      </c>
      <c r="O116" s="173">
        <f t="shared" si="13"/>
        <v>0</v>
      </c>
      <c r="P116" s="173">
        <f t="shared" si="13"/>
        <v>0</v>
      </c>
      <c r="Q116" s="173">
        <f t="shared" si="13"/>
        <v>0</v>
      </c>
      <c r="R116" s="8"/>
      <c r="S116" s="8"/>
      <c r="T116" s="8"/>
      <c r="U116" s="8"/>
      <c r="V116" s="8"/>
      <c r="W116" s="42"/>
      <c r="X116" s="9"/>
      <c r="Y116" s="9"/>
      <c r="Z116" s="9"/>
      <c r="AA116" s="9"/>
      <c r="AB116" s="9"/>
      <c r="AC116" s="9"/>
      <c r="AD116" s="9"/>
      <c r="AE116" s="198"/>
      <c r="AF116" s="198"/>
      <c r="AG116" s="198"/>
      <c r="AH116" s="198"/>
      <c r="AI116" s="198"/>
      <c r="AJ116" s="198"/>
      <c r="AK116" s="198"/>
      <c r="AL116" s="198"/>
      <c r="AM116" s="198"/>
      <c r="AN116" s="198"/>
      <c r="AO116" s="198"/>
      <c r="AP116" s="198"/>
      <c r="AQ116" s="198"/>
      <c r="AR116" s="198"/>
      <c r="AS116" s="198"/>
      <c r="AT116" s="198"/>
      <c r="AU116" s="198"/>
    </row>
    <row r="117" spans="1:47" hidden="1" outlineLevel="1">
      <c r="A117" s="12"/>
      <c r="B117" s="12"/>
      <c r="C117" s="12"/>
      <c r="D117" s="12"/>
      <c r="E117" s="12"/>
      <c r="F117" s="173" t="str">
        <f>Asset9</f>
        <v>IT</v>
      </c>
      <c r="G117" s="172">
        <f t="shared" ref="G117:Q117" si="14">(G49-G83)/G$246</f>
        <v>9.6097777238275324</v>
      </c>
      <c r="H117" s="173">
        <f t="shared" si="14"/>
        <v>6.823588915362639</v>
      </c>
      <c r="I117" s="173">
        <f t="shared" si="14"/>
        <v>5.6334712104386266</v>
      </c>
      <c r="J117" s="173">
        <f t="shared" si="14"/>
        <v>10.660968109631757</v>
      </c>
      <c r="K117" s="173">
        <f t="shared" si="14"/>
        <v>9.6418359279547232</v>
      </c>
      <c r="L117" s="173">
        <f t="shared" si="14"/>
        <v>14.561872909698996</v>
      </c>
      <c r="M117" s="173">
        <f t="shared" si="14"/>
        <v>14.867672240802676</v>
      </c>
      <c r="N117" s="173">
        <f t="shared" si="14"/>
        <v>0</v>
      </c>
      <c r="O117" s="173">
        <f t="shared" si="14"/>
        <v>0</v>
      </c>
      <c r="P117" s="173">
        <f t="shared" si="14"/>
        <v>0</v>
      </c>
      <c r="Q117" s="173">
        <f t="shared" si="14"/>
        <v>0</v>
      </c>
      <c r="R117" s="8"/>
      <c r="S117" s="8"/>
      <c r="T117" s="8"/>
      <c r="U117" s="8"/>
      <c r="V117" s="8"/>
      <c r="W117" s="42"/>
      <c r="X117" s="9"/>
      <c r="Y117" s="9"/>
      <c r="Z117" s="9"/>
      <c r="AA117" s="9"/>
      <c r="AB117" s="9"/>
      <c r="AC117" s="9"/>
      <c r="AD117" s="9"/>
      <c r="AE117" s="198"/>
      <c r="AF117" s="198"/>
      <c r="AG117" s="198"/>
      <c r="AH117" s="198"/>
      <c r="AI117" s="198"/>
      <c r="AJ117" s="198"/>
      <c r="AK117" s="198"/>
      <c r="AL117" s="198"/>
      <c r="AM117" s="198"/>
      <c r="AN117" s="198"/>
      <c r="AO117" s="198"/>
      <c r="AP117" s="198"/>
      <c r="AQ117" s="198"/>
      <c r="AR117" s="198"/>
      <c r="AS117" s="198"/>
      <c r="AT117" s="198"/>
      <c r="AU117" s="198"/>
    </row>
    <row r="118" spans="1:47" hidden="1" outlineLevel="1">
      <c r="A118" s="12"/>
      <c r="B118" s="12"/>
      <c r="C118" s="12"/>
      <c r="D118" s="12"/>
      <c r="E118" s="12"/>
      <c r="F118" s="173" t="str">
        <f>Asset10</f>
        <v>Vehicles</v>
      </c>
      <c r="G118" s="172">
        <f t="shared" ref="G118:Q118" si="15">(G50-G84)/G$246</f>
        <v>0.98670180108156835</v>
      </c>
      <c r="H118" s="173">
        <f t="shared" si="15"/>
        <v>0.47577621844528839</v>
      </c>
      <c r="I118" s="173">
        <f t="shared" si="15"/>
        <v>0.24557725137059441</v>
      </c>
      <c r="J118" s="173">
        <f t="shared" si="15"/>
        <v>-0.13899470707964601</v>
      </c>
      <c r="K118" s="173">
        <f t="shared" si="15"/>
        <v>0.15407338580459767</v>
      </c>
      <c r="L118" s="173">
        <f t="shared" si="15"/>
        <v>1.3651755852842811</v>
      </c>
      <c r="M118" s="173">
        <f t="shared" si="15"/>
        <v>1.3774621655518393</v>
      </c>
      <c r="N118" s="173">
        <f t="shared" si="15"/>
        <v>0</v>
      </c>
      <c r="O118" s="173">
        <f t="shared" si="15"/>
        <v>0</v>
      </c>
      <c r="P118" s="173">
        <f t="shared" si="15"/>
        <v>0</v>
      </c>
      <c r="Q118" s="173">
        <f t="shared" si="15"/>
        <v>0</v>
      </c>
      <c r="R118" s="8"/>
      <c r="S118" s="8"/>
      <c r="T118" s="8"/>
      <c r="U118" s="8"/>
      <c r="V118" s="8"/>
      <c r="W118" s="42"/>
      <c r="X118" s="9"/>
      <c r="Y118" s="9"/>
      <c r="Z118" s="9"/>
      <c r="AA118" s="9"/>
      <c r="AB118" s="9"/>
      <c r="AC118" s="9"/>
      <c r="AD118" s="9"/>
      <c r="AE118" s="198"/>
      <c r="AF118" s="198"/>
      <c r="AG118" s="198"/>
      <c r="AH118" s="198"/>
      <c r="AI118" s="198"/>
      <c r="AJ118" s="198"/>
      <c r="AK118" s="198"/>
      <c r="AL118" s="198"/>
      <c r="AM118" s="198"/>
      <c r="AN118" s="198"/>
      <c r="AO118" s="198"/>
      <c r="AP118" s="198"/>
      <c r="AQ118" s="198"/>
      <c r="AR118" s="198"/>
      <c r="AS118" s="198"/>
      <c r="AT118" s="198"/>
      <c r="AU118" s="198"/>
    </row>
    <row r="119" spans="1:47" hidden="1" outlineLevel="1">
      <c r="A119" s="12"/>
      <c r="B119" s="12"/>
      <c r="C119" s="12"/>
      <c r="D119" s="12"/>
      <c r="E119" s="12"/>
      <c r="F119" s="173" t="str">
        <f>Asset11</f>
        <v>other</v>
      </c>
      <c r="G119" s="172">
        <f t="shared" ref="G119:Q119" si="16">(G51-G85)/G$246</f>
        <v>2.223689994448828</v>
      </c>
      <c r="H119" s="173">
        <f t="shared" si="16"/>
        <v>3.6415133862136195</v>
      </c>
      <c r="I119" s="173">
        <f t="shared" si="16"/>
        <v>2.4468747639606634</v>
      </c>
      <c r="J119" s="173">
        <f t="shared" si="16"/>
        <v>2.7345231189368073</v>
      </c>
      <c r="K119" s="173">
        <f t="shared" si="16"/>
        <v>1.169542017405595</v>
      </c>
      <c r="L119" s="173">
        <f t="shared" si="16"/>
        <v>1.8202341137123745</v>
      </c>
      <c r="M119" s="173">
        <f t="shared" si="16"/>
        <v>1.3938442725752509</v>
      </c>
      <c r="N119" s="173">
        <f t="shared" si="16"/>
        <v>0</v>
      </c>
      <c r="O119" s="173">
        <f t="shared" si="16"/>
        <v>0</v>
      </c>
      <c r="P119" s="173">
        <f t="shared" si="16"/>
        <v>0</v>
      </c>
      <c r="Q119" s="173">
        <f t="shared" si="16"/>
        <v>0</v>
      </c>
      <c r="R119" s="8"/>
      <c r="S119" s="8"/>
      <c r="T119" s="8"/>
      <c r="U119" s="8"/>
      <c r="V119" s="8"/>
      <c r="W119" s="42"/>
      <c r="X119" s="9"/>
      <c r="Y119" s="9"/>
      <c r="Z119" s="9"/>
      <c r="AA119" s="9"/>
      <c r="AB119" s="9"/>
      <c r="AC119" s="9"/>
      <c r="AD119" s="9"/>
      <c r="AE119" s="198"/>
      <c r="AF119" s="198"/>
      <c r="AG119" s="198"/>
      <c r="AH119" s="198"/>
      <c r="AI119" s="198"/>
      <c r="AJ119" s="198"/>
      <c r="AK119" s="198"/>
      <c r="AL119" s="198"/>
      <c r="AM119" s="198"/>
      <c r="AN119" s="198"/>
      <c r="AO119" s="198"/>
      <c r="AP119" s="198"/>
      <c r="AQ119" s="198"/>
      <c r="AR119" s="198"/>
      <c r="AS119" s="198"/>
      <c r="AT119" s="198"/>
      <c r="AU119" s="198"/>
    </row>
    <row r="120" spans="1:47" hidden="1" outlineLevel="1">
      <c r="A120" s="12"/>
      <c r="B120" s="12"/>
      <c r="C120" s="12"/>
      <c r="D120" s="12"/>
      <c r="E120" s="12"/>
      <c r="F120" s="173" t="str">
        <f>Asset12</f>
        <v>premises</v>
      </c>
      <c r="G120" s="172">
        <f t="shared" ref="G120:Q120" si="17">(G52-G86)/G$246</f>
        <v>0.14248680535415356</v>
      </c>
      <c r="H120" s="173">
        <f t="shared" si="17"/>
        <v>0.23065689512763124</v>
      </c>
      <c r="I120" s="173">
        <f t="shared" si="17"/>
        <v>0.21219902825301207</v>
      </c>
      <c r="J120" s="173">
        <f t="shared" si="17"/>
        <v>0.11961032695953089</v>
      </c>
      <c r="K120" s="173">
        <f t="shared" si="17"/>
        <v>9.7059230373563204E-2</v>
      </c>
      <c r="L120" s="173">
        <f t="shared" si="17"/>
        <v>0.18202341137123745</v>
      </c>
      <c r="M120" s="173">
        <f t="shared" si="17"/>
        <v>0.18366162207357858</v>
      </c>
      <c r="N120" s="173">
        <f t="shared" si="17"/>
        <v>0</v>
      </c>
      <c r="O120" s="173">
        <f t="shared" si="17"/>
        <v>0</v>
      </c>
      <c r="P120" s="173">
        <f t="shared" si="17"/>
        <v>0</v>
      </c>
      <c r="Q120" s="173">
        <f t="shared" si="17"/>
        <v>0</v>
      </c>
      <c r="R120" s="8"/>
      <c r="S120" s="8"/>
      <c r="T120" s="8"/>
      <c r="U120" s="8"/>
      <c r="V120" s="8"/>
      <c r="W120" s="42"/>
      <c r="X120" s="9"/>
      <c r="Y120" s="9"/>
      <c r="Z120" s="9"/>
      <c r="AA120" s="9"/>
      <c r="AB120" s="9"/>
      <c r="AC120" s="9"/>
      <c r="AD120" s="9"/>
      <c r="AE120" s="198"/>
      <c r="AF120" s="198"/>
      <c r="AG120" s="198"/>
      <c r="AH120" s="198"/>
      <c r="AI120" s="198"/>
      <c r="AJ120" s="198"/>
      <c r="AK120" s="198"/>
      <c r="AL120" s="198"/>
      <c r="AM120" s="198"/>
      <c r="AN120" s="198"/>
      <c r="AO120" s="198"/>
      <c r="AP120" s="198"/>
      <c r="AQ120" s="198"/>
      <c r="AR120" s="198"/>
      <c r="AS120" s="198"/>
      <c r="AT120" s="198"/>
      <c r="AU120" s="198"/>
    </row>
    <row r="121" spans="1:47" hidden="1" outlineLevel="1">
      <c r="A121" s="12"/>
      <c r="B121" s="12"/>
      <c r="C121" s="12"/>
      <c r="D121" s="12"/>
      <c r="E121" s="12"/>
      <c r="F121" s="173" t="str">
        <f>Asset13</f>
        <v>Land</v>
      </c>
      <c r="G121" s="172">
        <f t="shared" ref="G121:Q121" si="18">(G53-G87)/G$246</f>
        <v>0</v>
      </c>
      <c r="H121" s="173">
        <f t="shared" si="18"/>
        <v>0</v>
      </c>
      <c r="I121" s="173">
        <f t="shared" si="18"/>
        <v>0</v>
      </c>
      <c r="J121" s="173">
        <f t="shared" si="18"/>
        <v>-0.4348495575221239</v>
      </c>
      <c r="K121" s="173">
        <f t="shared" si="18"/>
        <v>-0.86508045977011483</v>
      </c>
      <c r="L121" s="173">
        <f t="shared" si="18"/>
        <v>0</v>
      </c>
      <c r="M121" s="173">
        <f t="shared" si="18"/>
        <v>0</v>
      </c>
      <c r="N121" s="173">
        <f t="shared" si="18"/>
        <v>0</v>
      </c>
      <c r="O121" s="173">
        <f t="shared" si="18"/>
        <v>0</v>
      </c>
      <c r="P121" s="173">
        <f t="shared" si="18"/>
        <v>0</v>
      </c>
      <c r="Q121" s="173">
        <f t="shared" si="18"/>
        <v>0</v>
      </c>
      <c r="R121" s="8"/>
      <c r="S121" s="8"/>
      <c r="T121" s="8"/>
      <c r="U121" s="8"/>
      <c r="V121" s="8"/>
      <c r="W121" s="42"/>
      <c r="X121" s="9"/>
      <c r="Y121" s="9"/>
      <c r="Z121" s="9"/>
      <c r="AA121" s="9"/>
      <c r="AB121" s="9"/>
      <c r="AC121" s="9"/>
      <c r="AD121" s="9"/>
      <c r="AE121" s="198"/>
      <c r="AF121" s="198"/>
      <c r="AG121" s="198"/>
      <c r="AH121" s="198"/>
      <c r="AI121" s="198"/>
      <c r="AJ121" s="198"/>
      <c r="AK121" s="198"/>
      <c r="AL121" s="198"/>
      <c r="AM121" s="198"/>
      <c r="AN121" s="198"/>
      <c r="AO121" s="198"/>
      <c r="AP121" s="198"/>
      <c r="AQ121" s="198"/>
      <c r="AR121" s="198"/>
      <c r="AS121" s="198"/>
      <c r="AT121" s="198"/>
      <c r="AU121" s="198"/>
    </row>
    <row r="122" spans="1:47" hidden="1" outlineLevel="1">
      <c r="A122" s="12"/>
      <c r="B122" s="12"/>
      <c r="C122" s="12"/>
      <c r="D122" s="12"/>
      <c r="E122" s="12"/>
      <c r="F122" s="173" t="str">
        <f>Asset14</f>
        <v>Easements</v>
      </c>
      <c r="G122" s="172">
        <f t="shared" ref="G122:Q122" si="19">(G54-G88)/G$246</f>
        <v>0</v>
      </c>
      <c r="H122" s="173">
        <f t="shared" si="19"/>
        <v>0</v>
      </c>
      <c r="I122" s="173">
        <f t="shared" si="19"/>
        <v>0</v>
      </c>
      <c r="J122" s="173">
        <f t="shared" si="19"/>
        <v>0</v>
      </c>
      <c r="K122" s="173">
        <f t="shared" si="19"/>
        <v>0</v>
      </c>
      <c r="L122" s="173">
        <f t="shared" si="19"/>
        <v>0</v>
      </c>
      <c r="M122" s="173">
        <f t="shared" si="19"/>
        <v>0</v>
      </c>
      <c r="N122" s="173">
        <f t="shared" si="19"/>
        <v>0</v>
      </c>
      <c r="O122" s="173">
        <f t="shared" si="19"/>
        <v>0</v>
      </c>
      <c r="P122" s="173">
        <f t="shared" si="19"/>
        <v>0</v>
      </c>
      <c r="Q122" s="173">
        <f t="shared" si="19"/>
        <v>0</v>
      </c>
      <c r="R122" s="8"/>
      <c r="S122" s="8"/>
      <c r="T122" s="8"/>
      <c r="U122" s="8"/>
      <c r="V122" s="8"/>
      <c r="W122" s="42"/>
      <c r="X122" s="9"/>
      <c r="Y122" s="9"/>
      <c r="Z122" s="9"/>
      <c r="AA122" s="9"/>
      <c r="AB122" s="9"/>
      <c r="AC122" s="9"/>
      <c r="AD122" s="9"/>
      <c r="AE122" s="198"/>
      <c r="AF122" s="198"/>
      <c r="AG122" s="198"/>
      <c r="AH122" s="198"/>
      <c r="AI122" s="198"/>
      <c r="AJ122" s="198"/>
      <c r="AK122" s="198"/>
      <c r="AL122" s="198"/>
      <c r="AM122" s="198"/>
      <c r="AN122" s="198"/>
      <c r="AO122" s="198"/>
      <c r="AP122" s="198"/>
      <c r="AQ122" s="198"/>
      <c r="AR122" s="198"/>
      <c r="AS122" s="198"/>
      <c r="AT122" s="198"/>
      <c r="AU122" s="198"/>
    </row>
    <row r="123" spans="1:47" hidden="1" outlineLevel="1">
      <c r="A123" s="12"/>
      <c r="B123" s="12"/>
      <c r="C123" s="12"/>
      <c r="D123" s="12"/>
      <c r="E123" s="12"/>
      <c r="F123" s="173">
        <f>Asset15</f>
        <v>0</v>
      </c>
      <c r="G123" s="172">
        <f t="shared" ref="G123:Q123" si="20">(G55-G89)/G$246</f>
        <v>0</v>
      </c>
      <c r="H123" s="173">
        <f t="shared" si="20"/>
        <v>0</v>
      </c>
      <c r="I123" s="173">
        <f t="shared" si="20"/>
        <v>0</v>
      </c>
      <c r="J123" s="173">
        <f t="shared" si="20"/>
        <v>0</v>
      </c>
      <c r="K123" s="173">
        <f t="shared" si="20"/>
        <v>0</v>
      </c>
      <c r="L123" s="173">
        <f t="shared" si="20"/>
        <v>0</v>
      </c>
      <c r="M123" s="173">
        <f t="shared" si="20"/>
        <v>0</v>
      </c>
      <c r="N123" s="173">
        <f t="shared" si="20"/>
        <v>0</v>
      </c>
      <c r="O123" s="173">
        <f t="shared" si="20"/>
        <v>0</v>
      </c>
      <c r="P123" s="173">
        <f t="shared" si="20"/>
        <v>0</v>
      </c>
      <c r="Q123" s="173">
        <f t="shared" si="20"/>
        <v>0</v>
      </c>
      <c r="R123" s="8"/>
      <c r="S123" s="8"/>
      <c r="T123" s="8"/>
      <c r="U123" s="8"/>
      <c r="V123" s="8"/>
      <c r="W123" s="42"/>
      <c r="X123" s="9"/>
      <c r="Y123" s="9"/>
      <c r="Z123" s="9"/>
      <c r="AA123" s="9"/>
      <c r="AB123" s="9"/>
      <c r="AC123" s="9"/>
      <c r="AD123" s="9"/>
      <c r="AE123" s="198"/>
      <c r="AF123" s="198"/>
      <c r="AG123" s="198"/>
      <c r="AH123" s="198"/>
      <c r="AI123" s="198"/>
      <c r="AJ123" s="198"/>
      <c r="AK123" s="198"/>
      <c r="AL123" s="198"/>
      <c r="AM123" s="198"/>
      <c r="AN123" s="198"/>
      <c r="AO123" s="198"/>
      <c r="AP123" s="198"/>
      <c r="AQ123" s="198"/>
      <c r="AR123" s="198"/>
      <c r="AS123" s="198"/>
      <c r="AT123" s="198"/>
      <c r="AU123" s="198"/>
    </row>
    <row r="124" spans="1:47" hidden="1" outlineLevel="1">
      <c r="A124" s="12"/>
      <c r="B124" s="12"/>
      <c r="C124" s="12"/>
      <c r="D124" s="12"/>
      <c r="E124" s="12"/>
      <c r="F124" s="173">
        <f>Asset16</f>
        <v>0</v>
      </c>
      <c r="G124" s="172">
        <f t="shared" ref="G124:Q124" si="21">(G56-G90)/G$246</f>
        <v>0</v>
      </c>
      <c r="H124" s="173">
        <f t="shared" si="21"/>
        <v>0</v>
      </c>
      <c r="I124" s="173">
        <f t="shared" si="21"/>
        <v>0</v>
      </c>
      <c r="J124" s="173">
        <f t="shared" si="21"/>
        <v>0</v>
      </c>
      <c r="K124" s="173">
        <f t="shared" si="21"/>
        <v>0</v>
      </c>
      <c r="L124" s="173">
        <f t="shared" si="21"/>
        <v>0</v>
      </c>
      <c r="M124" s="173">
        <f t="shared" si="21"/>
        <v>0</v>
      </c>
      <c r="N124" s="173">
        <f t="shared" si="21"/>
        <v>0</v>
      </c>
      <c r="O124" s="173">
        <f t="shared" si="21"/>
        <v>0</v>
      </c>
      <c r="P124" s="173">
        <f t="shared" si="21"/>
        <v>0</v>
      </c>
      <c r="Q124" s="173">
        <f t="shared" si="21"/>
        <v>0</v>
      </c>
      <c r="R124" s="8"/>
      <c r="S124" s="8"/>
      <c r="T124" s="8"/>
      <c r="U124" s="8"/>
      <c r="V124" s="8"/>
      <c r="W124" s="42"/>
      <c r="X124" s="9"/>
      <c r="Y124" s="9"/>
      <c r="Z124" s="9"/>
      <c r="AA124" s="9"/>
      <c r="AB124" s="9"/>
      <c r="AC124" s="9"/>
      <c r="AD124" s="9"/>
      <c r="AE124" s="198"/>
      <c r="AF124" s="198"/>
      <c r="AG124" s="198"/>
      <c r="AH124" s="198"/>
      <c r="AI124" s="198"/>
      <c r="AJ124" s="198"/>
      <c r="AK124" s="198"/>
      <c r="AL124" s="198"/>
      <c r="AM124" s="198"/>
      <c r="AN124" s="198"/>
      <c r="AO124" s="198"/>
      <c r="AP124" s="198"/>
      <c r="AQ124" s="198"/>
      <c r="AR124" s="198"/>
      <c r="AS124" s="198"/>
      <c r="AT124" s="198"/>
      <c r="AU124" s="198"/>
    </row>
    <row r="125" spans="1:47" hidden="1" outlineLevel="1">
      <c r="A125" s="12"/>
      <c r="B125" s="12"/>
      <c r="C125" s="12"/>
      <c r="D125" s="12"/>
      <c r="E125" s="12"/>
      <c r="F125" s="173">
        <f>Asset17</f>
        <v>0</v>
      </c>
      <c r="G125" s="172">
        <f t="shared" ref="G125:Q125" si="22">(G57-G91)/G$246</f>
        <v>0</v>
      </c>
      <c r="H125" s="173">
        <f t="shared" si="22"/>
        <v>0</v>
      </c>
      <c r="I125" s="173">
        <f t="shared" si="22"/>
        <v>0</v>
      </c>
      <c r="J125" s="173">
        <f t="shared" si="22"/>
        <v>0</v>
      </c>
      <c r="K125" s="173">
        <f t="shared" si="22"/>
        <v>0</v>
      </c>
      <c r="L125" s="173">
        <f t="shared" si="22"/>
        <v>0</v>
      </c>
      <c r="M125" s="173">
        <f t="shared" si="22"/>
        <v>0</v>
      </c>
      <c r="N125" s="173">
        <f t="shared" si="22"/>
        <v>0</v>
      </c>
      <c r="O125" s="173">
        <f t="shared" si="22"/>
        <v>0</v>
      </c>
      <c r="P125" s="173">
        <f t="shared" si="22"/>
        <v>0</v>
      </c>
      <c r="Q125" s="173">
        <f t="shared" si="22"/>
        <v>0</v>
      </c>
      <c r="R125" s="8"/>
      <c r="S125" s="8"/>
      <c r="T125" s="8"/>
      <c r="U125" s="8"/>
      <c r="V125" s="8"/>
      <c r="W125" s="42"/>
      <c r="X125" s="9"/>
      <c r="Y125" s="9"/>
      <c r="Z125" s="9"/>
      <c r="AA125" s="9"/>
      <c r="AB125" s="9"/>
      <c r="AC125" s="9"/>
      <c r="AD125" s="9"/>
      <c r="AE125" s="198"/>
      <c r="AF125" s="198"/>
      <c r="AG125" s="198"/>
      <c r="AH125" s="198"/>
      <c r="AI125" s="198"/>
      <c r="AJ125" s="198"/>
      <c r="AK125" s="198"/>
      <c r="AL125" s="198"/>
      <c r="AM125" s="198"/>
      <c r="AN125" s="198"/>
      <c r="AO125" s="198"/>
      <c r="AP125" s="198"/>
      <c r="AQ125" s="198"/>
      <c r="AR125" s="198"/>
      <c r="AS125" s="198"/>
      <c r="AT125" s="198"/>
      <c r="AU125" s="198"/>
    </row>
    <row r="126" spans="1:47" hidden="1" outlineLevel="1">
      <c r="A126" s="12"/>
      <c r="B126" s="12"/>
      <c r="C126" s="12"/>
      <c r="D126" s="12"/>
      <c r="E126" s="12"/>
      <c r="F126" s="173">
        <f>Asset18</f>
        <v>0</v>
      </c>
      <c r="G126" s="172">
        <f t="shared" ref="G126:Q126" si="23">(G58-G92)/G$246</f>
        <v>0</v>
      </c>
      <c r="H126" s="173">
        <f t="shared" si="23"/>
        <v>0</v>
      </c>
      <c r="I126" s="173">
        <f t="shared" si="23"/>
        <v>0</v>
      </c>
      <c r="J126" s="173">
        <f t="shared" si="23"/>
        <v>0</v>
      </c>
      <c r="K126" s="173">
        <f t="shared" si="23"/>
        <v>0</v>
      </c>
      <c r="L126" s="173">
        <f t="shared" si="23"/>
        <v>0</v>
      </c>
      <c r="M126" s="173">
        <f t="shared" si="23"/>
        <v>0</v>
      </c>
      <c r="N126" s="173">
        <f t="shared" si="23"/>
        <v>0</v>
      </c>
      <c r="O126" s="173">
        <f t="shared" si="23"/>
        <v>0</v>
      </c>
      <c r="P126" s="173">
        <f t="shared" si="23"/>
        <v>0</v>
      </c>
      <c r="Q126" s="173">
        <f t="shared" si="23"/>
        <v>0</v>
      </c>
      <c r="R126" s="8"/>
      <c r="S126" s="8"/>
      <c r="T126" s="8"/>
      <c r="U126" s="8"/>
      <c r="V126" s="8"/>
      <c r="W126" s="42"/>
      <c r="X126" s="9"/>
      <c r="Y126" s="9"/>
      <c r="Z126" s="9"/>
      <c r="AA126" s="9"/>
      <c r="AB126" s="9"/>
      <c r="AC126" s="9"/>
      <c r="AD126" s="9"/>
      <c r="AE126" s="198"/>
      <c r="AF126" s="198"/>
      <c r="AG126" s="198"/>
      <c r="AH126" s="198"/>
      <c r="AI126" s="198"/>
      <c r="AJ126" s="198"/>
      <c r="AK126" s="198"/>
      <c r="AL126" s="198"/>
      <c r="AM126" s="198"/>
      <c r="AN126" s="198"/>
      <c r="AO126" s="198"/>
      <c r="AP126" s="198"/>
      <c r="AQ126" s="198"/>
      <c r="AR126" s="198"/>
      <c r="AS126" s="198"/>
      <c r="AT126" s="198"/>
      <c r="AU126" s="198"/>
    </row>
    <row r="127" spans="1:47" hidden="1" outlineLevel="1">
      <c r="A127" s="12"/>
      <c r="B127" s="12"/>
      <c r="C127" s="12"/>
      <c r="D127" s="12"/>
      <c r="E127" s="12"/>
      <c r="F127" s="173">
        <f>Asset19</f>
        <v>0</v>
      </c>
      <c r="G127" s="172">
        <f t="shared" ref="G127:Q127" si="24">(G59-G93)/G$246</f>
        <v>0</v>
      </c>
      <c r="H127" s="173">
        <f t="shared" si="24"/>
        <v>0</v>
      </c>
      <c r="I127" s="173">
        <f t="shared" si="24"/>
        <v>0</v>
      </c>
      <c r="J127" s="173">
        <f t="shared" si="24"/>
        <v>0</v>
      </c>
      <c r="K127" s="173">
        <f t="shared" si="24"/>
        <v>0</v>
      </c>
      <c r="L127" s="173">
        <f t="shared" si="24"/>
        <v>0</v>
      </c>
      <c r="M127" s="173">
        <f t="shared" si="24"/>
        <v>0</v>
      </c>
      <c r="N127" s="173">
        <f t="shared" si="24"/>
        <v>0</v>
      </c>
      <c r="O127" s="173">
        <f t="shared" si="24"/>
        <v>0</v>
      </c>
      <c r="P127" s="173">
        <f t="shared" si="24"/>
        <v>0</v>
      </c>
      <c r="Q127" s="173">
        <f t="shared" si="24"/>
        <v>0</v>
      </c>
      <c r="R127" s="8"/>
      <c r="S127" s="8"/>
      <c r="T127" s="8"/>
      <c r="U127" s="8"/>
      <c r="V127" s="8"/>
      <c r="W127" s="42"/>
      <c r="X127" s="9"/>
      <c r="Y127" s="9"/>
      <c r="Z127" s="9"/>
      <c r="AA127" s="9"/>
      <c r="AB127" s="9"/>
      <c r="AC127" s="9"/>
      <c r="AD127" s="9"/>
      <c r="AE127" s="198"/>
      <c r="AF127" s="198"/>
      <c r="AG127" s="198"/>
      <c r="AH127" s="198"/>
      <c r="AI127" s="198"/>
      <c r="AJ127" s="198"/>
      <c r="AK127" s="198"/>
      <c r="AL127" s="198"/>
      <c r="AM127" s="198"/>
      <c r="AN127" s="198"/>
      <c r="AO127" s="198"/>
      <c r="AP127" s="198"/>
      <c r="AQ127" s="198"/>
      <c r="AR127" s="198"/>
      <c r="AS127" s="198"/>
      <c r="AT127" s="198"/>
      <c r="AU127" s="198"/>
    </row>
    <row r="128" spans="1:47" hidden="1" outlineLevel="1">
      <c r="A128" s="12"/>
      <c r="B128" s="12"/>
      <c r="C128" s="12"/>
      <c r="D128" s="12"/>
      <c r="E128" s="12"/>
      <c r="F128" s="303">
        <f>Asset20</f>
        <v>0</v>
      </c>
      <c r="G128" s="172">
        <f t="shared" ref="G128:Q128" si="25">(G60-G94)/G$246</f>
        <v>0</v>
      </c>
      <c r="H128" s="173">
        <f t="shared" si="25"/>
        <v>0</v>
      </c>
      <c r="I128" s="173">
        <f t="shared" si="25"/>
        <v>0</v>
      </c>
      <c r="J128" s="173">
        <f t="shared" si="25"/>
        <v>0</v>
      </c>
      <c r="K128" s="173">
        <f t="shared" si="25"/>
        <v>0</v>
      </c>
      <c r="L128" s="173">
        <f t="shared" si="25"/>
        <v>0</v>
      </c>
      <c r="M128" s="173">
        <f t="shared" si="25"/>
        <v>0</v>
      </c>
      <c r="N128" s="173">
        <f t="shared" si="25"/>
        <v>0</v>
      </c>
      <c r="O128" s="173">
        <f t="shared" si="25"/>
        <v>0</v>
      </c>
      <c r="P128" s="173">
        <f t="shared" si="25"/>
        <v>0</v>
      </c>
      <c r="Q128" s="173">
        <f t="shared" si="25"/>
        <v>0</v>
      </c>
      <c r="R128" s="8"/>
      <c r="S128" s="8"/>
      <c r="T128" s="8"/>
      <c r="U128" s="8"/>
      <c r="V128" s="8"/>
      <c r="W128" s="42"/>
      <c r="X128" s="9"/>
      <c r="Y128" s="9"/>
      <c r="Z128" s="9"/>
      <c r="AA128" s="9"/>
      <c r="AB128" s="9"/>
      <c r="AC128" s="9"/>
      <c r="AD128" s="9"/>
      <c r="AE128" s="198"/>
      <c r="AF128" s="198"/>
      <c r="AG128" s="198"/>
      <c r="AH128" s="198"/>
      <c r="AI128" s="198"/>
      <c r="AJ128" s="198"/>
      <c r="AK128" s="198"/>
      <c r="AL128" s="198"/>
      <c r="AM128" s="198"/>
      <c r="AN128" s="198"/>
      <c r="AO128" s="198"/>
      <c r="AP128" s="198"/>
      <c r="AQ128" s="198"/>
      <c r="AR128" s="198"/>
      <c r="AS128" s="198"/>
      <c r="AT128" s="198"/>
      <c r="AU128" s="198"/>
    </row>
    <row r="129" spans="1:47" hidden="1" outlineLevel="1">
      <c r="A129" s="12"/>
      <c r="B129" s="12"/>
      <c r="C129" s="12"/>
      <c r="D129" s="12"/>
      <c r="E129" s="12"/>
      <c r="F129" s="303">
        <f>Asset21</f>
        <v>0</v>
      </c>
      <c r="G129" s="172">
        <f t="shared" ref="G129:Q129" si="26">(G61-G95)/G$246</f>
        <v>0</v>
      </c>
      <c r="H129" s="173">
        <f t="shared" si="26"/>
        <v>0</v>
      </c>
      <c r="I129" s="173">
        <f t="shared" si="26"/>
        <v>0</v>
      </c>
      <c r="J129" s="173">
        <f t="shared" si="26"/>
        <v>0</v>
      </c>
      <c r="K129" s="173">
        <f t="shared" si="26"/>
        <v>0</v>
      </c>
      <c r="L129" s="173">
        <f t="shared" si="26"/>
        <v>0</v>
      </c>
      <c r="M129" s="173">
        <f t="shared" si="26"/>
        <v>0</v>
      </c>
      <c r="N129" s="173">
        <f t="shared" si="26"/>
        <v>0</v>
      </c>
      <c r="O129" s="173">
        <f t="shared" si="26"/>
        <v>0</v>
      </c>
      <c r="P129" s="173">
        <f t="shared" si="26"/>
        <v>0</v>
      </c>
      <c r="Q129" s="173">
        <f t="shared" si="26"/>
        <v>0</v>
      </c>
      <c r="R129" s="8"/>
      <c r="S129" s="8"/>
      <c r="T129" s="8"/>
      <c r="U129" s="8"/>
      <c r="V129" s="8"/>
      <c r="W129" s="42"/>
      <c r="X129" s="9"/>
      <c r="Y129" s="9"/>
      <c r="Z129" s="9"/>
      <c r="AA129" s="9"/>
      <c r="AB129" s="9"/>
      <c r="AC129" s="9"/>
      <c r="AD129" s="9"/>
      <c r="AE129" s="198"/>
      <c r="AF129" s="198"/>
      <c r="AG129" s="198"/>
      <c r="AH129" s="198"/>
      <c r="AI129" s="198"/>
      <c r="AJ129" s="198"/>
      <c r="AK129" s="198"/>
      <c r="AL129" s="198"/>
      <c r="AM129" s="198"/>
      <c r="AN129" s="198"/>
      <c r="AO129" s="198"/>
      <c r="AP129" s="198"/>
      <c r="AQ129" s="198"/>
      <c r="AR129" s="198"/>
      <c r="AS129" s="198"/>
      <c r="AT129" s="198"/>
      <c r="AU129" s="198"/>
    </row>
    <row r="130" spans="1:47" hidden="1" outlineLevel="1">
      <c r="A130" s="12"/>
      <c r="B130" s="12"/>
      <c r="C130" s="12"/>
      <c r="D130" s="12"/>
      <c r="E130" s="12"/>
      <c r="F130" s="303">
        <f>Asset22</f>
        <v>0</v>
      </c>
      <c r="G130" s="172">
        <f t="shared" ref="G130:Q130" si="27">(G62-G96)/G$246</f>
        <v>0</v>
      </c>
      <c r="H130" s="173">
        <f t="shared" si="27"/>
        <v>0</v>
      </c>
      <c r="I130" s="173">
        <f t="shared" si="27"/>
        <v>0</v>
      </c>
      <c r="J130" s="173">
        <f t="shared" si="27"/>
        <v>0</v>
      </c>
      <c r="K130" s="173">
        <f t="shared" si="27"/>
        <v>0</v>
      </c>
      <c r="L130" s="173">
        <f t="shared" si="27"/>
        <v>0</v>
      </c>
      <c r="M130" s="173">
        <f t="shared" si="27"/>
        <v>0</v>
      </c>
      <c r="N130" s="173">
        <f t="shared" si="27"/>
        <v>0</v>
      </c>
      <c r="O130" s="173">
        <f t="shared" si="27"/>
        <v>0</v>
      </c>
      <c r="P130" s="173">
        <f t="shared" si="27"/>
        <v>0</v>
      </c>
      <c r="Q130" s="173">
        <f t="shared" si="27"/>
        <v>0</v>
      </c>
      <c r="R130" s="8"/>
      <c r="S130" s="8"/>
      <c r="T130" s="8"/>
      <c r="U130" s="8"/>
      <c r="V130" s="8"/>
      <c r="W130" s="42"/>
      <c r="X130" s="9"/>
      <c r="Y130" s="9"/>
      <c r="Z130" s="9"/>
      <c r="AA130" s="9"/>
      <c r="AB130" s="9"/>
      <c r="AC130" s="9"/>
      <c r="AD130" s="9"/>
      <c r="AE130" s="198"/>
      <c r="AF130" s="198"/>
      <c r="AG130" s="198"/>
      <c r="AH130" s="198"/>
      <c r="AI130" s="198"/>
      <c r="AJ130" s="198"/>
      <c r="AK130" s="198"/>
      <c r="AL130" s="198"/>
      <c r="AM130" s="198"/>
      <c r="AN130" s="198"/>
      <c r="AO130" s="198"/>
      <c r="AP130" s="198"/>
      <c r="AQ130" s="198"/>
      <c r="AR130" s="198"/>
      <c r="AS130" s="198"/>
      <c r="AT130" s="198"/>
      <c r="AU130" s="198"/>
    </row>
    <row r="131" spans="1:47" hidden="1" outlineLevel="1">
      <c r="A131" s="12"/>
      <c r="B131" s="12"/>
      <c r="C131" s="12"/>
      <c r="D131" s="12"/>
      <c r="E131" s="12"/>
      <c r="F131" s="303">
        <f>Asset23</f>
        <v>0</v>
      </c>
      <c r="G131" s="172">
        <f t="shared" ref="G131:Q131" si="28">(G63-G97)/G$246</f>
        <v>0</v>
      </c>
      <c r="H131" s="173">
        <f t="shared" si="28"/>
        <v>0</v>
      </c>
      <c r="I131" s="173">
        <f t="shared" si="28"/>
        <v>0</v>
      </c>
      <c r="J131" s="173">
        <f t="shared" si="28"/>
        <v>0</v>
      </c>
      <c r="K131" s="173">
        <f t="shared" si="28"/>
        <v>0</v>
      </c>
      <c r="L131" s="173">
        <f t="shared" si="28"/>
        <v>0</v>
      </c>
      <c r="M131" s="173">
        <f t="shared" si="28"/>
        <v>0</v>
      </c>
      <c r="N131" s="173">
        <f t="shared" si="28"/>
        <v>0</v>
      </c>
      <c r="O131" s="173">
        <f t="shared" si="28"/>
        <v>0</v>
      </c>
      <c r="P131" s="173">
        <f t="shared" si="28"/>
        <v>0</v>
      </c>
      <c r="Q131" s="173">
        <f t="shared" si="28"/>
        <v>0</v>
      </c>
      <c r="R131" s="8"/>
      <c r="S131" s="8"/>
      <c r="T131" s="8"/>
      <c r="U131" s="8"/>
      <c r="V131" s="8"/>
      <c r="W131" s="42"/>
      <c r="X131" s="9"/>
      <c r="Y131" s="9"/>
      <c r="Z131" s="9"/>
      <c r="AA131" s="9"/>
      <c r="AB131" s="9"/>
      <c r="AC131" s="9"/>
      <c r="AD131" s="9"/>
      <c r="AE131" s="198"/>
      <c r="AF131" s="198"/>
      <c r="AG131" s="198"/>
      <c r="AH131" s="198"/>
      <c r="AI131" s="198"/>
      <c r="AJ131" s="198"/>
      <c r="AK131" s="198"/>
      <c r="AL131" s="198"/>
      <c r="AM131" s="198"/>
      <c r="AN131" s="198"/>
      <c r="AO131" s="198"/>
      <c r="AP131" s="198"/>
      <c r="AQ131" s="198"/>
      <c r="AR131" s="198"/>
      <c r="AS131" s="198"/>
      <c r="AT131" s="198"/>
      <c r="AU131" s="198"/>
    </row>
    <row r="132" spans="1:47" hidden="1" outlineLevel="1">
      <c r="A132" s="12"/>
      <c r="B132" s="12"/>
      <c r="C132" s="12"/>
      <c r="D132" s="12"/>
      <c r="E132" s="12"/>
      <c r="F132" s="303">
        <f>Asset24</f>
        <v>0</v>
      </c>
      <c r="G132" s="172">
        <f t="shared" ref="G132:Q132" si="29">(G64-G98)/G$246</f>
        <v>0</v>
      </c>
      <c r="H132" s="173">
        <f t="shared" si="29"/>
        <v>0</v>
      </c>
      <c r="I132" s="173">
        <f t="shared" si="29"/>
        <v>0</v>
      </c>
      <c r="J132" s="173">
        <f t="shared" si="29"/>
        <v>0</v>
      </c>
      <c r="K132" s="173">
        <f t="shared" si="29"/>
        <v>0</v>
      </c>
      <c r="L132" s="173">
        <f t="shared" si="29"/>
        <v>0</v>
      </c>
      <c r="M132" s="173">
        <f t="shared" si="29"/>
        <v>0</v>
      </c>
      <c r="N132" s="173">
        <f t="shared" si="29"/>
        <v>0</v>
      </c>
      <c r="O132" s="173">
        <f t="shared" si="29"/>
        <v>0</v>
      </c>
      <c r="P132" s="173">
        <f t="shared" si="29"/>
        <v>0</v>
      </c>
      <c r="Q132" s="173">
        <f t="shared" si="29"/>
        <v>0</v>
      </c>
      <c r="R132" s="8"/>
      <c r="S132" s="8"/>
      <c r="T132" s="8"/>
      <c r="U132" s="8"/>
      <c r="V132" s="8"/>
      <c r="W132" s="42"/>
      <c r="X132" s="9"/>
      <c r="Y132" s="9"/>
      <c r="Z132" s="9"/>
      <c r="AA132" s="9"/>
      <c r="AB132" s="9"/>
      <c r="AC132" s="9"/>
      <c r="AD132" s="9"/>
      <c r="AE132" s="198"/>
      <c r="AF132" s="198"/>
      <c r="AG132" s="198"/>
      <c r="AH132" s="198"/>
      <c r="AI132" s="198"/>
      <c r="AJ132" s="198"/>
      <c r="AK132" s="198"/>
      <c r="AL132" s="198"/>
      <c r="AM132" s="198"/>
      <c r="AN132" s="198"/>
      <c r="AO132" s="198"/>
      <c r="AP132" s="198"/>
      <c r="AQ132" s="198"/>
      <c r="AR132" s="198"/>
      <c r="AS132" s="198"/>
      <c r="AT132" s="198"/>
      <c r="AU132" s="198"/>
    </row>
    <row r="133" spans="1:47" hidden="1" outlineLevel="1">
      <c r="A133" s="12"/>
      <c r="B133" s="12"/>
      <c r="C133" s="12"/>
      <c r="D133" s="12"/>
      <c r="E133" s="12"/>
      <c r="F133" s="303">
        <f>Asset25</f>
        <v>0</v>
      </c>
      <c r="G133" s="172">
        <f t="shared" ref="G133:Q133" si="30">(G65-G99)/G$246</f>
        <v>0</v>
      </c>
      <c r="H133" s="173">
        <f t="shared" si="30"/>
        <v>0</v>
      </c>
      <c r="I133" s="173">
        <f t="shared" si="30"/>
        <v>0</v>
      </c>
      <c r="J133" s="173">
        <f t="shared" si="30"/>
        <v>0</v>
      </c>
      <c r="K133" s="173">
        <f t="shared" si="30"/>
        <v>0</v>
      </c>
      <c r="L133" s="173">
        <f t="shared" si="30"/>
        <v>0</v>
      </c>
      <c r="M133" s="173">
        <f t="shared" si="30"/>
        <v>0</v>
      </c>
      <c r="N133" s="173">
        <f t="shared" si="30"/>
        <v>0</v>
      </c>
      <c r="O133" s="173">
        <f t="shared" si="30"/>
        <v>0</v>
      </c>
      <c r="P133" s="173">
        <f t="shared" si="30"/>
        <v>0</v>
      </c>
      <c r="Q133" s="173">
        <f t="shared" si="30"/>
        <v>0</v>
      </c>
      <c r="R133" s="8"/>
      <c r="S133" s="8"/>
      <c r="T133" s="8"/>
      <c r="U133" s="8"/>
      <c r="V133" s="8"/>
      <c r="W133" s="42"/>
      <c r="X133" s="9"/>
      <c r="Y133" s="9"/>
      <c r="Z133" s="9"/>
      <c r="AA133" s="9"/>
      <c r="AB133" s="9"/>
      <c r="AC133" s="9"/>
      <c r="AD133" s="9"/>
      <c r="AE133" s="198"/>
      <c r="AF133" s="198"/>
      <c r="AG133" s="198"/>
      <c r="AH133" s="198"/>
      <c r="AI133" s="198"/>
      <c r="AJ133" s="198"/>
      <c r="AK133" s="198"/>
      <c r="AL133" s="198"/>
      <c r="AM133" s="198"/>
      <c r="AN133" s="198"/>
      <c r="AO133" s="198"/>
      <c r="AP133" s="198"/>
      <c r="AQ133" s="198"/>
      <c r="AR133" s="198"/>
      <c r="AS133" s="198"/>
      <c r="AT133" s="198"/>
      <c r="AU133" s="198"/>
    </row>
    <row r="134" spans="1:47" hidden="1" outlineLevel="1">
      <c r="A134" s="12"/>
      <c r="B134" s="12"/>
      <c r="C134" s="12"/>
      <c r="D134" s="12"/>
      <c r="E134" s="12"/>
      <c r="F134" s="303">
        <f>Asset26</f>
        <v>0</v>
      </c>
      <c r="G134" s="172">
        <f t="shared" ref="G134:Q134" si="31">(G66-G100)/G$246</f>
        <v>0</v>
      </c>
      <c r="H134" s="173">
        <f t="shared" si="31"/>
        <v>0</v>
      </c>
      <c r="I134" s="173">
        <f t="shared" si="31"/>
        <v>0</v>
      </c>
      <c r="J134" s="173">
        <f t="shared" si="31"/>
        <v>0</v>
      </c>
      <c r="K134" s="173">
        <f t="shared" si="31"/>
        <v>0</v>
      </c>
      <c r="L134" s="173">
        <f t="shared" si="31"/>
        <v>0</v>
      </c>
      <c r="M134" s="173">
        <f t="shared" si="31"/>
        <v>0</v>
      </c>
      <c r="N134" s="173">
        <f t="shared" si="31"/>
        <v>0</v>
      </c>
      <c r="O134" s="173">
        <f t="shared" si="31"/>
        <v>0</v>
      </c>
      <c r="P134" s="173">
        <f t="shared" si="31"/>
        <v>0</v>
      </c>
      <c r="Q134" s="173">
        <f t="shared" si="31"/>
        <v>0</v>
      </c>
      <c r="R134" s="8"/>
      <c r="S134" s="8"/>
      <c r="T134" s="8"/>
      <c r="U134" s="8"/>
      <c r="V134" s="8"/>
      <c r="W134" s="42"/>
      <c r="X134" s="9"/>
      <c r="Y134" s="9"/>
      <c r="Z134" s="9"/>
      <c r="AA134" s="9"/>
      <c r="AB134" s="9"/>
      <c r="AC134" s="9"/>
      <c r="AD134" s="9"/>
      <c r="AE134" s="198"/>
      <c r="AF134" s="198"/>
      <c r="AG134" s="198"/>
      <c r="AH134" s="198"/>
      <c r="AI134" s="198"/>
      <c r="AJ134" s="198"/>
      <c r="AK134" s="198"/>
      <c r="AL134" s="198"/>
      <c r="AM134" s="198"/>
      <c r="AN134" s="198"/>
      <c r="AO134" s="198"/>
      <c r="AP134" s="198"/>
      <c r="AQ134" s="198"/>
      <c r="AR134" s="198"/>
      <c r="AS134" s="198"/>
      <c r="AT134" s="198"/>
      <c r="AU134" s="198"/>
    </row>
    <row r="135" spans="1:47" hidden="1" outlineLevel="1">
      <c r="A135" s="12"/>
      <c r="B135" s="12"/>
      <c r="C135" s="12"/>
      <c r="D135" s="12"/>
      <c r="E135" s="12"/>
      <c r="F135" s="303">
        <f>Asset27</f>
        <v>0</v>
      </c>
      <c r="G135" s="172">
        <f t="shared" ref="G135:Q135" si="32">(G67-G101)/G$246</f>
        <v>0</v>
      </c>
      <c r="H135" s="173">
        <f t="shared" si="32"/>
        <v>0</v>
      </c>
      <c r="I135" s="173">
        <f t="shared" si="32"/>
        <v>0</v>
      </c>
      <c r="J135" s="173">
        <f t="shared" si="32"/>
        <v>0</v>
      </c>
      <c r="K135" s="173">
        <f t="shared" si="32"/>
        <v>0</v>
      </c>
      <c r="L135" s="173">
        <f t="shared" si="32"/>
        <v>0</v>
      </c>
      <c r="M135" s="173">
        <f t="shared" si="32"/>
        <v>0</v>
      </c>
      <c r="N135" s="173">
        <f t="shared" si="32"/>
        <v>0</v>
      </c>
      <c r="O135" s="173">
        <f t="shared" si="32"/>
        <v>0</v>
      </c>
      <c r="P135" s="173">
        <f t="shared" si="32"/>
        <v>0</v>
      </c>
      <c r="Q135" s="173">
        <f t="shared" si="32"/>
        <v>0</v>
      </c>
      <c r="R135" s="8"/>
      <c r="S135" s="8"/>
      <c r="T135" s="8"/>
      <c r="U135" s="8"/>
      <c r="V135" s="8"/>
      <c r="W135" s="42"/>
      <c r="X135" s="9"/>
      <c r="Y135" s="9"/>
      <c r="Z135" s="9"/>
      <c r="AA135" s="9"/>
      <c r="AB135" s="9"/>
      <c r="AC135" s="9"/>
      <c r="AD135" s="9"/>
      <c r="AE135" s="198"/>
      <c r="AF135" s="198"/>
      <c r="AG135" s="198"/>
      <c r="AH135" s="198"/>
      <c r="AI135" s="198"/>
      <c r="AJ135" s="198"/>
      <c r="AK135" s="198"/>
      <c r="AL135" s="198"/>
      <c r="AM135" s="198"/>
      <c r="AN135" s="198"/>
      <c r="AO135" s="198"/>
      <c r="AP135" s="198"/>
      <c r="AQ135" s="198"/>
      <c r="AR135" s="198"/>
      <c r="AS135" s="198"/>
      <c r="AT135" s="198"/>
      <c r="AU135" s="198"/>
    </row>
    <row r="136" spans="1:47" hidden="1" outlineLevel="1">
      <c r="A136" s="12"/>
      <c r="B136" s="12"/>
      <c r="C136" s="12"/>
      <c r="D136" s="12"/>
      <c r="E136" s="12"/>
      <c r="F136" s="303">
        <f>Asset28</f>
        <v>0</v>
      </c>
      <c r="G136" s="172">
        <f t="shared" ref="G136:Q136" si="33">(G68-G102)/G$246</f>
        <v>0</v>
      </c>
      <c r="H136" s="173">
        <f t="shared" si="33"/>
        <v>0</v>
      </c>
      <c r="I136" s="173">
        <f t="shared" si="33"/>
        <v>0</v>
      </c>
      <c r="J136" s="173">
        <f t="shared" si="33"/>
        <v>0</v>
      </c>
      <c r="K136" s="173">
        <f t="shared" si="33"/>
        <v>0</v>
      </c>
      <c r="L136" s="173">
        <f t="shared" si="33"/>
        <v>0</v>
      </c>
      <c r="M136" s="173">
        <f t="shared" si="33"/>
        <v>0</v>
      </c>
      <c r="N136" s="173">
        <f t="shared" si="33"/>
        <v>0</v>
      </c>
      <c r="O136" s="173">
        <f t="shared" si="33"/>
        <v>0</v>
      </c>
      <c r="P136" s="173">
        <f t="shared" si="33"/>
        <v>0</v>
      </c>
      <c r="Q136" s="173">
        <f t="shared" si="33"/>
        <v>0</v>
      </c>
      <c r="R136" s="8"/>
      <c r="S136" s="8"/>
      <c r="T136" s="8"/>
      <c r="U136" s="8"/>
      <c r="V136" s="8"/>
      <c r="W136" s="42"/>
      <c r="X136" s="9"/>
      <c r="Y136" s="9"/>
      <c r="Z136" s="9"/>
      <c r="AA136" s="9"/>
      <c r="AB136" s="9"/>
      <c r="AC136" s="9"/>
      <c r="AD136" s="9"/>
      <c r="AE136" s="198"/>
      <c r="AF136" s="198"/>
      <c r="AG136" s="198"/>
      <c r="AH136" s="198"/>
      <c r="AI136" s="198"/>
      <c r="AJ136" s="198"/>
      <c r="AK136" s="198"/>
      <c r="AL136" s="198"/>
      <c r="AM136" s="198"/>
      <c r="AN136" s="198"/>
      <c r="AO136" s="198"/>
      <c r="AP136" s="198"/>
      <c r="AQ136" s="198"/>
      <c r="AR136" s="198"/>
      <c r="AS136" s="198"/>
      <c r="AT136" s="198"/>
      <c r="AU136" s="198"/>
    </row>
    <row r="137" spans="1:47" hidden="1" outlineLevel="1">
      <c r="A137" s="12"/>
      <c r="B137" s="12"/>
      <c r="C137" s="12"/>
      <c r="D137" s="12"/>
      <c r="E137" s="12"/>
      <c r="F137" s="303">
        <f>Asset29</f>
        <v>0</v>
      </c>
      <c r="G137" s="172">
        <f t="shared" ref="G137:Q137" si="34">(G69-G103)/G$246</f>
        <v>0</v>
      </c>
      <c r="H137" s="173">
        <f t="shared" si="34"/>
        <v>0</v>
      </c>
      <c r="I137" s="173">
        <f t="shared" si="34"/>
        <v>0</v>
      </c>
      <c r="J137" s="173">
        <f t="shared" si="34"/>
        <v>0</v>
      </c>
      <c r="K137" s="173">
        <f t="shared" si="34"/>
        <v>0</v>
      </c>
      <c r="L137" s="173">
        <f t="shared" si="34"/>
        <v>0</v>
      </c>
      <c r="M137" s="173">
        <f t="shared" si="34"/>
        <v>0</v>
      </c>
      <c r="N137" s="173">
        <f t="shared" si="34"/>
        <v>0</v>
      </c>
      <c r="O137" s="173">
        <f t="shared" si="34"/>
        <v>0</v>
      </c>
      <c r="P137" s="173">
        <f t="shared" si="34"/>
        <v>0</v>
      </c>
      <c r="Q137" s="173">
        <f t="shared" si="34"/>
        <v>0</v>
      </c>
      <c r="R137" s="8"/>
      <c r="S137" s="8"/>
      <c r="T137" s="8"/>
      <c r="U137" s="8"/>
      <c r="V137" s="8"/>
      <c r="W137" s="42"/>
      <c r="X137" s="9"/>
      <c r="Y137" s="9"/>
      <c r="Z137" s="9"/>
      <c r="AA137" s="9"/>
      <c r="AB137" s="9"/>
      <c r="AC137" s="9"/>
      <c r="AD137" s="9"/>
      <c r="AE137" s="198"/>
      <c r="AF137" s="198"/>
      <c r="AG137" s="198"/>
      <c r="AH137" s="198"/>
      <c r="AI137" s="198"/>
      <c r="AJ137" s="198"/>
      <c r="AK137" s="198"/>
      <c r="AL137" s="198"/>
      <c r="AM137" s="198"/>
      <c r="AN137" s="198"/>
      <c r="AO137" s="198"/>
      <c r="AP137" s="198"/>
      <c r="AQ137" s="198"/>
      <c r="AR137" s="198"/>
      <c r="AS137" s="198"/>
      <c r="AT137" s="198"/>
      <c r="AU137" s="198"/>
    </row>
    <row r="138" spans="1:47" hidden="1" outlineLevel="1">
      <c r="A138" s="12"/>
      <c r="B138" s="12"/>
      <c r="C138" s="12"/>
      <c r="D138" s="12"/>
      <c r="E138" s="12"/>
      <c r="F138" s="303">
        <f>Asset30</f>
        <v>0</v>
      </c>
      <c r="G138" s="172">
        <f t="shared" ref="G138:Q138" si="35">(G70-G104)/G$246</f>
        <v>0</v>
      </c>
      <c r="H138" s="173">
        <f t="shared" si="35"/>
        <v>0</v>
      </c>
      <c r="I138" s="173">
        <f t="shared" si="35"/>
        <v>0</v>
      </c>
      <c r="J138" s="173">
        <f t="shared" si="35"/>
        <v>0</v>
      </c>
      <c r="K138" s="173">
        <f t="shared" si="35"/>
        <v>0</v>
      </c>
      <c r="L138" s="173">
        <f t="shared" si="35"/>
        <v>0</v>
      </c>
      <c r="M138" s="173">
        <f t="shared" si="35"/>
        <v>0</v>
      </c>
      <c r="N138" s="173">
        <f t="shared" si="35"/>
        <v>0</v>
      </c>
      <c r="O138" s="173">
        <f t="shared" si="35"/>
        <v>0</v>
      </c>
      <c r="P138" s="173">
        <f t="shared" si="35"/>
        <v>0</v>
      </c>
      <c r="Q138" s="173">
        <f t="shared" si="35"/>
        <v>0</v>
      </c>
      <c r="R138" s="8"/>
      <c r="S138" s="8"/>
      <c r="T138" s="8"/>
      <c r="U138" s="8"/>
      <c r="V138" s="8"/>
      <c r="W138" s="42"/>
      <c r="X138" s="9"/>
      <c r="Y138" s="9"/>
      <c r="Z138" s="9"/>
      <c r="AA138" s="9"/>
      <c r="AB138" s="9"/>
      <c r="AC138" s="9"/>
      <c r="AD138" s="9"/>
      <c r="AE138" s="198"/>
      <c r="AF138" s="198"/>
      <c r="AG138" s="198"/>
      <c r="AH138" s="198"/>
      <c r="AI138" s="198"/>
      <c r="AJ138" s="198"/>
      <c r="AK138" s="198"/>
      <c r="AL138" s="198"/>
      <c r="AM138" s="198"/>
      <c r="AN138" s="198"/>
      <c r="AO138" s="198"/>
      <c r="AP138" s="198"/>
      <c r="AQ138" s="198"/>
      <c r="AR138" s="198"/>
      <c r="AS138" s="198"/>
      <c r="AT138" s="198"/>
      <c r="AU138" s="198"/>
    </row>
    <row r="139" spans="1:47" collapsed="1">
      <c r="A139" s="12"/>
      <c r="B139" s="12"/>
      <c r="C139" s="12"/>
      <c r="D139" s="12"/>
      <c r="E139" s="12"/>
      <c r="F139" s="173" t="s">
        <v>19</v>
      </c>
      <c r="G139" s="308">
        <f>SUM(G109:G138)</f>
        <v>109.42218468274402</v>
      </c>
      <c r="H139" s="308">
        <f t="shared" ref="H139:Q139" si="36">SUM(H109:H138)</f>
        <v>88.263017782041331</v>
      </c>
      <c r="I139" s="308">
        <f t="shared" si="36"/>
        <v>103.31031714676915</v>
      </c>
      <c r="J139" s="308">
        <f t="shared" si="36"/>
        <v>99.391659268451789</v>
      </c>
      <c r="K139" s="308">
        <f t="shared" si="36"/>
        <v>116.79442376419033</v>
      </c>
      <c r="L139" s="308">
        <f t="shared" si="36"/>
        <v>144.09161335005575</v>
      </c>
      <c r="M139" s="308">
        <f t="shared" si="36"/>
        <v>114.62307841337966</v>
      </c>
      <c r="N139" s="308">
        <f t="shared" si="36"/>
        <v>0</v>
      </c>
      <c r="O139" s="308">
        <f t="shared" si="36"/>
        <v>0</v>
      </c>
      <c r="P139" s="308">
        <f t="shared" si="36"/>
        <v>0</v>
      </c>
      <c r="Q139" s="308">
        <f t="shared" si="36"/>
        <v>0</v>
      </c>
      <c r="R139" s="36"/>
      <c r="S139" s="36"/>
      <c r="T139" s="36"/>
      <c r="U139" s="36"/>
      <c r="V139" s="36"/>
      <c r="W139" s="36"/>
      <c r="X139" s="89"/>
      <c r="Y139" s="8"/>
      <c r="Z139" s="8"/>
      <c r="AA139" s="42"/>
      <c r="AB139" s="9"/>
      <c r="AC139" s="9"/>
      <c r="AD139" s="9"/>
      <c r="AE139" s="198"/>
      <c r="AF139" s="198"/>
      <c r="AG139" s="198"/>
      <c r="AH139" s="198"/>
      <c r="AI139" s="198"/>
      <c r="AJ139" s="198"/>
      <c r="AK139" s="198"/>
      <c r="AL139" s="198"/>
      <c r="AM139" s="198"/>
      <c r="AN139" s="198"/>
      <c r="AO139" s="198"/>
      <c r="AP139" s="198"/>
      <c r="AQ139" s="198"/>
      <c r="AR139" s="198"/>
      <c r="AS139" s="198"/>
      <c r="AT139" s="198"/>
      <c r="AU139" s="198"/>
    </row>
    <row r="140" spans="1:47" ht="21" customHeight="1">
      <c r="A140" s="12"/>
      <c r="B140" s="12"/>
      <c r="C140" s="12"/>
      <c r="D140" s="12"/>
      <c r="E140" s="12"/>
      <c r="F140" s="38"/>
      <c r="G140" s="61"/>
      <c r="H140" s="61"/>
      <c r="I140" s="61"/>
      <c r="J140" s="61"/>
      <c r="K140" s="61"/>
      <c r="L140" s="61"/>
      <c r="M140" s="61"/>
      <c r="N140" s="36"/>
      <c r="O140" s="36"/>
      <c r="P140" s="36"/>
      <c r="Q140" s="36"/>
      <c r="R140" s="243">
        <f>SUM(G139:Q139)</f>
        <v>775.8962944076319</v>
      </c>
      <c r="S140" s="36"/>
      <c r="T140" s="36"/>
      <c r="U140" s="36"/>
      <c r="V140" s="36"/>
      <c r="W140" s="36"/>
      <c r="X140" s="36"/>
      <c r="Y140" s="8"/>
      <c r="Z140" s="8"/>
      <c r="AA140" s="42"/>
      <c r="AB140" s="9"/>
      <c r="AC140" s="9"/>
      <c r="AD140" s="9"/>
      <c r="AE140" s="198"/>
      <c r="AF140" s="198"/>
      <c r="AG140" s="198"/>
      <c r="AH140" s="198"/>
      <c r="AI140" s="198"/>
      <c r="AJ140" s="198"/>
      <c r="AK140" s="198"/>
      <c r="AL140" s="198"/>
      <c r="AM140" s="198"/>
      <c r="AN140" s="198"/>
      <c r="AO140" s="198"/>
      <c r="AP140" s="198"/>
      <c r="AQ140" s="198"/>
      <c r="AR140" s="198"/>
      <c r="AS140" s="198"/>
      <c r="AT140" s="198"/>
      <c r="AU140" s="198"/>
    </row>
    <row r="141" spans="1:47">
      <c r="A141" s="74"/>
      <c r="B141" s="74"/>
      <c r="C141" s="74"/>
      <c r="D141" s="74"/>
      <c r="E141" s="74"/>
      <c r="F141" s="387" t="s">
        <v>45</v>
      </c>
      <c r="G141" s="387"/>
      <c r="H141" s="387"/>
      <c r="I141" s="166"/>
      <c r="J141" s="166"/>
      <c r="K141" s="166"/>
      <c r="L141" s="166"/>
      <c r="M141" s="166"/>
      <c r="N141" s="167"/>
      <c r="O141" s="167"/>
      <c r="P141" s="167"/>
      <c r="Q141" s="167"/>
      <c r="R141" s="167"/>
      <c r="S141" s="167"/>
      <c r="T141" s="167"/>
      <c r="U141" s="167"/>
      <c r="V141" s="167"/>
      <c r="W141" s="167"/>
      <c r="X141" s="42"/>
      <c r="Y141" s="42"/>
      <c r="Z141" s="42"/>
      <c r="AA141" s="42"/>
      <c r="AB141" s="9"/>
      <c r="AC141" s="9"/>
      <c r="AD141" s="9"/>
      <c r="AE141" s="198"/>
      <c r="AF141" s="198"/>
      <c r="AG141" s="198"/>
      <c r="AH141" s="198"/>
      <c r="AI141" s="198"/>
      <c r="AJ141" s="198"/>
      <c r="AK141" s="198"/>
      <c r="AL141" s="198"/>
      <c r="AM141" s="198"/>
      <c r="AN141" s="198"/>
      <c r="AO141" s="198"/>
      <c r="AP141" s="198"/>
      <c r="AQ141" s="198"/>
      <c r="AR141" s="198"/>
      <c r="AS141" s="198"/>
      <c r="AT141" s="198"/>
      <c r="AU141" s="198"/>
    </row>
    <row r="142" spans="1:47">
      <c r="A142" s="12"/>
      <c r="B142" s="12"/>
      <c r="C142" s="12"/>
      <c r="D142" s="12"/>
      <c r="E142" s="12"/>
      <c r="F142" s="37" t="s">
        <v>3</v>
      </c>
      <c r="G142" s="242" t="str">
        <f>G40</f>
        <v>2007-08</v>
      </c>
      <c r="H142" s="242" t="str">
        <f t="shared" ref="H142:Q142" si="37">H40</f>
        <v>2008-09</v>
      </c>
      <c r="I142" s="242" t="str">
        <f t="shared" si="37"/>
        <v>2009-10</v>
      </c>
      <c r="J142" s="242" t="str">
        <f t="shared" si="37"/>
        <v>2010-11</v>
      </c>
      <c r="K142" s="242" t="str">
        <f t="shared" si="37"/>
        <v>2011-12</v>
      </c>
      <c r="L142" s="242" t="str">
        <f t="shared" si="37"/>
        <v>2012-13</v>
      </c>
      <c r="M142" s="242" t="str">
        <f t="shared" si="37"/>
        <v>2013-14</v>
      </c>
      <c r="N142" s="242" t="str">
        <f t="shared" si="37"/>
        <v>2014-15</v>
      </c>
      <c r="O142" s="242" t="str">
        <f t="shared" si="37"/>
        <v>2015-16</v>
      </c>
      <c r="P142" s="242" t="str">
        <f t="shared" si="37"/>
        <v>2016-17</v>
      </c>
      <c r="Q142" s="242" t="str">
        <f t="shared" si="37"/>
        <v>2017-18</v>
      </c>
      <c r="R142" s="36"/>
      <c r="S142" s="36"/>
      <c r="T142" s="36"/>
      <c r="U142" s="36"/>
      <c r="V142" s="36"/>
      <c r="W142" s="36"/>
      <c r="X142" s="36"/>
      <c r="Y142" s="8"/>
      <c r="Z142" s="8"/>
      <c r="AA142" s="42"/>
      <c r="AB142" s="9"/>
      <c r="AC142" s="9"/>
      <c r="AD142" s="9"/>
      <c r="AE142" s="198"/>
      <c r="AF142" s="198"/>
      <c r="AG142" s="198"/>
      <c r="AH142" s="198"/>
      <c r="AI142" s="198"/>
      <c r="AJ142" s="198"/>
      <c r="AK142" s="198"/>
      <c r="AL142" s="198"/>
      <c r="AM142" s="198"/>
      <c r="AN142" s="198"/>
      <c r="AO142" s="198"/>
      <c r="AP142" s="198"/>
      <c r="AQ142" s="198"/>
      <c r="AR142" s="198"/>
      <c r="AS142" s="198"/>
      <c r="AT142" s="198"/>
      <c r="AU142" s="198"/>
    </row>
    <row r="143" spans="1:47" hidden="1" outlineLevel="1">
      <c r="A143" s="12"/>
      <c r="B143" s="12"/>
      <c r="C143" s="12"/>
      <c r="D143" s="12"/>
      <c r="E143" s="12"/>
      <c r="F143" s="173" t="str">
        <f>Asset1</f>
        <v>Secondary</v>
      </c>
      <c r="G143" s="380">
        <v>18.73217621557831</v>
      </c>
      <c r="H143" s="375">
        <v>7.1320027193154649</v>
      </c>
      <c r="I143" s="375">
        <v>2.9345754844000007</v>
      </c>
      <c r="J143" s="375">
        <v>10.694426100000001</v>
      </c>
      <c r="K143" s="375">
        <v>11.865961162510843</v>
      </c>
      <c r="L143" s="375">
        <v>29.241808510000006</v>
      </c>
      <c r="M143" s="375">
        <v>19.549877874291326</v>
      </c>
      <c r="N143" s="63"/>
      <c r="O143" s="63"/>
      <c r="P143" s="63"/>
      <c r="Q143" s="63"/>
      <c r="R143" s="36"/>
      <c r="S143" s="36"/>
      <c r="T143" s="36"/>
      <c r="U143" s="36"/>
      <c r="V143" s="36"/>
      <c r="W143" s="36"/>
      <c r="X143" s="36"/>
      <c r="Y143" s="8"/>
      <c r="Z143" s="8"/>
      <c r="AA143" s="42"/>
      <c r="AB143" s="9"/>
      <c r="AC143" s="9"/>
      <c r="AD143" s="9"/>
      <c r="AE143" s="198"/>
      <c r="AF143" s="198"/>
      <c r="AG143" s="198"/>
      <c r="AH143" s="198"/>
      <c r="AI143" s="198"/>
      <c r="AJ143" s="198"/>
      <c r="AK143" s="198"/>
      <c r="AL143" s="198"/>
      <c r="AM143" s="198"/>
      <c r="AN143" s="198"/>
      <c r="AO143" s="198"/>
      <c r="AP143" s="198"/>
      <c r="AQ143" s="198"/>
      <c r="AR143" s="198"/>
      <c r="AS143" s="198"/>
      <c r="AT143" s="198"/>
      <c r="AU143" s="198"/>
    </row>
    <row r="144" spans="1:47" hidden="1" outlineLevel="1">
      <c r="A144" s="12"/>
      <c r="B144" s="12"/>
      <c r="C144" s="12"/>
      <c r="D144" s="12"/>
      <c r="E144" s="12"/>
      <c r="F144" s="173" t="str">
        <f>Asset2</f>
        <v>Switchgear</v>
      </c>
      <c r="G144" s="380">
        <v>47.67171476011427</v>
      </c>
      <c r="H144" s="375">
        <v>6.2302791099080608</v>
      </c>
      <c r="I144" s="375">
        <v>26.161301195899977</v>
      </c>
      <c r="J144" s="375">
        <v>48.809779529999972</v>
      </c>
      <c r="K144" s="375">
        <v>32.862415413889082</v>
      </c>
      <c r="L144" s="375">
        <v>27.503629890000003</v>
      </c>
      <c r="M144" s="375">
        <v>42.800161872187175</v>
      </c>
      <c r="N144" s="64"/>
      <c r="O144" s="64"/>
      <c r="P144" s="64"/>
      <c r="Q144" s="64"/>
      <c r="R144" s="36"/>
      <c r="S144" s="36"/>
      <c r="T144" s="36"/>
      <c r="U144" s="36"/>
      <c r="V144" s="36"/>
      <c r="W144" s="36"/>
      <c r="X144" s="36"/>
      <c r="Y144" s="8"/>
      <c r="Z144" s="8"/>
      <c r="AA144" s="42"/>
      <c r="AB144" s="9"/>
      <c r="AC144" s="9"/>
      <c r="AD144" s="9"/>
      <c r="AE144" s="198"/>
      <c r="AF144" s="198"/>
      <c r="AG144" s="198"/>
      <c r="AH144" s="198"/>
      <c r="AI144" s="198"/>
      <c r="AJ144" s="198"/>
      <c r="AK144" s="198"/>
      <c r="AL144" s="198"/>
      <c r="AM144" s="198"/>
      <c r="AN144" s="198"/>
      <c r="AO144" s="198"/>
      <c r="AP144" s="198"/>
      <c r="AQ144" s="198"/>
      <c r="AR144" s="198"/>
      <c r="AS144" s="198"/>
      <c r="AT144" s="198"/>
      <c r="AU144" s="198"/>
    </row>
    <row r="145" spans="1:47" hidden="1" outlineLevel="1">
      <c r="A145" s="12"/>
      <c r="B145" s="12"/>
      <c r="C145" s="12"/>
      <c r="D145" s="12"/>
      <c r="E145" s="12"/>
      <c r="F145" s="173" t="str">
        <f>Asset3</f>
        <v>Transformers</v>
      </c>
      <c r="G145" s="380">
        <v>12.316655489399336</v>
      </c>
      <c r="H145" s="375">
        <v>4.7651269269282128</v>
      </c>
      <c r="I145" s="375">
        <v>6.0794746218999984</v>
      </c>
      <c r="J145" s="375">
        <v>10.768183260000013</v>
      </c>
      <c r="K145" s="375">
        <v>8.9791943988239886</v>
      </c>
      <c r="L145" s="375">
        <v>24.670637970000005</v>
      </c>
      <c r="M145" s="375">
        <v>34.102640275599256</v>
      </c>
      <c r="N145" s="64"/>
      <c r="O145" s="64"/>
      <c r="P145" s="64"/>
      <c r="Q145" s="64"/>
      <c r="R145" s="36"/>
      <c r="S145" s="36"/>
      <c r="T145" s="36"/>
      <c r="U145" s="36"/>
      <c r="V145" s="36"/>
      <c r="W145" s="36"/>
      <c r="X145" s="36"/>
      <c r="Y145" s="8"/>
      <c r="Z145" s="8"/>
      <c r="AA145" s="42"/>
      <c r="AB145" s="9"/>
      <c r="AC145" s="9"/>
      <c r="AD145" s="9"/>
      <c r="AE145" s="198"/>
      <c r="AF145" s="198"/>
      <c r="AG145" s="198"/>
      <c r="AH145" s="198"/>
      <c r="AI145" s="198"/>
      <c r="AJ145" s="198"/>
      <c r="AK145" s="198"/>
      <c r="AL145" s="198"/>
      <c r="AM145" s="198"/>
      <c r="AN145" s="198"/>
      <c r="AO145" s="198"/>
      <c r="AP145" s="198"/>
      <c r="AQ145" s="198"/>
      <c r="AR145" s="198"/>
      <c r="AS145" s="198"/>
      <c r="AT145" s="198"/>
      <c r="AU145" s="198"/>
    </row>
    <row r="146" spans="1:47" hidden="1" outlineLevel="1">
      <c r="A146" s="12"/>
      <c r="B146" s="12"/>
      <c r="C146" s="12"/>
      <c r="D146" s="12"/>
      <c r="E146" s="12"/>
      <c r="F146" s="173" t="str">
        <f>Asset4</f>
        <v>Reactive</v>
      </c>
      <c r="G146" s="380">
        <v>0.10741420130617492</v>
      </c>
      <c r="H146" s="375">
        <v>6.0293999999999999E-3</v>
      </c>
      <c r="I146" s="375">
        <v>0.98298638000000005</v>
      </c>
      <c r="J146" s="375">
        <v>4.7173350000000003E-2</v>
      </c>
      <c r="K146" s="375">
        <v>0.52438968186609591</v>
      </c>
      <c r="L146" s="375">
        <v>0.94433064000000011</v>
      </c>
      <c r="M146" s="375">
        <v>0.84964324890037268</v>
      </c>
      <c r="N146" s="197"/>
      <c r="O146" s="197"/>
      <c r="P146" s="197"/>
      <c r="Q146" s="197"/>
      <c r="R146" s="36"/>
      <c r="S146" s="36"/>
      <c r="T146" s="36"/>
      <c r="U146" s="36"/>
      <c r="V146" s="36"/>
      <c r="W146" s="36"/>
      <c r="X146" s="36"/>
      <c r="Y146" s="8"/>
      <c r="Z146" s="8"/>
      <c r="AA146" s="42"/>
      <c r="AB146" s="9"/>
      <c r="AC146" s="9"/>
      <c r="AD146" s="9"/>
      <c r="AE146" s="198"/>
      <c r="AF146" s="198"/>
      <c r="AG146" s="198"/>
      <c r="AH146" s="198"/>
      <c r="AI146" s="198"/>
      <c r="AJ146" s="198"/>
      <c r="AK146" s="198"/>
      <c r="AL146" s="198"/>
      <c r="AM146" s="198"/>
      <c r="AN146" s="198"/>
      <c r="AO146" s="198"/>
      <c r="AP146" s="198"/>
      <c r="AQ146" s="198"/>
      <c r="AR146" s="198"/>
      <c r="AS146" s="198"/>
      <c r="AT146" s="198"/>
      <c r="AU146" s="198"/>
    </row>
    <row r="147" spans="1:47" hidden="1" outlineLevel="1">
      <c r="A147" s="12"/>
      <c r="B147" s="12"/>
      <c r="C147" s="12"/>
      <c r="D147" s="12"/>
      <c r="E147" s="12"/>
      <c r="F147" s="173" t="str">
        <f>Asset5</f>
        <v>Towers and Conductor</v>
      </c>
      <c r="G147" s="380">
        <v>2.3562396072502012</v>
      </c>
      <c r="H147" s="375">
        <v>5.3853436194945257</v>
      </c>
      <c r="I147" s="375">
        <v>18.896164890000001</v>
      </c>
      <c r="J147" s="375">
        <v>9.0826310199999885</v>
      </c>
      <c r="K147" s="375">
        <v>40.550386891148619</v>
      </c>
      <c r="L147" s="375">
        <v>23.726307330000001</v>
      </c>
      <c r="M147" s="375">
        <v>4.8556505854245415</v>
      </c>
      <c r="N147" s="197"/>
      <c r="O147" s="197"/>
      <c r="P147" s="197"/>
      <c r="Q147" s="197"/>
      <c r="R147" s="36"/>
      <c r="S147" s="36"/>
      <c r="T147" s="36"/>
      <c r="U147" s="36"/>
      <c r="V147" s="36"/>
      <c r="W147" s="36"/>
      <c r="X147" s="36"/>
      <c r="Y147" s="8"/>
      <c r="Z147" s="8"/>
      <c r="AA147" s="42"/>
      <c r="AB147" s="9"/>
      <c r="AC147" s="9"/>
      <c r="AD147" s="9"/>
      <c r="AE147" s="198"/>
      <c r="AF147" s="198"/>
      <c r="AG147" s="198"/>
      <c r="AH147" s="198"/>
      <c r="AI147" s="198"/>
      <c r="AJ147" s="198"/>
      <c r="AK147" s="198"/>
      <c r="AL147" s="198"/>
      <c r="AM147" s="198"/>
      <c r="AN147" s="198"/>
      <c r="AO147" s="198"/>
      <c r="AP147" s="198"/>
      <c r="AQ147" s="198"/>
      <c r="AR147" s="198"/>
      <c r="AS147" s="198"/>
      <c r="AT147" s="198"/>
      <c r="AU147" s="198"/>
    </row>
    <row r="148" spans="1:47" hidden="1" outlineLevel="1">
      <c r="A148" s="12"/>
      <c r="B148" s="12"/>
      <c r="C148" s="12"/>
      <c r="D148" s="12"/>
      <c r="E148" s="12"/>
      <c r="F148" s="173" t="str">
        <f>Asset6</f>
        <v>Establishment</v>
      </c>
      <c r="G148" s="380">
        <v>14.142512632023376</v>
      </c>
      <c r="H148" s="375">
        <v>12.23923570488591</v>
      </c>
      <c r="I148" s="375">
        <v>11.087337928799993</v>
      </c>
      <c r="J148" s="375">
        <v>6.5153085700000002</v>
      </c>
      <c r="K148" s="375">
        <v>5.203529266696159</v>
      </c>
      <c r="L148" s="375">
        <v>7.5546451200000009</v>
      </c>
      <c r="M148" s="375">
        <v>9.2459256838322652</v>
      </c>
      <c r="N148" s="197"/>
      <c r="O148" s="197"/>
      <c r="P148" s="197"/>
      <c r="Q148" s="197"/>
      <c r="R148" s="36"/>
      <c r="S148" s="36"/>
      <c r="T148" s="36"/>
      <c r="U148" s="36"/>
      <c r="V148" s="36"/>
      <c r="W148" s="36"/>
      <c r="X148" s="36"/>
      <c r="Y148" s="8"/>
      <c r="Z148" s="8"/>
      <c r="AA148" s="42"/>
      <c r="AB148" s="9"/>
      <c r="AC148" s="9"/>
      <c r="AD148" s="9"/>
      <c r="AE148" s="198"/>
      <c r="AF148" s="198"/>
      <c r="AG148" s="198"/>
      <c r="AH148" s="198"/>
      <c r="AI148" s="198"/>
      <c r="AJ148" s="198"/>
      <c r="AK148" s="198"/>
      <c r="AL148" s="198"/>
      <c r="AM148" s="198"/>
      <c r="AN148" s="198"/>
      <c r="AO148" s="198"/>
      <c r="AP148" s="198"/>
      <c r="AQ148" s="198"/>
      <c r="AR148" s="198"/>
      <c r="AS148" s="198"/>
      <c r="AT148" s="198"/>
      <c r="AU148" s="198"/>
    </row>
    <row r="149" spans="1:47" hidden="1" outlineLevel="1">
      <c r="A149" s="12"/>
      <c r="B149" s="12"/>
      <c r="C149" s="12"/>
      <c r="D149" s="12"/>
      <c r="E149" s="12"/>
      <c r="F149" s="173" t="str">
        <f>Asset7</f>
        <v>Communications</v>
      </c>
      <c r="G149" s="380">
        <v>1.1328154523602714</v>
      </c>
      <c r="H149" s="375">
        <v>0.33874497999999997</v>
      </c>
      <c r="I149" s="375">
        <v>2.0564539989999999</v>
      </c>
      <c r="J149" s="375">
        <v>11.795784429999999</v>
      </c>
      <c r="K149" s="375">
        <v>6.6205659100000025</v>
      </c>
      <c r="L149" s="375">
        <v>4.4855705400000003</v>
      </c>
      <c r="M149" s="375">
        <v>5.4214882708482728</v>
      </c>
      <c r="N149" s="197"/>
      <c r="O149" s="197"/>
      <c r="P149" s="197"/>
      <c r="Q149" s="197"/>
      <c r="R149" s="36"/>
      <c r="S149" s="36"/>
      <c r="T149" s="36"/>
      <c r="U149" s="36"/>
      <c r="V149" s="36"/>
      <c r="W149" s="36"/>
      <c r="X149" s="36"/>
      <c r="Y149" s="8"/>
      <c r="Z149" s="8"/>
      <c r="AA149" s="42"/>
      <c r="AB149" s="9"/>
      <c r="AC149" s="9"/>
      <c r="AD149" s="9"/>
      <c r="AE149" s="198"/>
      <c r="AF149" s="198"/>
      <c r="AG149" s="198"/>
      <c r="AH149" s="198"/>
      <c r="AI149" s="198"/>
      <c r="AJ149" s="198"/>
      <c r="AK149" s="198"/>
      <c r="AL149" s="198"/>
      <c r="AM149" s="198"/>
      <c r="AN149" s="198"/>
      <c r="AO149" s="198"/>
      <c r="AP149" s="198"/>
      <c r="AQ149" s="198"/>
      <c r="AR149" s="198"/>
      <c r="AS149" s="198"/>
      <c r="AT149" s="198"/>
      <c r="AU149" s="198"/>
    </row>
    <row r="150" spans="1:47" hidden="1" outlineLevel="1">
      <c r="A150" s="12"/>
      <c r="B150" s="12"/>
      <c r="C150" s="12"/>
      <c r="D150" s="12"/>
      <c r="E150" s="12"/>
      <c r="F150" s="173" t="str">
        <f>Asset8</f>
        <v>Inventory</v>
      </c>
      <c r="G150" s="380">
        <v>0</v>
      </c>
      <c r="H150" s="375">
        <v>0</v>
      </c>
      <c r="I150" s="375">
        <v>0</v>
      </c>
      <c r="J150" s="375">
        <v>0</v>
      </c>
      <c r="K150" s="375">
        <v>0</v>
      </c>
      <c r="L150" s="375">
        <v>0</v>
      </c>
      <c r="M150" s="375">
        <v>0</v>
      </c>
      <c r="N150" s="197"/>
      <c r="O150" s="197"/>
      <c r="P150" s="197"/>
      <c r="Q150" s="197"/>
      <c r="R150" s="36"/>
      <c r="S150" s="36"/>
      <c r="T150" s="36"/>
      <c r="U150" s="36"/>
      <c r="V150" s="36"/>
      <c r="W150" s="36"/>
      <c r="X150" s="36"/>
      <c r="Y150" s="8"/>
      <c r="Z150" s="8"/>
      <c r="AA150" s="42"/>
      <c r="AB150" s="9"/>
      <c r="AC150" s="9"/>
      <c r="AD150" s="9"/>
      <c r="AE150" s="198"/>
      <c r="AF150" s="198"/>
      <c r="AG150" s="198"/>
      <c r="AH150" s="198"/>
      <c r="AI150" s="198"/>
      <c r="AJ150" s="198"/>
      <c r="AK150" s="198"/>
      <c r="AL150" s="198"/>
      <c r="AM150" s="198"/>
      <c r="AN150" s="198"/>
      <c r="AO150" s="198"/>
      <c r="AP150" s="198"/>
      <c r="AQ150" s="198"/>
      <c r="AR150" s="198"/>
      <c r="AS150" s="198"/>
      <c r="AT150" s="198"/>
      <c r="AU150" s="198"/>
    </row>
    <row r="151" spans="1:47" hidden="1" outlineLevel="1">
      <c r="A151" s="12"/>
      <c r="B151" s="12"/>
      <c r="C151" s="12"/>
      <c r="D151" s="12"/>
      <c r="E151" s="12"/>
      <c r="F151" s="173" t="str">
        <f>Asset9</f>
        <v>IT</v>
      </c>
      <c r="G151" s="380">
        <v>9.6615777238275289</v>
      </c>
      <c r="H151" s="375">
        <v>2.7886075499999996</v>
      </c>
      <c r="I151" s="375">
        <v>12.119416030099959</v>
      </c>
      <c r="J151" s="375">
        <v>4.96254426999998</v>
      </c>
      <c r="K151" s="375">
        <v>7.9886201699999999</v>
      </c>
      <c r="L151" s="375">
        <v>16.8</v>
      </c>
      <c r="M151" s="375">
        <v>17.530917835671342</v>
      </c>
      <c r="N151" s="197"/>
      <c r="O151" s="197"/>
      <c r="P151" s="197"/>
      <c r="Q151" s="197"/>
      <c r="R151" s="36"/>
      <c r="S151" s="36"/>
      <c r="T151" s="36"/>
      <c r="U151" s="36"/>
      <c r="V151" s="36"/>
      <c r="W151" s="36"/>
      <c r="X151" s="36"/>
      <c r="Y151" s="8"/>
      <c r="Z151" s="8"/>
      <c r="AA151" s="42"/>
      <c r="AB151" s="9"/>
      <c r="AC151" s="9"/>
      <c r="AD151" s="9"/>
      <c r="AE151" s="198"/>
      <c r="AF151" s="198"/>
      <c r="AG151" s="198"/>
      <c r="AH151" s="198"/>
      <c r="AI151" s="198"/>
      <c r="AJ151" s="198"/>
      <c r="AK151" s="198"/>
      <c r="AL151" s="198"/>
      <c r="AM151" s="198"/>
      <c r="AN151" s="198"/>
      <c r="AO151" s="198"/>
      <c r="AP151" s="198"/>
      <c r="AQ151" s="198"/>
      <c r="AR151" s="198"/>
      <c r="AS151" s="198"/>
      <c r="AT151" s="198"/>
      <c r="AU151" s="198"/>
    </row>
    <row r="152" spans="1:47" hidden="1" outlineLevel="1">
      <c r="A152" s="12"/>
      <c r="B152" s="12"/>
      <c r="C152" s="12"/>
      <c r="D152" s="12"/>
      <c r="E152" s="12"/>
      <c r="F152" s="173" t="str">
        <f>Asset10</f>
        <v>Vehicles</v>
      </c>
      <c r="G152" s="380">
        <v>0.98892180108156835</v>
      </c>
      <c r="H152" s="375">
        <v>0.42881904999999998</v>
      </c>
      <c r="I152" s="375">
        <v>0.52392863999999995</v>
      </c>
      <c r="J152" s="375">
        <v>-1.0290700000000002E-2</v>
      </c>
      <c r="K152" s="375">
        <v>0.17768165999999999</v>
      </c>
      <c r="L152" s="375">
        <v>1.5750000000000002</v>
      </c>
      <c r="M152" s="375">
        <v>1.6242069138276554</v>
      </c>
      <c r="N152" s="197"/>
      <c r="O152" s="197"/>
      <c r="P152" s="197"/>
      <c r="Q152" s="197"/>
      <c r="R152" s="36"/>
      <c r="S152" s="36"/>
      <c r="T152" s="36"/>
      <c r="U152" s="36"/>
      <c r="V152" s="36"/>
      <c r="W152" s="36"/>
      <c r="X152" s="36"/>
      <c r="Y152" s="8"/>
      <c r="Z152" s="8"/>
      <c r="AA152" s="42"/>
      <c r="AB152" s="9"/>
      <c r="AC152" s="9"/>
      <c r="AD152" s="9"/>
      <c r="AE152" s="198"/>
      <c r="AF152" s="198"/>
      <c r="AG152" s="198"/>
      <c r="AH152" s="198"/>
      <c r="AI152" s="198"/>
      <c r="AJ152" s="198"/>
      <c r="AK152" s="198"/>
      <c r="AL152" s="198"/>
      <c r="AM152" s="198"/>
      <c r="AN152" s="198"/>
      <c r="AO152" s="198"/>
      <c r="AP152" s="198"/>
      <c r="AQ152" s="198"/>
      <c r="AR152" s="198"/>
      <c r="AS152" s="198"/>
      <c r="AT152" s="198"/>
      <c r="AU152" s="198"/>
    </row>
    <row r="153" spans="1:47" hidden="1" outlineLevel="1">
      <c r="A153" s="12"/>
      <c r="B153" s="12"/>
      <c r="C153" s="12"/>
      <c r="D153" s="12"/>
      <c r="E153" s="12"/>
      <c r="F153" s="173" t="str">
        <f>Asset11</f>
        <v>other</v>
      </c>
      <c r="G153" s="380">
        <v>2.240709994448828</v>
      </c>
      <c r="H153" s="375">
        <v>0.42110577999999999</v>
      </c>
      <c r="I153" s="375">
        <v>1.7801254998999936</v>
      </c>
      <c r="J153" s="375">
        <v>3.1969225500000014</v>
      </c>
      <c r="K153" s="375">
        <v>3.3190745350652855</v>
      </c>
      <c r="L153" s="375">
        <v>2.1</v>
      </c>
      <c r="M153" s="375">
        <v>1.6435235470941885</v>
      </c>
      <c r="N153" s="197"/>
      <c r="O153" s="197"/>
      <c r="P153" s="197"/>
      <c r="Q153" s="197"/>
      <c r="R153" s="36"/>
      <c r="S153" s="36"/>
      <c r="T153" s="36"/>
      <c r="U153" s="36"/>
      <c r="V153" s="36"/>
      <c r="W153" s="36"/>
      <c r="X153" s="36"/>
      <c r="Y153" s="8"/>
      <c r="Z153" s="8"/>
      <c r="AA153" s="42"/>
      <c r="AB153" s="9"/>
      <c r="AC153" s="9"/>
      <c r="AD153" s="9"/>
      <c r="AE153" s="198"/>
      <c r="AF153" s="198"/>
      <c r="AG153" s="198"/>
      <c r="AH153" s="198"/>
      <c r="AI153" s="198"/>
      <c r="AJ153" s="198"/>
      <c r="AK153" s="198"/>
      <c r="AL153" s="198"/>
      <c r="AM153" s="198"/>
      <c r="AN153" s="198"/>
      <c r="AO153" s="198"/>
      <c r="AP153" s="198"/>
      <c r="AQ153" s="198"/>
      <c r="AR153" s="198"/>
      <c r="AS153" s="198"/>
      <c r="AT153" s="198"/>
      <c r="AU153" s="198"/>
    </row>
    <row r="154" spans="1:47" hidden="1" outlineLevel="1">
      <c r="A154" s="12"/>
      <c r="B154" s="12"/>
      <c r="C154" s="12"/>
      <c r="D154" s="12"/>
      <c r="E154" s="12"/>
      <c r="F154" s="173" t="str">
        <f>Asset12</f>
        <v>premises</v>
      </c>
      <c r="G154" s="380">
        <v>0.14544680535415355</v>
      </c>
      <c r="H154" s="375">
        <v>-1.9687919999999998E-2</v>
      </c>
      <c r="I154" s="375">
        <v>0.35110018999999998</v>
      </c>
      <c r="J154" s="375">
        <v>8.3268459999999989E-2</v>
      </c>
      <c r="K154" s="375">
        <v>1.07193206</v>
      </c>
      <c r="L154" s="375">
        <v>0.21000000000000002</v>
      </c>
      <c r="M154" s="375">
        <v>0.21656092184368742</v>
      </c>
      <c r="N154" s="197"/>
      <c r="O154" s="197"/>
      <c r="P154" s="197"/>
      <c r="Q154" s="197"/>
      <c r="R154" s="36"/>
      <c r="S154" s="36"/>
      <c r="T154" s="36"/>
      <c r="U154" s="36"/>
      <c r="V154" s="36"/>
      <c r="W154" s="36"/>
      <c r="X154" s="36"/>
      <c r="Y154" s="8"/>
      <c r="Z154" s="8"/>
      <c r="AA154" s="42"/>
      <c r="AB154" s="9"/>
      <c r="AC154" s="9"/>
      <c r="AD154" s="9"/>
      <c r="AE154" s="198"/>
      <c r="AF154" s="198"/>
      <c r="AG154" s="198"/>
      <c r="AH154" s="198"/>
      <c r="AI154" s="198"/>
      <c r="AJ154" s="198"/>
      <c r="AK154" s="198"/>
      <c r="AL154" s="198"/>
      <c r="AM154" s="198"/>
      <c r="AN154" s="198"/>
      <c r="AO154" s="198"/>
      <c r="AP154" s="198"/>
      <c r="AQ154" s="198"/>
      <c r="AR154" s="198"/>
      <c r="AS154" s="198"/>
      <c r="AT154" s="198"/>
      <c r="AU154" s="198"/>
    </row>
    <row r="155" spans="1:47" hidden="1" outlineLevel="1">
      <c r="A155" s="12"/>
      <c r="B155" s="12"/>
      <c r="C155" s="12"/>
      <c r="D155" s="12"/>
      <c r="E155" s="12"/>
      <c r="F155" s="173" t="str">
        <f>Asset13</f>
        <v>Land</v>
      </c>
      <c r="G155" s="380">
        <v>0</v>
      </c>
      <c r="H155" s="375">
        <v>0</v>
      </c>
      <c r="I155" s="375">
        <v>0.191692</v>
      </c>
      <c r="J155" s="375">
        <v>0</v>
      </c>
      <c r="K155" s="375">
        <v>0</v>
      </c>
      <c r="L155" s="375">
        <v>0</v>
      </c>
      <c r="M155" s="375">
        <v>0</v>
      </c>
      <c r="N155" s="197"/>
      <c r="O155" s="197"/>
      <c r="P155" s="197"/>
      <c r="Q155" s="197"/>
      <c r="R155" s="36"/>
      <c r="S155" s="36"/>
      <c r="T155" s="36"/>
      <c r="U155" s="36"/>
      <c r="V155" s="36"/>
      <c r="W155" s="36"/>
      <c r="X155" s="36"/>
      <c r="Y155" s="8"/>
      <c r="Z155" s="8"/>
      <c r="AA155" s="42"/>
      <c r="AB155" s="9"/>
      <c r="AC155" s="9"/>
      <c r="AD155" s="9"/>
      <c r="AE155" s="198"/>
      <c r="AF155" s="198"/>
      <c r="AG155" s="198"/>
      <c r="AH155" s="198"/>
      <c r="AI155" s="198"/>
      <c r="AJ155" s="198"/>
      <c r="AK155" s="198"/>
      <c r="AL155" s="198"/>
      <c r="AM155" s="198"/>
      <c r="AN155" s="198"/>
      <c r="AO155" s="198"/>
      <c r="AP155" s="198"/>
      <c r="AQ155" s="198"/>
      <c r="AR155" s="198"/>
      <c r="AS155" s="198"/>
      <c r="AT155" s="198"/>
      <c r="AU155" s="198"/>
    </row>
    <row r="156" spans="1:47" hidden="1" outlineLevel="1">
      <c r="A156" s="12"/>
      <c r="B156" s="12"/>
      <c r="C156" s="12"/>
      <c r="D156" s="12"/>
      <c r="E156" s="12"/>
      <c r="F156" s="173" t="str">
        <f>Asset14</f>
        <v>Easements</v>
      </c>
      <c r="G156" s="380">
        <v>0</v>
      </c>
      <c r="H156" s="375">
        <v>0</v>
      </c>
      <c r="I156" s="375">
        <v>0</v>
      </c>
      <c r="J156" s="375">
        <v>0</v>
      </c>
      <c r="K156" s="375">
        <v>0</v>
      </c>
      <c r="L156" s="375">
        <v>0</v>
      </c>
      <c r="M156" s="375">
        <v>0</v>
      </c>
      <c r="N156" s="197"/>
      <c r="O156" s="197"/>
      <c r="P156" s="197"/>
      <c r="Q156" s="197"/>
      <c r="R156" s="36"/>
      <c r="S156" s="36"/>
      <c r="T156" s="36"/>
      <c r="U156" s="36"/>
      <c r="V156" s="36"/>
      <c r="W156" s="36"/>
      <c r="X156" s="36"/>
      <c r="Y156" s="8"/>
      <c r="Z156" s="8"/>
      <c r="AA156" s="42"/>
      <c r="AB156" s="9"/>
      <c r="AC156" s="9"/>
      <c r="AD156" s="9"/>
      <c r="AE156" s="198"/>
      <c r="AF156" s="198"/>
      <c r="AG156" s="198"/>
      <c r="AH156" s="198"/>
      <c r="AI156" s="198"/>
      <c r="AJ156" s="198"/>
      <c r="AK156" s="198"/>
      <c r="AL156" s="198"/>
      <c r="AM156" s="198"/>
      <c r="AN156" s="198"/>
      <c r="AO156" s="198"/>
      <c r="AP156" s="198"/>
      <c r="AQ156" s="198"/>
      <c r="AR156" s="198"/>
      <c r="AS156" s="198"/>
      <c r="AT156" s="198"/>
      <c r="AU156" s="198"/>
    </row>
    <row r="157" spans="1:47" hidden="1" outlineLevel="1">
      <c r="A157" s="12"/>
      <c r="B157" s="12"/>
      <c r="C157" s="12"/>
      <c r="D157" s="12"/>
      <c r="E157" s="12"/>
      <c r="F157" s="173">
        <f>Asset15</f>
        <v>0</v>
      </c>
      <c r="G157" s="163"/>
      <c r="H157" s="64"/>
      <c r="I157" s="64"/>
      <c r="J157" s="64"/>
      <c r="K157" s="64"/>
      <c r="L157" s="64"/>
      <c r="M157" s="196"/>
      <c r="N157" s="197"/>
      <c r="O157" s="197"/>
      <c r="P157" s="197"/>
      <c r="Q157" s="197"/>
      <c r="R157" s="36"/>
      <c r="S157" s="36"/>
      <c r="T157" s="36"/>
      <c r="U157" s="36"/>
      <c r="V157" s="36"/>
      <c r="W157" s="36"/>
      <c r="X157" s="36"/>
      <c r="Y157" s="8"/>
      <c r="Z157" s="8"/>
      <c r="AA157" s="42"/>
      <c r="AB157" s="9"/>
      <c r="AC157" s="9"/>
      <c r="AD157" s="9"/>
      <c r="AE157" s="198"/>
      <c r="AF157" s="198"/>
      <c r="AG157" s="198"/>
      <c r="AH157" s="198"/>
      <c r="AI157" s="198"/>
      <c r="AJ157" s="198"/>
      <c r="AK157" s="198"/>
      <c r="AL157" s="198"/>
      <c r="AM157" s="198"/>
      <c r="AN157" s="198"/>
      <c r="AO157" s="198"/>
      <c r="AP157" s="198"/>
      <c r="AQ157" s="198"/>
      <c r="AR157" s="198"/>
      <c r="AS157" s="198"/>
      <c r="AT157" s="198"/>
      <c r="AU157" s="198"/>
    </row>
    <row r="158" spans="1:47" hidden="1" outlineLevel="1">
      <c r="A158" s="12"/>
      <c r="B158" s="12"/>
      <c r="C158" s="12"/>
      <c r="D158" s="12"/>
      <c r="E158" s="12"/>
      <c r="F158" s="173">
        <f>Asset16</f>
        <v>0</v>
      </c>
      <c r="G158" s="163"/>
      <c r="H158" s="64"/>
      <c r="I158" s="64"/>
      <c r="J158" s="64"/>
      <c r="K158" s="64"/>
      <c r="L158" s="64"/>
      <c r="M158" s="196"/>
      <c r="N158" s="197"/>
      <c r="O158" s="197"/>
      <c r="P158" s="197"/>
      <c r="Q158" s="197"/>
      <c r="R158" s="36"/>
      <c r="S158" s="36"/>
      <c r="T158" s="36"/>
      <c r="U158" s="36"/>
      <c r="V158" s="36"/>
      <c r="W158" s="36"/>
      <c r="X158" s="36"/>
      <c r="Y158" s="8"/>
      <c r="Z158" s="8"/>
      <c r="AA158" s="42"/>
      <c r="AB158" s="9"/>
      <c r="AC158" s="9"/>
      <c r="AD158" s="9"/>
      <c r="AE158" s="198"/>
      <c r="AF158" s="198"/>
      <c r="AG158" s="198"/>
      <c r="AH158" s="198"/>
      <c r="AI158" s="198"/>
      <c r="AJ158" s="198"/>
      <c r="AK158" s="198"/>
      <c r="AL158" s="198"/>
      <c r="AM158" s="198"/>
      <c r="AN158" s="198"/>
      <c r="AO158" s="198"/>
      <c r="AP158" s="198"/>
      <c r="AQ158" s="198"/>
      <c r="AR158" s="198"/>
      <c r="AS158" s="198"/>
      <c r="AT158" s="198"/>
      <c r="AU158" s="198"/>
    </row>
    <row r="159" spans="1:47" hidden="1" outlineLevel="1">
      <c r="A159" s="12"/>
      <c r="B159" s="12"/>
      <c r="C159" s="12"/>
      <c r="D159" s="12"/>
      <c r="E159" s="12"/>
      <c r="F159" s="173">
        <f>Asset17</f>
        <v>0</v>
      </c>
      <c r="G159" s="163"/>
      <c r="H159" s="64"/>
      <c r="I159" s="64"/>
      <c r="J159" s="64"/>
      <c r="K159" s="64"/>
      <c r="L159" s="64"/>
      <c r="M159" s="196"/>
      <c r="N159" s="197"/>
      <c r="O159" s="197"/>
      <c r="P159" s="197"/>
      <c r="Q159" s="197"/>
      <c r="R159" s="36"/>
      <c r="S159" s="36"/>
      <c r="T159" s="36"/>
      <c r="U159" s="36"/>
      <c r="V159" s="36"/>
      <c r="W159" s="36"/>
      <c r="X159" s="36"/>
      <c r="Y159" s="8"/>
      <c r="Z159" s="8"/>
      <c r="AA159" s="42"/>
      <c r="AB159" s="9"/>
      <c r="AC159" s="9"/>
      <c r="AD159" s="9"/>
      <c r="AE159" s="198"/>
      <c r="AF159" s="198"/>
      <c r="AG159" s="198"/>
      <c r="AH159" s="198"/>
      <c r="AI159" s="198"/>
      <c r="AJ159" s="198"/>
      <c r="AK159" s="198"/>
      <c r="AL159" s="198"/>
      <c r="AM159" s="198"/>
      <c r="AN159" s="198"/>
      <c r="AO159" s="198"/>
      <c r="AP159" s="198"/>
      <c r="AQ159" s="198"/>
      <c r="AR159" s="198"/>
      <c r="AS159" s="198"/>
      <c r="AT159" s="198"/>
      <c r="AU159" s="198"/>
    </row>
    <row r="160" spans="1:47" hidden="1" outlineLevel="1">
      <c r="A160" s="12"/>
      <c r="B160" s="12"/>
      <c r="C160" s="12"/>
      <c r="D160" s="12"/>
      <c r="E160" s="12"/>
      <c r="F160" s="173">
        <f>Asset18</f>
        <v>0</v>
      </c>
      <c r="G160" s="163"/>
      <c r="H160" s="64"/>
      <c r="I160" s="64"/>
      <c r="J160" s="64"/>
      <c r="K160" s="64"/>
      <c r="L160" s="64"/>
      <c r="M160" s="196"/>
      <c r="N160" s="197"/>
      <c r="O160" s="197"/>
      <c r="P160" s="197"/>
      <c r="Q160" s="197"/>
      <c r="R160" s="36"/>
      <c r="S160" s="36"/>
      <c r="T160" s="36"/>
      <c r="U160" s="36"/>
      <c r="V160" s="36"/>
      <c r="W160" s="36"/>
      <c r="X160" s="36"/>
      <c r="Y160" s="8"/>
      <c r="Z160" s="8"/>
      <c r="AA160" s="42"/>
      <c r="AB160" s="9"/>
      <c r="AC160" s="9"/>
      <c r="AD160" s="9"/>
      <c r="AE160" s="198"/>
      <c r="AF160" s="198"/>
      <c r="AG160" s="198"/>
      <c r="AH160" s="198"/>
      <c r="AI160" s="198"/>
      <c r="AJ160" s="198"/>
      <c r="AK160" s="198"/>
      <c r="AL160" s="198"/>
      <c r="AM160" s="198"/>
      <c r="AN160" s="198"/>
      <c r="AO160" s="198"/>
      <c r="AP160" s="198"/>
      <c r="AQ160" s="198"/>
      <c r="AR160" s="198"/>
      <c r="AS160" s="198"/>
      <c r="AT160" s="198"/>
      <c r="AU160" s="198"/>
    </row>
    <row r="161" spans="1:47" hidden="1" outlineLevel="1">
      <c r="A161" s="12"/>
      <c r="B161" s="12"/>
      <c r="C161" s="12"/>
      <c r="D161" s="12"/>
      <c r="E161" s="12"/>
      <c r="F161" s="173">
        <f>Asset19</f>
        <v>0</v>
      </c>
      <c r="G161" s="163"/>
      <c r="H161" s="64"/>
      <c r="I161" s="64"/>
      <c r="J161" s="64"/>
      <c r="K161" s="64"/>
      <c r="L161" s="64"/>
      <c r="M161" s="196"/>
      <c r="N161" s="197"/>
      <c r="O161" s="197"/>
      <c r="P161" s="197"/>
      <c r="Q161" s="197"/>
      <c r="R161" s="36"/>
      <c r="S161" s="36"/>
      <c r="T161" s="36"/>
      <c r="U161" s="36"/>
      <c r="V161" s="36"/>
      <c r="W161" s="36"/>
      <c r="X161" s="36"/>
      <c r="Y161" s="8"/>
      <c r="Z161" s="8"/>
      <c r="AA161" s="42"/>
      <c r="AB161" s="9"/>
      <c r="AC161" s="9"/>
      <c r="AD161" s="9"/>
      <c r="AE161" s="198"/>
      <c r="AF161" s="198"/>
      <c r="AG161" s="198"/>
      <c r="AH161" s="198"/>
      <c r="AI161" s="198"/>
      <c r="AJ161" s="198"/>
      <c r="AK161" s="198"/>
      <c r="AL161" s="198"/>
      <c r="AM161" s="198"/>
      <c r="AN161" s="198"/>
      <c r="AO161" s="198"/>
      <c r="AP161" s="198"/>
      <c r="AQ161" s="198"/>
      <c r="AR161" s="198"/>
      <c r="AS161" s="198"/>
      <c r="AT161" s="198"/>
      <c r="AU161" s="198"/>
    </row>
    <row r="162" spans="1:47" hidden="1" outlineLevel="1">
      <c r="A162" s="12"/>
      <c r="B162" s="12"/>
      <c r="C162" s="12"/>
      <c r="D162" s="12"/>
      <c r="E162" s="12"/>
      <c r="F162" s="305">
        <f>Asset20</f>
        <v>0</v>
      </c>
      <c r="G162" s="302"/>
      <c r="H162" s="64"/>
      <c r="I162" s="64"/>
      <c r="J162" s="64"/>
      <c r="K162" s="64"/>
      <c r="L162" s="64"/>
      <c r="M162" s="196"/>
      <c r="N162" s="197"/>
      <c r="O162" s="197"/>
      <c r="P162" s="197"/>
      <c r="Q162" s="197"/>
      <c r="R162" s="36"/>
      <c r="S162" s="36"/>
      <c r="T162" s="36"/>
      <c r="U162" s="36"/>
      <c r="V162" s="36"/>
      <c r="W162" s="36"/>
      <c r="X162" s="36"/>
      <c r="Y162" s="8"/>
      <c r="Z162" s="8"/>
      <c r="AA162" s="42"/>
      <c r="AB162" s="9"/>
      <c r="AC162" s="9"/>
      <c r="AD162" s="9"/>
      <c r="AE162" s="198"/>
      <c r="AF162" s="198"/>
      <c r="AG162" s="198"/>
      <c r="AH162" s="198"/>
      <c r="AI162" s="198"/>
      <c r="AJ162" s="198"/>
      <c r="AK162" s="198"/>
      <c r="AL162" s="198"/>
      <c r="AM162" s="198"/>
      <c r="AN162" s="198"/>
      <c r="AO162" s="198"/>
      <c r="AP162" s="198"/>
      <c r="AQ162" s="198"/>
      <c r="AR162" s="198"/>
      <c r="AS162" s="198"/>
      <c r="AT162" s="198"/>
      <c r="AU162" s="198"/>
    </row>
    <row r="163" spans="1:47" hidden="1" outlineLevel="1">
      <c r="A163" s="12"/>
      <c r="B163" s="12"/>
      <c r="C163" s="12"/>
      <c r="D163" s="12"/>
      <c r="E163" s="12"/>
      <c r="F163" s="303">
        <f>Asset21</f>
        <v>0</v>
      </c>
      <c r="G163" s="302"/>
      <c r="H163" s="64"/>
      <c r="I163" s="64"/>
      <c r="J163" s="64"/>
      <c r="K163" s="64"/>
      <c r="L163" s="64"/>
      <c r="M163" s="196"/>
      <c r="N163" s="197"/>
      <c r="O163" s="197"/>
      <c r="P163" s="197"/>
      <c r="Q163" s="197"/>
      <c r="R163" s="36"/>
      <c r="S163" s="36"/>
      <c r="T163" s="36"/>
      <c r="U163" s="36"/>
      <c r="V163" s="36"/>
      <c r="W163" s="36"/>
      <c r="X163" s="36"/>
      <c r="Y163" s="8"/>
      <c r="Z163" s="8"/>
      <c r="AA163" s="42"/>
      <c r="AB163" s="9"/>
      <c r="AC163" s="9"/>
      <c r="AD163" s="9"/>
      <c r="AE163" s="198"/>
      <c r="AF163" s="198"/>
      <c r="AG163" s="198"/>
      <c r="AH163" s="198"/>
      <c r="AI163" s="198"/>
      <c r="AJ163" s="198"/>
      <c r="AK163" s="198"/>
      <c r="AL163" s="198"/>
      <c r="AM163" s="198"/>
      <c r="AN163" s="198"/>
      <c r="AO163" s="198"/>
      <c r="AP163" s="198"/>
      <c r="AQ163" s="198"/>
      <c r="AR163" s="198"/>
      <c r="AS163" s="198"/>
      <c r="AT163" s="198"/>
      <c r="AU163" s="198"/>
    </row>
    <row r="164" spans="1:47" hidden="1" outlineLevel="1">
      <c r="A164" s="12"/>
      <c r="B164" s="12"/>
      <c r="C164" s="12"/>
      <c r="D164" s="12"/>
      <c r="E164" s="12"/>
      <c r="F164" s="303">
        <f>Asset22</f>
        <v>0</v>
      </c>
      <c r="G164" s="302"/>
      <c r="H164" s="64"/>
      <c r="I164" s="64"/>
      <c r="J164" s="64"/>
      <c r="K164" s="64"/>
      <c r="L164" s="64"/>
      <c r="M164" s="196"/>
      <c r="N164" s="197"/>
      <c r="O164" s="197"/>
      <c r="P164" s="197"/>
      <c r="Q164" s="197"/>
      <c r="R164" s="36"/>
      <c r="S164" s="36"/>
      <c r="T164" s="36"/>
      <c r="U164" s="36"/>
      <c r="V164" s="36"/>
      <c r="W164" s="36"/>
      <c r="X164" s="36"/>
      <c r="Y164" s="8"/>
      <c r="Z164" s="8"/>
      <c r="AA164" s="42"/>
      <c r="AB164" s="9"/>
      <c r="AC164" s="9"/>
      <c r="AD164" s="9"/>
      <c r="AE164" s="198"/>
      <c r="AF164" s="198"/>
      <c r="AG164" s="198"/>
      <c r="AH164" s="198"/>
      <c r="AI164" s="198"/>
      <c r="AJ164" s="198"/>
      <c r="AK164" s="198"/>
      <c r="AL164" s="198"/>
      <c r="AM164" s="198"/>
      <c r="AN164" s="198"/>
      <c r="AO164" s="198"/>
      <c r="AP164" s="198"/>
      <c r="AQ164" s="198"/>
      <c r="AR164" s="198"/>
      <c r="AS164" s="198"/>
      <c r="AT164" s="198"/>
      <c r="AU164" s="198"/>
    </row>
    <row r="165" spans="1:47" hidden="1" outlineLevel="1">
      <c r="A165" s="12"/>
      <c r="B165" s="12"/>
      <c r="C165" s="12"/>
      <c r="D165" s="12"/>
      <c r="E165" s="12"/>
      <c r="F165" s="303">
        <f>Asset23</f>
        <v>0</v>
      </c>
      <c r="G165" s="302"/>
      <c r="H165" s="64"/>
      <c r="I165" s="64"/>
      <c r="J165" s="64"/>
      <c r="K165" s="64"/>
      <c r="L165" s="64"/>
      <c r="M165" s="196"/>
      <c r="N165" s="197"/>
      <c r="O165" s="197"/>
      <c r="P165" s="197"/>
      <c r="Q165" s="197"/>
      <c r="R165" s="36"/>
      <c r="S165" s="36"/>
      <c r="T165" s="36"/>
      <c r="U165" s="36"/>
      <c r="V165" s="36"/>
      <c r="W165" s="36"/>
      <c r="X165" s="36"/>
      <c r="Y165" s="8"/>
      <c r="Z165" s="8"/>
      <c r="AA165" s="42"/>
      <c r="AB165" s="9"/>
      <c r="AC165" s="9"/>
      <c r="AD165" s="9"/>
      <c r="AE165" s="198"/>
      <c r="AF165" s="198"/>
      <c r="AG165" s="198"/>
      <c r="AH165" s="198"/>
      <c r="AI165" s="198"/>
      <c r="AJ165" s="198"/>
      <c r="AK165" s="198"/>
      <c r="AL165" s="198"/>
      <c r="AM165" s="198"/>
      <c r="AN165" s="198"/>
      <c r="AO165" s="198"/>
      <c r="AP165" s="198"/>
      <c r="AQ165" s="198"/>
      <c r="AR165" s="198"/>
      <c r="AS165" s="198"/>
      <c r="AT165" s="198"/>
      <c r="AU165" s="198"/>
    </row>
    <row r="166" spans="1:47" hidden="1" outlineLevel="1">
      <c r="A166" s="12"/>
      <c r="B166" s="12"/>
      <c r="C166" s="12"/>
      <c r="D166" s="12"/>
      <c r="E166" s="12"/>
      <c r="F166" s="303">
        <f>Asset24</f>
        <v>0</v>
      </c>
      <c r="G166" s="302"/>
      <c r="H166" s="64"/>
      <c r="I166" s="64"/>
      <c r="J166" s="64"/>
      <c r="K166" s="64"/>
      <c r="L166" s="64"/>
      <c r="M166" s="196"/>
      <c r="N166" s="197"/>
      <c r="O166" s="197"/>
      <c r="P166" s="197"/>
      <c r="Q166" s="197"/>
      <c r="R166" s="36"/>
      <c r="S166" s="36"/>
      <c r="T166" s="36"/>
      <c r="U166" s="36"/>
      <c r="V166" s="36"/>
      <c r="W166" s="36"/>
      <c r="X166" s="36"/>
      <c r="Y166" s="8"/>
      <c r="Z166" s="8"/>
      <c r="AA166" s="42"/>
      <c r="AB166" s="9"/>
      <c r="AC166" s="9"/>
      <c r="AD166" s="9"/>
      <c r="AE166" s="198"/>
      <c r="AF166" s="198"/>
      <c r="AG166" s="198"/>
      <c r="AH166" s="198"/>
      <c r="AI166" s="198"/>
      <c r="AJ166" s="198"/>
      <c r="AK166" s="198"/>
      <c r="AL166" s="198"/>
      <c r="AM166" s="198"/>
      <c r="AN166" s="198"/>
      <c r="AO166" s="198"/>
      <c r="AP166" s="198"/>
      <c r="AQ166" s="198"/>
      <c r="AR166" s="198"/>
      <c r="AS166" s="198"/>
      <c r="AT166" s="198"/>
      <c r="AU166" s="198"/>
    </row>
    <row r="167" spans="1:47" hidden="1" outlineLevel="1">
      <c r="A167" s="12"/>
      <c r="B167" s="12"/>
      <c r="C167" s="12"/>
      <c r="D167" s="12"/>
      <c r="E167" s="12"/>
      <c r="F167" s="303">
        <f>Asset25</f>
        <v>0</v>
      </c>
      <c r="G167" s="302"/>
      <c r="H167" s="64"/>
      <c r="I167" s="64"/>
      <c r="J167" s="64"/>
      <c r="K167" s="64"/>
      <c r="L167" s="64"/>
      <c r="M167" s="196"/>
      <c r="N167" s="197"/>
      <c r="O167" s="197"/>
      <c r="P167" s="197"/>
      <c r="Q167" s="197"/>
      <c r="R167" s="36"/>
      <c r="S167" s="36"/>
      <c r="T167" s="36"/>
      <c r="U167" s="36"/>
      <c r="V167" s="36"/>
      <c r="W167" s="36"/>
      <c r="X167" s="36"/>
      <c r="Y167" s="8"/>
      <c r="Z167" s="8"/>
      <c r="AA167" s="42"/>
      <c r="AB167" s="9"/>
      <c r="AC167" s="9"/>
      <c r="AD167" s="9"/>
      <c r="AE167" s="198"/>
      <c r="AF167" s="198"/>
      <c r="AG167" s="198"/>
      <c r="AH167" s="198"/>
      <c r="AI167" s="198"/>
      <c r="AJ167" s="198"/>
      <c r="AK167" s="198"/>
      <c r="AL167" s="198"/>
      <c r="AM167" s="198"/>
      <c r="AN167" s="198"/>
      <c r="AO167" s="198"/>
      <c r="AP167" s="198"/>
      <c r="AQ167" s="198"/>
      <c r="AR167" s="198"/>
      <c r="AS167" s="198"/>
      <c r="AT167" s="198"/>
      <c r="AU167" s="198"/>
    </row>
    <row r="168" spans="1:47" hidden="1" outlineLevel="1">
      <c r="A168" s="12"/>
      <c r="B168" s="12"/>
      <c r="C168" s="12"/>
      <c r="D168" s="12"/>
      <c r="E168" s="12"/>
      <c r="F168" s="303">
        <f>Asset26</f>
        <v>0</v>
      </c>
      <c r="G168" s="302"/>
      <c r="H168" s="64"/>
      <c r="I168" s="64"/>
      <c r="J168" s="64"/>
      <c r="K168" s="64"/>
      <c r="L168" s="64"/>
      <c r="M168" s="196"/>
      <c r="N168" s="197"/>
      <c r="O168" s="197"/>
      <c r="P168" s="197"/>
      <c r="Q168" s="197"/>
      <c r="R168" s="36"/>
      <c r="S168" s="36"/>
      <c r="T168" s="36"/>
      <c r="U168" s="36"/>
      <c r="V168" s="36"/>
      <c r="W168" s="36"/>
      <c r="X168" s="36"/>
      <c r="Y168" s="8"/>
      <c r="Z168" s="8"/>
      <c r="AA168" s="42"/>
      <c r="AB168" s="9"/>
      <c r="AC168" s="9"/>
      <c r="AD168" s="9"/>
      <c r="AE168" s="198"/>
      <c r="AF168" s="198"/>
      <c r="AG168" s="198"/>
      <c r="AH168" s="198"/>
      <c r="AI168" s="198"/>
      <c r="AJ168" s="198"/>
      <c r="AK168" s="198"/>
      <c r="AL168" s="198"/>
      <c r="AM168" s="198"/>
      <c r="AN168" s="198"/>
      <c r="AO168" s="198"/>
      <c r="AP168" s="198"/>
      <c r="AQ168" s="198"/>
      <c r="AR168" s="198"/>
      <c r="AS168" s="198"/>
      <c r="AT168" s="198"/>
      <c r="AU168" s="198"/>
    </row>
    <row r="169" spans="1:47" hidden="1" outlineLevel="1">
      <c r="A169" s="12"/>
      <c r="B169" s="12"/>
      <c r="C169" s="12"/>
      <c r="D169" s="12"/>
      <c r="E169" s="12"/>
      <c r="F169" s="303">
        <f>Asset27</f>
        <v>0</v>
      </c>
      <c r="G169" s="302"/>
      <c r="H169" s="64"/>
      <c r="I169" s="64"/>
      <c r="J169" s="64"/>
      <c r="K169" s="64"/>
      <c r="L169" s="64"/>
      <c r="M169" s="196"/>
      <c r="N169" s="197"/>
      <c r="O169" s="197"/>
      <c r="P169" s="197"/>
      <c r="Q169" s="197"/>
      <c r="R169" s="36"/>
      <c r="S169" s="36"/>
      <c r="T169" s="36"/>
      <c r="U169" s="36"/>
      <c r="V169" s="36"/>
      <c r="W169" s="36"/>
      <c r="X169" s="36"/>
      <c r="Y169" s="8"/>
      <c r="Z169" s="8"/>
      <c r="AA169" s="42"/>
      <c r="AB169" s="9"/>
      <c r="AC169" s="9"/>
      <c r="AD169" s="9"/>
      <c r="AE169" s="198"/>
      <c r="AF169" s="198"/>
      <c r="AG169" s="198"/>
      <c r="AH169" s="198"/>
      <c r="AI169" s="198"/>
      <c r="AJ169" s="198"/>
      <c r="AK169" s="198"/>
      <c r="AL169" s="198"/>
      <c r="AM169" s="198"/>
      <c r="AN169" s="198"/>
      <c r="AO169" s="198"/>
      <c r="AP169" s="198"/>
      <c r="AQ169" s="198"/>
      <c r="AR169" s="198"/>
      <c r="AS169" s="198"/>
      <c r="AT169" s="198"/>
      <c r="AU169" s="198"/>
    </row>
    <row r="170" spans="1:47" hidden="1" outlineLevel="1">
      <c r="A170" s="12"/>
      <c r="B170" s="12"/>
      <c r="C170" s="12"/>
      <c r="D170" s="12"/>
      <c r="E170" s="12"/>
      <c r="F170" s="303">
        <f>Asset28</f>
        <v>0</v>
      </c>
      <c r="G170" s="302"/>
      <c r="H170" s="64"/>
      <c r="I170" s="64"/>
      <c r="J170" s="64"/>
      <c r="K170" s="64"/>
      <c r="L170" s="64"/>
      <c r="M170" s="196"/>
      <c r="N170" s="197"/>
      <c r="O170" s="197"/>
      <c r="P170" s="197"/>
      <c r="Q170" s="197"/>
      <c r="R170" s="36"/>
      <c r="S170" s="36"/>
      <c r="T170" s="36"/>
      <c r="U170" s="36"/>
      <c r="V170" s="36"/>
      <c r="W170" s="36"/>
      <c r="X170" s="36"/>
      <c r="Y170" s="8"/>
      <c r="Z170" s="8"/>
      <c r="AA170" s="42"/>
      <c r="AB170" s="9"/>
      <c r="AC170" s="9"/>
      <c r="AD170" s="9"/>
      <c r="AE170" s="198"/>
      <c r="AF170" s="198"/>
      <c r="AG170" s="198"/>
      <c r="AH170" s="198"/>
      <c r="AI170" s="198"/>
      <c r="AJ170" s="198"/>
      <c r="AK170" s="198"/>
      <c r="AL170" s="198"/>
      <c r="AM170" s="198"/>
      <c r="AN170" s="198"/>
      <c r="AO170" s="198"/>
      <c r="AP170" s="198"/>
      <c r="AQ170" s="198"/>
      <c r="AR170" s="198"/>
      <c r="AS170" s="198"/>
      <c r="AT170" s="198"/>
      <c r="AU170" s="198"/>
    </row>
    <row r="171" spans="1:47" hidden="1" outlineLevel="1">
      <c r="A171" s="12"/>
      <c r="B171" s="12"/>
      <c r="C171" s="12"/>
      <c r="D171" s="12"/>
      <c r="E171" s="12"/>
      <c r="F171" s="303">
        <f>Asset29</f>
        <v>0</v>
      </c>
      <c r="G171" s="302"/>
      <c r="H171" s="64"/>
      <c r="I171" s="64"/>
      <c r="J171" s="64"/>
      <c r="K171" s="64"/>
      <c r="L171" s="64"/>
      <c r="M171" s="196"/>
      <c r="N171" s="197"/>
      <c r="O171" s="197"/>
      <c r="P171" s="197"/>
      <c r="Q171" s="197"/>
      <c r="R171" s="36"/>
      <c r="S171" s="36"/>
      <c r="T171" s="36"/>
      <c r="U171" s="36"/>
      <c r="V171" s="36"/>
      <c r="W171" s="36"/>
      <c r="X171" s="36"/>
      <c r="Y171" s="8"/>
      <c r="Z171" s="8"/>
      <c r="AA171" s="42"/>
      <c r="AB171" s="9"/>
      <c r="AC171" s="9"/>
      <c r="AD171" s="9"/>
      <c r="AE171" s="198"/>
      <c r="AF171" s="198"/>
      <c r="AG171" s="198"/>
      <c r="AH171" s="198"/>
      <c r="AI171" s="198"/>
      <c r="AJ171" s="198"/>
      <c r="AK171" s="198"/>
      <c r="AL171" s="198"/>
      <c r="AM171" s="198"/>
      <c r="AN171" s="198"/>
      <c r="AO171" s="198"/>
      <c r="AP171" s="198"/>
      <c r="AQ171" s="198"/>
      <c r="AR171" s="198"/>
      <c r="AS171" s="198"/>
      <c r="AT171" s="198"/>
      <c r="AU171" s="198"/>
    </row>
    <row r="172" spans="1:47" hidden="1" outlineLevel="1">
      <c r="A172" s="12"/>
      <c r="B172" s="12"/>
      <c r="C172" s="12"/>
      <c r="D172" s="12"/>
      <c r="E172" s="12"/>
      <c r="F172" s="303">
        <f>Asset30</f>
        <v>0</v>
      </c>
      <c r="G172" s="302"/>
      <c r="H172" s="64"/>
      <c r="I172" s="64"/>
      <c r="J172" s="64"/>
      <c r="K172" s="64"/>
      <c r="L172" s="64"/>
      <c r="M172" s="196"/>
      <c r="N172" s="197"/>
      <c r="O172" s="197"/>
      <c r="P172" s="197"/>
      <c r="Q172" s="197"/>
      <c r="R172" s="36"/>
      <c r="S172" s="36"/>
      <c r="T172" s="36"/>
      <c r="U172" s="36"/>
      <c r="V172" s="36"/>
      <c r="W172" s="36"/>
      <c r="X172" s="36"/>
      <c r="Y172" s="8"/>
      <c r="Z172" s="8"/>
      <c r="AA172" s="42"/>
      <c r="AB172" s="9"/>
      <c r="AC172" s="9"/>
      <c r="AD172" s="9"/>
      <c r="AE172" s="198"/>
      <c r="AF172" s="198"/>
      <c r="AG172" s="198"/>
      <c r="AH172" s="198"/>
      <c r="AI172" s="198"/>
      <c r="AJ172" s="198"/>
      <c r="AK172" s="198"/>
      <c r="AL172" s="198"/>
      <c r="AM172" s="198"/>
      <c r="AN172" s="198"/>
      <c r="AO172" s="198"/>
      <c r="AP172" s="198"/>
      <c r="AQ172" s="198"/>
      <c r="AR172" s="198"/>
      <c r="AS172" s="198"/>
      <c r="AT172" s="198"/>
      <c r="AU172" s="198"/>
    </row>
    <row r="173" spans="1:47" collapsed="1">
      <c r="A173" s="12"/>
      <c r="B173" s="12"/>
      <c r="C173" s="12"/>
      <c r="D173" s="12"/>
      <c r="E173" s="12"/>
      <c r="F173" s="173" t="s">
        <v>19</v>
      </c>
      <c r="G173" s="308">
        <f>SUM(G143:G172)</f>
        <v>109.49618468274402</v>
      </c>
      <c r="H173" s="308">
        <f t="shared" ref="H173:Q173" si="38">SUM(H143:H172)</f>
        <v>39.715606920532174</v>
      </c>
      <c r="I173" s="308">
        <f t="shared" si="38"/>
        <v>83.164556859999919</v>
      </c>
      <c r="J173" s="308">
        <f t="shared" si="38"/>
        <v>105.94573083999995</v>
      </c>
      <c r="K173" s="308">
        <f t="shared" si="38"/>
        <v>119.16375115000008</v>
      </c>
      <c r="L173" s="308">
        <f t="shared" si="38"/>
        <v>138.81193000000002</v>
      </c>
      <c r="M173" s="308">
        <f>SUM(M143:M172)</f>
        <v>137.8405970295201</v>
      </c>
      <c r="N173" s="308">
        <f>SUM(N143:N172)</f>
        <v>0</v>
      </c>
      <c r="O173" s="308">
        <f t="shared" si="38"/>
        <v>0</v>
      </c>
      <c r="P173" s="308">
        <f t="shared" si="38"/>
        <v>0</v>
      </c>
      <c r="Q173" s="308">
        <f t="shared" si="38"/>
        <v>0</v>
      </c>
      <c r="R173" s="36"/>
      <c r="S173" s="36"/>
      <c r="T173" s="36"/>
      <c r="U173" s="36"/>
      <c r="V173" s="36"/>
      <c r="W173" s="36"/>
      <c r="X173" s="36"/>
      <c r="Y173" s="8"/>
      <c r="Z173" s="8"/>
      <c r="AA173" s="42"/>
      <c r="AB173" s="9"/>
      <c r="AC173" s="9"/>
      <c r="AD173" s="9"/>
      <c r="AE173" s="198"/>
      <c r="AF173" s="198"/>
      <c r="AG173" s="198"/>
      <c r="AH173" s="198"/>
      <c r="AI173" s="198"/>
      <c r="AJ173" s="198"/>
      <c r="AK173" s="198"/>
      <c r="AL173" s="198"/>
      <c r="AM173" s="198"/>
      <c r="AN173" s="198"/>
      <c r="AO173" s="198"/>
      <c r="AP173" s="198"/>
      <c r="AQ173" s="198"/>
      <c r="AR173" s="198"/>
      <c r="AS173" s="198"/>
      <c r="AT173" s="198"/>
      <c r="AU173" s="198"/>
    </row>
    <row r="174" spans="1:47" ht="21" customHeight="1">
      <c r="A174" s="12"/>
      <c r="B174" s="12"/>
      <c r="C174" s="12"/>
      <c r="D174" s="12"/>
      <c r="E174" s="12"/>
      <c r="F174" s="38"/>
      <c r="G174" s="38"/>
      <c r="H174" s="38"/>
      <c r="I174" s="38"/>
      <c r="J174" s="38"/>
      <c r="K174" s="38"/>
      <c r="L174" s="38"/>
      <c r="M174" s="38"/>
      <c r="N174" s="38"/>
      <c r="O174" s="38"/>
      <c r="P174" s="38"/>
      <c r="Q174" s="36"/>
      <c r="R174" s="243">
        <f>SUM(G173:Q173)</f>
        <v>734.13835748279621</v>
      </c>
      <c r="S174" s="36"/>
      <c r="T174" s="36"/>
      <c r="U174" s="36"/>
      <c r="V174" s="36"/>
      <c r="W174" s="36"/>
      <c r="X174" s="36"/>
      <c r="Y174" s="8"/>
      <c r="Z174" s="8"/>
      <c r="AA174" s="42"/>
      <c r="AB174" s="9"/>
      <c r="AC174" s="9"/>
      <c r="AD174" s="9"/>
      <c r="AE174" s="198"/>
      <c r="AF174" s="198"/>
      <c r="AG174" s="198"/>
      <c r="AH174" s="198"/>
      <c r="AI174" s="198"/>
      <c r="AJ174" s="198"/>
      <c r="AK174" s="198"/>
      <c r="AL174" s="198"/>
      <c r="AM174" s="198"/>
      <c r="AN174" s="198"/>
      <c r="AO174" s="198"/>
      <c r="AP174" s="198"/>
      <c r="AQ174" s="198"/>
      <c r="AR174" s="198"/>
      <c r="AS174" s="198"/>
      <c r="AT174" s="198"/>
      <c r="AU174" s="198"/>
    </row>
    <row r="175" spans="1:47">
      <c r="A175" s="74"/>
      <c r="B175" s="74"/>
      <c r="C175" s="74"/>
      <c r="D175" s="74"/>
      <c r="E175" s="74"/>
      <c r="F175" s="387" t="s">
        <v>62</v>
      </c>
      <c r="G175" s="387"/>
      <c r="H175" s="387"/>
      <c r="I175" s="166"/>
      <c r="J175" s="166"/>
      <c r="K175" s="166"/>
      <c r="L175" s="166"/>
      <c r="M175" s="166"/>
      <c r="N175" s="167"/>
      <c r="O175" s="167"/>
      <c r="P175" s="167"/>
      <c r="Q175" s="167"/>
      <c r="R175" s="167"/>
      <c r="S175" s="167"/>
      <c r="T175" s="167"/>
      <c r="U175" s="167"/>
      <c r="V175" s="167"/>
      <c r="W175" s="167"/>
      <c r="X175" s="36"/>
      <c r="Y175" s="8"/>
      <c r="Z175" s="8"/>
      <c r="AA175" s="42"/>
      <c r="AB175" s="9"/>
      <c r="AC175" s="9"/>
      <c r="AD175" s="9"/>
      <c r="AE175" s="198"/>
      <c r="AF175" s="198"/>
      <c r="AG175" s="198"/>
      <c r="AH175" s="198"/>
      <c r="AI175" s="198"/>
      <c r="AJ175" s="198"/>
      <c r="AK175" s="198"/>
      <c r="AL175" s="198"/>
      <c r="AM175" s="198"/>
      <c r="AN175" s="198"/>
      <c r="AO175" s="198"/>
      <c r="AP175" s="198"/>
      <c r="AQ175" s="198"/>
      <c r="AR175" s="198"/>
      <c r="AS175" s="198"/>
      <c r="AT175" s="198"/>
      <c r="AU175" s="198"/>
    </row>
    <row r="176" spans="1:47">
      <c r="A176" s="12"/>
      <c r="B176" s="12"/>
      <c r="C176" s="12"/>
      <c r="D176" s="12"/>
      <c r="E176" s="12"/>
      <c r="F176" s="37" t="s">
        <v>3</v>
      </c>
      <c r="G176" s="241" t="str">
        <f>G40</f>
        <v>2007-08</v>
      </c>
      <c r="H176" s="241" t="str">
        <f t="shared" ref="H176:Q176" si="39">H40</f>
        <v>2008-09</v>
      </c>
      <c r="I176" s="241" t="str">
        <f t="shared" si="39"/>
        <v>2009-10</v>
      </c>
      <c r="J176" s="241" t="str">
        <f t="shared" si="39"/>
        <v>2010-11</v>
      </c>
      <c r="K176" s="241" t="str">
        <f t="shared" si="39"/>
        <v>2011-12</v>
      </c>
      <c r="L176" s="241" t="str">
        <f t="shared" si="39"/>
        <v>2012-13</v>
      </c>
      <c r="M176" s="241" t="str">
        <f t="shared" si="39"/>
        <v>2013-14</v>
      </c>
      <c r="N176" s="241" t="str">
        <f t="shared" si="39"/>
        <v>2014-15</v>
      </c>
      <c r="O176" s="241" t="str">
        <f t="shared" si="39"/>
        <v>2015-16</v>
      </c>
      <c r="P176" s="241" t="str">
        <f t="shared" si="39"/>
        <v>2016-17</v>
      </c>
      <c r="Q176" s="241" t="str">
        <f t="shared" si="39"/>
        <v>2017-18</v>
      </c>
      <c r="R176" s="36"/>
      <c r="S176" s="36"/>
      <c r="T176" s="36"/>
      <c r="U176" s="36"/>
      <c r="V176" s="36"/>
      <c r="W176" s="36"/>
      <c r="X176" s="36"/>
      <c r="Y176" s="8"/>
      <c r="Z176" s="8"/>
      <c r="AA176" s="42"/>
      <c r="AB176" s="9"/>
      <c r="AC176" s="9"/>
      <c r="AD176" s="9"/>
      <c r="AE176" s="198"/>
      <c r="AF176" s="198"/>
      <c r="AG176" s="198"/>
      <c r="AH176" s="198"/>
      <c r="AI176" s="198"/>
      <c r="AJ176" s="198"/>
      <c r="AK176" s="198"/>
      <c r="AL176" s="198"/>
      <c r="AM176" s="198"/>
      <c r="AN176" s="198"/>
      <c r="AO176" s="198"/>
      <c r="AP176" s="198"/>
      <c r="AQ176" s="198"/>
      <c r="AR176" s="198"/>
      <c r="AS176" s="198"/>
      <c r="AT176" s="198"/>
      <c r="AU176" s="198"/>
    </row>
    <row r="177" spans="1:47" ht="12.75" hidden="1" customHeight="1" outlineLevel="1">
      <c r="A177" s="12"/>
      <c r="B177" s="12"/>
      <c r="C177" s="12"/>
      <c r="D177" s="12"/>
      <c r="E177" s="12"/>
      <c r="F177" s="173" t="str">
        <f>Asset1</f>
        <v>Secondary</v>
      </c>
      <c r="G177" s="380">
        <v>0</v>
      </c>
      <c r="H177" s="381">
        <v>0</v>
      </c>
      <c r="I177" s="371">
        <v>0</v>
      </c>
      <c r="J177" s="371">
        <v>0</v>
      </c>
      <c r="K177" s="371">
        <v>0</v>
      </c>
      <c r="L177" s="371">
        <v>0</v>
      </c>
      <c r="M177" s="371">
        <v>0</v>
      </c>
      <c r="N177" s="195"/>
      <c r="O177" s="195"/>
      <c r="P177" s="195"/>
      <c r="Q177" s="195"/>
      <c r="R177" s="36"/>
      <c r="S177" s="36"/>
      <c r="T177" s="36"/>
      <c r="U177" s="36"/>
      <c r="V177" s="36"/>
      <c r="W177" s="36"/>
      <c r="X177" s="36"/>
      <c r="Y177" s="8"/>
      <c r="Z177" s="8"/>
      <c r="AA177" s="42"/>
      <c r="AB177" s="9"/>
      <c r="AC177" s="9"/>
      <c r="AD177" s="9"/>
      <c r="AE177" s="198"/>
      <c r="AF177" s="198"/>
      <c r="AG177" s="198"/>
      <c r="AH177" s="198"/>
      <c r="AI177" s="198"/>
      <c r="AJ177" s="198"/>
      <c r="AK177" s="198"/>
      <c r="AL177" s="198"/>
      <c r="AM177" s="198"/>
      <c r="AN177" s="198"/>
      <c r="AO177" s="198"/>
      <c r="AP177" s="198"/>
      <c r="AQ177" s="198"/>
      <c r="AR177" s="198"/>
      <c r="AS177" s="198"/>
      <c r="AT177" s="198"/>
      <c r="AU177" s="198"/>
    </row>
    <row r="178" spans="1:47" ht="12.75" hidden="1" customHeight="1" outlineLevel="1">
      <c r="A178" s="12"/>
      <c r="B178" s="12"/>
      <c r="C178" s="12"/>
      <c r="D178" s="12"/>
      <c r="E178" s="12"/>
      <c r="F178" s="173" t="str">
        <f>Asset2</f>
        <v>Switchgear</v>
      </c>
      <c r="G178" s="380">
        <v>0</v>
      </c>
      <c r="H178" s="381">
        <v>0</v>
      </c>
      <c r="I178" s="375">
        <v>0</v>
      </c>
      <c r="J178" s="375">
        <v>0</v>
      </c>
      <c r="K178" s="375">
        <v>0</v>
      </c>
      <c r="L178" s="375">
        <v>0</v>
      </c>
      <c r="M178" s="375">
        <v>0</v>
      </c>
      <c r="N178" s="197"/>
      <c r="O178" s="197"/>
      <c r="P178" s="197"/>
      <c r="Q178" s="197"/>
      <c r="R178" s="36"/>
      <c r="S178" s="36"/>
      <c r="T178" s="36"/>
      <c r="U178" s="36"/>
      <c r="V178" s="36"/>
      <c r="W178" s="36"/>
      <c r="X178" s="36"/>
      <c r="Y178" s="8"/>
      <c r="Z178" s="8"/>
      <c r="AA178" s="42"/>
      <c r="AB178" s="9"/>
      <c r="AC178" s="9"/>
      <c r="AD178" s="9"/>
      <c r="AE178" s="198"/>
      <c r="AF178" s="198"/>
      <c r="AG178" s="198"/>
      <c r="AH178" s="198"/>
      <c r="AI178" s="198"/>
      <c r="AJ178" s="198"/>
      <c r="AK178" s="198"/>
      <c r="AL178" s="198"/>
      <c r="AM178" s="198"/>
      <c r="AN178" s="198"/>
      <c r="AO178" s="198"/>
      <c r="AP178" s="198"/>
      <c r="AQ178" s="198"/>
      <c r="AR178" s="198"/>
      <c r="AS178" s="198"/>
      <c r="AT178" s="198"/>
      <c r="AU178" s="198"/>
    </row>
    <row r="179" spans="1:47" ht="12.75" hidden="1" customHeight="1" outlineLevel="1">
      <c r="A179" s="12"/>
      <c r="B179" s="12"/>
      <c r="C179" s="12"/>
      <c r="D179" s="12"/>
      <c r="E179" s="12"/>
      <c r="F179" s="173" t="str">
        <f>Asset3</f>
        <v>Transformers</v>
      </c>
      <c r="G179" s="380">
        <v>0</v>
      </c>
      <c r="H179" s="381">
        <v>0</v>
      </c>
      <c r="I179" s="375">
        <v>0</v>
      </c>
      <c r="J179" s="375">
        <v>0</v>
      </c>
      <c r="K179" s="375">
        <v>0</v>
      </c>
      <c r="L179" s="375">
        <v>0</v>
      </c>
      <c r="M179" s="375">
        <v>0.30299999999999999</v>
      </c>
      <c r="N179" s="197"/>
      <c r="O179" s="197"/>
      <c r="P179" s="197"/>
      <c r="Q179" s="197"/>
      <c r="R179" s="36"/>
      <c r="S179" s="36"/>
      <c r="T179" s="36"/>
      <c r="U179" s="36"/>
      <c r="V179" s="36"/>
      <c r="W179" s="36"/>
      <c r="X179" s="36"/>
      <c r="Y179" s="8"/>
      <c r="Z179" s="8"/>
      <c r="AA179" s="42"/>
      <c r="AB179" s="9"/>
      <c r="AC179" s="9"/>
      <c r="AD179" s="9"/>
      <c r="AE179" s="198"/>
      <c r="AF179" s="198"/>
      <c r="AG179" s="198"/>
      <c r="AH179" s="198"/>
      <c r="AI179" s="198"/>
      <c r="AJ179" s="198"/>
      <c r="AK179" s="198"/>
      <c r="AL179" s="198"/>
      <c r="AM179" s="198"/>
      <c r="AN179" s="198"/>
      <c r="AO179" s="198"/>
      <c r="AP179" s="198"/>
      <c r="AQ179" s="198"/>
      <c r="AR179" s="198"/>
      <c r="AS179" s="198"/>
      <c r="AT179" s="198"/>
      <c r="AU179" s="198"/>
    </row>
    <row r="180" spans="1:47" ht="12.75" hidden="1" customHeight="1" outlineLevel="1">
      <c r="A180" s="12"/>
      <c r="B180" s="12"/>
      <c r="C180" s="12"/>
      <c r="D180" s="12"/>
      <c r="E180" s="12"/>
      <c r="F180" s="173" t="str">
        <f>Asset4</f>
        <v>Reactive</v>
      </c>
      <c r="G180" s="380">
        <v>0</v>
      </c>
      <c r="H180" s="381">
        <v>0</v>
      </c>
      <c r="I180" s="375">
        <v>0</v>
      </c>
      <c r="J180" s="375">
        <v>0</v>
      </c>
      <c r="K180" s="375">
        <v>0</v>
      </c>
      <c r="L180" s="375">
        <v>0</v>
      </c>
      <c r="M180" s="375">
        <v>0</v>
      </c>
      <c r="N180" s="197"/>
      <c r="O180" s="197"/>
      <c r="P180" s="197"/>
      <c r="Q180" s="197"/>
      <c r="R180" s="36"/>
      <c r="S180" s="36"/>
      <c r="T180" s="36"/>
      <c r="U180" s="36"/>
      <c r="V180" s="36"/>
      <c r="W180" s="36"/>
      <c r="X180" s="36"/>
      <c r="Y180" s="8"/>
      <c r="Z180" s="8"/>
      <c r="AA180" s="42"/>
      <c r="AB180" s="9"/>
      <c r="AC180" s="9"/>
      <c r="AD180" s="9"/>
      <c r="AE180" s="198"/>
      <c r="AF180" s="198"/>
      <c r="AG180" s="198"/>
      <c r="AH180" s="198"/>
      <c r="AI180" s="198"/>
      <c r="AJ180" s="198"/>
      <c r="AK180" s="198"/>
      <c r="AL180" s="198"/>
      <c r="AM180" s="198"/>
      <c r="AN180" s="198"/>
      <c r="AO180" s="198"/>
      <c r="AP180" s="198"/>
      <c r="AQ180" s="198"/>
      <c r="AR180" s="198"/>
      <c r="AS180" s="198"/>
      <c r="AT180" s="198"/>
      <c r="AU180" s="198"/>
    </row>
    <row r="181" spans="1:47" ht="12.75" hidden="1" customHeight="1" outlineLevel="1">
      <c r="A181" s="12"/>
      <c r="B181" s="12"/>
      <c r="C181" s="12"/>
      <c r="D181" s="12"/>
      <c r="E181" s="12"/>
      <c r="F181" s="173" t="str">
        <f>Asset5</f>
        <v>Towers and Conductor</v>
      </c>
      <c r="G181" s="380">
        <v>0</v>
      </c>
      <c r="H181" s="381">
        <v>0</v>
      </c>
      <c r="I181" s="375">
        <v>0</v>
      </c>
      <c r="J181" s="375">
        <v>0</v>
      </c>
      <c r="K181" s="375">
        <v>0</v>
      </c>
      <c r="L181" s="375">
        <v>0</v>
      </c>
      <c r="M181" s="375">
        <v>0</v>
      </c>
      <c r="N181" s="197"/>
      <c r="O181" s="197"/>
      <c r="P181" s="197"/>
      <c r="Q181" s="197"/>
      <c r="R181" s="36"/>
      <c r="S181" s="36"/>
      <c r="T181" s="36"/>
      <c r="U181" s="36"/>
      <c r="V181" s="36"/>
      <c r="W181" s="36"/>
      <c r="X181" s="36"/>
      <c r="Y181" s="8"/>
      <c r="Z181" s="8"/>
      <c r="AA181" s="42"/>
      <c r="AB181" s="9"/>
      <c r="AC181" s="9"/>
      <c r="AD181" s="9"/>
      <c r="AE181" s="198"/>
      <c r="AF181" s="198"/>
      <c r="AG181" s="198"/>
      <c r="AH181" s="198"/>
      <c r="AI181" s="198"/>
      <c r="AJ181" s="198"/>
      <c r="AK181" s="198"/>
      <c r="AL181" s="198"/>
      <c r="AM181" s="198"/>
      <c r="AN181" s="198"/>
      <c r="AO181" s="198"/>
      <c r="AP181" s="198"/>
      <c r="AQ181" s="198"/>
      <c r="AR181" s="198"/>
      <c r="AS181" s="198"/>
      <c r="AT181" s="198"/>
      <c r="AU181" s="198"/>
    </row>
    <row r="182" spans="1:47" ht="12.75" hidden="1" customHeight="1" outlineLevel="1">
      <c r="A182" s="12"/>
      <c r="B182" s="12"/>
      <c r="C182" s="12"/>
      <c r="D182" s="12"/>
      <c r="E182" s="12"/>
      <c r="F182" s="173" t="str">
        <f>Asset6</f>
        <v>Establishment</v>
      </c>
      <c r="G182" s="380">
        <v>0</v>
      </c>
      <c r="H182" s="381">
        <v>0</v>
      </c>
      <c r="I182" s="375">
        <v>0</v>
      </c>
      <c r="J182" s="375">
        <v>0</v>
      </c>
      <c r="K182" s="375">
        <v>0</v>
      </c>
      <c r="L182" s="375">
        <v>0</v>
      </c>
      <c r="M182" s="375">
        <v>0</v>
      </c>
      <c r="N182" s="197"/>
      <c r="O182" s="197"/>
      <c r="P182" s="197"/>
      <c r="Q182" s="197"/>
      <c r="R182" s="36"/>
      <c r="S182" s="36"/>
      <c r="T182" s="36"/>
      <c r="U182" s="36"/>
      <c r="V182" s="36"/>
      <c r="W182" s="36"/>
      <c r="X182" s="36"/>
      <c r="Y182" s="8"/>
      <c r="Z182" s="8"/>
      <c r="AA182" s="42"/>
      <c r="AB182" s="9"/>
      <c r="AC182" s="9"/>
      <c r="AD182" s="9"/>
      <c r="AE182" s="198"/>
      <c r="AF182" s="198"/>
      <c r="AG182" s="198"/>
      <c r="AH182" s="198"/>
      <c r="AI182" s="198"/>
      <c r="AJ182" s="198"/>
      <c r="AK182" s="198"/>
      <c r="AL182" s="198"/>
      <c r="AM182" s="198"/>
      <c r="AN182" s="198"/>
      <c r="AO182" s="198"/>
      <c r="AP182" s="198"/>
      <c r="AQ182" s="198"/>
      <c r="AR182" s="198"/>
      <c r="AS182" s="198"/>
      <c r="AT182" s="198"/>
      <c r="AU182" s="198"/>
    </row>
    <row r="183" spans="1:47" ht="12.75" hidden="1" customHeight="1" outlineLevel="1">
      <c r="A183" s="12"/>
      <c r="B183" s="12"/>
      <c r="C183" s="12"/>
      <c r="D183" s="12"/>
      <c r="E183" s="12"/>
      <c r="F183" s="173" t="str">
        <f>Asset7</f>
        <v>Communications</v>
      </c>
      <c r="G183" s="380">
        <v>0</v>
      </c>
      <c r="H183" s="381">
        <v>0</v>
      </c>
      <c r="I183" s="375">
        <v>0</v>
      </c>
      <c r="J183" s="375">
        <v>0</v>
      </c>
      <c r="K183" s="375">
        <v>0</v>
      </c>
      <c r="L183" s="375">
        <v>0</v>
      </c>
      <c r="M183" s="375">
        <v>0</v>
      </c>
      <c r="N183" s="197"/>
      <c r="O183" s="197"/>
      <c r="P183" s="197"/>
      <c r="Q183" s="197"/>
      <c r="R183" s="36"/>
      <c r="S183" s="36"/>
      <c r="T183" s="36"/>
      <c r="U183" s="36"/>
      <c r="V183" s="36"/>
      <c r="W183" s="36"/>
      <c r="X183" s="36"/>
      <c r="Y183" s="8"/>
      <c r="Z183" s="8"/>
      <c r="AA183" s="42"/>
      <c r="AB183" s="9"/>
      <c r="AC183" s="9"/>
      <c r="AD183" s="9"/>
      <c r="AE183" s="198"/>
      <c r="AF183" s="198"/>
      <c r="AG183" s="198"/>
      <c r="AH183" s="198"/>
      <c r="AI183" s="198"/>
      <c r="AJ183" s="198"/>
      <c r="AK183" s="198"/>
      <c r="AL183" s="198"/>
      <c r="AM183" s="198"/>
      <c r="AN183" s="198"/>
      <c r="AO183" s="198"/>
      <c r="AP183" s="198"/>
      <c r="AQ183" s="198"/>
      <c r="AR183" s="198"/>
      <c r="AS183" s="198"/>
      <c r="AT183" s="198"/>
      <c r="AU183" s="198"/>
    </row>
    <row r="184" spans="1:47" ht="12.75" hidden="1" customHeight="1" outlineLevel="1">
      <c r="A184" s="12"/>
      <c r="B184" s="12"/>
      <c r="C184" s="12"/>
      <c r="D184" s="12"/>
      <c r="E184" s="12"/>
      <c r="F184" s="173" t="str">
        <f>Asset8</f>
        <v>Inventory</v>
      </c>
      <c r="G184" s="380">
        <v>0</v>
      </c>
      <c r="H184" s="381">
        <v>0</v>
      </c>
      <c r="I184" s="375">
        <v>0</v>
      </c>
      <c r="J184" s="375">
        <v>0</v>
      </c>
      <c r="K184" s="375">
        <v>0</v>
      </c>
      <c r="L184" s="375">
        <v>0</v>
      </c>
      <c r="M184" s="375">
        <v>0</v>
      </c>
      <c r="N184" s="197"/>
      <c r="O184" s="197"/>
      <c r="P184" s="197"/>
      <c r="Q184" s="197"/>
      <c r="R184" s="36"/>
      <c r="S184" s="36"/>
      <c r="T184" s="36"/>
      <c r="U184" s="36"/>
      <c r="V184" s="36"/>
      <c r="W184" s="36"/>
      <c r="X184" s="36"/>
      <c r="Y184" s="8"/>
      <c r="Z184" s="8"/>
      <c r="AA184" s="42"/>
      <c r="AB184" s="9"/>
      <c r="AC184" s="9"/>
      <c r="AD184" s="9"/>
      <c r="AE184" s="198"/>
      <c r="AF184" s="198"/>
      <c r="AG184" s="198"/>
      <c r="AH184" s="198"/>
      <c r="AI184" s="198"/>
      <c r="AJ184" s="198"/>
      <c r="AK184" s="198"/>
      <c r="AL184" s="198"/>
      <c r="AM184" s="198"/>
      <c r="AN184" s="198"/>
      <c r="AO184" s="198"/>
      <c r="AP184" s="198"/>
      <c r="AQ184" s="198"/>
      <c r="AR184" s="198"/>
      <c r="AS184" s="198"/>
      <c r="AT184" s="198"/>
      <c r="AU184" s="198"/>
    </row>
    <row r="185" spans="1:47" ht="12.75" hidden="1" customHeight="1" outlineLevel="1">
      <c r="A185" s="12"/>
      <c r="B185" s="12"/>
      <c r="C185" s="12"/>
      <c r="D185" s="12"/>
      <c r="E185" s="12"/>
      <c r="F185" s="173" t="str">
        <f>Asset9</f>
        <v>IT</v>
      </c>
      <c r="G185" s="380">
        <v>5.1799999999999992E-2</v>
      </c>
      <c r="H185" s="381">
        <v>0.194383</v>
      </c>
      <c r="I185" s="375">
        <v>0</v>
      </c>
      <c r="J185" s="375">
        <v>7.54E-4</v>
      </c>
      <c r="K185" s="375">
        <v>0</v>
      </c>
      <c r="L185" s="375">
        <v>0</v>
      </c>
      <c r="M185" s="375">
        <v>0</v>
      </c>
      <c r="N185" s="197"/>
      <c r="O185" s="197"/>
      <c r="P185" s="197"/>
      <c r="Q185" s="197"/>
      <c r="R185" s="36"/>
      <c r="S185" s="36"/>
      <c r="T185" s="36"/>
      <c r="U185" s="36"/>
      <c r="V185" s="36"/>
      <c r="W185" s="36"/>
      <c r="X185" s="36"/>
      <c r="Y185" s="8"/>
      <c r="Z185" s="8"/>
      <c r="AA185" s="42"/>
      <c r="AB185" s="9"/>
      <c r="AC185" s="9"/>
      <c r="AD185" s="9"/>
      <c r="AE185" s="198"/>
      <c r="AF185" s="198"/>
      <c r="AG185" s="198"/>
      <c r="AH185" s="198"/>
      <c r="AI185" s="198"/>
      <c r="AJ185" s="198"/>
      <c r="AK185" s="198"/>
      <c r="AL185" s="198"/>
      <c r="AM185" s="198"/>
      <c r="AN185" s="198"/>
      <c r="AO185" s="198"/>
      <c r="AP185" s="198"/>
      <c r="AQ185" s="198"/>
      <c r="AR185" s="198"/>
      <c r="AS185" s="198"/>
      <c r="AT185" s="198"/>
      <c r="AU185" s="198"/>
    </row>
    <row r="186" spans="1:47" ht="12.75" hidden="1" customHeight="1" outlineLevel="1">
      <c r="A186" s="12"/>
      <c r="B186" s="12"/>
      <c r="C186" s="12"/>
      <c r="D186" s="12"/>
      <c r="E186" s="12"/>
      <c r="F186" s="173" t="str">
        <f>Asset10</f>
        <v>Vehicles</v>
      </c>
      <c r="G186" s="380">
        <v>2.2199999999999998E-3</v>
      </c>
      <c r="H186" s="381">
        <v>0.476952895115272</v>
      </c>
      <c r="I186" s="375">
        <v>3.1290331880908809E-2</v>
      </c>
      <c r="J186" s="375">
        <v>0.141208</v>
      </c>
      <c r="K186" s="375">
        <v>0</v>
      </c>
      <c r="L186" s="375">
        <v>0</v>
      </c>
      <c r="M186" s="375">
        <v>0</v>
      </c>
      <c r="N186" s="197"/>
      <c r="O186" s="197"/>
      <c r="P186" s="197"/>
      <c r="Q186" s="197"/>
      <c r="R186" s="36"/>
      <c r="S186" s="36"/>
      <c r="T186" s="36"/>
      <c r="U186" s="36"/>
      <c r="V186" s="36"/>
      <c r="W186" s="36"/>
      <c r="X186" s="36"/>
      <c r="Y186" s="8"/>
      <c r="Z186" s="8"/>
      <c r="AA186" s="42"/>
      <c r="AB186" s="9"/>
      <c r="AC186" s="9"/>
      <c r="AD186" s="9"/>
      <c r="AE186" s="198"/>
      <c r="AF186" s="198"/>
      <c r="AG186" s="198"/>
      <c r="AH186" s="198"/>
      <c r="AI186" s="198"/>
      <c r="AJ186" s="198"/>
      <c r="AK186" s="198"/>
      <c r="AL186" s="198"/>
      <c r="AM186" s="198"/>
      <c r="AN186" s="198"/>
      <c r="AO186" s="198"/>
      <c r="AP186" s="198"/>
      <c r="AQ186" s="198"/>
      <c r="AR186" s="198"/>
      <c r="AS186" s="198"/>
      <c r="AT186" s="198"/>
      <c r="AU186" s="198"/>
    </row>
    <row r="187" spans="1:47" ht="12.75" hidden="1" customHeight="1" outlineLevel="1">
      <c r="A187" s="12"/>
      <c r="B187" s="12"/>
      <c r="C187" s="12"/>
      <c r="D187" s="12"/>
      <c r="E187" s="12"/>
      <c r="F187" s="173" t="str">
        <f>Asset11</f>
        <v>other</v>
      </c>
      <c r="G187" s="380">
        <v>1.702E-2</v>
      </c>
      <c r="H187" s="381">
        <v>1.1655238422892384E-2</v>
      </c>
      <c r="I187" s="375">
        <v>0</v>
      </c>
      <c r="J187" s="375">
        <v>8.1670000000000006E-3</v>
      </c>
      <c r="K187" s="375">
        <v>0</v>
      </c>
      <c r="L187" s="375">
        <v>0</v>
      </c>
      <c r="M187" s="375">
        <v>0</v>
      </c>
      <c r="N187" s="197"/>
      <c r="O187" s="197"/>
      <c r="P187" s="197"/>
      <c r="Q187" s="197"/>
      <c r="R187" s="36"/>
      <c r="S187" s="36"/>
      <c r="T187" s="36"/>
      <c r="U187" s="36"/>
      <c r="V187" s="36"/>
      <c r="W187" s="36"/>
      <c r="X187" s="36"/>
      <c r="Y187" s="8"/>
      <c r="Z187" s="8"/>
      <c r="AA187" s="42"/>
      <c r="AB187" s="9"/>
      <c r="AC187" s="9"/>
      <c r="AD187" s="9"/>
      <c r="AE187" s="198"/>
      <c r="AF187" s="198"/>
      <c r="AG187" s="198"/>
      <c r="AH187" s="198"/>
      <c r="AI187" s="198"/>
      <c r="AJ187" s="198"/>
      <c r="AK187" s="198"/>
      <c r="AL187" s="198"/>
      <c r="AM187" s="198"/>
      <c r="AN187" s="198"/>
      <c r="AO187" s="198"/>
      <c r="AP187" s="198"/>
      <c r="AQ187" s="198"/>
      <c r="AR187" s="198"/>
      <c r="AS187" s="198"/>
      <c r="AT187" s="198"/>
      <c r="AU187" s="198"/>
    </row>
    <row r="188" spans="1:47" ht="12.75" hidden="1" customHeight="1" outlineLevel="1">
      <c r="A188" s="12"/>
      <c r="B188" s="12"/>
      <c r="C188" s="12"/>
      <c r="D188" s="12"/>
      <c r="E188" s="12"/>
      <c r="F188" s="173" t="str">
        <f>Asset12</f>
        <v>premises</v>
      </c>
      <c r="G188" s="380">
        <v>2.96E-3</v>
      </c>
      <c r="H188" s="381">
        <v>0</v>
      </c>
      <c r="I188" s="375">
        <v>0</v>
      </c>
      <c r="J188" s="375">
        <v>0</v>
      </c>
      <c r="K188" s="375">
        <v>0</v>
      </c>
      <c r="L188" s="375">
        <v>0</v>
      </c>
      <c r="M188" s="375">
        <v>0</v>
      </c>
      <c r="N188" s="197"/>
      <c r="O188" s="197"/>
      <c r="P188" s="197"/>
      <c r="Q188" s="197"/>
      <c r="R188" s="36"/>
      <c r="S188" s="36"/>
      <c r="T188" s="36"/>
      <c r="U188" s="36"/>
      <c r="V188" s="36"/>
      <c r="W188" s="36"/>
      <c r="X188" s="36"/>
      <c r="Y188" s="8"/>
      <c r="Z188" s="8"/>
      <c r="AA188" s="42"/>
      <c r="AB188" s="9"/>
      <c r="AC188" s="9"/>
      <c r="AD188" s="9"/>
      <c r="AE188" s="198"/>
      <c r="AF188" s="198"/>
      <c r="AG188" s="198"/>
      <c r="AH188" s="198"/>
      <c r="AI188" s="198"/>
      <c r="AJ188" s="198"/>
      <c r="AK188" s="198"/>
      <c r="AL188" s="198"/>
      <c r="AM188" s="198"/>
      <c r="AN188" s="198"/>
      <c r="AO188" s="198"/>
      <c r="AP188" s="198"/>
      <c r="AQ188" s="198"/>
      <c r="AR188" s="198"/>
      <c r="AS188" s="198"/>
      <c r="AT188" s="198"/>
      <c r="AU188" s="198"/>
    </row>
    <row r="189" spans="1:47" ht="12.75" hidden="1" customHeight="1" outlineLevel="1">
      <c r="A189" s="12"/>
      <c r="B189" s="12"/>
      <c r="C189" s="12"/>
      <c r="D189" s="12"/>
      <c r="E189" s="12"/>
      <c r="F189" s="173" t="str">
        <f>Asset13</f>
        <v>Land</v>
      </c>
      <c r="G189" s="380">
        <v>0</v>
      </c>
      <c r="H189" s="381">
        <v>0</v>
      </c>
      <c r="I189" s="375">
        <v>0</v>
      </c>
      <c r="J189" s="375">
        <v>0.47399999999999998</v>
      </c>
      <c r="K189" s="375">
        <v>0.96799999999999997</v>
      </c>
      <c r="L189" s="375">
        <v>0</v>
      </c>
      <c r="M189" s="375">
        <v>0</v>
      </c>
      <c r="N189" s="197"/>
      <c r="O189" s="197"/>
      <c r="P189" s="197"/>
      <c r="Q189" s="197"/>
      <c r="R189" s="36"/>
      <c r="S189" s="36"/>
      <c r="T189" s="36"/>
      <c r="U189" s="36"/>
      <c r="V189" s="36"/>
      <c r="W189" s="36"/>
      <c r="X189" s="36"/>
      <c r="Y189" s="8"/>
      <c r="Z189" s="8"/>
      <c r="AA189" s="42"/>
      <c r="AB189" s="9"/>
      <c r="AC189" s="9"/>
      <c r="AD189" s="9"/>
      <c r="AE189" s="198"/>
      <c r="AF189" s="198"/>
      <c r="AG189" s="198"/>
      <c r="AH189" s="198"/>
      <c r="AI189" s="198"/>
      <c r="AJ189" s="198"/>
      <c r="AK189" s="198"/>
      <c r="AL189" s="198"/>
      <c r="AM189" s="198"/>
      <c r="AN189" s="198"/>
      <c r="AO189" s="198"/>
      <c r="AP189" s="198"/>
      <c r="AQ189" s="198"/>
      <c r="AR189" s="198"/>
      <c r="AS189" s="198"/>
      <c r="AT189" s="198"/>
      <c r="AU189" s="198"/>
    </row>
    <row r="190" spans="1:47" ht="12.75" hidden="1" customHeight="1" outlineLevel="1">
      <c r="A190" s="12"/>
      <c r="B190" s="12"/>
      <c r="C190" s="12"/>
      <c r="D190" s="12"/>
      <c r="E190" s="12"/>
      <c r="F190" s="173" t="str">
        <f>Asset14</f>
        <v>Easements</v>
      </c>
      <c r="G190" s="380">
        <v>0</v>
      </c>
      <c r="H190" s="381">
        <v>0</v>
      </c>
      <c r="I190" s="375">
        <v>0</v>
      </c>
      <c r="J190" s="375">
        <v>0</v>
      </c>
      <c r="K190" s="375">
        <v>0</v>
      </c>
      <c r="L190" s="375">
        <v>0</v>
      </c>
      <c r="M190" s="375">
        <v>0</v>
      </c>
      <c r="N190" s="197"/>
      <c r="O190" s="197"/>
      <c r="P190" s="197"/>
      <c r="Q190" s="197"/>
      <c r="R190" s="36"/>
      <c r="S190" s="36"/>
      <c r="T190" s="36"/>
      <c r="U190" s="36"/>
      <c r="V190" s="36"/>
      <c r="W190" s="36"/>
      <c r="X190" s="36"/>
      <c r="Y190" s="8"/>
      <c r="Z190" s="8"/>
      <c r="AA190" s="42"/>
      <c r="AB190" s="9"/>
      <c r="AC190" s="9"/>
      <c r="AD190" s="9"/>
      <c r="AE190" s="198"/>
      <c r="AF190" s="198"/>
      <c r="AG190" s="198"/>
      <c r="AH190" s="198"/>
      <c r="AI190" s="198"/>
      <c r="AJ190" s="198"/>
      <c r="AK190" s="198"/>
      <c r="AL190" s="198"/>
      <c r="AM190" s="198"/>
      <c r="AN190" s="198"/>
      <c r="AO190" s="198"/>
      <c r="AP190" s="198"/>
      <c r="AQ190" s="198"/>
      <c r="AR190" s="198"/>
      <c r="AS190" s="198"/>
      <c r="AT190" s="198"/>
      <c r="AU190" s="198"/>
    </row>
    <row r="191" spans="1:47" ht="12.75" hidden="1" customHeight="1" outlineLevel="1">
      <c r="A191" s="12"/>
      <c r="B191" s="12"/>
      <c r="C191" s="12"/>
      <c r="D191" s="12"/>
      <c r="E191" s="12"/>
      <c r="F191" s="173">
        <f>Asset15</f>
        <v>0</v>
      </c>
      <c r="G191" s="163"/>
      <c r="H191" s="64"/>
      <c r="I191" s="64"/>
      <c r="J191" s="64"/>
      <c r="K191" s="64"/>
      <c r="L191" s="64"/>
      <c r="M191" s="196"/>
      <c r="N191" s="197"/>
      <c r="O191" s="197"/>
      <c r="P191" s="197"/>
      <c r="Q191" s="197"/>
      <c r="R191" s="36"/>
      <c r="S191" s="36"/>
      <c r="T191" s="36"/>
      <c r="U191" s="36"/>
      <c r="V191" s="36"/>
      <c r="W191" s="36"/>
      <c r="X191" s="36"/>
      <c r="Y191" s="8"/>
      <c r="Z191" s="8"/>
      <c r="AA191" s="42"/>
      <c r="AB191" s="9"/>
      <c r="AC191" s="9"/>
      <c r="AD191" s="9"/>
      <c r="AE191" s="198"/>
      <c r="AF191" s="198"/>
      <c r="AG191" s="198"/>
      <c r="AH191" s="198"/>
      <c r="AI191" s="198"/>
      <c r="AJ191" s="198"/>
      <c r="AK191" s="198"/>
      <c r="AL191" s="198"/>
      <c r="AM191" s="198"/>
      <c r="AN191" s="198"/>
      <c r="AO191" s="198"/>
      <c r="AP191" s="198"/>
      <c r="AQ191" s="198"/>
      <c r="AR191" s="198"/>
      <c r="AS191" s="198"/>
      <c r="AT191" s="198"/>
      <c r="AU191" s="198"/>
    </row>
    <row r="192" spans="1:47" ht="12.75" hidden="1" customHeight="1" outlineLevel="1">
      <c r="A192" s="12"/>
      <c r="B192" s="12"/>
      <c r="C192" s="12"/>
      <c r="D192" s="12"/>
      <c r="E192" s="12"/>
      <c r="F192" s="173">
        <f>Asset16</f>
        <v>0</v>
      </c>
      <c r="G192" s="163"/>
      <c r="H192" s="64"/>
      <c r="I192" s="64"/>
      <c r="J192" s="64"/>
      <c r="K192" s="64"/>
      <c r="L192" s="64"/>
      <c r="M192" s="196"/>
      <c r="N192" s="197"/>
      <c r="O192" s="197"/>
      <c r="P192" s="197"/>
      <c r="Q192" s="197"/>
      <c r="R192" s="36"/>
      <c r="S192" s="36"/>
      <c r="T192" s="36"/>
      <c r="U192" s="36"/>
      <c r="V192" s="36"/>
      <c r="W192" s="36"/>
      <c r="X192" s="36"/>
      <c r="Y192" s="8"/>
      <c r="Z192" s="8"/>
      <c r="AA192" s="42"/>
      <c r="AB192" s="9"/>
      <c r="AC192" s="9"/>
      <c r="AD192" s="9"/>
      <c r="AE192" s="198"/>
      <c r="AF192" s="198"/>
      <c r="AG192" s="198"/>
      <c r="AH192" s="198"/>
      <c r="AI192" s="198"/>
      <c r="AJ192" s="198"/>
      <c r="AK192" s="198"/>
      <c r="AL192" s="198"/>
      <c r="AM192" s="198"/>
      <c r="AN192" s="198"/>
      <c r="AO192" s="198"/>
      <c r="AP192" s="198"/>
      <c r="AQ192" s="198"/>
      <c r="AR192" s="198"/>
      <c r="AS192" s="198"/>
      <c r="AT192" s="198"/>
      <c r="AU192" s="198"/>
    </row>
    <row r="193" spans="1:47" ht="12.75" hidden="1" customHeight="1" outlineLevel="1">
      <c r="A193" s="12"/>
      <c r="B193" s="12"/>
      <c r="C193" s="12"/>
      <c r="D193" s="12"/>
      <c r="E193" s="12"/>
      <c r="F193" s="173">
        <f>Asset17</f>
        <v>0</v>
      </c>
      <c r="G193" s="163"/>
      <c r="H193" s="64"/>
      <c r="I193" s="64"/>
      <c r="J193" s="64"/>
      <c r="K193" s="64"/>
      <c r="L193" s="64"/>
      <c r="M193" s="196"/>
      <c r="N193" s="197"/>
      <c r="O193" s="197"/>
      <c r="P193" s="197"/>
      <c r="Q193" s="197"/>
      <c r="R193" s="36"/>
      <c r="S193" s="36"/>
      <c r="T193" s="36"/>
      <c r="U193" s="36"/>
      <c r="V193" s="36"/>
      <c r="W193" s="36"/>
      <c r="X193" s="36"/>
      <c r="Y193" s="8"/>
      <c r="Z193" s="8"/>
      <c r="AA193" s="42"/>
      <c r="AB193" s="9"/>
      <c r="AC193" s="9"/>
      <c r="AD193" s="9"/>
      <c r="AE193" s="198"/>
      <c r="AF193" s="198"/>
      <c r="AG193" s="198"/>
      <c r="AH193" s="198"/>
      <c r="AI193" s="198"/>
      <c r="AJ193" s="198"/>
      <c r="AK193" s="198"/>
      <c r="AL193" s="198"/>
      <c r="AM193" s="198"/>
      <c r="AN193" s="198"/>
      <c r="AO193" s="198"/>
      <c r="AP193" s="198"/>
      <c r="AQ193" s="198"/>
      <c r="AR193" s="198"/>
      <c r="AS193" s="198"/>
      <c r="AT193" s="198"/>
      <c r="AU193" s="198"/>
    </row>
    <row r="194" spans="1:47" ht="12.75" hidden="1" customHeight="1" outlineLevel="1">
      <c r="A194" s="12"/>
      <c r="B194" s="12"/>
      <c r="C194" s="12"/>
      <c r="D194" s="12"/>
      <c r="E194" s="12"/>
      <c r="F194" s="173">
        <f>Asset18</f>
        <v>0</v>
      </c>
      <c r="G194" s="163"/>
      <c r="H194" s="64"/>
      <c r="I194" s="64"/>
      <c r="J194" s="64"/>
      <c r="K194" s="64"/>
      <c r="L194" s="64"/>
      <c r="M194" s="196"/>
      <c r="N194" s="197"/>
      <c r="O194" s="197"/>
      <c r="P194" s="197"/>
      <c r="Q194" s="197"/>
      <c r="R194" s="36"/>
      <c r="S194" s="36"/>
      <c r="T194" s="36"/>
      <c r="U194" s="36"/>
      <c r="V194" s="36"/>
      <c r="W194" s="36"/>
      <c r="X194" s="36"/>
      <c r="Y194" s="8"/>
      <c r="Z194" s="8"/>
      <c r="AA194" s="42"/>
      <c r="AB194" s="9"/>
      <c r="AC194" s="9"/>
      <c r="AD194" s="9"/>
      <c r="AE194" s="198"/>
      <c r="AF194" s="198"/>
      <c r="AG194" s="198"/>
      <c r="AH194" s="198"/>
      <c r="AI194" s="198"/>
      <c r="AJ194" s="198"/>
      <c r="AK194" s="198"/>
      <c r="AL194" s="198"/>
      <c r="AM194" s="198"/>
      <c r="AN194" s="198"/>
      <c r="AO194" s="198"/>
      <c r="AP194" s="198"/>
      <c r="AQ194" s="198"/>
      <c r="AR194" s="198"/>
      <c r="AS194" s="198"/>
      <c r="AT194" s="198"/>
      <c r="AU194" s="198"/>
    </row>
    <row r="195" spans="1:47" ht="12.75" hidden="1" customHeight="1" outlineLevel="1">
      <c r="A195" s="12"/>
      <c r="B195" s="12"/>
      <c r="C195" s="12"/>
      <c r="D195" s="12"/>
      <c r="E195" s="12"/>
      <c r="F195" s="173">
        <f>Asset19</f>
        <v>0</v>
      </c>
      <c r="G195" s="163"/>
      <c r="H195" s="64"/>
      <c r="I195" s="64"/>
      <c r="J195" s="64"/>
      <c r="K195" s="64"/>
      <c r="L195" s="64"/>
      <c r="M195" s="196"/>
      <c r="N195" s="197"/>
      <c r="O195" s="197"/>
      <c r="P195" s="197"/>
      <c r="Q195" s="197"/>
      <c r="R195" s="36"/>
      <c r="S195" s="36"/>
      <c r="T195" s="36"/>
      <c r="U195" s="36"/>
      <c r="V195" s="36"/>
      <c r="W195" s="36"/>
      <c r="X195" s="36"/>
      <c r="Y195" s="8"/>
      <c r="Z195" s="8"/>
      <c r="AA195" s="42"/>
      <c r="AB195" s="9"/>
      <c r="AC195" s="9"/>
      <c r="AD195" s="9"/>
      <c r="AE195" s="198"/>
      <c r="AF195" s="198"/>
      <c r="AG195" s="198"/>
      <c r="AH195" s="198"/>
      <c r="AI195" s="198"/>
      <c r="AJ195" s="198"/>
      <c r="AK195" s="198"/>
      <c r="AL195" s="198"/>
      <c r="AM195" s="198"/>
      <c r="AN195" s="198"/>
      <c r="AO195" s="198"/>
      <c r="AP195" s="198"/>
      <c r="AQ195" s="198"/>
      <c r="AR195" s="198"/>
      <c r="AS195" s="198"/>
      <c r="AT195" s="198"/>
      <c r="AU195" s="198"/>
    </row>
    <row r="196" spans="1:47" ht="12.75" hidden="1" customHeight="1" outlineLevel="1">
      <c r="A196" s="12"/>
      <c r="B196" s="12"/>
      <c r="C196" s="12"/>
      <c r="D196" s="12"/>
      <c r="E196" s="12"/>
      <c r="F196" s="173">
        <f>Asset20</f>
        <v>0</v>
      </c>
      <c r="G196" s="163"/>
      <c r="H196" s="64"/>
      <c r="I196" s="64"/>
      <c r="J196" s="64"/>
      <c r="K196" s="64"/>
      <c r="L196" s="64"/>
      <c r="M196" s="196"/>
      <c r="N196" s="197"/>
      <c r="O196" s="197"/>
      <c r="P196" s="197"/>
      <c r="Q196" s="197"/>
      <c r="R196" s="36"/>
      <c r="S196" s="36"/>
      <c r="T196" s="36"/>
      <c r="U196" s="36"/>
      <c r="V196" s="36"/>
      <c r="W196" s="36"/>
      <c r="X196" s="36"/>
      <c r="Y196" s="8"/>
      <c r="Z196" s="8"/>
      <c r="AA196" s="42"/>
      <c r="AB196" s="9"/>
      <c r="AC196" s="9"/>
      <c r="AD196" s="9"/>
      <c r="AE196" s="198"/>
      <c r="AF196" s="198"/>
      <c r="AG196" s="198"/>
      <c r="AH196" s="198"/>
      <c r="AI196" s="198"/>
      <c r="AJ196" s="198"/>
      <c r="AK196" s="198"/>
      <c r="AL196" s="198"/>
      <c r="AM196" s="198"/>
      <c r="AN196" s="198"/>
      <c r="AO196" s="198"/>
      <c r="AP196" s="198"/>
      <c r="AQ196" s="198"/>
      <c r="AR196" s="198"/>
      <c r="AS196" s="198"/>
      <c r="AT196" s="198"/>
      <c r="AU196" s="198"/>
    </row>
    <row r="197" spans="1:47" ht="12.75" hidden="1" customHeight="1" outlineLevel="1">
      <c r="A197" s="12"/>
      <c r="B197" s="12"/>
      <c r="C197" s="12"/>
      <c r="D197" s="12"/>
      <c r="E197" s="12"/>
      <c r="F197" s="303">
        <f>Asset21</f>
        <v>0</v>
      </c>
      <c r="G197" s="163"/>
      <c r="H197" s="64"/>
      <c r="I197" s="64"/>
      <c r="J197" s="64"/>
      <c r="K197" s="64"/>
      <c r="L197" s="64"/>
      <c r="M197" s="196"/>
      <c r="N197" s="197"/>
      <c r="O197" s="197"/>
      <c r="P197" s="197"/>
      <c r="Q197" s="197"/>
      <c r="R197" s="36"/>
      <c r="S197" s="36"/>
      <c r="T197" s="36"/>
      <c r="U197" s="36"/>
      <c r="V197" s="36"/>
      <c r="W197" s="36"/>
      <c r="X197" s="36"/>
      <c r="Y197" s="8"/>
      <c r="Z197" s="8"/>
      <c r="AA197" s="42"/>
      <c r="AB197" s="9"/>
      <c r="AC197" s="9"/>
      <c r="AD197" s="9"/>
      <c r="AE197" s="198"/>
      <c r="AF197" s="198"/>
      <c r="AG197" s="198"/>
      <c r="AH197" s="198"/>
      <c r="AI197" s="198"/>
      <c r="AJ197" s="198"/>
      <c r="AK197" s="198"/>
      <c r="AL197" s="198"/>
      <c r="AM197" s="198"/>
      <c r="AN197" s="198"/>
      <c r="AO197" s="198"/>
      <c r="AP197" s="198"/>
      <c r="AQ197" s="198"/>
      <c r="AR197" s="198"/>
      <c r="AS197" s="198"/>
      <c r="AT197" s="198"/>
      <c r="AU197" s="198"/>
    </row>
    <row r="198" spans="1:47" ht="12.75" hidden="1" customHeight="1" outlineLevel="1">
      <c r="A198" s="12"/>
      <c r="B198" s="12"/>
      <c r="C198" s="12"/>
      <c r="D198" s="12"/>
      <c r="E198" s="12"/>
      <c r="F198" s="303">
        <f>Asset22</f>
        <v>0</v>
      </c>
      <c r="G198" s="163"/>
      <c r="H198" s="64"/>
      <c r="I198" s="64"/>
      <c r="J198" s="64"/>
      <c r="K198" s="64"/>
      <c r="L198" s="64"/>
      <c r="M198" s="196"/>
      <c r="N198" s="197"/>
      <c r="O198" s="197"/>
      <c r="P198" s="197"/>
      <c r="Q198" s="197"/>
      <c r="R198" s="36"/>
      <c r="S198" s="36"/>
      <c r="T198" s="36"/>
      <c r="U198" s="36"/>
      <c r="V198" s="36"/>
      <c r="W198" s="36"/>
      <c r="X198" s="36"/>
      <c r="Y198" s="8"/>
      <c r="Z198" s="8"/>
      <c r="AA198" s="42"/>
      <c r="AB198" s="9"/>
      <c r="AC198" s="9"/>
      <c r="AD198" s="9"/>
      <c r="AE198" s="198"/>
      <c r="AF198" s="198"/>
      <c r="AG198" s="198"/>
      <c r="AH198" s="198"/>
      <c r="AI198" s="198"/>
      <c r="AJ198" s="198"/>
      <c r="AK198" s="198"/>
      <c r="AL198" s="198"/>
      <c r="AM198" s="198"/>
      <c r="AN198" s="198"/>
      <c r="AO198" s="198"/>
      <c r="AP198" s="198"/>
      <c r="AQ198" s="198"/>
      <c r="AR198" s="198"/>
      <c r="AS198" s="198"/>
      <c r="AT198" s="198"/>
      <c r="AU198" s="198"/>
    </row>
    <row r="199" spans="1:47" ht="12.75" hidden="1" customHeight="1" outlineLevel="1">
      <c r="A199" s="12"/>
      <c r="B199" s="12"/>
      <c r="C199" s="12"/>
      <c r="D199" s="12"/>
      <c r="E199" s="12"/>
      <c r="F199" s="303">
        <f>Asset23</f>
        <v>0</v>
      </c>
      <c r="G199" s="163"/>
      <c r="H199" s="64"/>
      <c r="I199" s="64"/>
      <c r="J199" s="64"/>
      <c r="K199" s="64"/>
      <c r="L199" s="64"/>
      <c r="M199" s="196"/>
      <c r="N199" s="197"/>
      <c r="O199" s="197"/>
      <c r="P199" s="197"/>
      <c r="Q199" s="197"/>
      <c r="R199" s="36"/>
      <c r="S199" s="36"/>
      <c r="T199" s="36"/>
      <c r="U199" s="36"/>
      <c r="V199" s="36"/>
      <c r="W199" s="36"/>
      <c r="X199" s="36"/>
      <c r="Y199" s="8"/>
      <c r="Z199" s="8"/>
      <c r="AA199" s="42"/>
      <c r="AB199" s="9"/>
      <c r="AC199" s="9"/>
      <c r="AD199" s="9"/>
      <c r="AE199" s="198"/>
      <c r="AF199" s="198"/>
      <c r="AG199" s="198"/>
      <c r="AH199" s="198"/>
      <c r="AI199" s="198"/>
      <c r="AJ199" s="198"/>
      <c r="AK199" s="198"/>
      <c r="AL199" s="198"/>
      <c r="AM199" s="198"/>
      <c r="AN199" s="198"/>
      <c r="AO199" s="198"/>
      <c r="AP199" s="198"/>
      <c r="AQ199" s="198"/>
      <c r="AR199" s="198"/>
      <c r="AS199" s="198"/>
      <c r="AT199" s="198"/>
      <c r="AU199" s="198"/>
    </row>
    <row r="200" spans="1:47" ht="12.75" hidden="1" customHeight="1" outlineLevel="1">
      <c r="A200" s="12"/>
      <c r="B200" s="12"/>
      <c r="C200" s="12"/>
      <c r="D200" s="12"/>
      <c r="E200" s="12"/>
      <c r="F200" s="303">
        <f>Asset24</f>
        <v>0</v>
      </c>
      <c r="G200" s="163"/>
      <c r="H200" s="64"/>
      <c r="I200" s="64"/>
      <c r="J200" s="64"/>
      <c r="K200" s="64"/>
      <c r="L200" s="64"/>
      <c r="M200" s="196"/>
      <c r="N200" s="197"/>
      <c r="O200" s="197"/>
      <c r="P200" s="197"/>
      <c r="Q200" s="197"/>
      <c r="R200" s="36"/>
      <c r="S200" s="36"/>
      <c r="T200" s="36"/>
      <c r="U200" s="36"/>
      <c r="V200" s="36"/>
      <c r="W200" s="36"/>
      <c r="X200" s="36"/>
      <c r="Y200" s="8"/>
      <c r="Z200" s="8"/>
      <c r="AA200" s="42"/>
      <c r="AB200" s="9"/>
      <c r="AC200" s="9"/>
      <c r="AD200" s="9"/>
      <c r="AE200" s="198"/>
      <c r="AF200" s="198"/>
      <c r="AG200" s="198"/>
      <c r="AH200" s="198"/>
      <c r="AI200" s="198"/>
      <c r="AJ200" s="198"/>
      <c r="AK200" s="198"/>
      <c r="AL200" s="198"/>
      <c r="AM200" s="198"/>
      <c r="AN200" s="198"/>
      <c r="AO200" s="198"/>
      <c r="AP200" s="198"/>
      <c r="AQ200" s="198"/>
      <c r="AR200" s="198"/>
      <c r="AS200" s="198"/>
      <c r="AT200" s="198"/>
      <c r="AU200" s="198"/>
    </row>
    <row r="201" spans="1:47" ht="12.75" hidden="1" customHeight="1" outlineLevel="1">
      <c r="A201" s="12"/>
      <c r="B201" s="12"/>
      <c r="C201" s="12"/>
      <c r="D201" s="12"/>
      <c r="E201" s="12"/>
      <c r="F201" s="303">
        <f>Asset25</f>
        <v>0</v>
      </c>
      <c r="G201" s="163"/>
      <c r="H201" s="64"/>
      <c r="I201" s="64"/>
      <c r="J201" s="64"/>
      <c r="K201" s="64"/>
      <c r="L201" s="64"/>
      <c r="M201" s="196"/>
      <c r="N201" s="197"/>
      <c r="O201" s="197"/>
      <c r="P201" s="197"/>
      <c r="Q201" s="197"/>
      <c r="R201" s="36"/>
      <c r="S201" s="36"/>
      <c r="T201" s="36"/>
      <c r="U201" s="36"/>
      <c r="V201" s="36"/>
      <c r="W201" s="36"/>
      <c r="X201" s="36"/>
      <c r="Y201" s="8"/>
      <c r="Z201" s="8"/>
      <c r="AA201" s="42"/>
      <c r="AB201" s="9"/>
      <c r="AC201" s="9"/>
      <c r="AD201" s="9"/>
      <c r="AE201" s="198"/>
      <c r="AF201" s="198"/>
      <c r="AG201" s="198"/>
      <c r="AH201" s="198"/>
      <c r="AI201" s="198"/>
      <c r="AJ201" s="198"/>
      <c r="AK201" s="198"/>
      <c r="AL201" s="198"/>
      <c r="AM201" s="198"/>
      <c r="AN201" s="198"/>
      <c r="AO201" s="198"/>
      <c r="AP201" s="198"/>
      <c r="AQ201" s="198"/>
      <c r="AR201" s="198"/>
      <c r="AS201" s="198"/>
      <c r="AT201" s="198"/>
      <c r="AU201" s="198"/>
    </row>
    <row r="202" spans="1:47" ht="12.75" hidden="1" customHeight="1" outlineLevel="1">
      <c r="A202" s="12"/>
      <c r="B202" s="12"/>
      <c r="C202" s="12"/>
      <c r="D202" s="12"/>
      <c r="E202" s="12"/>
      <c r="F202" s="303">
        <f>Asset26</f>
        <v>0</v>
      </c>
      <c r="G202" s="163"/>
      <c r="H202" s="64"/>
      <c r="I202" s="64"/>
      <c r="J202" s="64"/>
      <c r="K202" s="64"/>
      <c r="L202" s="64"/>
      <c r="M202" s="196"/>
      <c r="N202" s="197"/>
      <c r="O202" s="197"/>
      <c r="P202" s="197"/>
      <c r="Q202" s="197"/>
      <c r="R202" s="36"/>
      <c r="S202" s="36"/>
      <c r="T202" s="36"/>
      <c r="U202" s="36"/>
      <c r="V202" s="36"/>
      <c r="W202" s="36"/>
      <c r="X202" s="36"/>
      <c r="Y202" s="8"/>
      <c r="Z202" s="8"/>
      <c r="AA202" s="42"/>
      <c r="AB202" s="9"/>
      <c r="AC202" s="9"/>
      <c r="AD202" s="9"/>
      <c r="AE202" s="198"/>
      <c r="AF202" s="198"/>
      <c r="AG202" s="198"/>
      <c r="AH202" s="198"/>
      <c r="AI202" s="198"/>
      <c r="AJ202" s="198"/>
      <c r="AK202" s="198"/>
      <c r="AL202" s="198"/>
      <c r="AM202" s="198"/>
      <c r="AN202" s="198"/>
      <c r="AO202" s="198"/>
      <c r="AP202" s="198"/>
      <c r="AQ202" s="198"/>
      <c r="AR202" s="198"/>
      <c r="AS202" s="198"/>
      <c r="AT202" s="198"/>
      <c r="AU202" s="198"/>
    </row>
    <row r="203" spans="1:47" ht="12.75" hidden="1" customHeight="1" outlineLevel="1">
      <c r="A203" s="12"/>
      <c r="B203" s="12"/>
      <c r="C203" s="12"/>
      <c r="D203" s="12"/>
      <c r="E203" s="12"/>
      <c r="F203" s="303">
        <f>Asset27</f>
        <v>0</v>
      </c>
      <c r="G203" s="163"/>
      <c r="H203" s="64"/>
      <c r="I203" s="64"/>
      <c r="J203" s="64"/>
      <c r="K203" s="64"/>
      <c r="L203" s="64"/>
      <c r="M203" s="196"/>
      <c r="N203" s="197"/>
      <c r="O203" s="197"/>
      <c r="P203" s="197"/>
      <c r="Q203" s="197"/>
      <c r="R203" s="36"/>
      <c r="S203" s="36"/>
      <c r="T203" s="36"/>
      <c r="U203" s="36"/>
      <c r="V203" s="36"/>
      <c r="W203" s="36"/>
      <c r="X203" s="36"/>
      <c r="Y203" s="8"/>
      <c r="Z203" s="8"/>
      <c r="AA203" s="42"/>
      <c r="AB203" s="9"/>
      <c r="AC203" s="9"/>
      <c r="AD203" s="9"/>
      <c r="AE203" s="198"/>
      <c r="AF203" s="198"/>
      <c r="AG203" s="198"/>
      <c r="AH203" s="198"/>
      <c r="AI203" s="198"/>
      <c r="AJ203" s="198"/>
      <c r="AK203" s="198"/>
      <c r="AL203" s="198"/>
      <c r="AM203" s="198"/>
      <c r="AN203" s="198"/>
      <c r="AO203" s="198"/>
      <c r="AP203" s="198"/>
      <c r="AQ203" s="198"/>
      <c r="AR203" s="198"/>
      <c r="AS203" s="198"/>
      <c r="AT203" s="198"/>
      <c r="AU203" s="198"/>
    </row>
    <row r="204" spans="1:47" ht="12.75" hidden="1" customHeight="1" outlineLevel="1">
      <c r="A204" s="12"/>
      <c r="B204" s="12"/>
      <c r="C204" s="12"/>
      <c r="D204" s="12"/>
      <c r="E204" s="12"/>
      <c r="F204" s="303">
        <f>Asset28</f>
        <v>0</v>
      </c>
      <c r="G204" s="163"/>
      <c r="H204" s="64"/>
      <c r="I204" s="64"/>
      <c r="J204" s="64"/>
      <c r="K204" s="64"/>
      <c r="L204" s="64"/>
      <c r="M204" s="196"/>
      <c r="N204" s="197"/>
      <c r="O204" s="197"/>
      <c r="P204" s="197"/>
      <c r="Q204" s="197"/>
      <c r="R204" s="36"/>
      <c r="S204" s="36"/>
      <c r="T204" s="36"/>
      <c r="U204" s="36"/>
      <c r="V204" s="36"/>
      <c r="W204" s="36"/>
      <c r="X204" s="36"/>
      <c r="Y204" s="8"/>
      <c r="Z204" s="8"/>
      <c r="AA204" s="42"/>
      <c r="AB204" s="9"/>
      <c r="AC204" s="9"/>
      <c r="AD204" s="9"/>
      <c r="AE204" s="198"/>
      <c r="AF204" s="198"/>
      <c r="AG204" s="198"/>
      <c r="AH204" s="198"/>
      <c r="AI204" s="198"/>
      <c r="AJ204" s="198"/>
      <c r="AK204" s="198"/>
      <c r="AL204" s="198"/>
      <c r="AM204" s="198"/>
      <c r="AN204" s="198"/>
      <c r="AO204" s="198"/>
      <c r="AP204" s="198"/>
      <c r="AQ204" s="198"/>
      <c r="AR204" s="198"/>
      <c r="AS204" s="198"/>
      <c r="AT204" s="198"/>
      <c r="AU204" s="198"/>
    </row>
    <row r="205" spans="1:47" ht="12.75" hidden="1" customHeight="1" outlineLevel="1">
      <c r="A205" s="12"/>
      <c r="B205" s="12"/>
      <c r="C205" s="12"/>
      <c r="D205" s="12"/>
      <c r="E205" s="12"/>
      <c r="F205" s="303">
        <f>Asset29</f>
        <v>0</v>
      </c>
      <c r="G205" s="163"/>
      <c r="H205" s="64"/>
      <c r="I205" s="64"/>
      <c r="J205" s="64"/>
      <c r="K205" s="64"/>
      <c r="L205" s="64"/>
      <c r="M205" s="196"/>
      <c r="N205" s="197"/>
      <c r="O205" s="197"/>
      <c r="P205" s="197"/>
      <c r="Q205" s="197"/>
      <c r="R205" s="36"/>
      <c r="S205" s="36"/>
      <c r="T205" s="36"/>
      <c r="U205" s="36"/>
      <c r="V205" s="36"/>
      <c r="W205" s="36"/>
      <c r="X205" s="36"/>
      <c r="Y205" s="8"/>
      <c r="Z205" s="8"/>
      <c r="AA205" s="42"/>
      <c r="AB205" s="9"/>
      <c r="AC205" s="9"/>
      <c r="AD205" s="9"/>
      <c r="AE205" s="198"/>
      <c r="AF205" s="198"/>
      <c r="AG205" s="198"/>
      <c r="AH205" s="198"/>
      <c r="AI205" s="198"/>
      <c r="AJ205" s="198"/>
      <c r="AK205" s="198"/>
      <c r="AL205" s="198"/>
      <c r="AM205" s="198"/>
      <c r="AN205" s="198"/>
      <c r="AO205" s="198"/>
      <c r="AP205" s="198"/>
      <c r="AQ205" s="198"/>
      <c r="AR205" s="198"/>
      <c r="AS205" s="198"/>
      <c r="AT205" s="198"/>
      <c r="AU205" s="198"/>
    </row>
    <row r="206" spans="1:47" ht="12.75" hidden="1" customHeight="1" outlineLevel="1">
      <c r="A206" s="12"/>
      <c r="B206" s="12"/>
      <c r="C206" s="12"/>
      <c r="D206" s="12"/>
      <c r="E206" s="12"/>
      <c r="F206" s="303">
        <f>Asset30</f>
        <v>0</v>
      </c>
      <c r="G206" s="163"/>
      <c r="H206" s="64"/>
      <c r="I206" s="64"/>
      <c r="J206" s="64"/>
      <c r="K206" s="64"/>
      <c r="L206" s="64"/>
      <c r="M206" s="196"/>
      <c r="N206" s="197"/>
      <c r="O206" s="197"/>
      <c r="P206" s="197"/>
      <c r="Q206" s="197"/>
      <c r="R206" s="36"/>
      <c r="S206" s="36"/>
      <c r="T206" s="36"/>
      <c r="U206" s="36"/>
      <c r="V206" s="36"/>
      <c r="W206" s="36"/>
      <c r="X206" s="36"/>
      <c r="Y206" s="8"/>
      <c r="Z206" s="8"/>
      <c r="AA206" s="42"/>
      <c r="AB206" s="9"/>
      <c r="AC206" s="9"/>
      <c r="AD206" s="9"/>
      <c r="AE206" s="198"/>
      <c r="AF206" s="198"/>
      <c r="AG206" s="198"/>
      <c r="AH206" s="198"/>
      <c r="AI206" s="198"/>
      <c r="AJ206" s="198"/>
      <c r="AK206" s="198"/>
      <c r="AL206" s="198"/>
      <c r="AM206" s="198"/>
      <c r="AN206" s="198"/>
      <c r="AO206" s="198"/>
      <c r="AP206" s="198"/>
      <c r="AQ206" s="198"/>
      <c r="AR206" s="198"/>
      <c r="AS206" s="198"/>
      <c r="AT206" s="198"/>
      <c r="AU206" s="198"/>
    </row>
    <row r="207" spans="1:47" collapsed="1">
      <c r="A207" s="12"/>
      <c r="B207" s="12"/>
      <c r="C207" s="12"/>
      <c r="D207" s="12"/>
      <c r="E207" s="12"/>
      <c r="F207" s="173" t="s">
        <v>19</v>
      </c>
      <c r="G207" s="308">
        <f>SUM(G177:G206)</f>
        <v>7.3999999999999996E-2</v>
      </c>
      <c r="H207" s="308">
        <f t="shared" ref="H207:Q207" si="40">SUM(H177:H206)</f>
        <v>0.68299113353816443</v>
      </c>
      <c r="I207" s="308">
        <f t="shared" si="40"/>
        <v>3.1290331880908809E-2</v>
      </c>
      <c r="J207" s="308">
        <f t="shared" si="40"/>
        <v>0.62412899999999993</v>
      </c>
      <c r="K207" s="308">
        <f t="shared" si="40"/>
        <v>0.96799999999999997</v>
      </c>
      <c r="L207" s="308">
        <f t="shared" si="40"/>
        <v>0</v>
      </c>
      <c r="M207" s="308">
        <f>SUM(M177:M206)</f>
        <v>0.30299999999999999</v>
      </c>
      <c r="N207" s="308">
        <f t="shared" si="40"/>
        <v>0</v>
      </c>
      <c r="O207" s="308">
        <f t="shared" si="40"/>
        <v>0</v>
      </c>
      <c r="P207" s="308">
        <f t="shared" si="40"/>
        <v>0</v>
      </c>
      <c r="Q207" s="308">
        <f t="shared" si="40"/>
        <v>0</v>
      </c>
      <c r="R207" s="36"/>
      <c r="S207" s="36"/>
      <c r="T207" s="36"/>
      <c r="U207" s="36"/>
      <c r="V207" s="36"/>
      <c r="W207" s="36"/>
      <c r="X207" s="36"/>
      <c r="Y207" s="8"/>
      <c r="Z207" s="8"/>
      <c r="AA207" s="42"/>
      <c r="AB207" s="9"/>
      <c r="AC207" s="9"/>
      <c r="AD207" s="9"/>
      <c r="AE207" s="198"/>
      <c r="AF207" s="198"/>
      <c r="AG207" s="198"/>
      <c r="AH207" s="198"/>
      <c r="AI207" s="198"/>
      <c r="AJ207" s="198"/>
      <c r="AK207" s="198"/>
      <c r="AL207" s="198"/>
      <c r="AM207" s="198"/>
      <c r="AN207" s="198"/>
      <c r="AO207" s="198"/>
      <c r="AP207" s="198"/>
      <c r="AQ207" s="198"/>
      <c r="AR207" s="198"/>
      <c r="AS207" s="198"/>
      <c r="AT207" s="198"/>
      <c r="AU207" s="198"/>
    </row>
    <row r="208" spans="1:47" ht="19.5" customHeight="1">
      <c r="A208" s="12"/>
      <c r="B208" s="12"/>
      <c r="C208" s="12"/>
      <c r="D208" s="12"/>
      <c r="E208" s="12"/>
      <c r="F208" s="38"/>
      <c r="G208" s="61"/>
      <c r="H208" s="61"/>
      <c r="I208" s="61"/>
      <c r="J208" s="61"/>
      <c r="K208" s="61"/>
      <c r="L208" s="61"/>
      <c r="M208" s="61"/>
      <c r="N208" s="36"/>
      <c r="O208" s="36"/>
      <c r="P208" s="36"/>
      <c r="Q208" s="36"/>
      <c r="R208" s="243">
        <f>SUM(G207:Q207)</f>
        <v>2.6834104654190729</v>
      </c>
      <c r="S208" s="36"/>
      <c r="T208" s="36"/>
      <c r="U208" s="36"/>
      <c r="V208" s="36"/>
      <c r="W208" s="36"/>
      <c r="X208" s="36"/>
      <c r="Y208" s="8"/>
      <c r="Z208" s="8"/>
      <c r="AA208" s="42"/>
      <c r="AB208" s="9"/>
      <c r="AC208" s="9"/>
      <c r="AD208" s="9"/>
      <c r="AE208" s="198"/>
      <c r="AF208" s="198"/>
      <c r="AG208" s="198"/>
      <c r="AH208" s="198"/>
      <c r="AI208" s="198"/>
      <c r="AJ208" s="198"/>
      <c r="AK208" s="198"/>
      <c r="AL208" s="198"/>
      <c r="AM208" s="198"/>
      <c r="AN208" s="198"/>
      <c r="AO208" s="198"/>
      <c r="AP208" s="198"/>
      <c r="AQ208" s="198"/>
      <c r="AR208" s="198"/>
      <c r="AS208" s="198"/>
      <c r="AT208" s="198"/>
      <c r="AU208" s="198"/>
    </row>
    <row r="209" spans="1:47">
      <c r="A209" s="74"/>
      <c r="B209" s="74"/>
      <c r="C209" s="74"/>
      <c r="D209" s="74"/>
      <c r="E209" s="74"/>
      <c r="F209" s="387" t="str">
        <f>"Actual Net Capital Expenditure – As Commissioned ($m Real "&amp;CONCATENATE(LEFT(X7, 4)-1 &amp;"-" &amp;IF(X7&gt;"2009-10",,"0") &amp;RIGHT(X7,2)-1)&amp;")"</f>
        <v>Actual Net Capital Expenditure – As Commissioned ($m Real 2007-08)</v>
      </c>
      <c r="G209" s="387"/>
      <c r="H209" s="387"/>
      <c r="I209" s="387"/>
      <c r="J209" s="166"/>
      <c r="K209" s="166"/>
      <c r="L209" s="166"/>
      <c r="M209" s="166"/>
      <c r="N209" s="167"/>
      <c r="O209" s="167"/>
      <c r="P209" s="167"/>
      <c r="Q209" s="167"/>
      <c r="R209" s="167"/>
      <c r="S209" s="167"/>
      <c r="T209" s="167"/>
      <c r="U209" s="167"/>
      <c r="V209" s="167"/>
      <c r="W209" s="167"/>
      <c r="X209" s="36"/>
      <c r="Y209" s="8"/>
      <c r="Z209" s="8"/>
      <c r="AA209" s="42"/>
      <c r="AB209" s="9"/>
      <c r="AC209" s="9"/>
      <c r="AD209" s="9"/>
      <c r="AE209" s="198"/>
      <c r="AF209" s="198"/>
      <c r="AG209" s="198"/>
      <c r="AH209" s="198"/>
      <c r="AI209" s="198"/>
      <c r="AJ209" s="198"/>
      <c r="AK209" s="198"/>
      <c r="AL209" s="198"/>
      <c r="AM209" s="198"/>
      <c r="AN209" s="198"/>
      <c r="AO209" s="198"/>
      <c r="AP209" s="198"/>
      <c r="AQ209" s="198"/>
      <c r="AR209" s="198"/>
      <c r="AS209" s="198"/>
      <c r="AT209" s="198"/>
      <c r="AU209" s="198"/>
    </row>
    <row r="210" spans="1:47">
      <c r="A210" s="12"/>
      <c r="B210" s="12"/>
      <c r="C210" s="12"/>
      <c r="D210" s="12"/>
      <c r="E210" s="12"/>
      <c r="F210" s="37" t="s">
        <v>3</v>
      </c>
      <c r="G210" s="241" t="str">
        <f>G40</f>
        <v>2007-08</v>
      </c>
      <c r="H210" s="241" t="str">
        <f t="shared" ref="H210:Q210" si="41">H40</f>
        <v>2008-09</v>
      </c>
      <c r="I210" s="241" t="str">
        <f t="shared" si="41"/>
        <v>2009-10</v>
      </c>
      <c r="J210" s="241" t="str">
        <f t="shared" si="41"/>
        <v>2010-11</v>
      </c>
      <c r="K210" s="241" t="str">
        <f t="shared" si="41"/>
        <v>2011-12</v>
      </c>
      <c r="L210" s="241" t="str">
        <f t="shared" si="41"/>
        <v>2012-13</v>
      </c>
      <c r="M210" s="241" t="str">
        <f t="shared" si="41"/>
        <v>2013-14</v>
      </c>
      <c r="N210" s="241" t="str">
        <f t="shared" si="41"/>
        <v>2014-15</v>
      </c>
      <c r="O210" s="241" t="str">
        <f t="shared" si="41"/>
        <v>2015-16</v>
      </c>
      <c r="P210" s="241" t="str">
        <f t="shared" si="41"/>
        <v>2016-17</v>
      </c>
      <c r="Q210" s="241" t="str">
        <f t="shared" si="41"/>
        <v>2017-18</v>
      </c>
      <c r="R210" s="36"/>
      <c r="S210" s="36"/>
      <c r="T210" s="36"/>
      <c r="U210" s="36"/>
      <c r="V210" s="36"/>
      <c r="W210" s="36"/>
      <c r="X210" s="36"/>
      <c r="Y210" s="8"/>
      <c r="Z210" s="8"/>
      <c r="AA210" s="42"/>
      <c r="AB210" s="9"/>
      <c r="AC210" s="9"/>
      <c r="AD210" s="9"/>
      <c r="AE210" s="198"/>
      <c r="AF210" s="198"/>
      <c r="AG210" s="198"/>
      <c r="AH210" s="198"/>
      <c r="AI210" s="198"/>
      <c r="AJ210" s="198"/>
      <c r="AK210" s="198"/>
      <c r="AL210" s="198"/>
      <c r="AM210" s="198"/>
      <c r="AN210" s="198"/>
      <c r="AO210" s="198"/>
      <c r="AP210" s="198"/>
      <c r="AQ210" s="198"/>
      <c r="AR210" s="198"/>
      <c r="AS210" s="198"/>
      <c r="AT210" s="198"/>
      <c r="AU210" s="198"/>
    </row>
    <row r="211" spans="1:47" hidden="1" outlineLevel="1">
      <c r="A211" s="12"/>
      <c r="B211" s="12"/>
      <c r="C211" s="12"/>
      <c r="D211" s="12"/>
      <c r="E211" s="12"/>
      <c r="F211" s="173" t="str">
        <f>Asset1</f>
        <v>Secondary</v>
      </c>
      <c r="G211" s="175">
        <f t="shared" ref="G211:Q211" si="42">(G143-G177)/G$246</f>
        <v>18.73217621557831</v>
      </c>
      <c r="H211" s="174">
        <f t="shared" si="42"/>
        <v>6.9270857142633036</v>
      </c>
      <c r="I211" s="174">
        <f t="shared" si="42"/>
        <v>2.7489547459289163</v>
      </c>
      <c r="J211" s="174">
        <f t="shared" si="42"/>
        <v>9.8111106699115052</v>
      </c>
      <c r="K211" s="174">
        <f t="shared" si="42"/>
        <v>10.604350349255379</v>
      </c>
      <c r="L211" s="174">
        <f t="shared" si="42"/>
        <v>25.3461606650223</v>
      </c>
      <c r="M211" s="174">
        <f t="shared" si="42"/>
        <v>16.579917794791985</v>
      </c>
      <c r="N211" s="174">
        <f t="shared" si="42"/>
        <v>0</v>
      </c>
      <c r="O211" s="174">
        <f t="shared" si="42"/>
        <v>0</v>
      </c>
      <c r="P211" s="174">
        <f t="shared" si="42"/>
        <v>0</v>
      </c>
      <c r="Q211" s="174">
        <f t="shared" si="42"/>
        <v>0</v>
      </c>
      <c r="R211" s="36"/>
      <c r="S211" s="36"/>
      <c r="T211" s="36"/>
      <c r="U211" s="36"/>
      <c r="V211" s="36"/>
      <c r="W211" s="36"/>
      <c r="X211" s="36"/>
      <c r="Y211" s="8"/>
      <c r="Z211" s="8"/>
      <c r="AA211" s="42"/>
      <c r="AB211" s="9"/>
      <c r="AC211" s="9"/>
      <c r="AD211" s="9"/>
      <c r="AE211" s="198"/>
      <c r="AF211" s="198"/>
      <c r="AG211" s="198"/>
      <c r="AH211" s="198"/>
      <c r="AI211" s="198"/>
      <c r="AJ211" s="198"/>
      <c r="AK211" s="198"/>
      <c r="AL211" s="198"/>
      <c r="AM211" s="198"/>
      <c r="AN211" s="198"/>
      <c r="AO211" s="198"/>
      <c r="AP211" s="198"/>
      <c r="AQ211" s="198"/>
      <c r="AR211" s="198"/>
      <c r="AS211" s="198"/>
      <c r="AT211" s="198"/>
      <c r="AU211" s="198"/>
    </row>
    <row r="212" spans="1:47" hidden="1" outlineLevel="1">
      <c r="A212" s="12"/>
      <c r="B212" s="12"/>
      <c r="C212" s="12"/>
      <c r="D212" s="12"/>
      <c r="E212" s="12"/>
      <c r="F212" s="173" t="str">
        <f>Asset2</f>
        <v>Switchgear</v>
      </c>
      <c r="G212" s="176">
        <f t="shared" ref="G212:Q212" si="43">(G144-G178)/G$246</f>
        <v>47.67171476011427</v>
      </c>
      <c r="H212" s="92">
        <f t="shared" si="43"/>
        <v>6.0512704659007097</v>
      </c>
      <c r="I212" s="92">
        <f t="shared" si="43"/>
        <v>24.506520096159317</v>
      </c>
      <c r="J212" s="92">
        <f t="shared" si="43"/>
        <v>44.778293315132721</v>
      </c>
      <c r="K212" s="92">
        <f t="shared" si="43"/>
        <v>29.368422970458344</v>
      </c>
      <c r="L212" s="92">
        <f t="shared" si="43"/>
        <v>23.839545417474916</v>
      </c>
      <c r="M212" s="92">
        <f t="shared" si="43"/>
        <v>36.298086873362486</v>
      </c>
      <c r="N212" s="92">
        <f t="shared" si="43"/>
        <v>0</v>
      </c>
      <c r="O212" s="92">
        <f t="shared" si="43"/>
        <v>0</v>
      </c>
      <c r="P212" s="92">
        <f t="shared" si="43"/>
        <v>0</v>
      </c>
      <c r="Q212" s="92">
        <f t="shared" si="43"/>
        <v>0</v>
      </c>
      <c r="R212" s="36"/>
      <c r="S212" s="36"/>
      <c r="T212" s="36"/>
      <c r="U212" s="36"/>
      <c r="V212" s="36"/>
      <c r="W212" s="36"/>
      <c r="X212" s="36"/>
      <c r="Y212" s="8"/>
      <c r="Z212" s="8"/>
      <c r="AA212" s="42"/>
      <c r="AB212" s="9"/>
      <c r="AC212" s="9"/>
      <c r="AD212" s="9"/>
      <c r="AE212" s="198"/>
      <c r="AF212" s="198"/>
      <c r="AG212" s="198"/>
      <c r="AH212" s="198"/>
      <c r="AI212" s="198"/>
      <c r="AJ212" s="198"/>
      <c r="AK212" s="198"/>
      <c r="AL212" s="198"/>
      <c r="AM212" s="198"/>
      <c r="AN212" s="198"/>
      <c r="AO212" s="198"/>
      <c r="AP212" s="198"/>
      <c r="AQ212" s="198"/>
      <c r="AR212" s="198"/>
      <c r="AS212" s="198"/>
      <c r="AT212" s="198"/>
      <c r="AU212" s="198"/>
    </row>
    <row r="213" spans="1:47" hidden="1" outlineLevel="1">
      <c r="A213" s="12"/>
      <c r="B213" s="12"/>
      <c r="C213" s="12"/>
      <c r="D213" s="12"/>
      <c r="E213" s="12"/>
      <c r="F213" s="173" t="str">
        <f>Asset3</f>
        <v>Transformers</v>
      </c>
      <c r="G213" s="176">
        <f t="shared" ref="G213:Q213" si="44">(G145-G179)/G$246</f>
        <v>12.316655489399336</v>
      </c>
      <c r="H213" s="92">
        <f t="shared" si="44"/>
        <v>4.628215097672312</v>
      </c>
      <c r="I213" s="92">
        <f t="shared" si="44"/>
        <v>5.6949295403942761</v>
      </c>
      <c r="J213" s="92">
        <f t="shared" si="44"/>
        <v>9.8787757930973576</v>
      </c>
      <c r="K213" s="92">
        <f t="shared" si="44"/>
        <v>8.0245099368800581</v>
      </c>
      <c r="L213" s="92">
        <f t="shared" si="44"/>
        <v>21.383969923829433</v>
      </c>
      <c r="M213" s="92">
        <f t="shared" si="44"/>
        <v>28.664898106597004</v>
      </c>
      <c r="N213" s="92">
        <f t="shared" si="44"/>
        <v>0</v>
      </c>
      <c r="O213" s="92">
        <f t="shared" si="44"/>
        <v>0</v>
      </c>
      <c r="P213" s="92">
        <f t="shared" si="44"/>
        <v>0</v>
      </c>
      <c r="Q213" s="92">
        <f t="shared" si="44"/>
        <v>0</v>
      </c>
      <c r="R213" s="36"/>
      <c r="S213" s="36"/>
      <c r="T213" s="36"/>
      <c r="U213" s="36"/>
      <c r="V213" s="36"/>
      <c r="W213" s="36"/>
      <c r="X213" s="36"/>
      <c r="Y213" s="8"/>
      <c r="Z213" s="8"/>
      <c r="AA213" s="42"/>
      <c r="AB213" s="9"/>
      <c r="AC213" s="9"/>
      <c r="AD213" s="9"/>
      <c r="AE213" s="198"/>
      <c r="AF213" s="198"/>
      <c r="AG213" s="198"/>
      <c r="AH213" s="198"/>
      <c r="AI213" s="198"/>
      <c r="AJ213" s="198"/>
      <c r="AK213" s="198"/>
      <c r="AL213" s="198"/>
      <c r="AM213" s="198"/>
      <c r="AN213" s="198"/>
      <c r="AO213" s="198"/>
      <c r="AP213" s="198"/>
      <c r="AQ213" s="198"/>
      <c r="AR213" s="198"/>
      <c r="AS213" s="198"/>
      <c r="AT213" s="198"/>
      <c r="AU213" s="198"/>
    </row>
    <row r="214" spans="1:47" hidden="1" outlineLevel="1">
      <c r="A214" s="12"/>
      <c r="B214" s="12"/>
      <c r="C214" s="12"/>
      <c r="D214" s="12"/>
      <c r="E214" s="12"/>
      <c r="F214" s="173" t="str">
        <f>Asset4</f>
        <v>Reactive</v>
      </c>
      <c r="G214" s="176">
        <f t="shared" ref="G214:Q214" si="45">(G146-G180)/G$246</f>
        <v>0.10741420130617492</v>
      </c>
      <c r="H214" s="92">
        <f t="shared" si="45"/>
        <v>5.8561630231105562E-3</v>
      </c>
      <c r="I214" s="92">
        <f t="shared" si="45"/>
        <v>0.9208095306626507</v>
      </c>
      <c r="J214" s="92">
        <f t="shared" si="45"/>
        <v>4.3277026106194695E-2</v>
      </c>
      <c r="K214" s="92">
        <f t="shared" si="45"/>
        <v>0.4686356064952753</v>
      </c>
      <c r="L214" s="92">
        <f t="shared" si="45"/>
        <v>0.818525164548495</v>
      </c>
      <c r="M214" s="92">
        <f t="shared" si="45"/>
        <v>0.72056793972063693</v>
      </c>
      <c r="N214" s="92">
        <f t="shared" si="45"/>
        <v>0</v>
      </c>
      <c r="O214" s="92">
        <f t="shared" si="45"/>
        <v>0</v>
      </c>
      <c r="P214" s="92">
        <f t="shared" si="45"/>
        <v>0</v>
      </c>
      <c r="Q214" s="92">
        <f t="shared" si="45"/>
        <v>0</v>
      </c>
      <c r="R214" s="36"/>
      <c r="S214" s="36"/>
      <c r="T214" s="36"/>
      <c r="U214" s="36"/>
      <c r="V214" s="36"/>
      <c r="W214" s="36"/>
      <c r="X214" s="36"/>
      <c r="Y214" s="8"/>
      <c r="Z214" s="8"/>
      <c r="AA214" s="42"/>
      <c r="AB214" s="9"/>
      <c r="AC214" s="9"/>
      <c r="AD214" s="9"/>
      <c r="AE214" s="198"/>
      <c r="AF214" s="198"/>
      <c r="AG214" s="198"/>
      <c r="AH214" s="198"/>
      <c r="AI214" s="198"/>
      <c r="AJ214" s="198"/>
      <c r="AK214" s="198"/>
      <c r="AL214" s="198"/>
      <c r="AM214" s="198"/>
      <c r="AN214" s="198"/>
      <c r="AO214" s="198"/>
      <c r="AP214" s="198"/>
      <c r="AQ214" s="198"/>
      <c r="AR214" s="198"/>
      <c r="AS214" s="198"/>
      <c r="AT214" s="198"/>
      <c r="AU214" s="198"/>
    </row>
    <row r="215" spans="1:47" hidden="1" outlineLevel="1">
      <c r="A215" s="12"/>
      <c r="B215" s="12"/>
      <c r="C215" s="12"/>
      <c r="D215" s="12"/>
      <c r="E215" s="12"/>
      <c r="F215" s="173" t="str">
        <f>Asset5</f>
        <v>Towers and Conductor</v>
      </c>
      <c r="G215" s="176">
        <f t="shared" ref="G215:Q215" si="46">(G147-G181)/G$246</f>
        <v>2.3562396072502012</v>
      </c>
      <c r="H215" s="92">
        <f t="shared" si="46"/>
        <v>5.230611697885065</v>
      </c>
      <c r="I215" s="92">
        <f t="shared" si="46"/>
        <v>17.700925544548195</v>
      </c>
      <c r="J215" s="92">
        <f t="shared" si="46"/>
        <v>8.332443207138633</v>
      </c>
      <c r="K215" s="92">
        <f t="shared" si="46"/>
        <v>36.238995181457526</v>
      </c>
      <c r="L215" s="92">
        <f t="shared" si="46"/>
        <v>20.565444759280936</v>
      </c>
      <c r="M215" s="92">
        <f t="shared" si="46"/>
        <v>4.1179943969082622</v>
      </c>
      <c r="N215" s="92">
        <f t="shared" si="46"/>
        <v>0</v>
      </c>
      <c r="O215" s="92">
        <f t="shared" si="46"/>
        <v>0</v>
      </c>
      <c r="P215" s="92">
        <f t="shared" si="46"/>
        <v>0</v>
      </c>
      <c r="Q215" s="92">
        <f t="shared" si="46"/>
        <v>0</v>
      </c>
      <c r="R215" s="36"/>
      <c r="S215" s="36"/>
      <c r="T215" s="36"/>
      <c r="U215" s="36"/>
      <c r="V215" s="36"/>
      <c r="W215" s="36"/>
      <c r="X215" s="36"/>
      <c r="Y215" s="8"/>
      <c r="Z215" s="8"/>
      <c r="AA215" s="42"/>
      <c r="AB215" s="9"/>
      <c r="AC215" s="9"/>
      <c r="AD215" s="9"/>
      <c r="AE215" s="198"/>
      <c r="AF215" s="198"/>
      <c r="AG215" s="198"/>
      <c r="AH215" s="198"/>
      <c r="AI215" s="198"/>
      <c r="AJ215" s="198"/>
      <c r="AK215" s="198"/>
      <c r="AL215" s="198"/>
      <c r="AM215" s="198"/>
      <c r="AN215" s="198"/>
      <c r="AO215" s="198"/>
      <c r="AP215" s="198"/>
      <c r="AQ215" s="198"/>
      <c r="AR215" s="198"/>
      <c r="AS215" s="198"/>
      <c r="AT215" s="198"/>
      <c r="AU215" s="198"/>
    </row>
    <row r="216" spans="1:47" hidden="1" outlineLevel="1">
      <c r="A216" s="12"/>
      <c r="B216" s="12"/>
      <c r="C216" s="12"/>
      <c r="D216" s="12"/>
      <c r="E216" s="12"/>
      <c r="F216" s="173" t="str">
        <f>Asset6</f>
        <v>Establishment</v>
      </c>
      <c r="G216" s="176">
        <f t="shared" ref="G216:Q216" si="47">(G148-G182)/G$246</f>
        <v>14.142512632023376</v>
      </c>
      <c r="H216" s="92">
        <f t="shared" si="47"/>
        <v>11.887577464770514</v>
      </c>
      <c r="I216" s="92">
        <f t="shared" si="47"/>
        <v>10.386030409207223</v>
      </c>
      <c r="J216" s="92">
        <f t="shared" si="47"/>
        <v>5.9771709889970506</v>
      </c>
      <c r="K216" s="92">
        <f t="shared" si="47"/>
        <v>4.6502804653520267</v>
      </c>
      <c r="L216" s="92">
        <f t="shared" si="47"/>
        <v>6.54820131638796</v>
      </c>
      <c r="M216" s="92">
        <f t="shared" si="47"/>
        <v>7.8413117851894398</v>
      </c>
      <c r="N216" s="92">
        <f t="shared" si="47"/>
        <v>0</v>
      </c>
      <c r="O216" s="92">
        <f t="shared" si="47"/>
        <v>0</v>
      </c>
      <c r="P216" s="92">
        <f t="shared" si="47"/>
        <v>0</v>
      </c>
      <c r="Q216" s="92">
        <f t="shared" si="47"/>
        <v>0</v>
      </c>
      <c r="R216" s="36"/>
      <c r="S216" s="36"/>
      <c r="T216" s="36"/>
      <c r="U216" s="36"/>
      <c r="V216" s="36"/>
      <c r="W216" s="36"/>
      <c r="X216" s="36"/>
      <c r="Y216" s="8"/>
      <c r="Z216" s="8"/>
      <c r="AA216" s="42"/>
      <c r="AB216" s="9"/>
      <c r="AC216" s="9"/>
      <c r="AD216" s="9"/>
      <c r="AE216" s="198"/>
      <c r="AF216" s="198"/>
      <c r="AG216" s="198"/>
      <c r="AH216" s="198"/>
      <c r="AI216" s="198"/>
      <c r="AJ216" s="198"/>
      <c r="AK216" s="198"/>
      <c r="AL216" s="198"/>
      <c r="AM216" s="198"/>
      <c r="AN216" s="198"/>
      <c r="AO216" s="198"/>
      <c r="AP216" s="198"/>
      <c r="AQ216" s="198"/>
      <c r="AR216" s="198"/>
      <c r="AS216" s="198"/>
      <c r="AT216" s="198"/>
      <c r="AU216" s="198"/>
    </row>
    <row r="217" spans="1:47" hidden="1" outlineLevel="1">
      <c r="A217" s="12"/>
      <c r="B217" s="12"/>
      <c r="C217" s="12"/>
      <c r="D217" s="12"/>
      <c r="E217" s="12"/>
      <c r="F217" s="173" t="str">
        <f>Asset7</f>
        <v>Communications</v>
      </c>
      <c r="G217" s="176">
        <f t="shared" ref="G217:Q217" si="48">(G149-G183)/G$246</f>
        <v>1.1328154523602714</v>
      </c>
      <c r="H217" s="92">
        <f t="shared" si="48"/>
        <v>0.32901214484697067</v>
      </c>
      <c r="I217" s="92">
        <f t="shared" si="48"/>
        <v>1.9263770894246988</v>
      </c>
      <c r="J217" s="92">
        <f t="shared" si="48"/>
        <v>10.821501350235987</v>
      </c>
      <c r="K217" s="92">
        <f t="shared" si="48"/>
        <v>5.9166551666954037</v>
      </c>
      <c r="L217" s="92">
        <f t="shared" si="48"/>
        <v>3.8879945316053512</v>
      </c>
      <c r="M217" s="92">
        <f t="shared" si="48"/>
        <v>4.5978716815565637</v>
      </c>
      <c r="N217" s="92">
        <f t="shared" si="48"/>
        <v>0</v>
      </c>
      <c r="O217" s="92">
        <f t="shared" si="48"/>
        <v>0</v>
      </c>
      <c r="P217" s="92">
        <f t="shared" si="48"/>
        <v>0</v>
      </c>
      <c r="Q217" s="92">
        <f t="shared" si="48"/>
        <v>0</v>
      </c>
      <c r="R217" s="36"/>
      <c r="S217" s="36"/>
      <c r="T217" s="36"/>
      <c r="U217" s="36"/>
      <c r="V217" s="36"/>
      <c r="W217" s="36"/>
      <c r="X217" s="36"/>
      <c r="Y217" s="8"/>
      <c r="Z217" s="8"/>
      <c r="AA217" s="42"/>
      <c r="AB217" s="9"/>
      <c r="AC217" s="9"/>
      <c r="AD217" s="9"/>
      <c r="AE217" s="198"/>
      <c r="AF217" s="198"/>
      <c r="AG217" s="198"/>
      <c r="AH217" s="198"/>
      <c r="AI217" s="198"/>
      <c r="AJ217" s="198"/>
      <c r="AK217" s="198"/>
      <c r="AL217" s="198"/>
      <c r="AM217" s="198"/>
      <c r="AN217" s="198"/>
      <c r="AO217" s="198"/>
      <c r="AP217" s="198"/>
      <c r="AQ217" s="198"/>
      <c r="AR217" s="198"/>
      <c r="AS217" s="198"/>
      <c r="AT217" s="198"/>
      <c r="AU217" s="198"/>
    </row>
    <row r="218" spans="1:47" hidden="1" outlineLevel="1">
      <c r="A218" s="12"/>
      <c r="B218" s="12"/>
      <c r="C218" s="12"/>
      <c r="D218" s="12"/>
      <c r="E218" s="12"/>
      <c r="F218" s="173" t="str">
        <f>Asset8</f>
        <v>Inventory</v>
      </c>
      <c r="G218" s="176">
        <f t="shared" ref="G218:Q218" si="49">(G150-G184)/G$246</f>
        <v>0</v>
      </c>
      <c r="H218" s="92">
        <f t="shared" si="49"/>
        <v>0</v>
      </c>
      <c r="I218" s="92">
        <f t="shared" si="49"/>
        <v>0</v>
      </c>
      <c r="J218" s="92">
        <f t="shared" si="49"/>
        <v>0</v>
      </c>
      <c r="K218" s="92">
        <f t="shared" si="49"/>
        <v>0</v>
      </c>
      <c r="L218" s="92">
        <f t="shared" si="49"/>
        <v>0</v>
      </c>
      <c r="M218" s="92">
        <f t="shared" si="49"/>
        <v>0</v>
      </c>
      <c r="N218" s="92">
        <f t="shared" si="49"/>
        <v>0</v>
      </c>
      <c r="O218" s="92">
        <f t="shared" si="49"/>
        <v>0</v>
      </c>
      <c r="P218" s="92">
        <f t="shared" si="49"/>
        <v>0</v>
      </c>
      <c r="Q218" s="92">
        <f t="shared" si="49"/>
        <v>0</v>
      </c>
      <c r="R218" s="36"/>
      <c r="S218" s="36"/>
      <c r="T218" s="36"/>
      <c r="U218" s="36"/>
      <c r="V218" s="36"/>
      <c r="W218" s="36"/>
      <c r="X218" s="36"/>
      <c r="Y218" s="8"/>
      <c r="Z218" s="8"/>
      <c r="AA218" s="42"/>
      <c r="AB218" s="9"/>
      <c r="AC218" s="9"/>
      <c r="AD218" s="9"/>
      <c r="AE218" s="198"/>
      <c r="AF218" s="198"/>
      <c r="AG218" s="198"/>
      <c r="AH218" s="198"/>
      <c r="AI218" s="198"/>
      <c r="AJ218" s="198"/>
      <c r="AK218" s="198"/>
      <c r="AL218" s="198"/>
      <c r="AM218" s="198"/>
      <c r="AN218" s="198"/>
      <c r="AO218" s="198"/>
      <c r="AP218" s="198"/>
      <c r="AQ218" s="198"/>
      <c r="AR218" s="198"/>
      <c r="AS218" s="198"/>
      <c r="AT218" s="198"/>
      <c r="AU218" s="198"/>
    </row>
    <row r="219" spans="1:47" hidden="1" outlineLevel="1">
      <c r="A219" s="12"/>
      <c r="B219" s="12"/>
      <c r="C219" s="12"/>
      <c r="D219" s="12"/>
      <c r="E219" s="12"/>
      <c r="F219" s="173" t="str">
        <f>Asset9</f>
        <v>IT</v>
      </c>
      <c r="G219" s="176">
        <f t="shared" ref="G219:Q219" si="50">(G151-G185)/G$246</f>
        <v>9.6097777238275288</v>
      </c>
      <c r="H219" s="92">
        <f t="shared" si="50"/>
        <v>2.5196871800437224</v>
      </c>
      <c r="I219" s="92">
        <f t="shared" si="50"/>
        <v>11.352826461930986</v>
      </c>
      <c r="J219" s="92">
        <f t="shared" si="50"/>
        <v>4.5519668848672383</v>
      </c>
      <c r="K219" s="92">
        <f t="shared" si="50"/>
        <v>7.1392553818103437</v>
      </c>
      <c r="L219" s="92">
        <f t="shared" si="50"/>
        <v>14.561872909698996</v>
      </c>
      <c r="M219" s="92">
        <f t="shared" si="50"/>
        <v>14.867672240802673</v>
      </c>
      <c r="N219" s="92">
        <f t="shared" si="50"/>
        <v>0</v>
      </c>
      <c r="O219" s="92">
        <f t="shared" si="50"/>
        <v>0</v>
      </c>
      <c r="P219" s="92">
        <f t="shared" si="50"/>
        <v>0</v>
      </c>
      <c r="Q219" s="92">
        <f t="shared" si="50"/>
        <v>0</v>
      </c>
      <c r="R219" s="36"/>
      <c r="S219" s="36"/>
      <c r="T219" s="36"/>
      <c r="U219" s="36"/>
      <c r="V219" s="36"/>
      <c r="W219" s="36"/>
      <c r="X219" s="36"/>
      <c r="Y219" s="8"/>
      <c r="Z219" s="8"/>
      <c r="AA219" s="42"/>
      <c r="AB219" s="9"/>
      <c r="AC219" s="9"/>
      <c r="AD219" s="9"/>
      <c r="AE219" s="198"/>
      <c r="AF219" s="198"/>
      <c r="AG219" s="198"/>
      <c r="AH219" s="198"/>
      <c r="AI219" s="198"/>
      <c r="AJ219" s="198"/>
      <c r="AK219" s="198"/>
      <c r="AL219" s="198"/>
      <c r="AM219" s="198"/>
      <c r="AN219" s="198"/>
      <c r="AO219" s="198"/>
      <c r="AP219" s="198"/>
      <c r="AQ219" s="198"/>
      <c r="AR219" s="198"/>
      <c r="AS219" s="198"/>
      <c r="AT219" s="198"/>
      <c r="AU219" s="198"/>
    </row>
    <row r="220" spans="1:47" hidden="1" outlineLevel="1">
      <c r="A220" s="12"/>
      <c r="B220" s="12"/>
      <c r="C220" s="12"/>
      <c r="D220" s="12"/>
      <c r="E220" s="12"/>
      <c r="F220" s="173" t="str">
        <f>Asset10</f>
        <v>Vehicles</v>
      </c>
      <c r="G220" s="176">
        <f t="shared" ref="G220:Q220" si="51">(G152-G186)/G$246</f>
        <v>0.98670180108156835</v>
      </c>
      <c r="H220" s="92">
        <f t="shared" si="51"/>
        <v>-4.6750861433009369E-2</v>
      </c>
      <c r="I220" s="92">
        <f t="shared" si="51"/>
        <v>0.46147745128023299</v>
      </c>
      <c r="J220" s="92">
        <f t="shared" si="51"/>
        <v>-0.1389855330383481</v>
      </c>
      <c r="K220" s="92">
        <f t="shared" si="51"/>
        <v>0.15879021913793101</v>
      </c>
      <c r="L220" s="92">
        <f t="shared" si="51"/>
        <v>1.3651755852842811</v>
      </c>
      <c r="M220" s="92">
        <f t="shared" si="51"/>
        <v>1.3774621655518393</v>
      </c>
      <c r="N220" s="92">
        <f t="shared" si="51"/>
        <v>0</v>
      </c>
      <c r="O220" s="92">
        <f t="shared" si="51"/>
        <v>0</v>
      </c>
      <c r="P220" s="92">
        <f t="shared" si="51"/>
        <v>0</v>
      </c>
      <c r="Q220" s="92">
        <f t="shared" si="51"/>
        <v>0</v>
      </c>
      <c r="R220" s="36"/>
      <c r="S220" s="36"/>
      <c r="T220" s="36"/>
      <c r="U220" s="36"/>
      <c r="V220" s="36"/>
      <c r="W220" s="36"/>
      <c r="X220" s="36"/>
      <c r="Y220" s="8"/>
      <c r="Z220" s="8"/>
      <c r="AA220" s="42"/>
      <c r="AB220" s="9"/>
      <c r="AC220" s="9"/>
      <c r="AD220" s="9"/>
      <c r="AE220" s="198"/>
      <c r="AF220" s="198"/>
      <c r="AG220" s="198"/>
      <c r="AH220" s="198"/>
      <c r="AI220" s="198"/>
      <c r="AJ220" s="198"/>
      <c r="AK220" s="198"/>
      <c r="AL220" s="198"/>
      <c r="AM220" s="198"/>
      <c r="AN220" s="198"/>
      <c r="AO220" s="198"/>
      <c r="AP220" s="198"/>
      <c r="AQ220" s="198"/>
      <c r="AR220" s="198"/>
      <c r="AS220" s="198"/>
      <c r="AT220" s="198"/>
      <c r="AU220" s="198"/>
    </row>
    <row r="221" spans="1:47" hidden="1" outlineLevel="1">
      <c r="A221" s="12"/>
      <c r="B221" s="12"/>
      <c r="C221" s="12"/>
      <c r="D221" s="12"/>
      <c r="E221" s="12"/>
      <c r="F221" s="173" t="str">
        <f>Asset11</f>
        <v>other</v>
      </c>
      <c r="G221" s="176">
        <f t="shared" ref="G221:Q221" si="52">(G153-G187)/G$246</f>
        <v>2.223689994448828</v>
      </c>
      <c r="H221" s="92">
        <f t="shared" si="52"/>
        <v>0.3976861912257354</v>
      </c>
      <c r="I221" s="92">
        <f t="shared" si="52"/>
        <v>1.6675272002075241</v>
      </c>
      <c r="J221" s="92">
        <f t="shared" si="52"/>
        <v>2.9253775104719777</v>
      </c>
      <c r="K221" s="92">
        <f t="shared" si="52"/>
        <v>2.9661844264520218</v>
      </c>
      <c r="L221" s="92">
        <f t="shared" si="52"/>
        <v>1.8202341137123745</v>
      </c>
      <c r="M221" s="92">
        <f t="shared" si="52"/>
        <v>1.3938442725752507</v>
      </c>
      <c r="N221" s="92">
        <f t="shared" si="52"/>
        <v>0</v>
      </c>
      <c r="O221" s="92">
        <f t="shared" si="52"/>
        <v>0</v>
      </c>
      <c r="P221" s="92">
        <f t="shared" si="52"/>
        <v>0</v>
      </c>
      <c r="Q221" s="92">
        <f t="shared" si="52"/>
        <v>0</v>
      </c>
      <c r="R221" s="36"/>
      <c r="S221" s="36"/>
      <c r="T221" s="36"/>
      <c r="U221" s="36"/>
      <c r="V221" s="36"/>
      <c r="W221" s="36"/>
      <c r="X221" s="36"/>
      <c r="Y221" s="8"/>
      <c r="Z221" s="8"/>
      <c r="AA221" s="42"/>
      <c r="AB221" s="9"/>
      <c r="AC221" s="9"/>
      <c r="AD221" s="9"/>
      <c r="AE221" s="198"/>
      <c r="AF221" s="198"/>
      <c r="AG221" s="198"/>
      <c r="AH221" s="198"/>
      <c r="AI221" s="198"/>
      <c r="AJ221" s="198"/>
      <c r="AK221" s="198"/>
      <c r="AL221" s="198"/>
      <c r="AM221" s="198"/>
      <c r="AN221" s="198"/>
      <c r="AO221" s="198"/>
      <c r="AP221" s="198"/>
      <c r="AQ221" s="198"/>
      <c r="AR221" s="198"/>
      <c r="AS221" s="198"/>
      <c r="AT221" s="198"/>
      <c r="AU221" s="198"/>
    </row>
    <row r="222" spans="1:47" hidden="1" outlineLevel="1">
      <c r="A222" s="12"/>
      <c r="B222" s="12"/>
      <c r="C222" s="12"/>
      <c r="D222" s="12"/>
      <c r="E222" s="12"/>
      <c r="F222" s="173" t="str">
        <f>Asset12</f>
        <v>premises</v>
      </c>
      <c r="G222" s="176">
        <f t="shared" ref="G222:Q222" si="53">(G154-G188)/G$246</f>
        <v>0.14248680535415356</v>
      </c>
      <c r="H222" s="92">
        <f t="shared" si="53"/>
        <v>-1.9122245846346034E-2</v>
      </c>
      <c r="I222" s="92">
        <f t="shared" si="53"/>
        <v>0.32889204545180722</v>
      </c>
      <c r="J222" s="92">
        <f t="shared" si="53"/>
        <v>7.6390829085545717E-2</v>
      </c>
      <c r="K222" s="92">
        <f t="shared" si="53"/>
        <v>0.95796227201149409</v>
      </c>
      <c r="L222" s="92">
        <f t="shared" si="53"/>
        <v>0.18202341137123745</v>
      </c>
      <c r="M222" s="92">
        <f t="shared" si="53"/>
        <v>0.18366162207357858</v>
      </c>
      <c r="N222" s="92">
        <f t="shared" si="53"/>
        <v>0</v>
      </c>
      <c r="O222" s="92">
        <f t="shared" si="53"/>
        <v>0</v>
      </c>
      <c r="P222" s="92">
        <f t="shared" si="53"/>
        <v>0</v>
      </c>
      <c r="Q222" s="92">
        <f t="shared" si="53"/>
        <v>0</v>
      </c>
      <c r="R222" s="36"/>
      <c r="S222" s="36"/>
      <c r="T222" s="36"/>
      <c r="U222" s="36"/>
      <c r="V222" s="36"/>
      <c r="W222" s="36"/>
      <c r="X222" s="36"/>
      <c r="Y222" s="8"/>
      <c r="Z222" s="8"/>
      <c r="AA222" s="42"/>
      <c r="AB222" s="9"/>
      <c r="AC222" s="9"/>
      <c r="AD222" s="9"/>
      <c r="AE222" s="198"/>
      <c r="AF222" s="198"/>
      <c r="AG222" s="198"/>
      <c r="AH222" s="198"/>
      <c r="AI222" s="198"/>
      <c r="AJ222" s="198"/>
      <c r="AK222" s="198"/>
      <c r="AL222" s="198"/>
      <c r="AM222" s="198"/>
      <c r="AN222" s="198"/>
      <c r="AO222" s="198"/>
      <c r="AP222" s="198"/>
      <c r="AQ222" s="198"/>
      <c r="AR222" s="198"/>
      <c r="AS222" s="198"/>
      <c r="AT222" s="198"/>
      <c r="AU222" s="198"/>
    </row>
    <row r="223" spans="1:47" hidden="1" outlineLevel="1">
      <c r="A223" s="12"/>
      <c r="B223" s="12"/>
      <c r="C223" s="12"/>
      <c r="D223" s="12"/>
      <c r="E223" s="12"/>
      <c r="F223" s="173" t="str">
        <f>Asset13</f>
        <v>Land</v>
      </c>
      <c r="G223" s="176">
        <f t="shared" ref="G223:Q223" si="54">(G155-G189)/G$246</f>
        <v>0</v>
      </c>
      <c r="H223" s="92">
        <f t="shared" si="54"/>
        <v>0</v>
      </c>
      <c r="I223" s="92">
        <f t="shared" si="54"/>
        <v>0.17956690361445785</v>
      </c>
      <c r="J223" s="92">
        <f t="shared" si="54"/>
        <v>-0.4348495575221239</v>
      </c>
      <c r="K223" s="92">
        <f t="shared" si="54"/>
        <v>-0.86508045977011483</v>
      </c>
      <c r="L223" s="92">
        <f t="shared" si="54"/>
        <v>0</v>
      </c>
      <c r="M223" s="92">
        <f t="shared" si="54"/>
        <v>0</v>
      </c>
      <c r="N223" s="92">
        <f t="shared" si="54"/>
        <v>0</v>
      </c>
      <c r="O223" s="92">
        <f t="shared" si="54"/>
        <v>0</v>
      </c>
      <c r="P223" s="92">
        <f t="shared" si="54"/>
        <v>0</v>
      </c>
      <c r="Q223" s="92">
        <f t="shared" si="54"/>
        <v>0</v>
      </c>
      <c r="R223" s="36"/>
      <c r="S223" s="36"/>
      <c r="T223" s="36"/>
      <c r="U223" s="36"/>
      <c r="V223" s="36"/>
      <c r="W223" s="36"/>
      <c r="X223" s="36"/>
      <c r="Y223" s="8"/>
      <c r="Z223" s="8"/>
      <c r="AA223" s="42"/>
      <c r="AB223" s="9"/>
      <c r="AC223" s="9"/>
      <c r="AD223" s="9"/>
      <c r="AE223" s="198"/>
      <c r="AF223" s="198"/>
      <c r="AG223" s="198"/>
      <c r="AH223" s="198"/>
      <c r="AI223" s="198"/>
      <c r="AJ223" s="198"/>
      <c r="AK223" s="198"/>
      <c r="AL223" s="198"/>
      <c r="AM223" s="198"/>
      <c r="AN223" s="198"/>
      <c r="AO223" s="198"/>
      <c r="AP223" s="198"/>
      <c r="AQ223" s="198"/>
      <c r="AR223" s="198"/>
      <c r="AS223" s="198"/>
      <c r="AT223" s="198"/>
      <c r="AU223" s="198"/>
    </row>
    <row r="224" spans="1:47" hidden="1" outlineLevel="1">
      <c r="A224" s="12"/>
      <c r="B224" s="12"/>
      <c r="C224" s="12"/>
      <c r="D224" s="12"/>
      <c r="E224" s="12"/>
      <c r="F224" s="173" t="str">
        <f>Asset14</f>
        <v>Easements</v>
      </c>
      <c r="G224" s="176">
        <f t="shared" ref="G224:Q224" si="55">(G156-G190)/G$246</f>
        <v>0</v>
      </c>
      <c r="H224" s="92">
        <f t="shared" si="55"/>
        <v>0</v>
      </c>
      <c r="I224" s="92">
        <f t="shared" si="55"/>
        <v>0</v>
      </c>
      <c r="J224" s="92">
        <f t="shared" si="55"/>
        <v>0</v>
      </c>
      <c r="K224" s="92">
        <f t="shared" si="55"/>
        <v>0</v>
      </c>
      <c r="L224" s="92">
        <f t="shared" si="55"/>
        <v>0</v>
      </c>
      <c r="M224" s="92">
        <f t="shared" si="55"/>
        <v>0</v>
      </c>
      <c r="N224" s="92">
        <f t="shared" si="55"/>
        <v>0</v>
      </c>
      <c r="O224" s="92">
        <f t="shared" si="55"/>
        <v>0</v>
      </c>
      <c r="P224" s="92">
        <f t="shared" si="55"/>
        <v>0</v>
      </c>
      <c r="Q224" s="92">
        <f t="shared" si="55"/>
        <v>0</v>
      </c>
      <c r="R224" s="36"/>
      <c r="S224" s="36"/>
      <c r="T224" s="36"/>
      <c r="U224" s="36"/>
      <c r="V224" s="36"/>
      <c r="W224" s="36"/>
      <c r="X224" s="36"/>
      <c r="Y224" s="8"/>
      <c r="Z224" s="8"/>
      <c r="AA224" s="42"/>
      <c r="AB224" s="9"/>
      <c r="AC224" s="9"/>
      <c r="AD224" s="9"/>
      <c r="AE224" s="198"/>
      <c r="AF224" s="198"/>
      <c r="AG224" s="198"/>
      <c r="AH224" s="198"/>
      <c r="AI224" s="198"/>
      <c r="AJ224" s="198"/>
      <c r="AK224" s="198"/>
      <c r="AL224" s="198"/>
      <c r="AM224" s="198"/>
      <c r="AN224" s="198"/>
      <c r="AO224" s="198"/>
      <c r="AP224" s="198"/>
      <c r="AQ224" s="198"/>
      <c r="AR224" s="198"/>
      <c r="AS224" s="198"/>
      <c r="AT224" s="198"/>
      <c r="AU224" s="198"/>
    </row>
    <row r="225" spans="1:47" hidden="1" outlineLevel="1">
      <c r="A225" s="12"/>
      <c r="B225" s="12"/>
      <c r="C225" s="12"/>
      <c r="D225" s="12"/>
      <c r="E225" s="12"/>
      <c r="F225" s="173">
        <f>Asset15</f>
        <v>0</v>
      </c>
      <c r="G225" s="176">
        <f t="shared" ref="G225:Q225" si="56">(G157-G191)/G$246</f>
        <v>0</v>
      </c>
      <c r="H225" s="92">
        <f t="shared" si="56"/>
        <v>0</v>
      </c>
      <c r="I225" s="92">
        <f t="shared" si="56"/>
        <v>0</v>
      </c>
      <c r="J225" s="92">
        <f t="shared" si="56"/>
        <v>0</v>
      </c>
      <c r="K225" s="92">
        <f t="shared" si="56"/>
        <v>0</v>
      </c>
      <c r="L225" s="92">
        <f t="shared" si="56"/>
        <v>0</v>
      </c>
      <c r="M225" s="92">
        <f t="shared" si="56"/>
        <v>0</v>
      </c>
      <c r="N225" s="92">
        <f t="shared" si="56"/>
        <v>0</v>
      </c>
      <c r="O225" s="92">
        <f t="shared" si="56"/>
        <v>0</v>
      </c>
      <c r="P225" s="92">
        <f t="shared" si="56"/>
        <v>0</v>
      </c>
      <c r="Q225" s="92">
        <f t="shared" si="56"/>
        <v>0</v>
      </c>
      <c r="R225" s="36"/>
      <c r="S225" s="36"/>
      <c r="T225" s="36"/>
      <c r="U225" s="36"/>
      <c r="V225" s="36"/>
      <c r="W225" s="36"/>
      <c r="X225" s="36"/>
      <c r="Y225" s="8"/>
      <c r="Z225" s="8"/>
      <c r="AA225" s="42"/>
      <c r="AB225" s="9"/>
      <c r="AC225" s="9"/>
      <c r="AD225" s="9"/>
      <c r="AE225" s="198"/>
      <c r="AF225" s="198"/>
      <c r="AG225" s="198"/>
      <c r="AH225" s="198"/>
      <c r="AI225" s="198"/>
      <c r="AJ225" s="198"/>
      <c r="AK225" s="198"/>
      <c r="AL225" s="198"/>
      <c r="AM225" s="198"/>
      <c r="AN225" s="198"/>
      <c r="AO225" s="198"/>
      <c r="AP225" s="198"/>
      <c r="AQ225" s="198"/>
      <c r="AR225" s="198"/>
      <c r="AS225" s="198"/>
      <c r="AT225" s="198"/>
      <c r="AU225" s="198"/>
    </row>
    <row r="226" spans="1:47" hidden="1" outlineLevel="1">
      <c r="A226" s="12"/>
      <c r="B226" s="12"/>
      <c r="C226" s="12"/>
      <c r="D226" s="12"/>
      <c r="E226" s="12"/>
      <c r="F226" s="173">
        <f>Asset16</f>
        <v>0</v>
      </c>
      <c r="G226" s="176">
        <f t="shared" ref="G226:Q226" si="57">(G158-G192)/G$246</f>
        <v>0</v>
      </c>
      <c r="H226" s="92">
        <f t="shared" si="57"/>
        <v>0</v>
      </c>
      <c r="I226" s="92">
        <f t="shared" si="57"/>
        <v>0</v>
      </c>
      <c r="J226" s="92">
        <f t="shared" si="57"/>
        <v>0</v>
      </c>
      <c r="K226" s="92">
        <f t="shared" si="57"/>
        <v>0</v>
      </c>
      <c r="L226" s="92">
        <f t="shared" si="57"/>
        <v>0</v>
      </c>
      <c r="M226" s="92">
        <f t="shared" si="57"/>
        <v>0</v>
      </c>
      <c r="N226" s="92">
        <f t="shared" si="57"/>
        <v>0</v>
      </c>
      <c r="O226" s="92">
        <f t="shared" si="57"/>
        <v>0</v>
      </c>
      <c r="P226" s="92">
        <f t="shared" si="57"/>
        <v>0</v>
      </c>
      <c r="Q226" s="92">
        <f t="shared" si="57"/>
        <v>0</v>
      </c>
      <c r="R226" s="36"/>
      <c r="S226" s="36"/>
      <c r="T226" s="36"/>
      <c r="U226" s="36"/>
      <c r="V226" s="36"/>
      <c r="W226" s="36"/>
      <c r="X226" s="36"/>
      <c r="Y226" s="8"/>
      <c r="Z226" s="8"/>
      <c r="AA226" s="42"/>
      <c r="AB226" s="9"/>
      <c r="AC226" s="9"/>
      <c r="AD226" s="9"/>
      <c r="AE226" s="198"/>
      <c r="AF226" s="198"/>
      <c r="AG226" s="198"/>
      <c r="AH226" s="198"/>
      <c r="AI226" s="198"/>
      <c r="AJ226" s="198"/>
      <c r="AK226" s="198"/>
      <c r="AL226" s="198"/>
      <c r="AM226" s="198"/>
      <c r="AN226" s="198"/>
      <c r="AO226" s="198"/>
      <c r="AP226" s="198"/>
      <c r="AQ226" s="198"/>
      <c r="AR226" s="198"/>
      <c r="AS226" s="198"/>
      <c r="AT226" s="198"/>
      <c r="AU226" s="198"/>
    </row>
    <row r="227" spans="1:47" hidden="1" outlineLevel="1">
      <c r="A227" s="12"/>
      <c r="B227" s="12"/>
      <c r="C227" s="12"/>
      <c r="D227" s="12"/>
      <c r="E227" s="12"/>
      <c r="F227" s="173">
        <f>Asset17</f>
        <v>0</v>
      </c>
      <c r="G227" s="176">
        <f t="shared" ref="G227:Q227" si="58">(G159-G193)/G$246</f>
        <v>0</v>
      </c>
      <c r="H227" s="92">
        <f t="shared" si="58"/>
        <v>0</v>
      </c>
      <c r="I227" s="92">
        <f t="shared" si="58"/>
        <v>0</v>
      </c>
      <c r="J227" s="92">
        <f t="shared" si="58"/>
        <v>0</v>
      </c>
      <c r="K227" s="92">
        <f t="shared" si="58"/>
        <v>0</v>
      </c>
      <c r="L227" s="92">
        <f t="shared" si="58"/>
        <v>0</v>
      </c>
      <c r="M227" s="92">
        <f t="shared" si="58"/>
        <v>0</v>
      </c>
      <c r="N227" s="92">
        <f t="shared" si="58"/>
        <v>0</v>
      </c>
      <c r="O227" s="92">
        <f t="shared" si="58"/>
        <v>0</v>
      </c>
      <c r="P227" s="92">
        <f t="shared" si="58"/>
        <v>0</v>
      </c>
      <c r="Q227" s="92">
        <f t="shared" si="58"/>
        <v>0</v>
      </c>
      <c r="R227" s="36"/>
      <c r="S227" s="36"/>
      <c r="T227" s="36"/>
      <c r="U227" s="36"/>
      <c r="V227" s="36"/>
      <c r="W227" s="36"/>
      <c r="X227" s="36"/>
      <c r="Y227" s="8"/>
      <c r="Z227" s="8"/>
      <c r="AA227" s="42"/>
      <c r="AB227" s="9"/>
      <c r="AC227" s="9"/>
      <c r="AD227" s="9"/>
      <c r="AE227" s="198"/>
      <c r="AF227" s="198"/>
      <c r="AG227" s="198"/>
      <c r="AH227" s="198"/>
      <c r="AI227" s="198"/>
      <c r="AJ227" s="198"/>
      <c r="AK227" s="198"/>
      <c r="AL227" s="198"/>
      <c r="AM227" s="198"/>
      <c r="AN227" s="198"/>
      <c r="AO227" s="198"/>
      <c r="AP227" s="198"/>
      <c r="AQ227" s="198"/>
      <c r="AR227" s="198"/>
      <c r="AS227" s="198"/>
      <c r="AT227" s="198"/>
      <c r="AU227" s="198"/>
    </row>
    <row r="228" spans="1:47" hidden="1" outlineLevel="1">
      <c r="A228" s="12"/>
      <c r="B228" s="12"/>
      <c r="C228" s="12"/>
      <c r="D228" s="12"/>
      <c r="E228" s="12"/>
      <c r="F228" s="173">
        <f>Asset18</f>
        <v>0</v>
      </c>
      <c r="G228" s="176">
        <f t="shared" ref="G228:Q228" si="59">(G160-G194)/G$246</f>
        <v>0</v>
      </c>
      <c r="H228" s="92">
        <f t="shared" si="59"/>
        <v>0</v>
      </c>
      <c r="I228" s="92">
        <f t="shared" si="59"/>
        <v>0</v>
      </c>
      <c r="J228" s="92">
        <f t="shared" si="59"/>
        <v>0</v>
      </c>
      <c r="K228" s="92">
        <f t="shared" si="59"/>
        <v>0</v>
      </c>
      <c r="L228" s="92">
        <f t="shared" si="59"/>
        <v>0</v>
      </c>
      <c r="M228" s="92">
        <f t="shared" si="59"/>
        <v>0</v>
      </c>
      <c r="N228" s="92">
        <f t="shared" si="59"/>
        <v>0</v>
      </c>
      <c r="O228" s="92">
        <f t="shared" si="59"/>
        <v>0</v>
      </c>
      <c r="P228" s="92">
        <f t="shared" si="59"/>
        <v>0</v>
      </c>
      <c r="Q228" s="92">
        <f t="shared" si="59"/>
        <v>0</v>
      </c>
      <c r="R228" s="36"/>
      <c r="S228" s="36"/>
      <c r="T228" s="36"/>
      <c r="U228" s="36"/>
      <c r="V228" s="36"/>
      <c r="W228" s="36"/>
      <c r="X228" s="36"/>
      <c r="Y228" s="8"/>
      <c r="Z228" s="8"/>
      <c r="AA228" s="42"/>
      <c r="AB228" s="9"/>
      <c r="AC228" s="9"/>
      <c r="AD228" s="9"/>
      <c r="AE228" s="198"/>
      <c r="AF228" s="198"/>
      <c r="AG228" s="198"/>
      <c r="AH228" s="198"/>
      <c r="AI228" s="198"/>
      <c r="AJ228" s="198"/>
      <c r="AK228" s="198"/>
      <c r="AL228" s="198"/>
      <c r="AM228" s="198"/>
      <c r="AN228" s="198"/>
      <c r="AO228" s="198"/>
      <c r="AP228" s="198"/>
      <c r="AQ228" s="198"/>
      <c r="AR228" s="198"/>
      <c r="AS228" s="198"/>
      <c r="AT228" s="198"/>
      <c r="AU228" s="198"/>
    </row>
    <row r="229" spans="1:47" hidden="1" outlineLevel="1">
      <c r="A229" s="12"/>
      <c r="B229" s="12"/>
      <c r="C229" s="12"/>
      <c r="D229" s="12"/>
      <c r="E229" s="12"/>
      <c r="F229" s="173">
        <f>Asset19</f>
        <v>0</v>
      </c>
      <c r="G229" s="176">
        <f t="shared" ref="G229:Q229" si="60">(G161-G195)/G$246</f>
        <v>0</v>
      </c>
      <c r="H229" s="92">
        <f t="shared" si="60"/>
        <v>0</v>
      </c>
      <c r="I229" s="92">
        <f t="shared" si="60"/>
        <v>0</v>
      </c>
      <c r="J229" s="92">
        <f t="shared" si="60"/>
        <v>0</v>
      </c>
      <c r="K229" s="92">
        <f t="shared" si="60"/>
        <v>0</v>
      </c>
      <c r="L229" s="92">
        <f t="shared" si="60"/>
        <v>0</v>
      </c>
      <c r="M229" s="92">
        <f t="shared" si="60"/>
        <v>0</v>
      </c>
      <c r="N229" s="92">
        <f t="shared" si="60"/>
        <v>0</v>
      </c>
      <c r="O229" s="92">
        <f t="shared" si="60"/>
        <v>0</v>
      </c>
      <c r="P229" s="92">
        <f t="shared" si="60"/>
        <v>0</v>
      </c>
      <c r="Q229" s="92">
        <f t="shared" si="60"/>
        <v>0</v>
      </c>
      <c r="R229" s="36"/>
      <c r="S229" s="36"/>
      <c r="T229" s="36"/>
      <c r="U229" s="36"/>
      <c r="V229" s="36"/>
      <c r="W229" s="36"/>
      <c r="X229" s="36"/>
      <c r="Y229" s="8"/>
      <c r="Z229" s="8"/>
      <c r="AA229" s="42"/>
      <c r="AB229" s="9"/>
      <c r="AC229" s="9"/>
      <c r="AD229" s="9"/>
      <c r="AE229" s="198"/>
      <c r="AF229" s="198"/>
      <c r="AG229" s="198"/>
      <c r="AH229" s="198"/>
      <c r="AI229" s="198"/>
      <c r="AJ229" s="198"/>
      <c r="AK229" s="198"/>
      <c r="AL229" s="198"/>
      <c r="AM229" s="198"/>
      <c r="AN229" s="198"/>
      <c r="AO229" s="198"/>
      <c r="AP229" s="198"/>
      <c r="AQ229" s="198"/>
      <c r="AR229" s="198"/>
      <c r="AS229" s="198"/>
      <c r="AT229" s="198"/>
      <c r="AU229" s="198"/>
    </row>
    <row r="230" spans="1:47" hidden="1" outlineLevel="1">
      <c r="A230" s="12"/>
      <c r="B230" s="12"/>
      <c r="C230" s="12"/>
      <c r="D230" s="12"/>
      <c r="E230" s="12"/>
      <c r="F230" s="303">
        <f>Asset20</f>
        <v>0</v>
      </c>
      <c r="G230" s="304">
        <f t="shared" ref="G230:Q230" si="61">(G162-G196)/G$246</f>
        <v>0</v>
      </c>
      <c r="H230" s="92">
        <f t="shared" si="61"/>
        <v>0</v>
      </c>
      <c r="I230" s="92">
        <f t="shared" si="61"/>
        <v>0</v>
      </c>
      <c r="J230" s="92">
        <f t="shared" si="61"/>
        <v>0</v>
      </c>
      <c r="K230" s="92">
        <f t="shared" si="61"/>
        <v>0</v>
      </c>
      <c r="L230" s="92">
        <f t="shared" si="61"/>
        <v>0</v>
      </c>
      <c r="M230" s="92">
        <f t="shared" si="61"/>
        <v>0</v>
      </c>
      <c r="N230" s="92">
        <f t="shared" si="61"/>
        <v>0</v>
      </c>
      <c r="O230" s="92">
        <f t="shared" si="61"/>
        <v>0</v>
      </c>
      <c r="P230" s="92">
        <f t="shared" si="61"/>
        <v>0</v>
      </c>
      <c r="Q230" s="92">
        <f t="shared" si="61"/>
        <v>0</v>
      </c>
      <c r="R230" s="36"/>
      <c r="S230" s="36"/>
      <c r="T230" s="36"/>
      <c r="U230" s="36"/>
      <c r="V230" s="36"/>
      <c r="W230" s="36"/>
      <c r="X230" s="36"/>
      <c r="Y230" s="8"/>
      <c r="Z230" s="8"/>
      <c r="AA230" s="42"/>
      <c r="AB230" s="9"/>
      <c r="AC230" s="9"/>
      <c r="AD230" s="9"/>
      <c r="AE230" s="198"/>
      <c r="AF230" s="198"/>
      <c r="AG230" s="198"/>
      <c r="AH230" s="198"/>
      <c r="AI230" s="198"/>
      <c r="AJ230" s="198"/>
      <c r="AK230" s="198"/>
      <c r="AL230" s="198"/>
      <c r="AM230" s="198"/>
      <c r="AN230" s="198"/>
      <c r="AO230" s="198"/>
      <c r="AP230" s="198"/>
      <c r="AQ230" s="198"/>
      <c r="AR230" s="198"/>
      <c r="AS230" s="198"/>
      <c r="AT230" s="198"/>
      <c r="AU230" s="198"/>
    </row>
    <row r="231" spans="1:47" hidden="1" outlineLevel="1">
      <c r="A231" s="12"/>
      <c r="B231" s="12"/>
      <c r="C231" s="12"/>
      <c r="D231" s="12"/>
      <c r="E231" s="12"/>
      <c r="F231" s="303">
        <f>Asset21</f>
        <v>0</v>
      </c>
      <c r="G231" s="304">
        <f t="shared" ref="G231:Q231" si="62">(G163-G197)/G$246</f>
        <v>0</v>
      </c>
      <c r="H231" s="92">
        <f t="shared" si="62"/>
        <v>0</v>
      </c>
      <c r="I231" s="92">
        <f t="shared" si="62"/>
        <v>0</v>
      </c>
      <c r="J231" s="92">
        <f t="shared" si="62"/>
        <v>0</v>
      </c>
      <c r="K231" s="92">
        <f t="shared" si="62"/>
        <v>0</v>
      </c>
      <c r="L231" s="92">
        <f t="shared" si="62"/>
        <v>0</v>
      </c>
      <c r="M231" s="92">
        <f t="shared" si="62"/>
        <v>0</v>
      </c>
      <c r="N231" s="92">
        <f t="shared" si="62"/>
        <v>0</v>
      </c>
      <c r="O231" s="92">
        <f t="shared" si="62"/>
        <v>0</v>
      </c>
      <c r="P231" s="92">
        <f t="shared" si="62"/>
        <v>0</v>
      </c>
      <c r="Q231" s="92">
        <f t="shared" si="62"/>
        <v>0</v>
      </c>
      <c r="R231" s="36"/>
      <c r="S231" s="36"/>
      <c r="T231" s="36"/>
      <c r="U231" s="36"/>
      <c r="V231" s="36"/>
      <c r="W231" s="36"/>
      <c r="X231" s="36"/>
      <c r="Y231" s="8"/>
      <c r="Z231" s="8"/>
      <c r="AA231" s="42"/>
      <c r="AB231" s="9"/>
      <c r="AC231" s="9"/>
      <c r="AD231" s="9"/>
      <c r="AE231" s="198"/>
      <c r="AF231" s="198"/>
      <c r="AG231" s="198"/>
      <c r="AH231" s="198"/>
      <c r="AI231" s="198"/>
      <c r="AJ231" s="198"/>
      <c r="AK231" s="198"/>
      <c r="AL231" s="198"/>
      <c r="AM231" s="198"/>
      <c r="AN231" s="198"/>
      <c r="AO231" s="198"/>
      <c r="AP231" s="198"/>
      <c r="AQ231" s="198"/>
      <c r="AR231" s="198"/>
      <c r="AS231" s="198"/>
      <c r="AT231" s="198"/>
      <c r="AU231" s="198"/>
    </row>
    <row r="232" spans="1:47" hidden="1" outlineLevel="1">
      <c r="A232" s="12"/>
      <c r="B232" s="12"/>
      <c r="C232" s="12"/>
      <c r="D232" s="12"/>
      <c r="E232" s="12"/>
      <c r="F232" s="303">
        <f>Asset22</f>
        <v>0</v>
      </c>
      <c r="G232" s="304">
        <f t="shared" ref="G232:Q232" si="63">(G164-G198)/G$246</f>
        <v>0</v>
      </c>
      <c r="H232" s="92">
        <f t="shared" si="63"/>
        <v>0</v>
      </c>
      <c r="I232" s="92">
        <f t="shared" si="63"/>
        <v>0</v>
      </c>
      <c r="J232" s="92">
        <f t="shared" si="63"/>
        <v>0</v>
      </c>
      <c r="K232" s="92">
        <f t="shared" si="63"/>
        <v>0</v>
      </c>
      <c r="L232" s="92">
        <f t="shared" si="63"/>
        <v>0</v>
      </c>
      <c r="M232" s="92">
        <f t="shared" si="63"/>
        <v>0</v>
      </c>
      <c r="N232" s="92">
        <f t="shared" si="63"/>
        <v>0</v>
      </c>
      <c r="O232" s="92">
        <f t="shared" si="63"/>
        <v>0</v>
      </c>
      <c r="P232" s="92">
        <f t="shared" si="63"/>
        <v>0</v>
      </c>
      <c r="Q232" s="92">
        <f t="shared" si="63"/>
        <v>0</v>
      </c>
      <c r="R232" s="36"/>
      <c r="S232" s="36"/>
      <c r="T232" s="36"/>
      <c r="U232" s="36"/>
      <c r="V232" s="36"/>
      <c r="W232" s="36"/>
      <c r="X232" s="36"/>
      <c r="Y232" s="8"/>
      <c r="Z232" s="8"/>
      <c r="AA232" s="42"/>
      <c r="AB232" s="9"/>
      <c r="AC232" s="9"/>
      <c r="AD232" s="9"/>
      <c r="AE232" s="198"/>
      <c r="AF232" s="198"/>
      <c r="AG232" s="198"/>
      <c r="AH232" s="198"/>
      <c r="AI232" s="198"/>
      <c r="AJ232" s="198"/>
      <c r="AK232" s="198"/>
      <c r="AL232" s="198"/>
      <c r="AM232" s="198"/>
      <c r="AN232" s="198"/>
      <c r="AO232" s="198"/>
      <c r="AP232" s="198"/>
      <c r="AQ232" s="198"/>
      <c r="AR232" s="198"/>
      <c r="AS232" s="198"/>
      <c r="AT232" s="198"/>
      <c r="AU232" s="198"/>
    </row>
    <row r="233" spans="1:47" hidden="1" outlineLevel="1">
      <c r="A233" s="12"/>
      <c r="B233" s="12"/>
      <c r="C233" s="12"/>
      <c r="D233" s="12"/>
      <c r="E233" s="12"/>
      <c r="F233" s="303">
        <f>Asset23</f>
        <v>0</v>
      </c>
      <c r="G233" s="304">
        <f t="shared" ref="G233:Q233" si="64">(G165-G199)/G$246</f>
        <v>0</v>
      </c>
      <c r="H233" s="92">
        <f t="shared" si="64"/>
        <v>0</v>
      </c>
      <c r="I233" s="92">
        <f t="shared" si="64"/>
        <v>0</v>
      </c>
      <c r="J233" s="92">
        <f t="shared" si="64"/>
        <v>0</v>
      </c>
      <c r="K233" s="92">
        <f t="shared" si="64"/>
        <v>0</v>
      </c>
      <c r="L233" s="92">
        <f t="shared" si="64"/>
        <v>0</v>
      </c>
      <c r="M233" s="92">
        <f t="shared" si="64"/>
        <v>0</v>
      </c>
      <c r="N233" s="92">
        <f t="shared" si="64"/>
        <v>0</v>
      </c>
      <c r="O233" s="92">
        <f t="shared" si="64"/>
        <v>0</v>
      </c>
      <c r="P233" s="92">
        <f t="shared" si="64"/>
        <v>0</v>
      </c>
      <c r="Q233" s="92">
        <f t="shared" si="64"/>
        <v>0</v>
      </c>
      <c r="R233" s="36"/>
      <c r="S233" s="36"/>
      <c r="T233" s="36"/>
      <c r="U233" s="36"/>
      <c r="V233" s="36"/>
      <c r="W233" s="36"/>
      <c r="X233" s="36"/>
      <c r="Y233" s="8"/>
      <c r="Z233" s="8"/>
      <c r="AA233" s="42"/>
      <c r="AB233" s="9"/>
      <c r="AC233" s="9"/>
      <c r="AD233" s="9"/>
      <c r="AE233" s="198"/>
      <c r="AF233" s="198"/>
      <c r="AG233" s="198"/>
      <c r="AH233" s="198"/>
      <c r="AI233" s="198"/>
      <c r="AJ233" s="198"/>
      <c r="AK233" s="198"/>
      <c r="AL233" s="198"/>
      <c r="AM233" s="198"/>
      <c r="AN233" s="198"/>
      <c r="AO233" s="198"/>
      <c r="AP233" s="198"/>
      <c r="AQ233" s="198"/>
      <c r="AR233" s="198"/>
      <c r="AS233" s="198"/>
      <c r="AT233" s="198"/>
      <c r="AU233" s="198"/>
    </row>
    <row r="234" spans="1:47" hidden="1" outlineLevel="1">
      <c r="A234" s="12"/>
      <c r="B234" s="12"/>
      <c r="C234" s="12"/>
      <c r="D234" s="12"/>
      <c r="E234" s="12"/>
      <c r="F234" s="303">
        <f>Asset24</f>
        <v>0</v>
      </c>
      <c r="G234" s="304">
        <f t="shared" ref="G234:Q234" si="65">(G166-G200)/G$246</f>
        <v>0</v>
      </c>
      <c r="H234" s="92">
        <f t="shared" si="65"/>
        <v>0</v>
      </c>
      <c r="I234" s="92">
        <f t="shared" si="65"/>
        <v>0</v>
      </c>
      <c r="J234" s="92">
        <f t="shared" si="65"/>
        <v>0</v>
      </c>
      <c r="K234" s="92">
        <f t="shared" si="65"/>
        <v>0</v>
      </c>
      <c r="L234" s="92">
        <f t="shared" si="65"/>
        <v>0</v>
      </c>
      <c r="M234" s="92">
        <f t="shared" si="65"/>
        <v>0</v>
      </c>
      <c r="N234" s="92">
        <f t="shared" si="65"/>
        <v>0</v>
      </c>
      <c r="O234" s="92">
        <f t="shared" si="65"/>
        <v>0</v>
      </c>
      <c r="P234" s="92">
        <f t="shared" si="65"/>
        <v>0</v>
      </c>
      <c r="Q234" s="92">
        <f t="shared" si="65"/>
        <v>0</v>
      </c>
      <c r="R234" s="36"/>
      <c r="S234" s="36"/>
      <c r="T234" s="36"/>
      <c r="U234" s="36"/>
      <c r="V234" s="36"/>
      <c r="W234" s="36"/>
      <c r="X234" s="36"/>
      <c r="Y234" s="8"/>
      <c r="Z234" s="8"/>
      <c r="AA234" s="42"/>
      <c r="AB234" s="9"/>
      <c r="AC234" s="9"/>
      <c r="AD234" s="9"/>
      <c r="AE234" s="198"/>
      <c r="AF234" s="198"/>
      <c r="AG234" s="198"/>
      <c r="AH234" s="198"/>
      <c r="AI234" s="198"/>
      <c r="AJ234" s="198"/>
      <c r="AK234" s="198"/>
      <c r="AL234" s="198"/>
      <c r="AM234" s="198"/>
      <c r="AN234" s="198"/>
      <c r="AO234" s="198"/>
      <c r="AP234" s="198"/>
      <c r="AQ234" s="198"/>
      <c r="AR234" s="198"/>
      <c r="AS234" s="198"/>
      <c r="AT234" s="198"/>
      <c r="AU234" s="198"/>
    </row>
    <row r="235" spans="1:47" hidden="1" outlineLevel="1">
      <c r="A235" s="12"/>
      <c r="B235" s="12"/>
      <c r="C235" s="12"/>
      <c r="D235" s="12"/>
      <c r="E235" s="12"/>
      <c r="F235" s="303">
        <f>Asset25</f>
        <v>0</v>
      </c>
      <c r="G235" s="304">
        <f t="shared" ref="G235:Q235" si="66">(G167-G201)/G$246</f>
        <v>0</v>
      </c>
      <c r="H235" s="92">
        <f t="shared" si="66"/>
        <v>0</v>
      </c>
      <c r="I235" s="92">
        <f t="shared" si="66"/>
        <v>0</v>
      </c>
      <c r="J235" s="92">
        <f t="shared" si="66"/>
        <v>0</v>
      </c>
      <c r="K235" s="92">
        <f t="shared" si="66"/>
        <v>0</v>
      </c>
      <c r="L235" s="92">
        <f t="shared" si="66"/>
        <v>0</v>
      </c>
      <c r="M235" s="92">
        <f t="shared" si="66"/>
        <v>0</v>
      </c>
      <c r="N235" s="92">
        <f t="shared" si="66"/>
        <v>0</v>
      </c>
      <c r="O235" s="92">
        <f t="shared" si="66"/>
        <v>0</v>
      </c>
      <c r="P235" s="92">
        <f t="shared" si="66"/>
        <v>0</v>
      </c>
      <c r="Q235" s="92">
        <f t="shared" si="66"/>
        <v>0</v>
      </c>
      <c r="R235" s="36"/>
      <c r="S235" s="36"/>
      <c r="T235" s="36"/>
      <c r="U235" s="36"/>
      <c r="V235" s="36"/>
      <c r="W235" s="36"/>
      <c r="X235" s="36"/>
      <c r="Y235" s="8"/>
      <c r="Z235" s="8"/>
      <c r="AA235" s="42"/>
      <c r="AB235" s="9"/>
      <c r="AC235" s="9"/>
      <c r="AD235" s="9"/>
      <c r="AE235" s="198"/>
      <c r="AF235" s="198"/>
      <c r="AG235" s="198"/>
      <c r="AH235" s="198"/>
      <c r="AI235" s="198"/>
      <c r="AJ235" s="198"/>
      <c r="AK235" s="198"/>
      <c r="AL235" s="198"/>
      <c r="AM235" s="198"/>
      <c r="AN235" s="198"/>
      <c r="AO235" s="198"/>
      <c r="AP235" s="198"/>
      <c r="AQ235" s="198"/>
      <c r="AR235" s="198"/>
      <c r="AS235" s="198"/>
      <c r="AT235" s="198"/>
      <c r="AU235" s="198"/>
    </row>
    <row r="236" spans="1:47" hidden="1" outlineLevel="1">
      <c r="A236" s="12"/>
      <c r="B236" s="12"/>
      <c r="C236" s="12"/>
      <c r="D236" s="12"/>
      <c r="E236" s="12"/>
      <c r="F236" s="303">
        <f>Asset26</f>
        <v>0</v>
      </c>
      <c r="G236" s="304">
        <f t="shared" ref="G236:Q236" si="67">(G168-G202)/G$246</f>
        <v>0</v>
      </c>
      <c r="H236" s="92">
        <f t="shared" si="67"/>
        <v>0</v>
      </c>
      <c r="I236" s="92">
        <f t="shared" si="67"/>
        <v>0</v>
      </c>
      <c r="J236" s="92">
        <f t="shared" si="67"/>
        <v>0</v>
      </c>
      <c r="K236" s="92">
        <f t="shared" si="67"/>
        <v>0</v>
      </c>
      <c r="L236" s="92">
        <f t="shared" si="67"/>
        <v>0</v>
      </c>
      <c r="M236" s="92">
        <f t="shared" si="67"/>
        <v>0</v>
      </c>
      <c r="N236" s="92">
        <f t="shared" si="67"/>
        <v>0</v>
      </c>
      <c r="O236" s="92">
        <f t="shared" si="67"/>
        <v>0</v>
      </c>
      <c r="P236" s="92">
        <f t="shared" si="67"/>
        <v>0</v>
      </c>
      <c r="Q236" s="92">
        <f t="shared" si="67"/>
        <v>0</v>
      </c>
      <c r="R236" s="36"/>
      <c r="S236" s="36"/>
      <c r="T236" s="36"/>
      <c r="U236" s="36"/>
      <c r="V236" s="36"/>
      <c r="W236" s="36"/>
      <c r="X236" s="36"/>
      <c r="Y236" s="8"/>
      <c r="Z236" s="8"/>
      <c r="AA236" s="42"/>
      <c r="AB236" s="9"/>
      <c r="AC236" s="9"/>
      <c r="AD236" s="9"/>
      <c r="AE236" s="198"/>
      <c r="AF236" s="198"/>
      <c r="AG236" s="198"/>
      <c r="AH236" s="198"/>
      <c r="AI236" s="198"/>
      <c r="AJ236" s="198"/>
      <c r="AK236" s="198"/>
      <c r="AL236" s="198"/>
      <c r="AM236" s="198"/>
      <c r="AN236" s="198"/>
      <c r="AO236" s="198"/>
      <c r="AP236" s="198"/>
      <c r="AQ236" s="198"/>
      <c r="AR236" s="198"/>
      <c r="AS236" s="198"/>
      <c r="AT236" s="198"/>
      <c r="AU236" s="198"/>
    </row>
    <row r="237" spans="1:47" hidden="1" outlineLevel="1">
      <c r="A237" s="12"/>
      <c r="B237" s="12"/>
      <c r="C237" s="12"/>
      <c r="D237" s="12"/>
      <c r="E237" s="12"/>
      <c r="F237" s="303">
        <f>Asset27</f>
        <v>0</v>
      </c>
      <c r="G237" s="304">
        <f t="shared" ref="G237:Q237" si="68">(G169-G203)/G$246</f>
        <v>0</v>
      </c>
      <c r="H237" s="92">
        <f t="shared" si="68"/>
        <v>0</v>
      </c>
      <c r="I237" s="92">
        <f t="shared" si="68"/>
        <v>0</v>
      </c>
      <c r="J237" s="92">
        <f t="shared" si="68"/>
        <v>0</v>
      </c>
      <c r="K237" s="92">
        <f t="shared" si="68"/>
        <v>0</v>
      </c>
      <c r="L237" s="92">
        <f t="shared" si="68"/>
        <v>0</v>
      </c>
      <c r="M237" s="92">
        <f t="shared" si="68"/>
        <v>0</v>
      </c>
      <c r="N237" s="92">
        <f t="shared" si="68"/>
        <v>0</v>
      </c>
      <c r="O237" s="92">
        <f t="shared" si="68"/>
        <v>0</v>
      </c>
      <c r="P237" s="92">
        <f t="shared" si="68"/>
        <v>0</v>
      </c>
      <c r="Q237" s="92">
        <f t="shared" si="68"/>
        <v>0</v>
      </c>
      <c r="R237" s="36"/>
      <c r="S237" s="36"/>
      <c r="T237" s="36"/>
      <c r="U237" s="36"/>
      <c r="V237" s="36"/>
      <c r="W237" s="36"/>
      <c r="X237" s="36"/>
      <c r="Y237" s="8"/>
      <c r="Z237" s="8"/>
      <c r="AA237" s="42"/>
      <c r="AB237" s="9"/>
      <c r="AC237" s="9"/>
      <c r="AD237" s="9"/>
      <c r="AE237" s="198"/>
      <c r="AF237" s="198"/>
      <c r="AG237" s="198"/>
      <c r="AH237" s="198"/>
      <c r="AI237" s="198"/>
      <c r="AJ237" s="198"/>
      <c r="AK237" s="198"/>
      <c r="AL237" s="198"/>
      <c r="AM237" s="198"/>
      <c r="AN237" s="198"/>
      <c r="AO237" s="198"/>
      <c r="AP237" s="198"/>
      <c r="AQ237" s="198"/>
      <c r="AR237" s="198"/>
      <c r="AS237" s="198"/>
      <c r="AT237" s="198"/>
      <c r="AU237" s="198"/>
    </row>
    <row r="238" spans="1:47" hidden="1" outlineLevel="1">
      <c r="A238" s="12"/>
      <c r="B238" s="12"/>
      <c r="C238" s="12"/>
      <c r="D238" s="12"/>
      <c r="E238" s="12"/>
      <c r="F238" s="303">
        <f>Asset28</f>
        <v>0</v>
      </c>
      <c r="G238" s="304">
        <f t="shared" ref="G238:Q238" si="69">(G170-G204)/G$246</f>
        <v>0</v>
      </c>
      <c r="H238" s="92">
        <f t="shared" si="69"/>
        <v>0</v>
      </c>
      <c r="I238" s="92">
        <f t="shared" si="69"/>
        <v>0</v>
      </c>
      <c r="J238" s="92">
        <f t="shared" si="69"/>
        <v>0</v>
      </c>
      <c r="K238" s="92">
        <f t="shared" si="69"/>
        <v>0</v>
      </c>
      <c r="L238" s="92">
        <f t="shared" si="69"/>
        <v>0</v>
      </c>
      <c r="M238" s="92">
        <f t="shared" si="69"/>
        <v>0</v>
      </c>
      <c r="N238" s="92">
        <f t="shared" si="69"/>
        <v>0</v>
      </c>
      <c r="O238" s="92">
        <f t="shared" si="69"/>
        <v>0</v>
      </c>
      <c r="P238" s="92">
        <f t="shared" si="69"/>
        <v>0</v>
      </c>
      <c r="Q238" s="92">
        <f t="shared" si="69"/>
        <v>0</v>
      </c>
      <c r="R238" s="36"/>
      <c r="S238" s="36"/>
      <c r="T238" s="36"/>
      <c r="U238" s="36"/>
      <c r="V238" s="36"/>
      <c r="W238" s="36"/>
      <c r="X238" s="36"/>
      <c r="Y238" s="8"/>
      <c r="Z238" s="8"/>
      <c r="AA238" s="42"/>
      <c r="AB238" s="9"/>
      <c r="AC238" s="9"/>
      <c r="AD238" s="9"/>
      <c r="AE238" s="198"/>
      <c r="AF238" s="198"/>
      <c r="AG238" s="198"/>
      <c r="AH238" s="198"/>
      <c r="AI238" s="198"/>
      <c r="AJ238" s="198"/>
      <c r="AK238" s="198"/>
      <c r="AL238" s="198"/>
      <c r="AM238" s="198"/>
      <c r="AN238" s="198"/>
      <c r="AO238" s="198"/>
      <c r="AP238" s="198"/>
      <c r="AQ238" s="198"/>
      <c r="AR238" s="198"/>
      <c r="AS238" s="198"/>
      <c r="AT238" s="198"/>
      <c r="AU238" s="198"/>
    </row>
    <row r="239" spans="1:47" hidden="1" outlineLevel="1">
      <c r="A239" s="12"/>
      <c r="B239" s="12"/>
      <c r="C239" s="12"/>
      <c r="D239" s="12"/>
      <c r="E239" s="12"/>
      <c r="F239" s="303">
        <f>Asset29</f>
        <v>0</v>
      </c>
      <c r="G239" s="304">
        <f t="shared" ref="G239:Q239" si="70">(G171-G205)/G$246</f>
        <v>0</v>
      </c>
      <c r="H239" s="92">
        <f t="shared" si="70"/>
        <v>0</v>
      </c>
      <c r="I239" s="92">
        <f t="shared" si="70"/>
        <v>0</v>
      </c>
      <c r="J239" s="92">
        <f t="shared" si="70"/>
        <v>0</v>
      </c>
      <c r="K239" s="92">
        <f t="shared" si="70"/>
        <v>0</v>
      </c>
      <c r="L239" s="92">
        <f t="shared" si="70"/>
        <v>0</v>
      </c>
      <c r="M239" s="92">
        <f t="shared" si="70"/>
        <v>0</v>
      </c>
      <c r="N239" s="92">
        <f t="shared" si="70"/>
        <v>0</v>
      </c>
      <c r="O239" s="92">
        <f t="shared" si="70"/>
        <v>0</v>
      </c>
      <c r="P239" s="92">
        <f t="shared" si="70"/>
        <v>0</v>
      </c>
      <c r="Q239" s="92">
        <f t="shared" si="70"/>
        <v>0</v>
      </c>
      <c r="R239" s="36"/>
      <c r="S239" s="36"/>
      <c r="T239" s="36"/>
      <c r="U239" s="36"/>
      <c r="V239" s="36"/>
      <c r="W239" s="36"/>
      <c r="X239" s="36"/>
      <c r="Y239" s="8"/>
      <c r="Z239" s="8"/>
      <c r="AA239" s="42"/>
      <c r="AB239" s="9"/>
      <c r="AC239" s="9"/>
      <c r="AD239" s="9"/>
      <c r="AE239" s="198"/>
      <c r="AF239" s="198"/>
      <c r="AG239" s="198"/>
      <c r="AH239" s="198"/>
      <c r="AI239" s="198"/>
      <c r="AJ239" s="198"/>
      <c r="AK239" s="198"/>
      <c r="AL239" s="198"/>
      <c r="AM239" s="198"/>
      <c r="AN239" s="198"/>
      <c r="AO239" s="198"/>
      <c r="AP239" s="198"/>
      <c r="AQ239" s="198"/>
      <c r="AR239" s="198"/>
      <c r="AS239" s="198"/>
      <c r="AT239" s="198"/>
      <c r="AU239" s="198"/>
    </row>
    <row r="240" spans="1:47" hidden="1" outlineLevel="1">
      <c r="A240" s="12"/>
      <c r="B240" s="12"/>
      <c r="C240" s="12"/>
      <c r="D240" s="12"/>
      <c r="E240" s="12"/>
      <c r="F240" s="303">
        <f>Asset30</f>
        <v>0</v>
      </c>
      <c r="G240" s="304">
        <f t="shared" ref="G240:Q240" si="71">(G172-G206)/G$246</f>
        <v>0</v>
      </c>
      <c r="H240" s="92">
        <f t="shared" si="71"/>
        <v>0</v>
      </c>
      <c r="I240" s="92">
        <f t="shared" si="71"/>
        <v>0</v>
      </c>
      <c r="J240" s="92">
        <f t="shared" si="71"/>
        <v>0</v>
      </c>
      <c r="K240" s="92">
        <f t="shared" si="71"/>
        <v>0</v>
      </c>
      <c r="L240" s="92">
        <f t="shared" si="71"/>
        <v>0</v>
      </c>
      <c r="M240" s="92">
        <f t="shared" si="71"/>
        <v>0</v>
      </c>
      <c r="N240" s="92">
        <f t="shared" si="71"/>
        <v>0</v>
      </c>
      <c r="O240" s="92">
        <f t="shared" si="71"/>
        <v>0</v>
      </c>
      <c r="P240" s="92">
        <f t="shared" si="71"/>
        <v>0</v>
      </c>
      <c r="Q240" s="92">
        <f t="shared" si="71"/>
        <v>0</v>
      </c>
      <c r="R240" s="36"/>
      <c r="S240" s="36"/>
      <c r="T240" s="36"/>
      <c r="U240" s="36"/>
      <c r="V240" s="36"/>
      <c r="W240" s="36"/>
      <c r="X240" s="36"/>
      <c r="Y240" s="8"/>
      <c r="Z240" s="8"/>
      <c r="AA240" s="42"/>
      <c r="AB240" s="9"/>
      <c r="AC240" s="9"/>
      <c r="AD240" s="9"/>
      <c r="AE240" s="198"/>
      <c r="AF240" s="198"/>
      <c r="AG240" s="198"/>
      <c r="AH240" s="198"/>
      <c r="AI240" s="198"/>
      <c r="AJ240" s="198"/>
      <c r="AK240" s="198"/>
      <c r="AL240" s="198"/>
      <c r="AM240" s="198"/>
      <c r="AN240" s="198"/>
      <c r="AO240" s="198"/>
      <c r="AP240" s="198"/>
      <c r="AQ240" s="198"/>
      <c r="AR240" s="198"/>
      <c r="AS240" s="198"/>
      <c r="AT240" s="198"/>
      <c r="AU240" s="198"/>
    </row>
    <row r="241" spans="1:47" collapsed="1">
      <c r="A241" s="12"/>
      <c r="B241" s="12"/>
      <c r="C241" s="12"/>
      <c r="D241" s="12"/>
      <c r="E241" s="12"/>
      <c r="F241" s="173" t="s">
        <v>19</v>
      </c>
      <c r="G241" s="308">
        <f>SUM(G211:G240)</f>
        <v>109.42218468274402</v>
      </c>
      <c r="H241" s="308">
        <f t="shared" ref="H241:Q241" si="72">SUM(H211:H240)</f>
        <v>37.911129012352092</v>
      </c>
      <c r="I241" s="308">
        <f t="shared" si="72"/>
        <v>77.874837018810283</v>
      </c>
      <c r="J241" s="308">
        <f t="shared" si="72"/>
        <v>96.622472484483737</v>
      </c>
      <c r="K241" s="308">
        <f t="shared" si="72"/>
        <v>105.62896151623569</v>
      </c>
      <c r="L241" s="308">
        <f t="shared" si="72"/>
        <v>120.31914779821628</v>
      </c>
      <c r="M241" s="308">
        <f t="shared" si="72"/>
        <v>116.64328887912973</v>
      </c>
      <c r="N241" s="308">
        <f t="shared" si="72"/>
        <v>0</v>
      </c>
      <c r="O241" s="308">
        <f t="shared" si="72"/>
        <v>0</v>
      </c>
      <c r="P241" s="308">
        <f t="shared" si="72"/>
        <v>0</v>
      </c>
      <c r="Q241" s="308">
        <f t="shared" si="72"/>
        <v>0</v>
      </c>
      <c r="R241" s="36"/>
      <c r="S241" s="36"/>
      <c r="T241" s="36"/>
      <c r="U241" s="36"/>
      <c r="V241" s="36"/>
      <c r="W241" s="36"/>
      <c r="X241" s="36"/>
      <c r="Y241" s="8"/>
      <c r="Z241" s="8"/>
      <c r="AA241" s="42"/>
      <c r="AB241" s="9"/>
      <c r="AC241" s="9"/>
      <c r="AD241" s="9"/>
      <c r="AE241" s="198"/>
      <c r="AF241" s="198"/>
      <c r="AG241" s="198"/>
      <c r="AH241" s="198"/>
      <c r="AI241" s="198"/>
      <c r="AJ241" s="198"/>
      <c r="AK241" s="198"/>
      <c r="AL241" s="198"/>
      <c r="AM241" s="198"/>
      <c r="AN241" s="198"/>
      <c r="AO241" s="198"/>
      <c r="AP241" s="198"/>
      <c r="AQ241" s="198"/>
      <c r="AR241" s="198"/>
      <c r="AS241" s="198"/>
      <c r="AT241" s="198"/>
      <c r="AU241" s="198"/>
    </row>
    <row r="242" spans="1:47" ht="21" customHeight="1">
      <c r="A242" s="12"/>
      <c r="B242" s="12"/>
      <c r="C242" s="12"/>
      <c r="D242" s="12"/>
      <c r="E242" s="12"/>
      <c r="F242" s="37"/>
      <c r="G242" s="37"/>
      <c r="H242" s="46"/>
      <c r="I242" s="46"/>
      <c r="J242" s="46"/>
      <c r="K242" s="46"/>
      <c r="L242" s="46"/>
      <c r="M242" s="46"/>
      <c r="N242" s="9"/>
      <c r="O242" s="9"/>
      <c r="P242" s="9"/>
      <c r="Q242" s="9"/>
      <c r="R242" s="243">
        <f>SUM(G241:Q241)</f>
        <v>664.42202139197184</v>
      </c>
      <c r="S242" s="9"/>
      <c r="T242" s="9"/>
      <c r="U242" s="9"/>
      <c r="V242" s="9"/>
      <c r="W242" s="9"/>
      <c r="X242" s="9"/>
      <c r="Y242" s="9"/>
      <c r="Z242" s="9"/>
      <c r="AA242" s="8"/>
      <c r="AB242" s="42"/>
      <c r="AC242" s="9"/>
      <c r="AD242" s="9"/>
      <c r="AE242" s="198"/>
      <c r="AF242" s="198"/>
      <c r="AG242" s="198"/>
      <c r="AH242" s="198"/>
      <c r="AI242" s="198"/>
      <c r="AJ242" s="198"/>
      <c r="AK242" s="198"/>
      <c r="AL242" s="198"/>
      <c r="AM242" s="198"/>
      <c r="AN242" s="198"/>
      <c r="AO242" s="198"/>
      <c r="AP242" s="198"/>
      <c r="AQ242" s="198"/>
      <c r="AR242" s="198"/>
      <c r="AS242" s="198"/>
      <c r="AT242" s="198"/>
      <c r="AU242" s="198"/>
    </row>
    <row r="243" spans="1:47" ht="14.25" customHeight="1">
      <c r="A243" s="78"/>
      <c r="B243" s="78"/>
      <c r="C243" s="78"/>
      <c r="D243" s="78"/>
      <c r="E243" s="78"/>
      <c r="F243" s="386" t="s">
        <v>25</v>
      </c>
      <c r="G243" s="386"/>
      <c r="H243" s="97"/>
      <c r="I243" s="97"/>
      <c r="J243" s="79"/>
      <c r="K243" s="80"/>
      <c r="L243" s="80"/>
      <c r="M243" s="80"/>
      <c r="N243" s="80"/>
      <c r="O243" s="80"/>
      <c r="P243" s="80"/>
      <c r="Q243" s="80"/>
      <c r="R243" s="80"/>
      <c r="S243" s="80"/>
      <c r="T243" s="80"/>
      <c r="U243" s="80"/>
      <c r="V243" s="80"/>
      <c r="W243" s="80"/>
      <c r="X243" s="9"/>
      <c r="Y243" s="9"/>
      <c r="Z243" s="9"/>
      <c r="AA243" s="43"/>
      <c r="AB243" s="9"/>
      <c r="AC243" s="9"/>
      <c r="AD243" s="9"/>
      <c r="AE243" s="198"/>
      <c r="AF243" s="198"/>
      <c r="AG243" s="198"/>
      <c r="AH243" s="198"/>
      <c r="AI243" s="198"/>
      <c r="AJ243" s="198"/>
      <c r="AK243" s="198"/>
      <c r="AL243" s="198"/>
      <c r="AM243" s="198"/>
      <c r="AN243" s="198"/>
      <c r="AO243" s="198"/>
      <c r="AP243" s="198"/>
      <c r="AQ243" s="198"/>
      <c r="AR243" s="198"/>
      <c r="AS243" s="198"/>
      <c r="AT243" s="198"/>
      <c r="AU243" s="198"/>
    </row>
    <row r="244" spans="1:47" ht="14.25" customHeight="1">
      <c r="A244" s="12"/>
      <c r="B244" s="12"/>
      <c r="C244" s="12"/>
      <c r="D244" s="12"/>
      <c r="E244" s="12"/>
      <c r="F244" s="15"/>
      <c r="G244" s="143" t="str">
        <f t="shared" ref="G244:Q244" si="73">G40</f>
        <v>2007-08</v>
      </c>
      <c r="H244" s="143" t="str">
        <f t="shared" si="73"/>
        <v>2008-09</v>
      </c>
      <c r="I244" s="143" t="str">
        <f t="shared" si="73"/>
        <v>2009-10</v>
      </c>
      <c r="J244" s="143" t="str">
        <f t="shared" si="73"/>
        <v>2010-11</v>
      </c>
      <c r="K244" s="143" t="str">
        <f t="shared" si="73"/>
        <v>2011-12</v>
      </c>
      <c r="L244" s="143" t="str">
        <f t="shared" si="73"/>
        <v>2012-13</v>
      </c>
      <c r="M244" s="143" t="str">
        <f t="shared" si="73"/>
        <v>2013-14</v>
      </c>
      <c r="N244" s="143" t="str">
        <f t="shared" si="73"/>
        <v>2014-15</v>
      </c>
      <c r="O244" s="143" t="str">
        <f t="shared" si="73"/>
        <v>2015-16</v>
      </c>
      <c r="P244" s="143" t="str">
        <f t="shared" si="73"/>
        <v>2016-17</v>
      </c>
      <c r="Q244" s="143" t="str">
        <f t="shared" si="73"/>
        <v>2017-18</v>
      </c>
      <c r="S244" s="13"/>
      <c r="T244" s="13"/>
      <c r="U244" s="13"/>
      <c r="V244" s="13"/>
      <c r="W244" s="13"/>
      <c r="X244" s="9"/>
      <c r="Y244" s="9"/>
      <c r="Z244" s="9"/>
      <c r="AA244" s="9"/>
      <c r="AB244" s="9"/>
      <c r="AC244" s="9"/>
      <c r="AD244" s="9"/>
      <c r="AE244" s="198"/>
      <c r="AF244" s="198"/>
      <c r="AG244" s="198"/>
      <c r="AH244" s="198"/>
      <c r="AI244" s="198"/>
      <c r="AJ244" s="198"/>
      <c r="AK244" s="198"/>
      <c r="AL244" s="198"/>
      <c r="AM244" s="198"/>
      <c r="AN244" s="198"/>
      <c r="AO244" s="198"/>
      <c r="AP244" s="198"/>
      <c r="AQ244" s="198"/>
      <c r="AR244" s="198"/>
      <c r="AS244" s="198"/>
      <c r="AT244" s="198"/>
      <c r="AU244" s="198"/>
    </row>
    <row r="245" spans="1:47" ht="12.75" customHeight="1">
      <c r="A245" s="12"/>
      <c r="B245" s="12"/>
      <c r="C245" s="12"/>
      <c r="D245" s="12"/>
      <c r="E245" s="12"/>
      <c r="F245" s="267" t="s">
        <v>33</v>
      </c>
      <c r="G245" s="107">
        <v>2.9581993569131715E-2</v>
      </c>
      <c r="H245" s="107">
        <v>3.6851967520299844E-2</v>
      </c>
      <c r="I245" s="107">
        <v>2.108433734939763E-2</v>
      </c>
      <c r="J245" s="107">
        <v>2.6548672566371723E-2</v>
      </c>
      <c r="K245" s="107">
        <v>3.1034482758620641E-2</v>
      </c>
      <c r="L245" s="107">
        <v>2.2044088176352838E-2</v>
      </c>
      <c r="M245" s="107">
        <v>2.5000000000000001E-2</v>
      </c>
      <c r="N245" s="222"/>
      <c r="O245" s="222"/>
      <c r="P245" s="222"/>
      <c r="Q245" s="222"/>
      <c r="R245" s="14"/>
      <c r="S245" s="14"/>
      <c r="T245" s="14"/>
      <c r="U245" s="14"/>
      <c r="V245" s="14"/>
      <c r="W245" s="14"/>
      <c r="X245" s="14"/>
      <c r="Y245" s="8"/>
      <c r="Z245" s="9"/>
      <c r="AA245" s="9"/>
      <c r="AB245" s="9"/>
      <c r="AC245" s="9"/>
      <c r="AD245" s="198"/>
      <c r="AE245" s="198"/>
      <c r="AF245" s="198"/>
      <c r="AG245" s="198"/>
      <c r="AH245" s="198"/>
      <c r="AI245" s="198"/>
      <c r="AJ245" s="198"/>
      <c r="AK245" s="198"/>
      <c r="AL245" s="198"/>
      <c r="AM245" s="198"/>
      <c r="AN245" s="198"/>
      <c r="AO245" s="198"/>
      <c r="AP245" s="198"/>
      <c r="AQ245" s="198"/>
      <c r="AR245" s="198"/>
      <c r="AS245" s="198"/>
      <c r="AT245" s="198"/>
    </row>
    <row r="246" spans="1:47" ht="13.5" customHeight="1">
      <c r="A246" s="12"/>
      <c r="B246" s="12"/>
      <c r="C246" s="12"/>
      <c r="D246" s="12"/>
      <c r="E246" s="12"/>
      <c r="F246" s="267" t="s">
        <v>74</v>
      </c>
      <c r="G246" s="240">
        <v>1</v>
      </c>
      <c r="H246" s="93">
        <f>G246*(1+G245)</f>
        <v>1.0295819935691317</v>
      </c>
      <c r="I246" s="93">
        <f>H246*(1+H245)</f>
        <v>1.067524115755627</v>
      </c>
      <c r="J246" s="93">
        <f t="shared" ref="J246:Q246" si="74">I246*(1+I245)</f>
        <v>1.090032154340836</v>
      </c>
      <c r="K246" s="93">
        <f t="shared" si="74"/>
        <v>1.1189710610932477</v>
      </c>
      <c r="L246" s="93">
        <f>K246*(1+K245)</f>
        <v>1.1536977491961415</v>
      </c>
      <c r="M246" s="93">
        <f>L246*(1+L245)</f>
        <v>1.1791299641082811</v>
      </c>
      <c r="N246" s="93">
        <f t="shared" si="74"/>
        <v>1.2086082132109881</v>
      </c>
      <c r="O246" s="93">
        <f t="shared" si="74"/>
        <v>1.2086082132109881</v>
      </c>
      <c r="P246" s="93">
        <f t="shared" si="74"/>
        <v>1.2086082132109881</v>
      </c>
      <c r="Q246" s="93">
        <f t="shared" si="74"/>
        <v>1.2086082132109881</v>
      </c>
      <c r="R246" s="14"/>
      <c r="S246" s="14"/>
      <c r="T246" s="14"/>
      <c r="U246" s="14"/>
      <c r="V246" s="14"/>
      <c r="W246" s="14"/>
      <c r="X246" s="14"/>
      <c r="Y246" s="8"/>
      <c r="Z246" s="9"/>
      <c r="AA246" s="9"/>
      <c r="AB246" s="9"/>
      <c r="AC246" s="9"/>
      <c r="AD246" s="198"/>
      <c r="AE246" s="198"/>
      <c r="AF246" s="198"/>
      <c r="AG246" s="198"/>
      <c r="AH246" s="198"/>
      <c r="AI246" s="198"/>
      <c r="AJ246" s="198"/>
      <c r="AK246" s="198"/>
      <c r="AL246" s="198"/>
      <c r="AM246" s="198"/>
      <c r="AN246" s="198"/>
      <c r="AO246" s="198"/>
      <c r="AP246" s="198"/>
      <c r="AQ246" s="198"/>
      <c r="AR246" s="198"/>
      <c r="AS246" s="198"/>
      <c r="AT246" s="198"/>
    </row>
    <row r="247" spans="1:47" ht="13.5" customHeight="1">
      <c r="A247" s="12"/>
      <c r="B247" s="12"/>
      <c r="C247" s="12"/>
      <c r="D247" s="12"/>
      <c r="E247" s="12"/>
      <c r="F247" s="267" t="s">
        <v>37</v>
      </c>
      <c r="G247" s="326">
        <v>2.5999999999999999E-2</v>
      </c>
      <c r="H247" s="326">
        <v>2.5859063306679309E-2</v>
      </c>
      <c r="I247" s="49">
        <f>H247</f>
        <v>2.5859063306679309E-2</v>
      </c>
      <c r="J247" s="49">
        <f t="shared" ref="J247:Q247" si="75">I247</f>
        <v>2.5859063306679309E-2</v>
      </c>
      <c r="K247" s="49">
        <f t="shared" si="75"/>
        <v>2.5859063306679309E-2</v>
      </c>
      <c r="L247" s="49">
        <f t="shared" si="75"/>
        <v>2.5859063306679309E-2</v>
      </c>
      <c r="M247" s="49">
        <f t="shared" si="75"/>
        <v>2.5859063306679309E-2</v>
      </c>
      <c r="N247" s="49">
        <f t="shared" si="75"/>
        <v>2.5859063306679309E-2</v>
      </c>
      <c r="O247" s="49">
        <f t="shared" si="75"/>
        <v>2.5859063306679309E-2</v>
      </c>
      <c r="P247" s="49">
        <f t="shared" si="75"/>
        <v>2.5859063306679309E-2</v>
      </c>
      <c r="Q247" s="49">
        <f t="shared" si="75"/>
        <v>2.5859063306679309E-2</v>
      </c>
      <c r="R247" s="14"/>
      <c r="S247" s="14"/>
      <c r="T247" s="14"/>
      <c r="U247" s="14"/>
      <c r="V247" s="14"/>
      <c r="W247" s="14"/>
      <c r="X247" s="14"/>
      <c r="Y247" s="8"/>
      <c r="Z247" s="9"/>
      <c r="AA247" s="9"/>
      <c r="AB247" s="9"/>
      <c r="AC247" s="9"/>
      <c r="AD247" s="198"/>
      <c r="AE247" s="198"/>
      <c r="AF247" s="198"/>
      <c r="AG247" s="198"/>
      <c r="AH247" s="198"/>
      <c r="AI247" s="198"/>
      <c r="AJ247" s="198"/>
      <c r="AK247" s="198"/>
      <c r="AL247" s="198"/>
      <c r="AM247" s="198"/>
      <c r="AN247" s="198"/>
      <c r="AO247" s="198"/>
      <c r="AP247" s="198"/>
      <c r="AQ247" s="198"/>
      <c r="AR247" s="198"/>
      <c r="AS247" s="198"/>
      <c r="AT247" s="198"/>
    </row>
    <row r="248" spans="1:47" ht="12.75" customHeight="1">
      <c r="A248" s="12"/>
      <c r="B248" s="12"/>
      <c r="C248" s="12"/>
      <c r="D248" s="12"/>
      <c r="E248" s="12"/>
      <c r="F248" s="267" t="s">
        <v>36</v>
      </c>
      <c r="G248" s="240">
        <v>1</v>
      </c>
      <c r="H248" s="93">
        <f>G248*(1+H247)</f>
        <v>1.0258590633066793</v>
      </c>
      <c r="I248" s="93">
        <f t="shared" ref="I248:Q248" si="76">H248*(1+I247)</f>
        <v>1.0523868177684574</v>
      </c>
      <c r="J248" s="93">
        <f t="shared" si="76"/>
        <v>1.0796005551122467</v>
      </c>
      <c r="K248" s="93">
        <f t="shared" si="76"/>
        <v>1.1075180142128205</v>
      </c>
      <c r="L248" s="93">
        <f t="shared" si="76"/>
        <v>1.1361573926556376</v>
      </c>
      <c r="M248" s="93">
        <f t="shared" si="76"/>
        <v>1.1655373585986715</v>
      </c>
      <c r="N248" s="93">
        <f t="shared" si="76"/>
        <v>1.1956770629409743</v>
      </c>
      <c r="O248" s="93">
        <f t="shared" si="76"/>
        <v>1.2265961518059094</v>
      </c>
      <c r="P248" s="93">
        <f t="shared" si="76"/>
        <v>1.2583147793471876</v>
      </c>
      <c r="Q248" s="93">
        <f t="shared" si="76"/>
        <v>1.2908536208860568</v>
      </c>
      <c r="R248" s="14"/>
      <c r="S248" s="14"/>
      <c r="T248" s="14"/>
      <c r="U248" s="14"/>
      <c r="V248" s="14"/>
      <c r="W248" s="14"/>
      <c r="X248" s="14"/>
      <c r="Y248" s="8"/>
      <c r="Z248" s="9"/>
      <c r="AA248" s="9"/>
      <c r="AB248" s="9"/>
      <c r="AC248" s="9"/>
      <c r="AD248" s="198"/>
      <c r="AE248" s="198"/>
      <c r="AF248" s="198"/>
      <c r="AG248" s="198"/>
      <c r="AH248" s="198"/>
      <c r="AI248" s="198"/>
      <c r="AJ248" s="198"/>
      <c r="AK248" s="198"/>
      <c r="AL248" s="198"/>
      <c r="AM248" s="198"/>
      <c r="AN248" s="198"/>
      <c r="AO248" s="198"/>
      <c r="AP248" s="198"/>
      <c r="AQ248" s="198"/>
      <c r="AR248" s="198"/>
      <c r="AS248" s="198"/>
      <c r="AT248" s="198"/>
    </row>
    <row r="249" spans="1:47" ht="14.25" customHeight="1">
      <c r="A249" s="12"/>
      <c r="B249" s="12"/>
      <c r="C249" s="12"/>
      <c r="D249" s="12"/>
      <c r="E249" s="12"/>
      <c r="F249" s="141"/>
      <c r="G249" s="94"/>
      <c r="H249" s="94"/>
      <c r="I249" s="94"/>
      <c r="J249" s="94"/>
      <c r="K249" s="94"/>
      <c r="L249" s="94"/>
      <c r="M249" s="9"/>
      <c r="N249" s="14"/>
      <c r="O249" s="14"/>
      <c r="P249" s="14"/>
      <c r="Q249" s="14"/>
      <c r="R249" s="14"/>
      <c r="S249" s="14"/>
      <c r="T249" s="14"/>
      <c r="U249" s="14"/>
      <c r="V249" s="14"/>
      <c r="W249" s="14"/>
      <c r="X249" s="14"/>
      <c r="Y249" s="8"/>
      <c r="Z249" s="9"/>
      <c r="AA249" s="9"/>
      <c r="AB249" s="9"/>
      <c r="AC249" s="9"/>
      <c r="AD249" s="198"/>
      <c r="AE249" s="198"/>
      <c r="AF249" s="198"/>
      <c r="AG249" s="198"/>
      <c r="AH249" s="198"/>
      <c r="AI249" s="198"/>
      <c r="AJ249" s="198"/>
      <c r="AK249" s="198"/>
      <c r="AL249" s="198"/>
      <c r="AM249" s="198"/>
      <c r="AN249" s="198"/>
      <c r="AO249" s="198"/>
      <c r="AP249" s="198"/>
      <c r="AQ249" s="198"/>
      <c r="AR249" s="198"/>
      <c r="AS249" s="198"/>
      <c r="AT249" s="198"/>
    </row>
    <row r="250" spans="1:47" ht="14.25" customHeight="1">
      <c r="A250" s="12"/>
      <c r="B250" s="12"/>
      <c r="C250" s="12"/>
      <c r="D250" s="12"/>
      <c r="E250" s="12"/>
      <c r="F250" s="268" t="s">
        <v>38</v>
      </c>
      <c r="G250" s="107">
        <v>9.5154506665823702E-2</v>
      </c>
      <c r="H250" s="107">
        <v>9.7603443271767801E-2</v>
      </c>
      <c r="I250" s="95">
        <f>H250</f>
        <v>9.7603443271767801E-2</v>
      </c>
      <c r="J250" s="95">
        <f t="shared" ref="J250:Q250" si="77">I250</f>
        <v>9.7603443271767801E-2</v>
      </c>
      <c r="K250" s="95">
        <f t="shared" si="77"/>
        <v>9.7603443271767801E-2</v>
      </c>
      <c r="L250" s="95">
        <f t="shared" si="77"/>
        <v>9.7603443271767801E-2</v>
      </c>
      <c r="M250" s="95">
        <f t="shared" si="77"/>
        <v>9.7603443271767801E-2</v>
      </c>
      <c r="N250" s="95">
        <f t="shared" si="77"/>
        <v>9.7603443271767801E-2</v>
      </c>
      <c r="O250" s="95">
        <f t="shared" si="77"/>
        <v>9.7603443271767801E-2</v>
      </c>
      <c r="P250" s="95">
        <f t="shared" si="77"/>
        <v>9.7603443271767801E-2</v>
      </c>
      <c r="Q250" s="95">
        <f t="shared" si="77"/>
        <v>9.7603443271767801E-2</v>
      </c>
      <c r="R250" s="14"/>
      <c r="S250" s="14"/>
      <c r="T250" s="14"/>
      <c r="U250" s="14"/>
      <c r="V250" s="14"/>
      <c r="W250" s="14"/>
      <c r="X250" s="14"/>
      <c r="Y250" s="8"/>
      <c r="Z250" s="9"/>
      <c r="AA250" s="9"/>
      <c r="AB250" s="9"/>
      <c r="AC250" s="9"/>
      <c r="AD250" s="198"/>
      <c r="AE250" s="198"/>
      <c r="AF250" s="198"/>
      <c r="AG250" s="198"/>
      <c r="AH250" s="198"/>
      <c r="AI250" s="198"/>
      <c r="AJ250" s="198"/>
      <c r="AK250" s="198"/>
      <c r="AL250" s="198"/>
      <c r="AM250" s="198"/>
      <c r="AN250" s="198"/>
      <c r="AO250" s="198"/>
      <c r="AP250" s="198"/>
      <c r="AQ250" s="198"/>
      <c r="AR250" s="198"/>
      <c r="AS250" s="198"/>
      <c r="AT250" s="198"/>
    </row>
    <row r="251" spans="1:47">
      <c r="A251" s="12"/>
      <c r="B251" s="12"/>
      <c r="C251" s="12"/>
      <c r="D251" s="12"/>
      <c r="E251" s="12"/>
      <c r="F251" s="267" t="s">
        <v>35</v>
      </c>
      <c r="G251" s="354">
        <f>(1+G250)/(1+G247)-1</f>
        <v>6.740205328052995E-2</v>
      </c>
      <c r="H251" s="354">
        <f>(1+H250)/(1+H247)-1</f>
        <v>6.9935903021447254E-2</v>
      </c>
      <c r="I251" s="39">
        <f>H251</f>
        <v>6.9935903021447254E-2</v>
      </c>
      <c r="J251" s="39">
        <f t="shared" ref="J251:Q251" si="78">I251</f>
        <v>6.9935903021447254E-2</v>
      </c>
      <c r="K251" s="39">
        <f t="shared" si="78"/>
        <v>6.9935903021447254E-2</v>
      </c>
      <c r="L251" s="39">
        <f t="shared" si="78"/>
        <v>6.9935903021447254E-2</v>
      </c>
      <c r="M251" s="39">
        <f>L251</f>
        <v>6.9935903021447254E-2</v>
      </c>
      <c r="N251" s="39">
        <f t="shared" si="78"/>
        <v>6.9935903021447254E-2</v>
      </c>
      <c r="O251" s="39">
        <f t="shared" si="78"/>
        <v>6.9935903021447254E-2</v>
      </c>
      <c r="P251" s="39">
        <f t="shared" si="78"/>
        <v>6.9935903021447254E-2</v>
      </c>
      <c r="Q251" s="39">
        <f t="shared" si="78"/>
        <v>6.9935903021447254E-2</v>
      </c>
      <c r="R251" s="9"/>
      <c r="S251" s="9"/>
      <c r="T251" s="9"/>
      <c r="U251" s="9"/>
      <c r="V251" s="9"/>
      <c r="W251" s="9"/>
      <c r="X251" s="9"/>
      <c r="Y251" s="19"/>
      <c r="Z251" s="9"/>
      <c r="AA251" s="9"/>
      <c r="AB251" s="9"/>
      <c r="AC251" s="9"/>
      <c r="AD251" s="198"/>
      <c r="AE251" s="198"/>
      <c r="AF251" s="198"/>
      <c r="AG251" s="198"/>
      <c r="AH251" s="198"/>
      <c r="AI251" s="198"/>
      <c r="AJ251" s="198"/>
      <c r="AK251" s="198"/>
      <c r="AL251" s="198"/>
      <c r="AM251" s="198"/>
      <c r="AN251" s="198"/>
      <c r="AO251" s="198"/>
      <c r="AP251" s="198"/>
      <c r="AQ251" s="198"/>
      <c r="AR251" s="198"/>
      <c r="AS251" s="198"/>
      <c r="AT251" s="198"/>
    </row>
    <row r="252" spans="1:47" ht="12.75" customHeight="1">
      <c r="A252" s="12"/>
      <c r="B252" s="12"/>
      <c r="C252" s="12"/>
      <c r="D252" s="12"/>
      <c r="E252" s="12"/>
      <c r="F252" s="269" t="s">
        <v>122</v>
      </c>
      <c r="G252" s="354">
        <f t="shared" ref="G252:M252" si="79">(1+G251)*(1+G245)-1</f>
        <v>9.8977933956352571E-2</v>
      </c>
      <c r="H252" s="354">
        <f t="shared" si="79"/>
        <v>0.10936514616839621</v>
      </c>
      <c r="I252" s="327">
        <f t="shared" si="79"/>
        <v>9.2494792542983761E-2</v>
      </c>
      <c r="J252" s="327">
        <f t="shared" si="79"/>
        <v>9.8341280977768841E-2</v>
      </c>
      <c r="K252" s="327">
        <f t="shared" si="79"/>
        <v>0.10314081035659561</v>
      </c>
      <c r="L252" s="327">
        <f t="shared" si="79"/>
        <v>9.3521664410697758E-2</v>
      </c>
      <c r="M252" s="327">
        <f t="shared" si="79"/>
        <v>9.6684300596983297E-2</v>
      </c>
      <c r="N252" s="327">
        <f>IF(N245=0,0,(1+N251)*(1+N245)-1)</f>
        <v>0</v>
      </c>
      <c r="O252" s="327">
        <f>IF(O245=0,0,(1+O251)*(1+O245)-1)</f>
        <v>0</v>
      </c>
      <c r="P252" s="327">
        <f>IF(P245=0,0,(1+P251)*(1+P245)-1)</f>
        <v>0</v>
      </c>
      <c r="Q252" s="327">
        <f>IF(Q245=0,0,(1+Q251)*(1+Q245)-1)</f>
        <v>0</v>
      </c>
      <c r="R252" s="9"/>
      <c r="S252" s="9"/>
      <c r="T252" s="9"/>
      <c r="U252" s="9"/>
      <c r="V252" s="9"/>
      <c r="W252" s="9"/>
      <c r="X252" s="9"/>
      <c r="Y252" s="19"/>
      <c r="Z252" s="9"/>
      <c r="AA252" s="9"/>
      <c r="AB252" s="9"/>
      <c r="AC252" s="9"/>
      <c r="AD252" s="198"/>
      <c r="AE252" s="198"/>
      <c r="AF252" s="198"/>
      <c r="AG252" s="198"/>
      <c r="AH252" s="198"/>
      <c r="AI252" s="198"/>
      <c r="AJ252" s="198"/>
      <c r="AK252" s="198"/>
      <c r="AL252" s="198"/>
      <c r="AM252" s="198"/>
      <c r="AN252" s="198"/>
      <c r="AO252" s="198"/>
      <c r="AP252" s="198"/>
      <c r="AQ252" s="198"/>
      <c r="AR252" s="198"/>
      <c r="AS252" s="198"/>
      <c r="AT252" s="198"/>
    </row>
    <row r="253" spans="1:47">
      <c r="A253" s="12"/>
      <c r="B253" s="12"/>
      <c r="C253" s="12"/>
      <c r="D253" s="12"/>
      <c r="E253" s="12"/>
      <c r="F253" s="96"/>
      <c r="G253" s="96"/>
      <c r="H253" s="142"/>
      <c r="I253" s="142"/>
      <c r="J253" s="142"/>
      <c r="K253" s="142"/>
      <c r="L253" s="142"/>
      <c r="M253" s="142"/>
      <c r="N253" s="12"/>
      <c r="O253" s="12"/>
      <c r="P253" s="12"/>
      <c r="Q253" s="12"/>
      <c r="R253" s="12"/>
      <c r="S253" s="12"/>
      <c r="T253" s="12"/>
      <c r="U253" s="12"/>
      <c r="V253" s="9"/>
      <c r="W253" s="9"/>
      <c r="X253" s="9"/>
      <c r="Y253" s="9"/>
      <c r="Z253" s="9"/>
      <c r="AA253" s="19"/>
      <c r="AB253" s="9"/>
      <c r="AC253" s="9"/>
      <c r="AD253" s="9"/>
      <c r="AE253" s="198"/>
      <c r="AF253" s="198"/>
      <c r="AG253" s="198"/>
      <c r="AH253" s="198"/>
      <c r="AI253" s="198"/>
      <c r="AJ253" s="198"/>
      <c r="AK253" s="198"/>
      <c r="AL253" s="198"/>
      <c r="AM253" s="198"/>
      <c r="AN253" s="198"/>
      <c r="AO253" s="198"/>
      <c r="AP253" s="198"/>
      <c r="AQ253" s="198"/>
      <c r="AR253" s="198"/>
      <c r="AS253" s="198"/>
      <c r="AT253" s="198"/>
      <c r="AU253" s="198"/>
    </row>
    <row r="254" spans="1:47" s="9" customFormat="1" ht="22.5" customHeight="1">
      <c r="A254" s="12"/>
      <c r="B254" s="12"/>
      <c r="C254" s="12"/>
      <c r="D254" s="12"/>
      <c r="E254" s="12"/>
      <c r="H254" s="18"/>
      <c r="I254" s="20"/>
      <c r="AA254" s="19"/>
      <c r="AE254" s="198"/>
      <c r="AF254" s="198"/>
      <c r="AG254" s="198"/>
      <c r="AH254" s="198"/>
      <c r="AI254" s="198"/>
      <c r="AJ254" s="198"/>
      <c r="AK254" s="198"/>
      <c r="AL254" s="198"/>
      <c r="AM254" s="198"/>
      <c r="AN254" s="198"/>
      <c r="AO254" s="198"/>
      <c r="AP254" s="198"/>
      <c r="AQ254" s="198"/>
      <c r="AR254" s="198"/>
      <c r="AS254" s="198"/>
      <c r="AT254" s="198"/>
      <c r="AU254" s="198"/>
    </row>
    <row r="255" spans="1:47">
      <c r="A255" s="12"/>
      <c r="B255" s="12"/>
      <c r="C255" s="12"/>
      <c r="D255" s="12"/>
      <c r="E255" s="12"/>
      <c r="F255" s="9"/>
      <c r="G255" s="9"/>
      <c r="H255" s="18"/>
      <c r="I255" s="20"/>
      <c r="J255" s="9"/>
      <c r="K255" s="9"/>
      <c r="L255" s="9"/>
      <c r="M255" s="9"/>
      <c r="N255" s="9"/>
      <c r="O255" s="9"/>
      <c r="P255" s="9"/>
      <c r="Q255" s="9"/>
      <c r="R255" s="9"/>
      <c r="S255" s="9"/>
      <c r="T255" s="9"/>
      <c r="U255" s="9"/>
      <c r="V255" s="9"/>
      <c r="W255" s="9"/>
      <c r="X255" s="9"/>
      <c r="Y255" s="9"/>
      <c r="Z255" s="9"/>
      <c r="AA255" s="19"/>
      <c r="AB255" s="9"/>
      <c r="AC255" s="9"/>
      <c r="AD255" s="9"/>
      <c r="AE255" s="198"/>
      <c r="AF255" s="198"/>
      <c r="AG255" s="198"/>
      <c r="AH255" s="198"/>
      <c r="AI255" s="198"/>
      <c r="AJ255" s="198"/>
      <c r="AK255" s="198"/>
      <c r="AL255" s="198"/>
      <c r="AM255" s="198"/>
      <c r="AN255" s="198"/>
      <c r="AO255" s="198"/>
      <c r="AP255" s="198"/>
      <c r="AQ255" s="198"/>
      <c r="AR255" s="198"/>
      <c r="AS255" s="198"/>
      <c r="AT255" s="198"/>
      <c r="AU255" s="198"/>
    </row>
    <row r="256" spans="1:47">
      <c r="A256" s="12"/>
      <c r="B256" s="12"/>
      <c r="C256" s="12"/>
      <c r="D256" s="12"/>
      <c r="E256" s="12"/>
      <c r="F256" s="9"/>
      <c r="G256" s="9"/>
      <c r="H256" s="18"/>
      <c r="I256" s="20"/>
      <c r="J256" s="9"/>
      <c r="K256" s="9"/>
      <c r="L256" s="9"/>
      <c r="M256" s="9"/>
      <c r="N256" s="9"/>
      <c r="O256" s="9"/>
      <c r="P256" s="9"/>
      <c r="Q256" s="9"/>
      <c r="R256" s="9"/>
      <c r="S256" s="9"/>
      <c r="T256" s="9"/>
      <c r="U256" s="9"/>
      <c r="V256" s="9"/>
      <c r="W256" s="9"/>
      <c r="X256" s="9"/>
      <c r="Y256" s="9"/>
      <c r="Z256" s="9"/>
      <c r="AA256" s="19"/>
      <c r="AB256" s="9"/>
      <c r="AC256" s="9"/>
      <c r="AD256" s="9"/>
      <c r="AE256" s="198"/>
      <c r="AF256" s="198"/>
      <c r="AG256" s="198"/>
      <c r="AH256" s="198"/>
      <c r="AI256" s="198"/>
      <c r="AJ256" s="198"/>
      <c r="AK256" s="198"/>
      <c r="AL256" s="198"/>
      <c r="AM256" s="198"/>
      <c r="AN256" s="198"/>
      <c r="AO256" s="198"/>
      <c r="AP256" s="198"/>
      <c r="AQ256" s="198"/>
      <c r="AR256" s="198"/>
      <c r="AS256" s="198"/>
      <c r="AT256" s="198"/>
      <c r="AU256" s="198"/>
    </row>
    <row r="257" spans="1:47">
      <c r="A257" s="12"/>
      <c r="B257" s="12"/>
      <c r="C257" s="12"/>
      <c r="D257" s="12"/>
      <c r="E257" s="12"/>
      <c r="F257" s="9"/>
      <c r="G257" s="9"/>
      <c r="H257" s="18"/>
      <c r="I257" s="20"/>
      <c r="J257" s="9"/>
      <c r="K257" s="9"/>
      <c r="L257" s="9"/>
      <c r="M257" s="9"/>
      <c r="N257" s="9"/>
      <c r="O257" s="9"/>
      <c r="P257" s="9"/>
      <c r="Q257" s="9"/>
      <c r="R257" s="9"/>
      <c r="S257" s="9"/>
      <c r="T257" s="9"/>
      <c r="U257" s="9"/>
      <c r="V257" s="9"/>
      <c r="W257" s="9"/>
      <c r="X257" s="9"/>
      <c r="Y257" s="9"/>
      <c r="Z257" s="9"/>
      <c r="AA257" s="19"/>
      <c r="AB257" s="9"/>
      <c r="AC257" s="9"/>
      <c r="AD257" s="9"/>
      <c r="AE257" s="198"/>
      <c r="AF257" s="198"/>
      <c r="AG257" s="198"/>
      <c r="AH257" s="198"/>
      <c r="AI257" s="198"/>
      <c r="AJ257" s="198"/>
      <c r="AK257" s="198"/>
      <c r="AL257" s="198"/>
      <c r="AM257" s="198"/>
      <c r="AN257" s="198"/>
      <c r="AO257" s="198"/>
      <c r="AP257" s="198"/>
      <c r="AQ257" s="198"/>
      <c r="AR257" s="198"/>
      <c r="AS257" s="198"/>
      <c r="AT257" s="198"/>
      <c r="AU257" s="198"/>
    </row>
    <row r="258" spans="1:47">
      <c r="A258" s="12"/>
      <c r="B258" s="12"/>
      <c r="C258" s="12"/>
      <c r="D258" s="12"/>
      <c r="E258" s="12"/>
      <c r="F258" s="9"/>
      <c r="G258" s="9"/>
      <c r="H258" s="18"/>
      <c r="I258" s="20"/>
      <c r="J258" s="9"/>
      <c r="K258" s="9"/>
      <c r="L258" s="9"/>
      <c r="M258" s="9"/>
      <c r="N258" s="9"/>
      <c r="O258" s="9"/>
      <c r="P258" s="9"/>
      <c r="Q258" s="9"/>
      <c r="R258" s="9"/>
      <c r="S258" s="9"/>
      <c r="T258" s="9"/>
      <c r="U258" s="9"/>
      <c r="V258" s="9"/>
      <c r="W258" s="9"/>
      <c r="X258" s="9"/>
      <c r="Y258" s="9"/>
      <c r="Z258" s="9"/>
      <c r="AA258" s="19"/>
      <c r="AB258" s="9"/>
      <c r="AC258" s="9"/>
      <c r="AD258" s="9"/>
      <c r="AE258" s="198"/>
      <c r="AF258" s="198"/>
      <c r="AG258" s="198"/>
      <c r="AH258" s="198"/>
      <c r="AI258" s="198"/>
      <c r="AJ258" s="198"/>
      <c r="AK258" s="198"/>
      <c r="AL258" s="198"/>
      <c r="AM258" s="198"/>
      <c r="AN258" s="198"/>
      <c r="AO258" s="198"/>
      <c r="AP258" s="198"/>
      <c r="AQ258" s="198"/>
      <c r="AR258" s="198"/>
      <c r="AS258" s="198"/>
      <c r="AT258" s="198"/>
      <c r="AU258" s="198"/>
    </row>
    <row r="259" spans="1:47">
      <c r="A259" s="12"/>
      <c r="B259" s="12"/>
      <c r="C259" s="12"/>
      <c r="D259" s="12"/>
      <c r="E259" s="12"/>
      <c r="F259" s="9"/>
      <c r="G259" s="9"/>
      <c r="H259" s="18"/>
      <c r="I259" s="20"/>
      <c r="J259" s="9"/>
      <c r="K259" s="9"/>
      <c r="L259" s="9"/>
      <c r="M259" s="9"/>
      <c r="N259" s="9"/>
      <c r="O259" s="9"/>
      <c r="P259" s="9"/>
      <c r="Q259" s="9"/>
      <c r="R259" s="9"/>
      <c r="S259" s="9"/>
      <c r="T259" s="9"/>
      <c r="U259" s="9"/>
      <c r="V259" s="9"/>
      <c r="W259" s="9"/>
      <c r="X259" s="9"/>
      <c r="Y259" s="9"/>
      <c r="Z259" s="9"/>
      <c r="AA259" s="19"/>
      <c r="AB259" s="9"/>
      <c r="AC259" s="9"/>
      <c r="AD259" s="9"/>
      <c r="AE259" s="198"/>
      <c r="AF259" s="198"/>
      <c r="AG259" s="198"/>
      <c r="AH259" s="198"/>
      <c r="AI259" s="198"/>
      <c r="AJ259" s="198"/>
      <c r="AK259" s="198"/>
      <c r="AL259" s="198"/>
      <c r="AM259" s="198"/>
      <c r="AN259" s="198"/>
      <c r="AO259" s="198"/>
      <c r="AP259" s="198"/>
      <c r="AQ259" s="198"/>
      <c r="AR259" s="198"/>
      <c r="AS259" s="198"/>
      <c r="AT259" s="198"/>
      <c r="AU259" s="198"/>
    </row>
    <row r="260" spans="1:47">
      <c r="A260" s="12"/>
      <c r="B260" s="12"/>
      <c r="C260" s="12"/>
      <c r="D260" s="12"/>
      <c r="E260" s="12"/>
      <c r="F260" s="9"/>
      <c r="G260" s="9"/>
      <c r="H260" s="18"/>
      <c r="I260" s="20"/>
      <c r="J260" s="9"/>
      <c r="K260" s="9"/>
      <c r="L260" s="9"/>
      <c r="M260" s="9"/>
      <c r="N260" s="9"/>
      <c r="O260" s="9"/>
      <c r="P260" s="9"/>
      <c r="Q260" s="9"/>
      <c r="R260" s="9"/>
      <c r="S260" s="9"/>
      <c r="T260" s="9"/>
      <c r="U260" s="9"/>
      <c r="V260" s="9"/>
      <c r="W260" s="9"/>
      <c r="X260" s="9"/>
      <c r="Y260" s="9"/>
      <c r="Z260" s="9"/>
      <c r="AA260" s="19"/>
      <c r="AB260" s="9"/>
      <c r="AC260" s="9"/>
      <c r="AD260" s="9"/>
      <c r="AE260" s="198"/>
      <c r="AF260" s="198"/>
      <c r="AG260" s="198"/>
      <c r="AH260" s="198"/>
      <c r="AI260" s="198"/>
      <c r="AJ260" s="198"/>
      <c r="AK260" s="198"/>
      <c r="AL260" s="198"/>
      <c r="AM260" s="198"/>
      <c r="AN260" s="198"/>
      <c r="AO260" s="198"/>
      <c r="AP260" s="198"/>
      <c r="AQ260" s="198"/>
      <c r="AR260" s="198"/>
      <c r="AS260" s="198"/>
      <c r="AT260" s="198"/>
      <c r="AU260" s="198"/>
    </row>
    <row r="261" spans="1:47">
      <c r="A261" s="12"/>
      <c r="B261" s="12"/>
      <c r="C261" s="12"/>
      <c r="D261" s="12"/>
      <c r="E261" s="12"/>
      <c r="F261" s="9"/>
      <c r="G261" s="9"/>
      <c r="H261" s="18"/>
      <c r="I261" s="20"/>
      <c r="J261" s="9"/>
      <c r="K261" s="9"/>
      <c r="L261" s="9"/>
      <c r="M261" s="9"/>
      <c r="N261" s="9"/>
      <c r="O261" s="9"/>
      <c r="P261" s="9"/>
      <c r="Q261" s="9"/>
      <c r="R261" s="9"/>
      <c r="S261" s="9"/>
      <c r="T261" s="9"/>
      <c r="U261" s="9"/>
      <c r="V261" s="9"/>
      <c r="W261" s="9"/>
      <c r="X261" s="9"/>
      <c r="Y261" s="9"/>
      <c r="Z261" s="9"/>
      <c r="AA261" s="19"/>
      <c r="AB261" s="9"/>
      <c r="AC261" s="9"/>
      <c r="AD261" s="9"/>
      <c r="AE261" s="198"/>
      <c r="AF261" s="198"/>
      <c r="AG261" s="198"/>
      <c r="AH261" s="198"/>
      <c r="AI261" s="198"/>
      <c r="AJ261" s="198"/>
      <c r="AK261" s="198"/>
      <c r="AL261" s="198"/>
      <c r="AM261" s="198"/>
      <c r="AN261" s="198"/>
      <c r="AO261" s="198"/>
      <c r="AP261" s="198"/>
      <c r="AQ261" s="198"/>
      <c r="AR261" s="198"/>
      <c r="AS261" s="198"/>
      <c r="AT261" s="198"/>
      <c r="AU261" s="198"/>
    </row>
    <row r="262" spans="1:47">
      <c r="A262" s="12"/>
      <c r="B262" s="12"/>
      <c r="C262" s="12"/>
      <c r="D262" s="12"/>
      <c r="E262" s="12"/>
      <c r="F262" s="9"/>
      <c r="G262" s="9"/>
      <c r="H262" s="18"/>
      <c r="I262" s="20"/>
      <c r="J262" s="9"/>
      <c r="K262" s="9"/>
      <c r="L262" s="9"/>
      <c r="M262" s="9"/>
      <c r="N262" s="9"/>
      <c r="O262" s="9"/>
      <c r="P262" s="9"/>
      <c r="Q262" s="9"/>
      <c r="R262" s="9"/>
      <c r="S262" s="9"/>
      <c r="T262" s="9"/>
      <c r="U262" s="9"/>
      <c r="V262" s="9"/>
      <c r="W262" s="9"/>
      <c r="X262" s="9"/>
      <c r="Y262" s="9"/>
      <c r="Z262" s="9"/>
      <c r="AA262" s="19"/>
      <c r="AB262" s="9"/>
      <c r="AC262" s="9"/>
      <c r="AD262" s="9"/>
      <c r="AE262" s="198"/>
      <c r="AF262" s="198"/>
      <c r="AG262" s="198"/>
      <c r="AH262" s="198"/>
      <c r="AI262" s="198"/>
      <c r="AJ262" s="198"/>
      <c r="AK262" s="198"/>
      <c r="AL262" s="198"/>
      <c r="AM262" s="198"/>
      <c r="AN262" s="198"/>
      <c r="AO262" s="198"/>
      <c r="AP262" s="198"/>
      <c r="AQ262" s="198"/>
      <c r="AR262" s="198"/>
      <c r="AS262" s="198"/>
      <c r="AT262" s="198"/>
      <c r="AU262" s="198"/>
    </row>
    <row r="263" spans="1:47">
      <c r="A263" s="12"/>
      <c r="B263" s="12"/>
      <c r="C263" s="12"/>
      <c r="D263" s="12"/>
      <c r="E263" s="12"/>
      <c r="F263" s="9"/>
      <c r="G263" s="9"/>
      <c r="H263" s="18"/>
      <c r="I263" s="20"/>
      <c r="J263" s="9"/>
      <c r="K263" s="9"/>
      <c r="L263" s="9"/>
      <c r="M263" s="9"/>
      <c r="N263" s="9"/>
      <c r="O263" s="9"/>
      <c r="P263" s="9"/>
      <c r="Q263" s="9"/>
      <c r="R263" s="9"/>
      <c r="S263" s="9"/>
      <c r="T263" s="9"/>
      <c r="U263" s="9"/>
      <c r="V263" s="9"/>
      <c r="W263" s="9"/>
      <c r="X263" s="9"/>
      <c r="Y263" s="9"/>
      <c r="Z263" s="9"/>
      <c r="AA263" s="19"/>
      <c r="AB263" s="9"/>
      <c r="AC263" s="9"/>
      <c r="AD263" s="9"/>
      <c r="AE263" s="198"/>
      <c r="AF263" s="198"/>
      <c r="AG263" s="198"/>
      <c r="AH263" s="198"/>
      <c r="AI263" s="198"/>
      <c r="AJ263" s="198"/>
      <c r="AK263" s="198"/>
      <c r="AL263" s="198"/>
      <c r="AM263" s="198"/>
      <c r="AN263" s="198"/>
      <c r="AO263" s="198"/>
      <c r="AP263" s="198"/>
      <c r="AQ263" s="198"/>
      <c r="AR263" s="198"/>
      <c r="AS263" s="198"/>
      <c r="AT263" s="198"/>
      <c r="AU263" s="198"/>
    </row>
    <row r="264" spans="1:47">
      <c r="A264" s="12"/>
      <c r="B264" s="12"/>
      <c r="C264" s="12"/>
      <c r="D264" s="12"/>
      <c r="E264" s="12"/>
      <c r="F264" s="9"/>
      <c r="G264" s="9"/>
      <c r="H264" s="18"/>
      <c r="I264" s="20"/>
      <c r="J264" s="9"/>
      <c r="K264" s="9"/>
      <c r="L264" s="9"/>
      <c r="M264" s="9"/>
      <c r="N264" s="9"/>
      <c r="O264" s="9"/>
      <c r="P264" s="9"/>
      <c r="Q264" s="9"/>
      <c r="R264" s="9"/>
      <c r="S264" s="9"/>
      <c r="T264" s="9"/>
      <c r="U264" s="9"/>
      <c r="V264" s="9"/>
      <c r="W264" s="9"/>
      <c r="X264" s="9"/>
      <c r="Y264" s="9"/>
      <c r="Z264" s="9"/>
      <c r="AA264" s="19"/>
      <c r="AB264" s="9"/>
      <c r="AC264" s="9"/>
      <c r="AD264" s="9"/>
      <c r="AE264" s="198"/>
      <c r="AF264" s="198"/>
      <c r="AG264" s="198"/>
      <c r="AH264" s="198"/>
      <c r="AI264" s="198"/>
      <c r="AJ264" s="198"/>
      <c r="AK264" s="198"/>
      <c r="AL264" s="198"/>
      <c r="AM264" s="198"/>
      <c r="AN264" s="198"/>
      <c r="AO264" s="198"/>
      <c r="AP264" s="198"/>
      <c r="AQ264" s="198"/>
      <c r="AR264" s="198"/>
      <c r="AS264" s="198"/>
      <c r="AT264" s="198"/>
      <c r="AU264" s="198"/>
    </row>
    <row r="265" spans="1:47">
      <c r="A265" s="12"/>
      <c r="B265" s="12"/>
      <c r="C265" s="12"/>
      <c r="D265" s="12"/>
      <c r="E265" s="12"/>
      <c r="F265" s="9"/>
      <c r="G265" s="9"/>
      <c r="H265" s="18"/>
      <c r="I265" s="20"/>
      <c r="J265" s="9"/>
      <c r="K265" s="9"/>
      <c r="L265" s="9"/>
      <c r="M265" s="9"/>
      <c r="N265" s="9"/>
      <c r="O265" s="9"/>
      <c r="P265" s="9"/>
      <c r="Q265" s="9"/>
      <c r="R265" s="9"/>
      <c r="S265" s="9"/>
      <c r="T265" s="9"/>
      <c r="U265" s="9"/>
      <c r="V265" s="9"/>
      <c r="W265" s="9"/>
      <c r="X265" s="9"/>
      <c r="Y265" s="9"/>
      <c r="Z265" s="9"/>
      <c r="AA265" s="19"/>
      <c r="AB265" s="9"/>
      <c r="AC265" s="9"/>
      <c r="AD265" s="9"/>
      <c r="AE265" s="198"/>
      <c r="AF265" s="198"/>
      <c r="AG265" s="198"/>
      <c r="AH265" s="198"/>
      <c r="AI265" s="198"/>
      <c r="AJ265" s="198"/>
      <c r="AK265" s="198"/>
      <c r="AL265" s="198"/>
      <c r="AM265" s="198"/>
      <c r="AN265" s="198"/>
      <c r="AO265" s="198"/>
      <c r="AP265" s="198"/>
      <c r="AQ265" s="198"/>
      <c r="AR265" s="198"/>
      <c r="AS265" s="198"/>
      <c r="AT265" s="198"/>
      <c r="AU265" s="198"/>
    </row>
    <row r="266" spans="1:47">
      <c r="A266" s="12"/>
      <c r="B266" s="12"/>
      <c r="C266" s="12"/>
      <c r="D266" s="12"/>
      <c r="E266" s="12"/>
      <c r="F266" s="9"/>
      <c r="G266" s="9"/>
      <c r="H266" s="18"/>
      <c r="I266" s="20"/>
      <c r="J266" s="9"/>
      <c r="K266" s="9"/>
      <c r="L266" s="9"/>
      <c r="M266" s="9"/>
      <c r="N266" s="9"/>
      <c r="O266" s="9"/>
      <c r="P266" s="9"/>
      <c r="Q266" s="9"/>
      <c r="R266" s="9"/>
      <c r="S266" s="9"/>
      <c r="T266" s="9"/>
      <c r="U266" s="9"/>
      <c r="V266" s="9"/>
      <c r="W266" s="9"/>
      <c r="X266" s="9"/>
      <c r="Y266" s="9"/>
      <c r="Z266" s="9"/>
      <c r="AA266" s="19"/>
      <c r="AB266" s="9"/>
      <c r="AC266" s="9"/>
      <c r="AD266" s="9"/>
      <c r="AE266" s="198"/>
      <c r="AF266" s="198"/>
      <c r="AG266" s="198"/>
      <c r="AH266" s="198"/>
      <c r="AI266" s="198"/>
      <c r="AJ266" s="198"/>
      <c r="AK266" s="198"/>
      <c r="AL266" s="198"/>
      <c r="AM266" s="198"/>
      <c r="AN266" s="198"/>
      <c r="AO266" s="198"/>
      <c r="AP266" s="198"/>
      <c r="AQ266" s="198"/>
      <c r="AR266" s="198"/>
      <c r="AS266" s="198"/>
      <c r="AT266" s="198"/>
      <c r="AU266" s="198"/>
    </row>
    <row r="267" spans="1:47">
      <c r="A267" s="12"/>
      <c r="B267" s="12"/>
      <c r="C267" s="12"/>
      <c r="D267" s="12"/>
      <c r="E267" s="12"/>
      <c r="F267" s="9"/>
      <c r="G267" s="9"/>
      <c r="H267" s="18"/>
      <c r="I267" s="20"/>
      <c r="J267" s="9"/>
      <c r="K267" s="9"/>
      <c r="L267" s="9"/>
      <c r="M267" s="9"/>
      <c r="N267" s="9"/>
      <c r="O267" s="9"/>
      <c r="P267" s="9"/>
      <c r="Q267" s="9"/>
      <c r="R267" s="9"/>
      <c r="S267" s="9"/>
      <c r="T267" s="9"/>
      <c r="U267" s="9"/>
      <c r="V267" s="9"/>
      <c r="W267" s="9"/>
      <c r="X267" s="9"/>
      <c r="Y267" s="9"/>
      <c r="Z267" s="9"/>
      <c r="AA267" s="19"/>
      <c r="AB267" s="9"/>
      <c r="AC267" s="9"/>
      <c r="AD267" s="9"/>
      <c r="AE267" s="198"/>
      <c r="AF267" s="198"/>
      <c r="AG267" s="198"/>
      <c r="AH267" s="198"/>
      <c r="AI267" s="198"/>
      <c r="AJ267" s="198"/>
      <c r="AK267" s="198"/>
      <c r="AL267" s="198"/>
      <c r="AM267" s="198"/>
      <c r="AN267" s="198"/>
      <c r="AO267" s="198"/>
      <c r="AP267" s="198"/>
      <c r="AQ267" s="198"/>
      <c r="AR267" s="198"/>
      <c r="AS267" s="198"/>
      <c r="AT267" s="198"/>
      <c r="AU267" s="198"/>
    </row>
    <row r="268" spans="1:47">
      <c r="A268" s="12"/>
      <c r="B268" s="12"/>
      <c r="C268" s="12"/>
      <c r="D268" s="12"/>
      <c r="E268" s="12"/>
      <c r="F268" s="9"/>
      <c r="G268" s="9"/>
      <c r="H268" s="18"/>
      <c r="I268" s="20"/>
      <c r="J268" s="9"/>
      <c r="K268" s="9"/>
      <c r="L268" s="9"/>
      <c r="M268" s="9"/>
      <c r="N268" s="9"/>
      <c r="O268" s="9"/>
      <c r="P268" s="9"/>
      <c r="Q268" s="9"/>
      <c r="R268" s="9"/>
      <c r="S268" s="9"/>
      <c r="T268" s="9"/>
      <c r="U268" s="9"/>
      <c r="V268" s="9"/>
      <c r="W268" s="9"/>
      <c r="X268" s="9"/>
      <c r="Y268" s="9"/>
      <c r="Z268" s="9"/>
      <c r="AA268" s="19"/>
      <c r="AB268" s="9"/>
      <c r="AC268" s="9"/>
      <c r="AD268" s="9"/>
      <c r="AE268" s="198"/>
      <c r="AF268" s="198"/>
      <c r="AG268" s="198"/>
      <c r="AH268" s="198"/>
      <c r="AI268" s="198"/>
      <c r="AJ268" s="198"/>
      <c r="AK268" s="198"/>
      <c r="AL268" s="198"/>
      <c r="AM268" s="198"/>
      <c r="AN268" s="198"/>
      <c r="AO268" s="198"/>
      <c r="AP268" s="198"/>
      <c r="AQ268" s="198"/>
      <c r="AR268" s="198"/>
      <c r="AS268" s="198"/>
      <c r="AT268" s="198"/>
      <c r="AU268" s="198"/>
    </row>
    <row r="269" spans="1:47">
      <c r="A269" s="12"/>
      <c r="B269" s="12"/>
      <c r="C269" s="12"/>
      <c r="D269" s="12"/>
      <c r="E269" s="12"/>
      <c r="F269" s="9"/>
      <c r="G269" s="9"/>
      <c r="H269" s="18"/>
      <c r="I269" s="20"/>
      <c r="J269" s="9"/>
      <c r="K269" s="9"/>
      <c r="L269" s="9"/>
      <c r="M269" s="9"/>
      <c r="N269" s="9"/>
      <c r="O269" s="9"/>
      <c r="P269" s="9"/>
      <c r="Q269" s="9"/>
      <c r="R269" s="9"/>
      <c r="S269" s="9"/>
      <c r="T269" s="9"/>
      <c r="U269" s="9"/>
      <c r="V269" s="9"/>
      <c r="W269" s="9"/>
      <c r="X269" s="9"/>
      <c r="Y269" s="9"/>
      <c r="Z269" s="9"/>
      <c r="AA269" s="19"/>
      <c r="AB269" s="9"/>
      <c r="AC269" s="9"/>
      <c r="AD269" s="9"/>
      <c r="AE269" s="198"/>
      <c r="AF269" s="198"/>
      <c r="AG269" s="198"/>
      <c r="AH269" s="198"/>
      <c r="AI269" s="198"/>
      <c r="AJ269" s="198"/>
      <c r="AK269" s="198"/>
      <c r="AL269" s="198"/>
      <c r="AM269" s="198"/>
      <c r="AN269" s="198"/>
      <c r="AO269" s="198"/>
      <c r="AP269" s="198"/>
      <c r="AQ269" s="198"/>
      <c r="AR269" s="198"/>
      <c r="AS269" s="198"/>
      <c r="AT269" s="198"/>
      <c r="AU269" s="198"/>
    </row>
    <row r="270" spans="1:47">
      <c r="A270" s="12"/>
      <c r="B270" s="12"/>
      <c r="C270" s="12"/>
      <c r="D270" s="12"/>
      <c r="E270" s="12"/>
      <c r="F270" s="9"/>
      <c r="G270" s="9"/>
      <c r="H270" s="18"/>
      <c r="I270" s="20"/>
      <c r="J270" s="9"/>
      <c r="K270" s="9"/>
      <c r="L270" s="9"/>
      <c r="M270" s="9"/>
      <c r="N270" s="9"/>
      <c r="O270" s="9"/>
      <c r="P270" s="9"/>
      <c r="Q270" s="9"/>
      <c r="R270" s="9"/>
      <c r="S270" s="9"/>
      <c r="T270" s="9"/>
      <c r="U270" s="9"/>
      <c r="V270" s="9"/>
      <c r="W270" s="9"/>
      <c r="X270" s="9"/>
      <c r="Y270" s="9"/>
      <c r="Z270" s="9"/>
      <c r="AA270" s="19"/>
      <c r="AB270" s="9"/>
      <c r="AC270" s="9"/>
      <c r="AD270" s="9"/>
      <c r="AE270" s="198"/>
      <c r="AF270" s="198"/>
      <c r="AG270" s="198"/>
      <c r="AH270" s="198"/>
      <c r="AI270" s="198"/>
      <c r="AJ270" s="198"/>
      <c r="AK270" s="198"/>
      <c r="AL270" s="198"/>
      <c r="AM270" s="198"/>
      <c r="AN270" s="198"/>
      <c r="AO270" s="198"/>
      <c r="AP270" s="198"/>
      <c r="AQ270" s="198"/>
      <c r="AR270" s="198"/>
      <c r="AS270" s="198"/>
      <c r="AT270" s="198"/>
      <c r="AU270" s="198"/>
    </row>
    <row r="271" spans="1:47">
      <c r="A271" s="12"/>
      <c r="B271" s="12"/>
      <c r="C271" s="12"/>
      <c r="D271" s="12"/>
      <c r="E271" s="12"/>
      <c r="F271" s="9"/>
      <c r="G271" s="9"/>
      <c r="H271" s="18"/>
      <c r="I271" s="20"/>
      <c r="J271" s="9"/>
      <c r="K271" s="9"/>
      <c r="L271" s="9"/>
      <c r="M271" s="9"/>
      <c r="N271" s="9"/>
      <c r="O271" s="9"/>
      <c r="P271" s="9"/>
      <c r="Q271" s="9"/>
      <c r="R271" s="9"/>
      <c r="S271" s="9"/>
      <c r="T271" s="9"/>
      <c r="U271" s="9"/>
      <c r="V271" s="9"/>
      <c r="W271" s="9"/>
      <c r="X271" s="9"/>
      <c r="Y271" s="9"/>
      <c r="Z271" s="9"/>
      <c r="AA271" s="19"/>
      <c r="AB271" s="9"/>
      <c r="AC271" s="9"/>
      <c r="AD271" s="9"/>
      <c r="AE271" s="198"/>
      <c r="AF271" s="198"/>
      <c r="AG271" s="198"/>
      <c r="AH271" s="198"/>
      <c r="AI271" s="198"/>
      <c r="AJ271" s="198"/>
      <c r="AK271" s="198"/>
      <c r="AL271" s="198"/>
      <c r="AM271" s="198"/>
      <c r="AN271" s="198"/>
      <c r="AO271" s="198"/>
      <c r="AP271" s="198"/>
      <c r="AQ271" s="198"/>
      <c r="AR271" s="198"/>
      <c r="AS271" s="198"/>
      <c r="AT271" s="198"/>
      <c r="AU271" s="198"/>
    </row>
    <row r="272" spans="1:47">
      <c r="A272" s="12"/>
      <c r="B272" s="12"/>
      <c r="C272" s="12"/>
      <c r="D272" s="12"/>
      <c r="E272" s="12"/>
      <c r="F272" s="9"/>
      <c r="G272" s="9"/>
      <c r="H272" s="18"/>
      <c r="I272" s="20"/>
      <c r="J272" s="9"/>
      <c r="K272" s="9"/>
      <c r="L272" s="9"/>
      <c r="M272" s="9"/>
      <c r="N272" s="9"/>
      <c r="O272" s="9"/>
      <c r="P272" s="9"/>
      <c r="Q272" s="9"/>
      <c r="R272" s="9"/>
      <c r="S272" s="9"/>
      <c r="T272" s="9"/>
      <c r="U272" s="9"/>
      <c r="V272" s="9"/>
      <c r="W272" s="9"/>
      <c r="X272" s="9"/>
      <c r="Y272" s="9"/>
      <c r="Z272" s="9"/>
      <c r="AA272" s="19"/>
      <c r="AB272" s="9"/>
      <c r="AC272" s="9"/>
      <c r="AD272" s="9"/>
      <c r="AE272" s="198"/>
      <c r="AF272" s="198"/>
      <c r="AG272" s="198"/>
      <c r="AH272" s="198"/>
      <c r="AI272" s="198"/>
      <c r="AJ272" s="198"/>
      <c r="AK272" s="198"/>
      <c r="AL272" s="198"/>
      <c r="AM272" s="198"/>
      <c r="AN272" s="198"/>
      <c r="AO272" s="198"/>
      <c r="AP272" s="198"/>
      <c r="AQ272" s="198"/>
      <c r="AR272" s="198"/>
      <c r="AS272" s="198"/>
      <c r="AT272" s="198"/>
      <c r="AU272" s="198"/>
    </row>
    <row r="273" spans="1:30">
      <c r="A273" s="12"/>
      <c r="B273" s="12"/>
      <c r="C273" s="12"/>
      <c r="D273" s="12"/>
      <c r="E273" s="12"/>
      <c r="F273" s="9"/>
      <c r="G273" s="9"/>
      <c r="H273" s="18"/>
      <c r="I273" s="20"/>
      <c r="J273" s="9"/>
      <c r="K273" s="9"/>
      <c r="L273" s="9"/>
      <c r="M273" s="9"/>
      <c r="N273" s="9"/>
      <c r="O273" s="9"/>
      <c r="P273" s="9"/>
      <c r="Q273" s="9"/>
      <c r="R273" s="9"/>
      <c r="S273" s="9"/>
      <c r="T273" s="9"/>
      <c r="U273" s="9"/>
      <c r="V273" s="9"/>
      <c r="W273" s="9"/>
      <c r="X273" s="9"/>
      <c r="Y273" s="9"/>
      <c r="Z273" s="9"/>
      <c r="AA273" s="19"/>
      <c r="AB273" s="9"/>
      <c r="AC273" s="9"/>
      <c r="AD273" s="9"/>
    </row>
    <row r="274" spans="1:30">
      <c r="A274" s="12"/>
      <c r="B274" s="12"/>
      <c r="C274" s="12"/>
      <c r="D274" s="12"/>
      <c r="E274" s="12"/>
      <c r="F274" s="9"/>
      <c r="G274" s="9"/>
      <c r="H274" s="18"/>
      <c r="I274" s="20"/>
      <c r="J274" s="9"/>
      <c r="K274" s="9"/>
      <c r="L274" s="9"/>
      <c r="M274" s="9"/>
      <c r="N274" s="9"/>
      <c r="O274" s="9"/>
      <c r="P274" s="9"/>
      <c r="Q274" s="9"/>
      <c r="R274" s="9"/>
      <c r="S274" s="9"/>
      <c r="T274" s="9"/>
      <c r="U274" s="9"/>
      <c r="V274" s="9"/>
      <c r="W274" s="9"/>
      <c r="X274" s="9"/>
      <c r="Y274" s="9"/>
      <c r="Z274" s="9"/>
      <c r="AA274" s="19"/>
      <c r="AB274" s="9"/>
      <c r="AC274" s="9"/>
      <c r="AD274" s="9"/>
    </row>
    <row r="275" spans="1:30">
      <c r="A275" s="12"/>
      <c r="B275" s="12"/>
      <c r="C275" s="12"/>
      <c r="D275" s="12"/>
      <c r="E275" s="12"/>
      <c r="F275" s="9"/>
      <c r="G275" s="9"/>
      <c r="H275" s="18"/>
      <c r="I275" s="20"/>
      <c r="J275" s="9"/>
      <c r="K275" s="9"/>
      <c r="L275" s="9"/>
      <c r="M275" s="9"/>
      <c r="N275" s="9"/>
      <c r="O275" s="9"/>
      <c r="P275" s="9"/>
      <c r="Q275" s="9"/>
      <c r="R275" s="9"/>
      <c r="S275" s="9"/>
      <c r="T275" s="9"/>
      <c r="U275" s="9"/>
      <c r="V275" s="9"/>
      <c r="W275" s="9"/>
      <c r="X275" s="9"/>
      <c r="Y275" s="9"/>
      <c r="Z275" s="9"/>
      <c r="AA275" s="19"/>
      <c r="AB275" s="9"/>
      <c r="AC275" s="9"/>
      <c r="AD275" s="9"/>
    </row>
    <row r="276" spans="1:30">
      <c r="A276" s="12"/>
      <c r="B276" s="12"/>
      <c r="C276" s="12"/>
      <c r="D276" s="12"/>
      <c r="E276" s="12"/>
      <c r="F276" s="9"/>
      <c r="G276" s="9"/>
      <c r="H276" s="18"/>
      <c r="I276" s="20"/>
      <c r="J276" s="9"/>
      <c r="K276" s="9"/>
      <c r="L276" s="9"/>
      <c r="M276" s="9"/>
      <c r="N276" s="9"/>
      <c r="O276" s="9"/>
      <c r="P276" s="9"/>
      <c r="Q276" s="9"/>
      <c r="R276" s="9"/>
      <c r="S276" s="9"/>
      <c r="T276" s="9"/>
      <c r="U276" s="9"/>
      <c r="V276" s="9"/>
      <c r="W276" s="9"/>
      <c r="X276" s="9"/>
      <c r="Y276" s="9"/>
      <c r="Z276" s="9"/>
      <c r="AA276" s="19"/>
      <c r="AB276" s="9"/>
      <c r="AC276" s="9"/>
      <c r="AD276" s="9"/>
    </row>
    <row r="277" spans="1:30">
      <c r="A277" s="12"/>
      <c r="B277" s="12"/>
      <c r="C277" s="12"/>
      <c r="D277" s="12"/>
      <c r="E277" s="12"/>
      <c r="F277" s="9"/>
      <c r="G277" s="9"/>
      <c r="H277" s="18"/>
      <c r="I277" s="20"/>
      <c r="J277" s="9"/>
      <c r="K277" s="9"/>
      <c r="L277" s="9"/>
      <c r="M277" s="9"/>
      <c r="N277" s="9"/>
      <c r="O277" s="9"/>
      <c r="P277" s="9"/>
      <c r="Q277" s="9"/>
      <c r="R277" s="9"/>
      <c r="S277" s="9"/>
      <c r="T277" s="9"/>
      <c r="U277" s="9"/>
      <c r="V277" s="9"/>
      <c r="W277" s="9"/>
      <c r="X277" s="9"/>
      <c r="Y277" s="9"/>
      <c r="Z277" s="9"/>
      <c r="AA277" s="19"/>
      <c r="AB277" s="9"/>
      <c r="AC277" s="9"/>
      <c r="AD277" s="9"/>
    </row>
    <row r="278" spans="1:30">
      <c r="A278" s="12"/>
      <c r="B278" s="12"/>
      <c r="C278" s="12"/>
      <c r="D278" s="12"/>
      <c r="E278" s="12"/>
      <c r="F278" s="9"/>
      <c r="G278" s="9"/>
      <c r="H278" s="18"/>
      <c r="I278" s="20"/>
      <c r="J278" s="9"/>
      <c r="K278" s="9"/>
      <c r="L278" s="9"/>
      <c r="M278" s="9"/>
      <c r="N278" s="9"/>
      <c r="O278" s="9"/>
      <c r="P278" s="9"/>
      <c r="Q278" s="9"/>
      <c r="R278" s="9"/>
      <c r="S278" s="9"/>
      <c r="T278" s="9"/>
      <c r="U278" s="9"/>
      <c r="V278" s="9"/>
      <c r="W278" s="9"/>
      <c r="X278" s="9"/>
      <c r="Y278" s="9"/>
      <c r="Z278" s="9"/>
      <c r="AA278" s="19"/>
      <c r="AB278" s="9"/>
      <c r="AC278" s="9"/>
      <c r="AD278" s="9"/>
    </row>
    <row r="279" spans="1:30">
      <c r="A279" s="12"/>
      <c r="B279" s="12"/>
      <c r="C279" s="12"/>
      <c r="D279" s="12"/>
      <c r="E279" s="12"/>
      <c r="F279" s="9"/>
      <c r="G279" s="9"/>
      <c r="H279" s="18"/>
      <c r="I279" s="20"/>
      <c r="J279" s="9"/>
      <c r="K279" s="9"/>
      <c r="L279" s="9"/>
      <c r="M279" s="9"/>
      <c r="N279" s="9"/>
      <c r="O279" s="9"/>
      <c r="P279" s="9"/>
      <c r="Q279" s="9"/>
      <c r="R279" s="9"/>
      <c r="S279" s="9"/>
      <c r="T279" s="9"/>
      <c r="U279" s="9"/>
      <c r="V279" s="9"/>
      <c r="W279" s="9"/>
      <c r="X279" s="9"/>
      <c r="Y279" s="9"/>
      <c r="Z279" s="9"/>
      <c r="AA279" s="19"/>
      <c r="AB279" s="9"/>
      <c r="AC279" s="9"/>
      <c r="AD279" s="9"/>
    </row>
    <row r="280" spans="1:30">
      <c r="A280" s="12"/>
      <c r="B280" s="12"/>
      <c r="C280" s="12"/>
      <c r="D280" s="12"/>
      <c r="E280" s="12"/>
      <c r="F280" s="9"/>
      <c r="G280" s="9"/>
      <c r="H280" s="18"/>
      <c r="I280" s="20"/>
      <c r="J280" s="9"/>
      <c r="K280" s="9"/>
      <c r="L280" s="9"/>
      <c r="M280" s="9"/>
      <c r="N280" s="9"/>
      <c r="O280" s="9"/>
      <c r="P280" s="9"/>
      <c r="Q280" s="9"/>
      <c r="R280" s="9"/>
      <c r="S280" s="9"/>
      <c r="T280" s="9"/>
      <c r="U280" s="9"/>
      <c r="V280" s="9"/>
      <c r="W280" s="9"/>
      <c r="X280" s="9"/>
      <c r="Y280" s="9"/>
      <c r="Z280" s="9"/>
      <c r="AA280" s="19"/>
      <c r="AB280" s="9"/>
      <c r="AC280" s="9"/>
      <c r="AD280" s="9"/>
    </row>
    <row r="281" spans="1:30">
      <c r="A281" s="9"/>
      <c r="B281" s="9"/>
      <c r="C281" s="9"/>
      <c r="D281" s="9"/>
      <c r="E281" s="12"/>
      <c r="F281" s="9"/>
      <c r="G281" s="9"/>
      <c r="H281" s="18"/>
      <c r="I281" s="20"/>
      <c r="J281" s="9"/>
      <c r="K281" s="9"/>
      <c r="L281" s="9"/>
      <c r="M281" s="9"/>
      <c r="N281" s="9"/>
      <c r="O281" s="9"/>
      <c r="P281" s="9"/>
      <c r="Q281" s="9"/>
      <c r="R281" s="9"/>
      <c r="S281" s="9"/>
      <c r="T281" s="9"/>
      <c r="U281" s="9"/>
      <c r="V281" s="9"/>
      <c r="W281" s="9"/>
      <c r="X281" s="9"/>
      <c r="Y281" s="9"/>
      <c r="Z281" s="9"/>
      <c r="AA281" s="19"/>
      <c r="AB281" s="9"/>
      <c r="AC281" s="9"/>
      <c r="AD281" s="9"/>
    </row>
    <row r="282" spans="1:30">
      <c r="A282" s="9"/>
      <c r="B282" s="9"/>
      <c r="C282" s="9"/>
      <c r="D282" s="9"/>
      <c r="E282" s="12"/>
      <c r="F282" s="9"/>
      <c r="G282" s="9"/>
      <c r="H282" s="18"/>
      <c r="I282" s="20"/>
      <c r="J282" s="9"/>
      <c r="K282" s="9"/>
      <c r="L282" s="9"/>
      <c r="M282" s="9"/>
      <c r="N282" s="9"/>
      <c r="O282" s="9"/>
      <c r="P282" s="9"/>
      <c r="Q282" s="9"/>
      <c r="R282" s="9"/>
      <c r="S282" s="9"/>
      <c r="T282" s="9"/>
      <c r="U282" s="9"/>
      <c r="V282" s="9"/>
      <c r="W282" s="9"/>
      <c r="X282" s="9"/>
      <c r="Y282" s="9"/>
      <c r="Z282" s="9"/>
      <c r="AA282" s="19"/>
      <c r="AB282" s="9"/>
      <c r="AC282" s="9"/>
      <c r="AD282" s="9"/>
    </row>
    <row r="283" spans="1:30">
      <c r="A283" s="9"/>
      <c r="B283" s="9"/>
      <c r="C283" s="9"/>
      <c r="D283" s="9"/>
      <c r="E283" s="12"/>
      <c r="F283" s="9"/>
      <c r="G283" s="9"/>
      <c r="H283" s="18"/>
      <c r="I283" s="20"/>
      <c r="J283" s="9"/>
      <c r="K283" s="9"/>
      <c r="L283" s="9"/>
      <c r="M283" s="9"/>
      <c r="N283" s="9"/>
      <c r="O283" s="9"/>
      <c r="P283" s="9"/>
      <c r="Q283" s="9"/>
      <c r="R283" s="9"/>
      <c r="S283" s="9"/>
      <c r="T283" s="9"/>
      <c r="U283" s="9"/>
      <c r="V283" s="9"/>
      <c r="W283" s="9"/>
      <c r="X283" s="9"/>
      <c r="Y283" s="9"/>
      <c r="Z283" s="9"/>
      <c r="AA283" s="19"/>
      <c r="AB283" s="9"/>
      <c r="AC283" s="9"/>
      <c r="AD283" s="9"/>
    </row>
    <row r="284" spans="1:30">
      <c r="A284" s="9"/>
      <c r="B284" s="9"/>
      <c r="C284" s="9"/>
      <c r="D284" s="9"/>
      <c r="E284" s="12"/>
      <c r="F284" s="9"/>
      <c r="G284" s="9"/>
      <c r="H284" s="18"/>
      <c r="I284" s="20"/>
      <c r="J284" s="9"/>
      <c r="K284" s="9"/>
      <c r="L284" s="9"/>
      <c r="M284" s="9"/>
      <c r="N284" s="9"/>
      <c r="O284" s="9"/>
      <c r="P284" s="9"/>
      <c r="Q284" s="9"/>
      <c r="R284" s="9"/>
      <c r="S284" s="9"/>
      <c r="T284" s="9"/>
      <c r="U284" s="9"/>
      <c r="V284" s="9"/>
      <c r="W284" s="9"/>
      <c r="X284" s="9"/>
      <c r="Y284" s="9"/>
      <c r="Z284" s="9"/>
      <c r="AA284" s="19"/>
      <c r="AB284" s="9"/>
      <c r="AC284" s="9"/>
      <c r="AD284" s="9"/>
    </row>
    <row r="285" spans="1:30">
      <c r="A285" s="9"/>
      <c r="B285" s="9"/>
      <c r="C285" s="9"/>
      <c r="D285" s="9"/>
      <c r="E285" s="12"/>
      <c r="F285" s="9"/>
      <c r="G285" s="9"/>
      <c r="H285" s="18"/>
      <c r="I285" s="20"/>
      <c r="J285" s="9"/>
      <c r="K285" s="9"/>
      <c r="L285" s="9"/>
      <c r="M285" s="9"/>
      <c r="N285" s="9"/>
      <c r="O285" s="9"/>
      <c r="P285" s="9"/>
      <c r="Q285" s="9"/>
      <c r="R285" s="9"/>
      <c r="S285" s="9"/>
      <c r="T285" s="9"/>
      <c r="U285" s="9"/>
      <c r="V285" s="9"/>
      <c r="W285" s="9"/>
      <c r="X285" s="9"/>
      <c r="Y285" s="9"/>
      <c r="Z285" s="9"/>
      <c r="AA285" s="19"/>
      <c r="AB285" s="9"/>
      <c r="AC285" s="9"/>
      <c r="AD285" s="9"/>
    </row>
    <row r="286" spans="1:30">
      <c r="A286" s="9"/>
      <c r="B286" s="9"/>
      <c r="C286" s="9"/>
      <c r="D286" s="9"/>
      <c r="E286" s="12"/>
      <c r="F286" s="9"/>
      <c r="G286" s="9"/>
      <c r="H286" s="18"/>
      <c r="I286" s="20"/>
      <c r="J286" s="9"/>
      <c r="K286" s="9"/>
      <c r="L286" s="9"/>
      <c r="M286" s="9"/>
      <c r="N286" s="9"/>
      <c r="O286" s="9"/>
      <c r="P286" s="9"/>
      <c r="Q286" s="9"/>
      <c r="R286" s="9"/>
      <c r="S286" s="9"/>
      <c r="T286" s="9"/>
      <c r="U286" s="9"/>
      <c r="V286" s="9"/>
      <c r="W286" s="9"/>
      <c r="X286" s="9"/>
      <c r="Y286" s="9"/>
      <c r="Z286" s="9"/>
      <c r="AA286" s="19"/>
      <c r="AB286" s="9"/>
      <c r="AC286" s="9"/>
      <c r="AD286" s="9"/>
    </row>
    <row r="287" spans="1:30">
      <c r="A287" s="9"/>
      <c r="B287" s="9"/>
      <c r="C287" s="9"/>
      <c r="D287" s="9"/>
      <c r="E287" s="12"/>
      <c r="F287" s="9"/>
      <c r="G287" s="9"/>
      <c r="H287" s="18"/>
      <c r="I287" s="20"/>
      <c r="J287" s="9"/>
      <c r="K287" s="9"/>
      <c r="L287" s="9"/>
      <c r="M287" s="9"/>
      <c r="N287" s="9"/>
      <c r="O287" s="9"/>
      <c r="P287" s="9"/>
      <c r="Q287" s="9"/>
      <c r="R287" s="9"/>
      <c r="S287" s="9"/>
      <c r="T287" s="9"/>
      <c r="U287" s="9"/>
      <c r="V287" s="9"/>
      <c r="W287" s="9"/>
      <c r="X287" s="9"/>
      <c r="Y287" s="9"/>
      <c r="Z287" s="9"/>
      <c r="AA287" s="19"/>
      <c r="AB287" s="9"/>
      <c r="AC287" s="9"/>
      <c r="AD287" s="9"/>
    </row>
    <row r="288" spans="1:30">
      <c r="A288" s="9"/>
      <c r="B288" s="9"/>
      <c r="C288" s="9"/>
      <c r="D288" s="9"/>
      <c r="E288" s="12"/>
      <c r="F288" s="9"/>
      <c r="G288" s="9"/>
      <c r="H288" s="18"/>
      <c r="I288" s="20"/>
      <c r="J288" s="9"/>
      <c r="K288" s="9"/>
      <c r="L288" s="9"/>
      <c r="M288" s="9"/>
      <c r="N288" s="9"/>
      <c r="O288" s="9"/>
      <c r="P288" s="9"/>
      <c r="Q288" s="9"/>
      <c r="R288" s="9"/>
      <c r="S288" s="9"/>
      <c r="T288" s="9"/>
      <c r="U288" s="9"/>
      <c r="V288" s="9"/>
      <c r="W288" s="9"/>
      <c r="X288" s="9"/>
      <c r="Y288" s="9"/>
      <c r="Z288" s="9"/>
      <c r="AA288" s="19"/>
      <c r="AB288" s="9"/>
      <c r="AC288" s="9"/>
      <c r="AD288" s="9"/>
    </row>
    <row r="289" spans="1:30">
      <c r="A289" s="9"/>
      <c r="B289" s="9"/>
      <c r="C289" s="9"/>
      <c r="D289" s="9"/>
      <c r="E289" s="12"/>
      <c r="F289" s="9"/>
      <c r="G289" s="9"/>
      <c r="H289" s="18"/>
      <c r="I289" s="20"/>
      <c r="J289" s="9"/>
      <c r="K289" s="9"/>
      <c r="L289" s="9"/>
      <c r="M289" s="9"/>
      <c r="N289" s="9"/>
      <c r="O289" s="9"/>
      <c r="P289" s="9"/>
      <c r="Q289" s="9"/>
      <c r="R289" s="9"/>
      <c r="S289" s="9"/>
      <c r="T289" s="9"/>
      <c r="U289" s="9"/>
      <c r="V289" s="9"/>
      <c r="W289" s="9"/>
      <c r="X289" s="9"/>
      <c r="Y289" s="9"/>
      <c r="Z289" s="9"/>
      <c r="AA289" s="19"/>
      <c r="AB289" s="9"/>
      <c r="AC289" s="9"/>
      <c r="AD289" s="9"/>
    </row>
    <row r="290" spans="1:30">
      <c r="A290" s="9"/>
      <c r="B290" s="9"/>
      <c r="C290" s="9"/>
      <c r="D290" s="9"/>
      <c r="E290" s="12"/>
      <c r="F290" s="9"/>
      <c r="G290" s="9"/>
      <c r="H290" s="18"/>
      <c r="I290" s="20"/>
      <c r="J290" s="9"/>
      <c r="K290" s="9"/>
      <c r="L290" s="9"/>
      <c r="M290" s="9"/>
      <c r="N290" s="9"/>
      <c r="O290" s="9"/>
      <c r="P290" s="9"/>
      <c r="Q290" s="9"/>
      <c r="R290" s="9"/>
      <c r="S290" s="9"/>
      <c r="T290" s="9"/>
      <c r="U290" s="9"/>
      <c r="V290" s="9"/>
      <c r="W290" s="9"/>
      <c r="X290" s="9"/>
      <c r="Y290" s="9"/>
      <c r="Z290" s="9"/>
      <c r="AA290" s="19"/>
      <c r="AB290" s="9"/>
      <c r="AC290" s="9"/>
      <c r="AD290" s="9"/>
    </row>
    <row r="291" spans="1:30">
      <c r="A291" s="9"/>
      <c r="B291" s="9"/>
      <c r="C291" s="9"/>
      <c r="D291" s="9"/>
      <c r="E291" s="12"/>
      <c r="F291" s="9"/>
      <c r="G291" s="9"/>
      <c r="H291" s="18"/>
      <c r="I291" s="20"/>
      <c r="J291" s="9"/>
      <c r="K291" s="9"/>
      <c r="L291" s="9"/>
      <c r="M291" s="9"/>
      <c r="N291" s="9"/>
      <c r="O291" s="9"/>
      <c r="P291" s="9"/>
      <c r="Q291" s="9"/>
      <c r="R291" s="9"/>
      <c r="S291" s="9"/>
      <c r="T291" s="9"/>
      <c r="U291" s="9"/>
      <c r="V291" s="9"/>
      <c r="W291" s="9"/>
      <c r="X291" s="9"/>
      <c r="Y291" s="9"/>
      <c r="Z291" s="9"/>
      <c r="AA291" s="19"/>
      <c r="AB291" s="9"/>
      <c r="AC291" s="9"/>
      <c r="AD291" s="9"/>
    </row>
    <row r="292" spans="1:30">
      <c r="A292" s="9"/>
      <c r="B292" s="9"/>
      <c r="C292" s="9"/>
      <c r="D292" s="9"/>
      <c r="E292" s="12"/>
      <c r="F292" s="9"/>
      <c r="G292" s="9"/>
      <c r="H292" s="18"/>
      <c r="I292" s="20"/>
      <c r="J292" s="9"/>
      <c r="K292" s="9"/>
      <c r="L292" s="9"/>
      <c r="M292" s="9"/>
      <c r="N292" s="9"/>
      <c r="O292" s="9"/>
      <c r="P292" s="9"/>
      <c r="Q292" s="9"/>
      <c r="R292" s="9"/>
      <c r="S292" s="9"/>
      <c r="T292" s="9"/>
      <c r="U292" s="9"/>
      <c r="V292" s="9"/>
      <c r="W292" s="9"/>
      <c r="X292" s="9"/>
      <c r="Y292" s="9"/>
      <c r="Z292" s="9"/>
      <c r="AA292" s="19"/>
      <c r="AB292" s="9"/>
      <c r="AC292" s="9"/>
      <c r="AD292" s="9"/>
    </row>
    <row r="293" spans="1:30">
      <c r="A293" s="9"/>
      <c r="B293" s="9"/>
      <c r="C293" s="9"/>
      <c r="D293" s="9"/>
      <c r="E293" s="12"/>
      <c r="F293" s="9"/>
      <c r="G293" s="9"/>
      <c r="H293" s="18"/>
      <c r="I293" s="20"/>
      <c r="J293" s="9"/>
      <c r="K293" s="9"/>
      <c r="L293" s="9"/>
      <c r="M293" s="9"/>
      <c r="N293" s="9"/>
      <c r="O293" s="9"/>
      <c r="P293" s="9"/>
      <c r="Q293" s="9"/>
      <c r="R293" s="9"/>
      <c r="S293" s="9"/>
      <c r="T293" s="9"/>
      <c r="U293" s="9"/>
      <c r="V293" s="9"/>
      <c r="W293" s="9"/>
      <c r="X293" s="9"/>
      <c r="Y293" s="9"/>
      <c r="Z293" s="9"/>
      <c r="AA293" s="19"/>
      <c r="AB293" s="9"/>
      <c r="AC293" s="9"/>
      <c r="AD293" s="9"/>
    </row>
    <row r="294" spans="1:30">
      <c r="A294" s="9"/>
      <c r="B294" s="9"/>
      <c r="C294" s="9"/>
      <c r="D294" s="9"/>
      <c r="E294" s="12"/>
      <c r="F294" s="9"/>
      <c r="G294" s="9"/>
      <c r="H294" s="18"/>
      <c r="I294" s="20"/>
      <c r="J294" s="9"/>
      <c r="K294" s="9"/>
      <c r="L294" s="9"/>
      <c r="M294" s="9"/>
      <c r="N294" s="9"/>
      <c r="O294" s="9"/>
      <c r="P294" s="9"/>
      <c r="Q294" s="9"/>
      <c r="R294" s="9"/>
      <c r="S294" s="9"/>
      <c r="T294" s="9"/>
      <c r="U294" s="9"/>
      <c r="V294" s="9"/>
      <c r="W294" s="9"/>
      <c r="X294" s="9"/>
      <c r="Y294" s="9"/>
      <c r="Z294" s="9"/>
      <c r="AA294" s="19"/>
      <c r="AB294" s="9"/>
      <c r="AC294" s="9"/>
      <c r="AD294" s="9"/>
    </row>
    <row r="295" spans="1:30">
      <c r="A295" s="9"/>
      <c r="B295" s="9"/>
      <c r="C295" s="9"/>
      <c r="D295" s="9"/>
      <c r="E295" s="12"/>
      <c r="F295" s="9"/>
      <c r="G295" s="9"/>
      <c r="H295" s="18"/>
      <c r="I295" s="20"/>
      <c r="J295" s="9"/>
      <c r="K295" s="9"/>
      <c r="L295" s="9"/>
      <c r="M295" s="9"/>
      <c r="N295" s="9"/>
      <c r="O295" s="9"/>
      <c r="P295" s="9"/>
      <c r="Q295" s="9"/>
      <c r="R295" s="9"/>
      <c r="S295" s="9"/>
      <c r="T295" s="9"/>
      <c r="U295" s="9"/>
      <c r="V295" s="9"/>
      <c r="W295" s="9"/>
      <c r="X295" s="9"/>
      <c r="Y295" s="9"/>
      <c r="Z295" s="9"/>
      <c r="AA295" s="19"/>
      <c r="AB295" s="9"/>
      <c r="AC295" s="9"/>
      <c r="AD295" s="9"/>
    </row>
    <row r="296" spans="1:30">
      <c r="A296" s="9"/>
      <c r="B296" s="9"/>
      <c r="C296" s="9"/>
      <c r="D296" s="9"/>
      <c r="E296" s="12"/>
      <c r="F296" s="9"/>
      <c r="G296" s="9"/>
      <c r="H296" s="18"/>
      <c r="I296" s="20"/>
      <c r="J296" s="9"/>
      <c r="K296" s="9"/>
      <c r="L296" s="9"/>
      <c r="M296" s="9"/>
      <c r="N296" s="9"/>
      <c r="O296" s="9"/>
      <c r="P296" s="9"/>
      <c r="Q296" s="9"/>
      <c r="R296" s="9"/>
      <c r="S296" s="9"/>
      <c r="T296" s="9"/>
      <c r="U296" s="9"/>
      <c r="V296" s="9"/>
      <c r="W296" s="9"/>
      <c r="X296" s="9"/>
      <c r="Y296" s="9"/>
      <c r="Z296" s="9"/>
      <c r="AA296" s="19"/>
      <c r="AB296" s="9"/>
      <c r="AC296" s="9"/>
      <c r="AD296" s="9"/>
    </row>
    <row r="297" spans="1:30">
      <c r="A297" s="9"/>
      <c r="B297" s="9"/>
      <c r="C297" s="9"/>
      <c r="D297" s="9"/>
      <c r="E297" s="12"/>
      <c r="F297" s="9"/>
      <c r="G297" s="9"/>
      <c r="H297" s="18"/>
      <c r="I297" s="20"/>
      <c r="J297" s="9"/>
      <c r="K297" s="9"/>
      <c r="L297" s="9"/>
      <c r="M297" s="9"/>
      <c r="N297" s="9"/>
      <c r="O297" s="9"/>
      <c r="P297" s="9"/>
      <c r="Q297" s="9"/>
      <c r="R297" s="9"/>
      <c r="S297" s="9"/>
      <c r="T297" s="9"/>
      <c r="U297" s="9"/>
      <c r="V297" s="9"/>
      <c r="W297" s="9"/>
      <c r="X297" s="9"/>
      <c r="Y297" s="9"/>
      <c r="Z297" s="9"/>
      <c r="AA297" s="19"/>
      <c r="AB297" s="9"/>
      <c r="AC297" s="9"/>
      <c r="AD297" s="9"/>
    </row>
    <row r="298" spans="1:30">
      <c r="A298" s="9"/>
      <c r="B298" s="9"/>
      <c r="C298" s="9"/>
      <c r="D298" s="9"/>
      <c r="E298" s="12"/>
      <c r="F298" s="9"/>
      <c r="G298" s="9"/>
      <c r="H298" s="18"/>
      <c r="I298" s="20"/>
      <c r="J298" s="9"/>
      <c r="K298" s="9"/>
      <c r="L298" s="9"/>
      <c r="M298" s="9"/>
      <c r="N298" s="9"/>
      <c r="O298" s="9"/>
      <c r="P298" s="9"/>
      <c r="Q298" s="9"/>
      <c r="R298" s="9"/>
      <c r="S298" s="9"/>
      <c r="T298" s="9"/>
      <c r="U298" s="9"/>
      <c r="V298" s="9"/>
      <c r="W298" s="9"/>
      <c r="X298" s="9"/>
      <c r="Y298" s="9"/>
      <c r="Z298" s="9"/>
      <c r="AA298" s="19"/>
      <c r="AB298" s="9"/>
      <c r="AC298" s="9"/>
      <c r="AD298" s="9"/>
    </row>
    <row r="299" spans="1:30">
      <c r="A299" s="9"/>
      <c r="B299" s="9"/>
      <c r="C299" s="9"/>
      <c r="D299" s="9"/>
      <c r="E299" s="12"/>
      <c r="F299" s="9"/>
      <c r="G299" s="9"/>
      <c r="H299" s="18"/>
      <c r="I299" s="20"/>
      <c r="J299" s="9"/>
      <c r="K299" s="9"/>
      <c r="L299" s="9"/>
      <c r="M299" s="9"/>
      <c r="N299" s="9"/>
      <c r="O299" s="9"/>
      <c r="P299" s="9"/>
      <c r="Q299" s="9"/>
      <c r="R299" s="9"/>
      <c r="S299" s="9"/>
      <c r="T299" s="9"/>
      <c r="U299" s="9"/>
      <c r="V299" s="9"/>
      <c r="W299" s="9"/>
      <c r="X299" s="9"/>
      <c r="Y299" s="9"/>
      <c r="Z299" s="9"/>
      <c r="AA299" s="19"/>
      <c r="AB299" s="9"/>
      <c r="AC299" s="9"/>
      <c r="AD299" s="9"/>
    </row>
    <row r="300" spans="1:30">
      <c r="A300" s="9"/>
      <c r="B300" s="9"/>
      <c r="C300" s="9"/>
      <c r="D300" s="9"/>
      <c r="E300" s="12"/>
      <c r="F300" s="9"/>
      <c r="G300" s="9"/>
      <c r="H300" s="18"/>
      <c r="I300" s="20"/>
      <c r="J300" s="9"/>
      <c r="K300" s="9"/>
      <c r="L300" s="9"/>
      <c r="M300" s="9"/>
      <c r="N300" s="9"/>
      <c r="O300" s="9"/>
      <c r="P300" s="9"/>
      <c r="Q300" s="9"/>
      <c r="R300" s="9"/>
      <c r="S300" s="9"/>
      <c r="T300" s="9"/>
      <c r="U300" s="9"/>
      <c r="V300" s="9"/>
      <c r="W300" s="9"/>
      <c r="X300" s="9"/>
      <c r="Y300" s="9"/>
      <c r="Z300" s="9"/>
      <c r="AA300" s="19"/>
      <c r="AB300" s="9"/>
      <c r="AC300" s="9"/>
      <c r="AD300" s="9"/>
    </row>
    <row r="301" spans="1:30">
      <c r="A301" s="9"/>
      <c r="B301" s="9"/>
      <c r="C301" s="9"/>
      <c r="D301" s="9"/>
      <c r="E301" s="12"/>
      <c r="F301" s="9"/>
      <c r="G301" s="9"/>
      <c r="H301" s="18"/>
      <c r="I301" s="20"/>
      <c r="J301" s="9"/>
      <c r="K301" s="9"/>
      <c r="L301" s="9"/>
      <c r="M301" s="9"/>
      <c r="N301" s="9"/>
      <c r="O301" s="9"/>
      <c r="P301" s="9"/>
      <c r="Q301" s="9"/>
      <c r="R301" s="9"/>
      <c r="S301" s="9"/>
      <c r="T301" s="9"/>
      <c r="U301" s="9"/>
      <c r="V301" s="9"/>
      <c r="W301" s="9"/>
      <c r="X301" s="9"/>
      <c r="Y301" s="9"/>
      <c r="Z301" s="9"/>
      <c r="AA301" s="19"/>
      <c r="AB301" s="9"/>
      <c r="AC301" s="9"/>
      <c r="AD301" s="9"/>
    </row>
    <row r="302" spans="1:30">
      <c r="A302" s="9"/>
      <c r="B302" s="9"/>
      <c r="C302" s="9"/>
      <c r="D302" s="9"/>
      <c r="E302" s="12"/>
      <c r="F302" s="9"/>
      <c r="G302" s="9"/>
      <c r="H302" s="18"/>
      <c r="I302" s="20"/>
      <c r="J302" s="9"/>
      <c r="K302" s="9"/>
      <c r="L302" s="9"/>
      <c r="M302" s="9"/>
      <c r="N302" s="9"/>
      <c r="O302" s="9"/>
      <c r="P302" s="9"/>
      <c r="Q302" s="9"/>
      <c r="R302" s="9"/>
      <c r="S302" s="9"/>
      <c r="T302" s="9"/>
      <c r="U302" s="9"/>
      <c r="V302" s="9"/>
      <c r="W302" s="9"/>
      <c r="X302" s="9"/>
      <c r="Y302" s="9"/>
      <c r="Z302" s="9"/>
      <c r="AA302" s="19"/>
      <c r="AB302" s="9"/>
      <c r="AC302" s="9"/>
      <c r="AD302" s="9"/>
    </row>
    <row r="303" spans="1:30">
      <c r="A303" s="9"/>
      <c r="B303" s="9"/>
      <c r="C303" s="9"/>
      <c r="D303" s="9"/>
      <c r="E303" s="12"/>
      <c r="F303" s="9"/>
      <c r="G303" s="9"/>
      <c r="H303" s="18"/>
      <c r="I303" s="20"/>
      <c r="J303" s="9"/>
      <c r="K303" s="9"/>
      <c r="L303" s="9"/>
      <c r="M303" s="9"/>
      <c r="N303" s="9"/>
      <c r="O303" s="9"/>
      <c r="P303" s="9"/>
      <c r="Q303" s="9"/>
      <c r="R303" s="9"/>
      <c r="S303" s="9"/>
      <c r="T303" s="9"/>
      <c r="U303" s="9"/>
      <c r="V303" s="9"/>
      <c r="W303" s="9"/>
      <c r="X303" s="9"/>
      <c r="Y303" s="9"/>
      <c r="Z303" s="9"/>
      <c r="AA303" s="19"/>
      <c r="AB303" s="9"/>
      <c r="AC303" s="9"/>
      <c r="AD303" s="9"/>
    </row>
    <row r="304" spans="1:30">
      <c r="A304" s="9"/>
      <c r="B304" s="9"/>
      <c r="C304" s="9"/>
      <c r="D304" s="9"/>
      <c r="E304" s="12"/>
      <c r="F304" s="9"/>
      <c r="G304" s="9"/>
      <c r="H304" s="18"/>
      <c r="I304" s="20"/>
      <c r="J304" s="9"/>
      <c r="K304" s="9"/>
      <c r="L304" s="9"/>
      <c r="M304" s="9"/>
      <c r="N304" s="9"/>
      <c r="O304" s="9"/>
      <c r="P304" s="9"/>
      <c r="Q304" s="9"/>
      <c r="R304" s="9"/>
      <c r="S304" s="9"/>
      <c r="T304" s="9"/>
      <c r="U304" s="9"/>
      <c r="V304" s="9"/>
      <c r="W304" s="9"/>
      <c r="X304" s="9"/>
      <c r="Y304" s="9"/>
      <c r="Z304" s="9"/>
      <c r="AA304" s="19"/>
      <c r="AB304" s="9"/>
      <c r="AC304" s="9"/>
      <c r="AD304" s="9"/>
    </row>
    <row r="305" spans="1:30">
      <c r="A305" s="9"/>
      <c r="B305" s="9"/>
      <c r="C305" s="9"/>
      <c r="D305" s="9"/>
      <c r="E305" s="12"/>
      <c r="F305" s="9"/>
      <c r="G305" s="9"/>
      <c r="H305" s="18"/>
      <c r="I305" s="20"/>
      <c r="J305" s="9"/>
      <c r="K305" s="9"/>
      <c r="L305" s="9"/>
      <c r="M305" s="9"/>
      <c r="N305" s="9"/>
      <c r="O305" s="9"/>
      <c r="P305" s="9"/>
      <c r="Q305" s="9"/>
      <c r="R305" s="9"/>
      <c r="S305" s="9"/>
      <c r="T305" s="9"/>
      <c r="U305" s="9"/>
      <c r="V305" s="9"/>
      <c r="W305" s="9"/>
      <c r="X305" s="9"/>
      <c r="Y305" s="9"/>
      <c r="Z305" s="9"/>
      <c r="AA305" s="19"/>
      <c r="AB305" s="9"/>
      <c r="AC305" s="9"/>
      <c r="AD305" s="9"/>
    </row>
    <row r="306" spans="1:30">
      <c r="A306" s="9"/>
      <c r="B306" s="9"/>
      <c r="C306" s="9"/>
      <c r="D306" s="9"/>
      <c r="E306" s="12"/>
      <c r="F306" s="9"/>
      <c r="G306" s="9"/>
      <c r="H306" s="18"/>
      <c r="I306" s="20"/>
      <c r="J306" s="9"/>
      <c r="K306" s="9"/>
      <c r="L306" s="9"/>
      <c r="M306" s="9"/>
      <c r="N306" s="9"/>
      <c r="O306" s="9"/>
      <c r="P306" s="9"/>
      <c r="Q306" s="9"/>
      <c r="R306" s="9"/>
      <c r="S306" s="9"/>
      <c r="T306" s="9"/>
      <c r="U306" s="9"/>
      <c r="V306" s="9"/>
      <c r="W306" s="9"/>
      <c r="X306" s="9"/>
      <c r="Y306" s="9"/>
      <c r="Z306" s="9"/>
      <c r="AA306" s="19"/>
      <c r="AB306" s="9"/>
      <c r="AC306" s="9"/>
      <c r="AD306" s="9"/>
    </row>
    <row r="307" spans="1:30">
      <c r="A307" s="9"/>
      <c r="B307" s="9"/>
      <c r="C307" s="9"/>
      <c r="D307" s="9"/>
      <c r="E307" s="12"/>
      <c r="F307" s="9"/>
      <c r="G307" s="9"/>
      <c r="H307" s="18"/>
      <c r="I307" s="20"/>
      <c r="J307" s="9"/>
      <c r="K307" s="9"/>
      <c r="L307" s="9"/>
      <c r="M307" s="9"/>
      <c r="N307" s="9"/>
      <c r="O307" s="9"/>
      <c r="P307" s="9"/>
      <c r="Q307" s="9"/>
      <c r="R307" s="9"/>
      <c r="S307" s="9"/>
      <c r="T307" s="9"/>
      <c r="U307" s="9"/>
      <c r="V307" s="9"/>
      <c r="W307" s="9"/>
      <c r="X307" s="9"/>
      <c r="Y307" s="9"/>
      <c r="Z307" s="9"/>
      <c r="AA307" s="19"/>
      <c r="AB307" s="9"/>
      <c r="AC307" s="9"/>
      <c r="AD307" s="9"/>
    </row>
    <row r="308" spans="1:30">
      <c r="A308" s="9"/>
      <c r="B308" s="9"/>
      <c r="C308" s="9"/>
      <c r="D308" s="9"/>
      <c r="E308" s="12"/>
      <c r="F308" s="9"/>
      <c r="G308" s="9"/>
      <c r="H308" s="18"/>
      <c r="I308" s="20"/>
      <c r="J308" s="9"/>
      <c r="K308" s="9"/>
      <c r="L308" s="9"/>
      <c r="M308" s="9"/>
      <c r="N308" s="9"/>
      <c r="O308" s="9"/>
      <c r="P308" s="9"/>
      <c r="Q308" s="9"/>
      <c r="R308" s="9"/>
      <c r="S308" s="9"/>
      <c r="T308" s="9"/>
      <c r="U308" s="9"/>
      <c r="V308" s="9"/>
      <c r="W308" s="9"/>
      <c r="X308" s="9"/>
      <c r="Y308" s="9"/>
      <c r="Z308" s="9"/>
      <c r="AA308" s="19"/>
      <c r="AB308" s="9"/>
      <c r="AC308" s="9"/>
      <c r="AD308" s="9"/>
    </row>
    <row r="309" spans="1:30">
      <c r="A309" s="9"/>
      <c r="B309" s="9"/>
      <c r="C309" s="9"/>
      <c r="D309" s="9"/>
      <c r="E309" s="12"/>
      <c r="F309" s="9"/>
      <c r="G309" s="9"/>
      <c r="H309" s="18"/>
      <c r="I309" s="20"/>
      <c r="J309" s="9"/>
      <c r="K309" s="9"/>
      <c r="L309" s="9"/>
      <c r="M309" s="9"/>
      <c r="N309" s="9"/>
      <c r="O309" s="9"/>
      <c r="P309" s="9"/>
      <c r="Q309" s="9"/>
      <c r="R309" s="9"/>
      <c r="S309" s="9"/>
      <c r="T309" s="9"/>
      <c r="U309" s="9"/>
      <c r="V309" s="9"/>
      <c r="W309" s="9"/>
      <c r="X309" s="9"/>
      <c r="Y309" s="9"/>
      <c r="Z309" s="9"/>
      <c r="AA309" s="19"/>
      <c r="AB309" s="9"/>
      <c r="AC309" s="9"/>
      <c r="AD309" s="9"/>
    </row>
    <row r="310" spans="1:30">
      <c r="A310" s="9"/>
      <c r="B310" s="9"/>
      <c r="C310" s="9"/>
      <c r="D310" s="9"/>
      <c r="E310" s="12"/>
      <c r="F310" s="9"/>
      <c r="G310" s="9"/>
      <c r="H310" s="18"/>
      <c r="I310" s="20"/>
      <c r="J310" s="9"/>
      <c r="K310" s="9"/>
      <c r="L310" s="9"/>
      <c r="M310" s="9"/>
      <c r="N310" s="9"/>
      <c r="O310" s="9"/>
      <c r="P310" s="9"/>
      <c r="Q310" s="9"/>
      <c r="R310" s="9"/>
      <c r="S310" s="9"/>
      <c r="T310" s="9"/>
      <c r="U310" s="9"/>
      <c r="V310" s="9"/>
      <c r="W310" s="9"/>
      <c r="X310" s="9"/>
      <c r="Y310" s="9"/>
      <c r="Z310" s="9"/>
      <c r="AA310" s="19"/>
      <c r="AB310" s="9"/>
      <c r="AC310" s="9"/>
      <c r="AD310" s="9"/>
    </row>
    <row r="311" spans="1:30">
      <c r="A311" s="9"/>
      <c r="B311" s="9"/>
      <c r="C311" s="9"/>
      <c r="D311" s="9"/>
      <c r="E311" s="12"/>
      <c r="F311" s="9"/>
      <c r="G311" s="9"/>
      <c r="H311" s="18"/>
      <c r="I311" s="20"/>
      <c r="J311" s="9"/>
      <c r="K311" s="9"/>
      <c r="L311" s="9"/>
      <c r="M311" s="9"/>
      <c r="N311" s="9"/>
      <c r="O311" s="9"/>
      <c r="P311" s="9"/>
      <c r="Q311" s="9"/>
      <c r="R311" s="9"/>
      <c r="S311" s="9"/>
      <c r="T311" s="9"/>
      <c r="U311" s="9"/>
      <c r="V311" s="9"/>
      <c r="W311" s="9"/>
      <c r="X311" s="9"/>
      <c r="Y311" s="9"/>
      <c r="Z311" s="9"/>
      <c r="AA311" s="19"/>
      <c r="AB311" s="9"/>
      <c r="AC311" s="9"/>
      <c r="AD311" s="9"/>
    </row>
    <row r="312" spans="1:30">
      <c r="A312" s="9"/>
      <c r="B312" s="9"/>
      <c r="C312" s="9"/>
      <c r="D312" s="9"/>
      <c r="E312" s="12"/>
      <c r="F312" s="9"/>
      <c r="G312" s="9"/>
      <c r="H312" s="18"/>
      <c r="I312" s="20"/>
      <c r="J312" s="9"/>
      <c r="K312" s="9"/>
      <c r="L312" s="9"/>
      <c r="M312" s="9"/>
      <c r="N312" s="9"/>
      <c r="O312" s="9"/>
      <c r="P312" s="9"/>
      <c r="Q312" s="9"/>
      <c r="R312" s="9"/>
      <c r="S312" s="9"/>
      <c r="T312" s="9"/>
      <c r="U312" s="9"/>
      <c r="V312" s="9"/>
      <c r="W312" s="9"/>
      <c r="X312" s="9"/>
      <c r="Y312" s="9"/>
      <c r="Z312" s="9"/>
      <c r="AA312" s="19"/>
      <c r="AB312" s="9"/>
      <c r="AC312" s="9"/>
      <c r="AD312" s="9"/>
    </row>
    <row r="313" spans="1:30">
      <c r="A313" s="9"/>
      <c r="B313" s="9"/>
      <c r="C313" s="9"/>
      <c r="D313" s="9"/>
      <c r="E313" s="12"/>
      <c r="F313" s="9"/>
      <c r="G313" s="9"/>
      <c r="H313" s="18"/>
      <c r="I313" s="20"/>
      <c r="J313" s="9"/>
      <c r="K313" s="9"/>
      <c r="L313" s="9"/>
      <c r="M313" s="9"/>
      <c r="N313" s="9"/>
      <c r="O313" s="9"/>
      <c r="P313" s="9"/>
      <c r="Q313" s="9"/>
      <c r="R313" s="9"/>
      <c r="S313" s="9"/>
      <c r="T313" s="9"/>
      <c r="U313" s="9"/>
      <c r="V313" s="9"/>
      <c r="W313" s="9"/>
      <c r="X313" s="9"/>
      <c r="Y313" s="9"/>
      <c r="Z313" s="9"/>
      <c r="AA313" s="19"/>
      <c r="AB313" s="9"/>
      <c r="AC313" s="9"/>
      <c r="AD313" s="9"/>
    </row>
    <row r="314" spans="1:30">
      <c r="A314" s="9"/>
      <c r="B314" s="9"/>
      <c r="C314" s="9"/>
      <c r="D314" s="9"/>
      <c r="E314" s="12"/>
      <c r="F314" s="9"/>
      <c r="G314" s="9"/>
      <c r="H314" s="18"/>
      <c r="I314" s="20"/>
      <c r="J314" s="9"/>
      <c r="K314" s="9"/>
      <c r="L314" s="9"/>
      <c r="M314" s="9"/>
      <c r="N314" s="9"/>
      <c r="O314" s="9"/>
      <c r="P314" s="9"/>
      <c r="Q314" s="9"/>
      <c r="R314" s="9"/>
      <c r="S314" s="9"/>
      <c r="T314" s="9"/>
      <c r="U314" s="9"/>
      <c r="V314" s="9"/>
      <c r="W314" s="9"/>
      <c r="X314" s="9"/>
      <c r="Y314" s="9"/>
      <c r="Z314" s="9"/>
      <c r="AA314" s="19"/>
      <c r="AB314" s="9"/>
      <c r="AC314" s="9"/>
      <c r="AD314" s="9"/>
    </row>
    <row r="315" spans="1:30">
      <c r="A315" s="9"/>
      <c r="B315" s="9"/>
      <c r="C315" s="9"/>
      <c r="D315" s="9"/>
      <c r="E315" s="12"/>
      <c r="F315" s="9"/>
      <c r="G315" s="9"/>
      <c r="H315" s="18"/>
      <c r="I315" s="20"/>
      <c r="J315" s="9"/>
      <c r="K315" s="9"/>
      <c r="L315" s="9"/>
      <c r="M315" s="9"/>
      <c r="N315" s="9"/>
      <c r="O315" s="9"/>
      <c r="P315" s="9"/>
      <c r="Q315" s="9"/>
      <c r="R315" s="9"/>
      <c r="S315" s="9"/>
      <c r="T315" s="9"/>
      <c r="U315" s="9"/>
      <c r="V315" s="9"/>
      <c r="W315" s="9"/>
      <c r="X315" s="9"/>
      <c r="Y315" s="9"/>
      <c r="Z315" s="9"/>
      <c r="AA315" s="19"/>
      <c r="AB315" s="9"/>
      <c r="AC315" s="9"/>
      <c r="AD315" s="9"/>
    </row>
    <row r="316" spans="1:30">
      <c r="A316" s="9"/>
      <c r="B316" s="9"/>
      <c r="C316" s="9"/>
      <c r="D316" s="9"/>
      <c r="E316" s="12"/>
      <c r="F316" s="9"/>
      <c r="G316" s="9"/>
      <c r="H316" s="18"/>
      <c r="I316" s="20"/>
      <c r="J316" s="9"/>
      <c r="K316" s="9"/>
      <c r="L316" s="9"/>
      <c r="M316" s="9"/>
      <c r="N316" s="9"/>
      <c r="O316" s="9"/>
      <c r="P316" s="9"/>
      <c r="Q316" s="9"/>
      <c r="R316" s="9"/>
      <c r="S316" s="9"/>
      <c r="T316" s="9"/>
      <c r="U316" s="9"/>
      <c r="V316" s="9"/>
      <c r="W316" s="9"/>
      <c r="X316" s="9"/>
      <c r="Y316" s="9"/>
      <c r="Z316" s="9"/>
      <c r="AA316" s="19"/>
      <c r="AB316" s="9"/>
      <c r="AC316" s="9"/>
      <c r="AD316" s="9"/>
    </row>
    <row r="317" spans="1:30">
      <c r="A317" s="9"/>
      <c r="B317" s="9"/>
      <c r="C317" s="9"/>
      <c r="D317" s="9"/>
      <c r="E317" s="12"/>
      <c r="F317" s="9"/>
      <c r="G317" s="9"/>
      <c r="H317" s="18"/>
      <c r="I317" s="20"/>
      <c r="J317" s="9"/>
      <c r="K317" s="9"/>
      <c r="L317" s="9"/>
      <c r="M317" s="9"/>
      <c r="N317" s="9"/>
      <c r="O317" s="9"/>
      <c r="P317" s="9"/>
      <c r="Q317" s="9"/>
      <c r="R317" s="9"/>
      <c r="S317" s="9"/>
      <c r="T317" s="9"/>
      <c r="U317" s="9"/>
      <c r="V317" s="9"/>
      <c r="W317" s="9"/>
      <c r="X317" s="9"/>
      <c r="Y317" s="9"/>
      <c r="Z317" s="9"/>
      <c r="AA317" s="19"/>
      <c r="AB317" s="9"/>
      <c r="AC317" s="9"/>
      <c r="AD317" s="9"/>
    </row>
    <row r="318" spans="1:30">
      <c r="A318" s="9"/>
      <c r="B318" s="9"/>
      <c r="C318" s="9"/>
      <c r="D318" s="9"/>
      <c r="E318" s="12"/>
      <c r="F318" s="9"/>
      <c r="G318" s="9"/>
      <c r="H318" s="18"/>
      <c r="I318" s="20"/>
      <c r="J318" s="9"/>
      <c r="K318" s="9"/>
      <c r="L318" s="9"/>
      <c r="M318" s="9"/>
      <c r="N318" s="9"/>
      <c r="O318" s="9"/>
      <c r="P318" s="9"/>
      <c r="Q318" s="9"/>
      <c r="R318" s="9"/>
      <c r="S318" s="9"/>
      <c r="T318" s="9"/>
      <c r="U318" s="9"/>
      <c r="V318" s="9"/>
      <c r="W318" s="9"/>
      <c r="X318" s="9"/>
      <c r="Y318" s="9"/>
      <c r="Z318" s="9"/>
      <c r="AA318" s="19"/>
      <c r="AB318" s="9"/>
      <c r="AC318" s="9"/>
      <c r="AD318" s="9"/>
    </row>
    <row r="319" spans="1:30">
      <c r="A319" s="9"/>
      <c r="B319" s="9"/>
      <c r="C319" s="9"/>
      <c r="D319" s="9"/>
      <c r="E319" s="12"/>
      <c r="F319" s="9"/>
      <c r="G319" s="9"/>
      <c r="H319" s="18"/>
      <c r="I319" s="20"/>
      <c r="J319" s="9"/>
      <c r="K319" s="9"/>
      <c r="L319" s="9"/>
      <c r="M319" s="9"/>
      <c r="N319" s="9"/>
      <c r="O319" s="9"/>
      <c r="P319" s="9"/>
      <c r="Q319" s="9"/>
      <c r="R319" s="9"/>
      <c r="S319" s="9"/>
      <c r="T319" s="9"/>
      <c r="U319" s="9"/>
      <c r="V319" s="9"/>
      <c r="W319" s="9"/>
      <c r="X319" s="9"/>
      <c r="Y319" s="9"/>
      <c r="Z319" s="9"/>
      <c r="AA319" s="19"/>
      <c r="AB319" s="9"/>
      <c r="AC319" s="9"/>
      <c r="AD319" s="9"/>
    </row>
    <row r="320" spans="1:30">
      <c r="A320" s="9"/>
      <c r="B320" s="9"/>
      <c r="C320" s="9"/>
      <c r="D320" s="9"/>
      <c r="E320" s="12"/>
      <c r="F320" s="9"/>
      <c r="G320" s="9"/>
      <c r="H320" s="18"/>
      <c r="I320" s="20"/>
      <c r="J320" s="9"/>
      <c r="K320" s="9"/>
      <c r="L320" s="9"/>
      <c r="M320" s="9"/>
      <c r="N320" s="9"/>
      <c r="O320" s="9"/>
      <c r="P320" s="9"/>
      <c r="Q320" s="9"/>
      <c r="R320" s="9"/>
      <c r="S320" s="9"/>
      <c r="T320" s="9"/>
      <c r="U320" s="9"/>
      <c r="V320" s="9"/>
      <c r="W320" s="9"/>
      <c r="X320" s="9"/>
      <c r="Y320" s="9"/>
      <c r="Z320" s="9"/>
      <c r="AA320" s="19"/>
      <c r="AB320" s="9"/>
      <c r="AC320" s="9"/>
      <c r="AD320" s="9"/>
    </row>
    <row r="321" spans="1:30">
      <c r="A321" s="9"/>
      <c r="B321" s="9"/>
      <c r="C321" s="9"/>
      <c r="D321" s="9"/>
      <c r="E321" s="12"/>
      <c r="F321" s="9"/>
      <c r="G321" s="9"/>
      <c r="H321" s="18"/>
      <c r="I321" s="20"/>
      <c r="J321" s="9"/>
      <c r="K321" s="9"/>
      <c r="L321" s="9"/>
      <c r="M321" s="9"/>
      <c r="N321" s="9"/>
      <c r="O321" s="9"/>
      <c r="P321" s="9"/>
      <c r="Q321" s="9"/>
      <c r="R321" s="9"/>
      <c r="S321" s="9"/>
      <c r="T321" s="9"/>
      <c r="U321" s="9"/>
      <c r="V321" s="9"/>
      <c r="W321" s="9"/>
      <c r="X321" s="9"/>
      <c r="Y321" s="9"/>
      <c r="Z321" s="9"/>
      <c r="AA321" s="19"/>
      <c r="AB321" s="9"/>
      <c r="AC321" s="9"/>
      <c r="AD321" s="9"/>
    </row>
    <row r="322" spans="1:30">
      <c r="A322" s="9"/>
      <c r="B322" s="9"/>
      <c r="C322" s="9"/>
      <c r="D322" s="9"/>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row>
    <row r="323" spans="1:30">
      <c r="A323" s="9"/>
      <c r="B323" s="9"/>
      <c r="C323" s="9"/>
      <c r="D323" s="9"/>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row>
    <row r="324" spans="1:30">
      <c r="A324" s="9"/>
      <c r="B324" s="9"/>
      <c r="C324" s="9"/>
      <c r="D324" s="9"/>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row>
    <row r="325" spans="1:30">
      <c r="A325" s="9"/>
      <c r="B325" s="9"/>
      <c r="C325" s="9"/>
      <c r="D325" s="9"/>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row>
    <row r="326" spans="1:30">
      <c r="A326" s="9"/>
      <c r="B326" s="9"/>
      <c r="C326" s="9"/>
      <c r="D326" s="9"/>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row>
    <row r="327" spans="1:30">
      <c r="A327" s="9"/>
      <c r="B327" s="9"/>
      <c r="C327" s="9"/>
      <c r="D327" s="9"/>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row>
    <row r="328" spans="1:30">
      <c r="A328" s="9"/>
      <c r="B328" s="9"/>
      <c r="C328" s="9"/>
      <c r="D328" s="9"/>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row>
    <row r="329" spans="1:30">
      <c r="A329" s="9"/>
      <c r="B329" s="9"/>
      <c r="C329" s="9"/>
      <c r="D329" s="9"/>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row>
    <row r="330" spans="1:30">
      <c r="A330" s="9"/>
      <c r="B330" s="9"/>
      <c r="C330" s="9"/>
      <c r="D330" s="9"/>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row>
    <row r="331" spans="1:30">
      <c r="A331" s="9"/>
      <c r="B331" s="9"/>
      <c r="C331" s="9"/>
      <c r="D331" s="9"/>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row>
    <row r="332" spans="1:30">
      <c r="A332" s="9"/>
      <c r="B332" s="9"/>
      <c r="C332" s="9"/>
      <c r="D332" s="9"/>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row>
    <row r="333" spans="1:30">
      <c r="A333" s="9"/>
      <c r="B333" s="9"/>
      <c r="C333" s="9"/>
      <c r="D333" s="9"/>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row>
    <row r="334" spans="1:30">
      <c r="A334" s="9"/>
      <c r="B334" s="9"/>
      <c r="C334" s="9"/>
      <c r="D334" s="9"/>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row>
    <row r="335" spans="1:30">
      <c r="A335" s="9"/>
      <c r="B335" s="9"/>
      <c r="C335" s="9"/>
      <c r="D335" s="9"/>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row>
    <row r="336" spans="1:30">
      <c r="A336" s="9"/>
      <c r="B336" s="9"/>
      <c r="C336" s="9"/>
      <c r="D336" s="9"/>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row>
    <row r="337" spans="1:30">
      <c r="A337" s="9"/>
      <c r="B337" s="9"/>
      <c r="C337" s="9"/>
      <c r="D337" s="9"/>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row>
    <row r="338" spans="1:30">
      <c r="A338" s="9"/>
      <c r="B338" s="9"/>
      <c r="C338" s="9"/>
      <c r="D338" s="9"/>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row>
    <row r="339" spans="1:30">
      <c r="A339" s="9"/>
      <c r="B339" s="9"/>
      <c r="C339" s="9"/>
      <c r="D339" s="9"/>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row>
    <row r="340" spans="1:30">
      <c r="A340" s="9"/>
      <c r="B340" s="9"/>
      <c r="C340" s="9"/>
      <c r="D340" s="9"/>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30">
      <c r="A341" s="9"/>
      <c r="B341" s="9"/>
      <c r="C341" s="9"/>
      <c r="D341" s="9"/>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30">
      <c r="A342" s="9"/>
      <c r="B342" s="9"/>
      <c r="C342" s="9"/>
      <c r="D342" s="9"/>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30">
      <c r="A343" s="9"/>
      <c r="B343" s="9"/>
      <c r="C343" s="9"/>
      <c r="D343" s="9"/>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30">
      <c r="A344" s="9"/>
      <c r="B344" s="9"/>
      <c r="C344" s="9"/>
      <c r="D344" s="9"/>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30">
      <c r="A345" s="9"/>
      <c r="B345" s="9"/>
      <c r="C345" s="9"/>
      <c r="D345" s="9"/>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30">
      <c r="A346" s="9"/>
      <c r="B346" s="9"/>
      <c r="C346" s="9"/>
      <c r="D346" s="9"/>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30">
      <c r="A347" s="9"/>
      <c r="B347" s="9"/>
      <c r="C347" s="9"/>
      <c r="D347" s="9"/>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30">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30">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30">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30">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30">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sheetData>
  <mergeCells count="40">
    <mergeCell ref="F39:H39"/>
    <mergeCell ref="G21:I21"/>
    <mergeCell ref="G2:H2"/>
    <mergeCell ref="G6:I6"/>
    <mergeCell ref="G7:I7"/>
    <mergeCell ref="F5:K5"/>
    <mergeCell ref="G9:I9"/>
    <mergeCell ref="G10:I10"/>
    <mergeCell ref="G8:I8"/>
    <mergeCell ref="G11:I11"/>
    <mergeCell ref="G12:I12"/>
    <mergeCell ref="G13:I13"/>
    <mergeCell ref="G18:I18"/>
    <mergeCell ref="G15:I15"/>
    <mergeCell ref="G16:I16"/>
    <mergeCell ref="G28:I28"/>
    <mergeCell ref="F243:G243"/>
    <mergeCell ref="F73:G73"/>
    <mergeCell ref="F107:H107"/>
    <mergeCell ref="F141:H141"/>
    <mergeCell ref="F175:H175"/>
    <mergeCell ref="F209:I209"/>
    <mergeCell ref="G27:I27"/>
    <mergeCell ref="G25:I25"/>
    <mergeCell ref="G26:I26"/>
    <mergeCell ref="G29:I29"/>
    <mergeCell ref="G36:I36"/>
    <mergeCell ref="G30:I30"/>
    <mergeCell ref="G31:I31"/>
    <mergeCell ref="G32:I32"/>
    <mergeCell ref="G33:I33"/>
    <mergeCell ref="G34:I34"/>
    <mergeCell ref="G35:I35"/>
    <mergeCell ref="G23:I23"/>
    <mergeCell ref="G24:I24"/>
    <mergeCell ref="G17:I17"/>
    <mergeCell ref="G14:I14"/>
    <mergeCell ref="G20:I20"/>
    <mergeCell ref="G22:I22"/>
    <mergeCell ref="G19:I19"/>
  </mergeCells>
  <phoneticPr fontId="0" type="noConversion"/>
  <dataValidations count="1">
    <dataValidation type="custom" showInputMessage="1" showErrorMessage="1" error="Invalid input, please try again." sqref="V7:W36 K7:L36">
      <formula1>AND(K7&lt;&gt;"",OR(K7="n/a",AND(K7&gt;=0,K7&lt;=100)))</formula1>
    </dataValidation>
  </dataValidations>
  <printOptions headings="1"/>
  <pageMargins left="0.74803149606299213" right="0.74803149606299213" top="0.98425196850393704" bottom="0.98425196850393704" header="0.51181102362204722" footer="0.51181102362204722"/>
  <pageSetup paperSize="9" scale="90" orientation="landscape" horizontalDpi="4294967292" r:id="rId1"/>
  <headerFooter alignWithMargins="0"/>
  <rowBreaks count="2" manualBreakCount="2">
    <brk id="72" min="5" max="23" man="1"/>
    <brk id="174" min="5" max="23" man="1"/>
  </rowBreaks>
  <legacyDrawing r:id="rId2"/>
</worksheet>
</file>

<file path=xl/worksheets/sheet4.xml><?xml version="1.0" encoding="utf-8"?>
<worksheet xmlns="http://schemas.openxmlformats.org/spreadsheetml/2006/main" xmlns:r="http://schemas.openxmlformats.org/officeDocument/2006/relationships">
  <sheetPr codeName="Sheet3"/>
  <dimension ref="A1:IV911"/>
  <sheetViews>
    <sheetView zoomScaleNormal="100" workbookViewId="0">
      <pane ySplit="4" topLeftCell="A5" activePane="bottomLeft" state="frozen"/>
      <selection pane="bottomLeft" activeCell="I605" sqref="I605"/>
    </sheetView>
  </sheetViews>
  <sheetFormatPr defaultRowHeight="12.75" outlineLevelRow="1"/>
  <cols>
    <col min="1" max="1" width="4.42578125" customWidth="1"/>
    <col min="2" max="2" width="22.85546875" customWidth="1"/>
    <col min="3" max="3" width="12.42578125" customWidth="1"/>
    <col min="5" max="5" width="6" customWidth="1"/>
    <col min="6" max="6" width="14.5703125" customWidth="1"/>
    <col min="7" max="7" width="10.42578125" customWidth="1"/>
    <col min="8" max="8" width="10.140625" customWidth="1"/>
    <col min="9" max="10" width="10" customWidth="1"/>
    <col min="11" max="13" width="10" bestFit="1" customWidth="1"/>
    <col min="14" max="61" width="9.5703125" bestFit="1" customWidth="1"/>
  </cols>
  <sheetData>
    <row r="1" spans="1:256" ht="15.75">
      <c r="A1" s="9"/>
      <c r="B1" s="362" t="str">
        <f>'SP AusNet record of changes'!$B$2</f>
        <v>SP AusNet  - RFM - data as at 28-February-2013</v>
      </c>
      <c r="C1" s="9"/>
      <c r="D1" s="9"/>
      <c r="E1" s="9"/>
      <c r="F1" s="52"/>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1"/>
      <c r="BK1" s="221"/>
    </row>
    <row r="2" spans="1:256" ht="15.75">
      <c r="A2" s="9"/>
      <c r="B2" s="57" t="str">
        <f>"Adjustments for Previous Regulatory Control Period - RFM "&amp;Intro!L4</f>
        <v>Adjustments for Previous Regulatory Control Period - RFM Version: 2.0</v>
      </c>
      <c r="C2" s="9"/>
      <c r="D2" s="9"/>
      <c r="E2" s="9"/>
      <c r="F2" s="9"/>
      <c r="G2" s="9"/>
      <c r="H2" s="9"/>
      <c r="I2" s="9"/>
      <c r="J2" s="9"/>
      <c r="K2" s="9"/>
      <c r="L2" s="9"/>
      <c r="M2" s="9"/>
      <c r="N2" s="9"/>
      <c r="O2" s="9"/>
      <c r="P2" s="9"/>
      <c r="Q2" s="9"/>
      <c r="R2" s="12"/>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6"/>
      <c r="BK3" s="226"/>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4" customFormat="1" ht="15.75">
      <c r="A4" s="82"/>
      <c r="B4" s="83" t="s">
        <v>3</v>
      </c>
      <c r="C4" s="82"/>
      <c r="D4" s="82"/>
      <c r="E4" s="82"/>
      <c r="F4" s="144" t="str">
        <f>CONCATENATE(LEFT(G4, 4)-1 &amp;"-" &amp;IF(G4&gt;"2009-10",,"0") &amp;RIGHT(G4,2)-1)</f>
        <v>2006-07</v>
      </c>
      <c r="G4" s="144" t="str">
        <f>Input!G40</f>
        <v>2007-08</v>
      </c>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c r="S4" s="52"/>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1"/>
      <c r="BK4" s="221"/>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1"/>
      <c r="BK5" s="221"/>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33</v>
      </c>
      <c r="C6" s="9"/>
      <c r="D6" s="39"/>
      <c r="E6" s="9"/>
      <c r="F6" s="328">
        <v>3.253652058432932E-2</v>
      </c>
      <c r="G6" s="200">
        <f>Input!G245</f>
        <v>2.9581993569131715E-2</v>
      </c>
      <c r="H6" s="20"/>
      <c r="I6" s="20"/>
      <c r="J6" s="20"/>
      <c r="K6" s="20"/>
      <c r="L6" s="20"/>
      <c r="M6" s="20"/>
      <c r="N6" s="20"/>
      <c r="O6" s="20"/>
      <c r="P6" s="20"/>
      <c r="Q6" s="20"/>
      <c r="R6" s="39"/>
      <c r="S6" s="52"/>
      <c r="T6" s="39"/>
      <c r="U6" s="39"/>
      <c r="V6" s="39"/>
      <c r="W6" s="39"/>
      <c r="X6" s="39"/>
      <c r="Y6" s="39"/>
      <c r="Z6" s="39"/>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21"/>
      <c r="BK6" s="221"/>
    </row>
    <row r="7" spans="1:256">
      <c r="A7" s="9"/>
      <c r="B7" s="96" t="s">
        <v>81</v>
      </c>
      <c r="C7" s="9"/>
      <c r="D7" s="9"/>
      <c r="E7" s="9"/>
      <c r="F7" s="9"/>
      <c r="G7" s="200"/>
      <c r="H7" s="236">
        <f>vanilla1</f>
        <v>0.10936514616839621</v>
      </c>
      <c r="I7" s="95">
        <f>vanilla2</f>
        <v>9.2494792542983761E-2</v>
      </c>
      <c r="J7" s="95">
        <f>vanilla3</f>
        <v>9.8341280977768841E-2</v>
      </c>
      <c r="K7" s="95">
        <f>vanilla4</f>
        <v>0.10314081035659561</v>
      </c>
      <c r="L7" s="95">
        <f>vanilla5</f>
        <v>9.3521664410697758E-2</v>
      </c>
      <c r="M7" s="95">
        <f>vanilla6</f>
        <v>9.6684300596983297E-2</v>
      </c>
      <c r="N7" s="95">
        <f>vanilla7</f>
        <v>0</v>
      </c>
      <c r="O7" s="95">
        <f>vanilla8</f>
        <v>0</v>
      </c>
      <c r="P7" s="95">
        <f>vanilla9</f>
        <v>0</v>
      </c>
      <c r="Q7" s="95">
        <f>vanilla10</f>
        <v>0</v>
      </c>
      <c r="R7" s="95"/>
      <c r="S7" s="52"/>
      <c r="T7" s="137"/>
      <c r="U7" s="137"/>
      <c r="V7" s="137"/>
      <c r="W7" s="137"/>
      <c r="X7" s="137"/>
      <c r="Y7" s="137"/>
      <c r="Z7" s="13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1"/>
      <c r="BK7" s="221"/>
    </row>
    <row r="8" spans="1:256">
      <c r="A8" s="9"/>
      <c r="B8" s="96"/>
      <c r="C8" s="9"/>
      <c r="D8" s="9"/>
      <c r="E8" s="9"/>
      <c r="F8" s="9"/>
      <c r="G8" s="142"/>
      <c r="H8" s="142"/>
      <c r="I8" s="142"/>
      <c r="J8" s="142"/>
      <c r="K8" s="142"/>
      <c r="L8" s="142"/>
      <c r="M8" s="136"/>
      <c r="N8" s="136"/>
      <c r="O8" s="136"/>
      <c r="P8" s="136"/>
      <c r="Q8" s="136"/>
      <c r="R8" s="137"/>
      <c r="S8" s="12"/>
      <c r="T8" s="137"/>
      <c r="U8" s="137"/>
      <c r="V8" s="137"/>
      <c r="W8" s="137"/>
      <c r="X8" s="137"/>
      <c r="Y8" s="137"/>
      <c r="Z8" s="13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1"/>
      <c r="BK8" s="221"/>
    </row>
    <row r="9" spans="1:256">
      <c r="A9" s="81"/>
      <c r="B9" s="81" t="s">
        <v>39</v>
      </c>
      <c r="C9" s="109"/>
      <c r="D9" s="109"/>
      <c r="E9" s="109"/>
      <c r="F9" s="109"/>
      <c r="G9" s="109"/>
      <c r="H9" s="74"/>
      <c r="I9" s="74"/>
      <c r="J9" s="74"/>
      <c r="K9" s="74"/>
      <c r="L9" s="74"/>
      <c r="M9" s="74"/>
      <c r="N9" s="74"/>
      <c r="O9" s="74"/>
      <c r="P9" s="74"/>
      <c r="Q9" s="74"/>
      <c r="R9" s="74"/>
      <c r="S9" s="52"/>
      <c r="T9" s="137"/>
      <c r="U9" s="137"/>
      <c r="V9" s="137"/>
      <c r="W9" s="137"/>
      <c r="X9" s="137"/>
      <c r="Y9" s="137"/>
      <c r="Z9" s="13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1"/>
      <c r="BK9" s="221"/>
    </row>
    <row r="10" spans="1:256">
      <c r="A10" s="17"/>
      <c r="B10" s="17"/>
      <c r="C10" s="120"/>
      <c r="D10" s="120"/>
      <c r="E10" s="120"/>
      <c r="F10" s="120"/>
      <c r="G10" s="120"/>
      <c r="H10" s="12"/>
      <c r="I10" s="12"/>
      <c r="J10" s="12"/>
      <c r="K10" s="12"/>
      <c r="L10" s="12"/>
      <c r="M10" s="12"/>
      <c r="N10" s="12"/>
      <c r="O10" s="12"/>
      <c r="P10" s="12"/>
      <c r="Q10" s="12"/>
      <c r="R10" s="137"/>
      <c r="S10" s="52"/>
      <c r="T10" s="137"/>
      <c r="U10" s="137"/>
      <c r="V10" s="137"/>
      <c r="W10" s="137"/>
      <c r="X10" s="137"/>
      <c r="Y10" s="137"/>
      <c r="Z10" s="13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1"/>
      <c r="BK10" s="221"/>
    </row>
    <row r="11" spans="1:256">
      <c r="A11" s="9"/>
      <c r="B11" s="44" t="s">
        <v>77</v>
      </c>
      <c r="C11" s="9"/>
      <c r="D11" s="9"/>
      <c r="E11" s="9"/>
      <c r="F11" s="9"/>
      <c r="G11" s="309">
        <f>SUM(G12:G41)</f>
        <v>85.232652528569361</v>
      </c>
      <c r="H11" s="142"/>
      <c r="I11" s="142"/>
      <c r="J11" s="142"/>
      <c r="K11" s="142"/>
      <c r="L11" s="142"/>
      <c r="M11" s="136"/>
      <c r="N11" s="136"/>
      <c r="O11" s="136"/>
      <c r="P11" s="136"/>
      <c r="Q11" s="136"/>
      <c r="R11" s="137"/>
      <c r="S11" s="12"/>
      <c r="T11" s="137"/>
      <c r="U11" s="137"/>
      <c r="V11" s="137"/>
      <c r="W11" s="137"/>
      <c r="X11" s="137"/>
      <c r="Y11" s="137"/>
      <c r="Z11" s="13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1"/>
      <c r="BK11" s="221"/>
    </row>
    <row r="12" spans="1:256" ht="12.75" hidden="1" customHeight="1" outlineLevel="1">
      <c r="A12" s="9"/>
      <c r="B12" s="9"/>
      <c r="C12" s="270" t="str">
        <f>Asset1</f>
        <v>Secondary</v>
      </c>
      <c r="D12" s="9"/>
      <c r="E12" s="9"/>
      <c r="F12" s="9"/>
      <c r="G12" s="201">
        <f>Input!M7</f>
        <v>14.463151023717792</v>
      </c>
      <c r="H12" s="142"/>
      <c r="I12" s="142"/>
      <c r="J12" s="142"/>
      <c r="K12" s="142"/>
      <c r="L12" s="142"/>
      <c r="M12" s="136"/>
      <c r="N12" s="136"/>
      <c r="O12" s="136"/>
      <c r="P12" s="136"/>
      <c r="Q12" s="136"/>
      <c r="R12" s="137"/>
      <c r="S12" s="52"/>
      <c r="T12" s="137"/>
      <c r="U12" s="137"/>
      <c r="V12" s="137"/>
      <c r="W12" s="137"/>
      <c r="X12" s="137"/>
      <c r="Y12" s="137"/>
      <c r="Z12" s="13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1"/>
      <c r="BK12" s="221"/>
    </row>
    <row r="13" spans="1:256" ht="12.75" hidden="1" customHeight="1" outlineLevel="1">
      <c r="A13" s="9"/>
      <c r="B13" s="44"/>
      <c r="C13" s="270" t="str">
        <f>Asset2</f>
        <v>Switchgear</v>
      </c>
      <c r="D13" s="9"/>
      <c r="E13" s="9"/>
      <c r="F13" s="139"/>
      <c r="G13" s="201">
        <f>Input!M8</f>
        <v>40.012027975872329</v>
      </c>
      <c r="H13" s="142"/>
      <c r="I13" s="142"/>
      <c r="J13" s="142"/>
      <c r="K13" s="142"/>
      <c r="L13" s="142"/>
      <c r="M13" s="136"/>
      <c r="N13" s="136"/>
      <c r="O13" s="136"/>
      <c r="P13" s="136"/>
      <c r="Q13" s="136"/>
      <c r="R13" s="137"/>
      <c r="S13" s="52"/>
      <c r="T13" s="137"/>
      <c r="U13" s="137"/>
      <c r="V13" s="137"/>
      <c r="W13" s="137"/>
      <c r="X13" s="137"/>
      <c r="Y13" s="137"/>
      <c r="Z13" s="13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1"/>
      <c r="BK13" s="221"/>
    </row>
    <row r="14" spans="1:256" ht="12.75" hidden="1" customHeight="1" outlineLevel="1">
      <c r="A14" s="9"/>
      <c r="B14" s="44"/>
      <c r="C14" s="270" t="str">
        <f>Asset3</f>
        <v>Transformers</v>
      </c>
      <c r="D14" s="9"/>
      <c r="E14" s="9"/>
      <c r="F14" s="139"/>
      <c r="G14" s="201">
        <f>Input!M9</f>
        <v>7.479869950034308</v>
      </c>
      <c r="H14" s="142"/>
      <c r="I14" s="142"/>
      <c r="J14" s="142"/>
      <c r="K14" s="142"/>
      <c r="L14" s="142"/>
      <c r="M14" s="136"/>
      <c r="N14" s="136"/>
      <c r="O14" s="136"/>
      <c r="P14" s="136"/>
      <c r="Q14" s="136"/>
      <c r="R14" s="137"/>
      <c r="S14" s="12"/>
      <c r="T14" s="137"/>
      <c r="U14" s="137"/>
      <c r="V14" s="137"/>
      <c r="W14" s="137"/>
      <c r="X14" s="137"/>
      <c r="Y14" s="137"/>
      <c r="Z14" s="13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1"/>
      <c r="BK14" s="221"/>
    </row>
    <row r="15" spans="1:256" ht="12.75" hidden="1" customHeight="1" outlineLevel="1">
      <c r="A15" s="9"/>
      <c r="B15" s="44"/>
      <c r="C15" s="270" t="str">
        <f>Asset4</f>
        <v>Reactive</v>
      </c>
      <c r="D15" s="9"/>
      <c r="E15" s="9"/>
      <c r="F15" s="139"/>
      <c r="G15" s="201">
        <f>Input!M10</f>
        <v>0.62073609543853181</v>
      </c>
      <c r="H15" s="142"/>
      <c r="I15" s="142"/>
      <c r="J15" s="142"/>
      <c r="K15" s="142"/>
      <c r="L15" s="142"/>
      <c r="M15" s="136"/>
      <c r="N15" s="136"/>
      <c r="O15" s="136"/>
      <c r="P15" s="136"/>
      <c r="Q15" s="136"/>
      <c r="R15" s="137"/>
      <c r="S15" s="52"/>
      <c r="T15" s="137"/>
      <c r="U15" s="137"/>
      <c r="V15" s="137"/>
      <c r="W15" s="137"/>
      <c r="X15" s="137"/>
      <c r="Y15" s="137"/>
      <c r="Z15" s="13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1"/>
      <c r="BK15" s="221"/>
    </row>
    <row r="16" spans="1:256" ht="12.75" hidden="1" customHeight="1" outlineLevel="1">
      <c r="A16" s="9"/>
      <c r="B16" s="44"/>
      <c r="C16" s="270" t="str">
        <f>Asset5</f>
        <v>Towers and Conductor</v>
      </c>
      <c r="D16" s="9"/>
      <c r="E16" s="9"/>
      <c r="F16" s="165"/>
      <c r="G16" s="201">
        <f>Input!M11</f>
        <v>1.7484066688185314</v>
      </c>
      <c r="H16" s="142"/>
      <c r="I16" s="142"/>
      <c r="J16" s="142"/>
      <c r="K16" s="142"/>
      <c r="L16" s="142"/>
      <c r="M16" s="136"/>
      <c r="N16" s="136"/>
      <c r="O16" s="136"/>
      <c r="P16" s="136"/>
      <c r="Q16" s="136"/>
      <c r="R16" s="137"/>
      <c r="S16" s="52"/>
      <c r="T16" s="137"/>
      <c r="U16" s="137"/>
      <c r="V16" s="137"/>
      <c r="W16" s="137"/>
      <c r="X16" s="137"/>
      <c r="Y16" s="137"/>
      <c r="Z16" s="13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1"/>
      <c r="BK16" s="221"/>
    </row>
    <row r="17" spans="1:63" ht="12.75" hidden="1" customHeight="1" outlineLevel="1">
      <c r="A17" s="9"/>
      <c r="B17" s="44"/>
      <c r="C17" s="270" t="str">
        <f>Asset6</f>
        <v>Establishment</v>
      </c>
      <c r="D17" s="9"/>
      <c r="E17" s="9"/>
      <c r="F17" s="139"/>
      <c r="G17" s="201">
        <f>Input!M12</f>
        <v>13.314789247156508</v>
      </c>
      <c r="H17" s="142"/>
      <c r="I17" s="142"/>
      <c r="J17" s="142"/>
      <c r="K17" s="142"/>
      <c r="L17" s="142"/>
      <c r="M17" s="136"/>
      <c r="N17" s="136"/>
      <c r="O17" s="136"/>
      <c r="P17" s="136"/>
      <c r="Q17" s="136"/>
      <c r="R17" s="137"/>
      <c r="S17" s="12"/>
      <c r="T17" s="137"/>
      <c r="U17" s="137"/>
      <c r="V17" s="137"/>
      <c r="W17" s="137"/>
      <c r="X17" s="137"/>
      <c r="Y17" s="137"/>
      <c r="Z17" s="13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1"/>
      <c r="BK17" s="221"/>
    </row>
    <row r="18" spans="1:63" ht="12.75" hidden="1" customHeight="1" outlineLevel="1">
      <c r="A18" s="9"/>
      <c r="B18" s="44"/>
      <c r="C18" s="270" t="str">
        <f>Asset7</f>
        <v>Communications</v>
      </c>
      <c r="D18" s="9"/>
      <c r="E18" s="9"/>
      <c r="F18" s="139"/>
      <c r="G18" s="201">
        <f>Input!M13</f>
        <v>3.465776532865136</v>
      </c>
      <c r="H18" s="142"/>
      <c r="I18" s="142"/>
      <c r="J18" s="142"/>
      <c r="K18" s="142"/>
      <c r="L18" s="142"/>
      <c r="M18" s="136"/>
      <c r="N18" s="136"/>
      <c r="O18" s="136"/>
      <c r="P18" s="136"/>
      <c r="Q18" s="136"/>
      <c r="R18" s="137"/>
      <c r="S18" s="52"/>
      <c r="T18" s="137"/>
      <c r="U18" s="137"/>
      <c r="V18" s="137"/>
      <c r="W18" s="137"/>
      <c r="X18" s="137"/>
      <c r="Y18" s="137"/>
      <c r="Z18" s="13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1"/>
      <c r="BK18" s="221"/>
    </row>
    <row r="19" spans="1:63" ht="12.75" hidden="1" customHeight="1" outlineLevel="1">
      <c r="A19" s="9"/>
      <c r="B19" s="44"/>
      <c r="C19" s="270" t="str">
        <f>Asset8</f>
        <v>Inventory</v>
      </c>
      <c r="D19" s="9"/>
      <c r="E19" s="9"/>
      <c r="F19" s="139"/>
      <c r="G19" s="201">
        <f>Input!M14</f>
        <v>0.29219122749760001</v>
      </c>
      <c r="H19" s="142"/>
      <c r="I19" s="142"/>
      <c r="J19" s="142"/>
      <c r="K19" s="142"/>
      <c r="L19" s="142"/>
      <c r="M19" s="136"/>
      <c r="N19" s="136"/>
      <c r="O19" s="136"/>
      <c r="P19" s="136"/>
      <c r="Q19" s="136"/>
      <c r="R19" s="137"/>
      <c r="S19" s="52"/>
      <c r="T19" s="137"/>
      <c r="U19" s="137"/>
      <c r="V19" s="137"/>
      <c r="W19" s="137"/>
      <c r="X19" s="137"/>
      <c r="Y19" s="137"/>
      <c r="Z19" s="13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1"/>
      <c r="BK19" s="221"/>
    </row>
    <row r="20" spans="1:63" ht="12.75" hidden="1" customHeight="1" outlineLevel="1">
      <c r="A20" s="9"/>
      <c r="B20" s="44"/>
      <c r="C20" s="270" t="str">
        <f>Asset9</f>
        <v>IT</v>
      </c>
      <c r="D20" s="9"/>
      <c r="E20" s="9"/>
      <c r="F20" s="139"/>
      <c r="G20" s="201">
        <f>Input!M15</f>
        <v>2.3183776984613531</v>
      </c>
      <c r="H20" s="142"/>
      <c r="I20" s="142"/>
      <c r="J20" s="142"/>
      <c r="K20" s="142"/>
      <c r="L20" s="142"/>
      <c r="M20" s="136"/>
      <c r="N20" s="136"/>
      <c r="O20" s="136"/>
      <c r="P20" s="136"/>
      <c r="Q20" s="136"/>
      <c r="R20" s="137"/>
      <c r="S20" s="12"/>
      <c r="T20" s="137"/>
      <c r="U20" s="137"/>
      <c r="V20" s="137"/>
      <c r="W20" s="137"/>
      <c r="X20" s="137"/>
      <c r="Y20" s="137"/>
      <c r="Z20" s="13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1"/>
      <c r="BK20" s="221"/>
    </row>
    <row r="21" spans="1:63" ht="12.75" hidden="1" customHeight="1" outlineLevel="1">
      <c r="A21" s="9"/>
      <c r="B21" s="44"/>
      <c r="C21" s="270" t="str">
        <f>Asset10</f>
        <v>Vehicles</v>
      </c>
      <c r="D21" s="9"/>
      <c r="E21" s="9"/>
      <c r="F21" s="139"/>
      <c r="G21" s="201">
        <f>Input!M16</f>
        <v>0.31500994680163003</v>
      </c>
      <c r="H21" s="142"/>
      <c r="I21" s="142"/>
      <c r="J21" s="142"/>
      <c r="K21" s="142"/>
      <c r="L21" s="142"/>
      <c r="M21" s="136"/>
      <c r="N21" s="136"/>
      <c r="O21" s="136"/>
      <c r="P21" s="136"/>
      <c r="Q21" s="136"/>
      <c r="R21" s="137"/>
      <c r="S21" s="52"/>
      <c r="T21" s="137"/>
      <c r="U21" s="137"/>
      <c r="V21" s="137"/>
      <c r="W21" s="137"/>
      <c r="X21" s="137"/>
      <c r="Y21" s="137"/>
      <c r="Z21" s="13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1"/>
      <c r="BK21" s="221"/>
    </row>
    <row r="22" spans="1:63" ht="12.75" hidden="1" customHeight="1" outlineLevel="1">
      <c r="A22" s="9"/>
      <c r="B22" s="44"/>
      <c r="C22" s="270" t="str">
        <f>Asset11</f>
        <v>other</v>
      </c>
      <c r="D22" s="9"/>
      <c r="E22" s="9"/>
      <c r="F22" s="139"/>
      <c r="G22" s="201">
        <f>Input!M17</f>
        <v>0.56364122439537223</v>
      </c>
      <c r="H22" s="142"/>
      <c r="I22" s="142"/>
      <c r="J22" s="142"/>
      <c r="K22" s="142"/>
      <c r="L22" s="142"/>
      <c r="M22" s="136"/>
      <c r="N22" s="136"/>
      <c r="O22" s="136"/>
      <c r="P22" s="136"/>
      <c r="Q22" s="136"/>
      <c r="R22" s="137"/>
      <c r="S22" s="52"/>
      <c r="T22" s="137"/>
      <c r="U22" s="137"/>
      <c r="V22" s="137"/>
      <c r="W22" s="137"/>
      <c r="X22" s="137"/>
      <c r="Y22" s="137"/>
      <c r="Z22" s="13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1"/>
      <c r="BK22" s="221"/>
    </row>
    <row r="23" spans="1:63" ht="12.75" hidden="1" customHeight="1" outlineLevel="1">
      <c r="A23" s="9"/>
      <c r="B23" s="44"/>
      <c r="C23" s="270" t="str">
        <f>Asset12</f>
        <v>premises</v>
      </c>
      <c r="D23" s="9"/>
      <c r="E23" s="9"/>
      <c r="F23" s="139"/>
      <c r="G23" s="201">
        <f>Input!M18</f>
        <v>0.63867493751028093</v>
      </c>
      <c r="H23" s="142"/>
      <c r="I23" s="142"/>
      <c r="J23" s="142"/>
      <c r="K23" s="142"/>
      <c r="L23" s="142"/>
      <c r="M23" s="136"/>
      <c r="N23" s="136"/>
      <c r="O23" s="136"/>
      <c r="P23" s="136"/>
      <c r="Q23" s="136"/>
      <c r="R23" s="137"/>
      <c r="S23" s="12"/>
      <c r="T23" s="137"/>
      <c r="U23" s="137"/>
      <c r="V23" s="137"/>
      <c r="W23" s="137"/>
      <c r="X23" s="137"/>
      <c r="Y23" s="137"/>
      <c r="Z23" s="13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1"/>
      <c r="BK23" s="221"/>
    </row>
    <row r="24" spans="1:63" ht="12.75" hidden="1" customHeight="1" outlineLevel="1">
      <c r="A24" s="9"/>
      <c r="B24" s="44"/>
      <c r="C24" s="270" t="str">
        <f>Asset13</f>
        <v>Land</v>
      </c>
      <c r="D24" s="9"/>
      <c r="E24" s="9"/>
      <c r="F24" s="139"/>
      <c r="G24" s="201">
        <f>Input!M19</f>
        <v>0</v>
      </c>
      <c r="H24" s="142"/>
      <c r="I24" s="142"/>
      <c r="J24" s="142"/>
      <c r="K24" s="142"/>
      <c r="L24" s="142"/>
      <c r="M24" s="136"/>
      <c r="N24" s="136"/>
      <c r="O24" s="136"/>
      <c r="P24" s="136"/>
      <c r="Q24" s="136"/>
      <c r="R24" s="137"/>
      <c r="S24" s="52"/>
      <c r="T24" s="137"/>
      <c r="U24" s="137"/>
      <c r="V24" s="137"/>
      <c r="W24" s="137"/>
      <c r="X24" s="137"/>
      <c r="Y24" s="137"/>
      <c r="Z24" s="13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1"/>
      <c r="BK24" s="221"/>
    </row>
    <row r="25" spans="1:63" ht="12.75" hidden="1" customHeight="1" outlineLevel="1">
      <c r="A25" s="9"/>
      <c r="B25" s="44"/>
      <c r="C25" s="270" t="str">
        <f>Asset14</f>
        <v>Easements</v>
      </c>
      <c r="D25" s="9"/>
      <c r="E25" s="9"/>
      <c r="F25" s="139"/>
      <c r="G25" s="201">
        <f>Input!M20</f>
        <v>0</v>
      </c>
      <c r="H25" s="142"/>
      <c r="I25" s="142"/>
      <c r="J25" s="142"/>
      <c r="K25" s="142"/>
      <c r="L25" s="142"/>
      <c r="M25" s="136"/>
      <c r="N25" s="136"/>
      <c r="O25" s="136"/>
      <c r="P25" s="136"/>
      <c r="Q25" s="136"/>
      <c r="R25" s="137"/>
      <c r="S25" s="52"/>
      <c r="T25" s="137"/>
      <c r="U25" s="137"/>
      <c r="V25" s="137"/>
      <c r="W25" s="137"/>
      <c r="X25" s="137"/>
      <c r="Y25" s="137"/>
      <c r="Z25" s="13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1"/>
      <c r="BK25" s="221"/>
    </row>
    <row r="26" spans="1:63" ht="12.75" hidden="1" customHeight="1" outlineLevel="1">
      <c r="A26" s="9"/>
      <c r="B26" s="44"/>
      <c r="C26" s="270">
        <f>Asset15</f>
        <v>0</v>
      </c>
      <c r="D26" s="9"/>
      <c r="E26" s="9"/>
      <c r="F26" s="139"/>
      <c r="G26" s="201">
        <f>Input!M21</f>
        <v>0</v>
      </c>
      <c r="H26" s="142"/>
      <c r="I26" s="142"/>
      <c r="J26" s="142"/>
      <c r="K26" s="142"/>
      <c r="L26" s="142"/>
      <c r="M26" s="136"/>
      <c r="N26" s="136"/>
      <c r="O26" s="136"/>
      <c r="P26" s="136"/>
      <c r="Q26" s="136"/>
      <c r="R26" s="137"/>
      <c r="S26" s="12"/>
      <c r="T26" s="137"/>
      <c r="U26" s="137"/>
      <c r="V26" s="137"/>
      <c r="W26" s="137"/>
      <c r="X26" s="137"/>
      <c r="Y26" s="137"/>
      <c r="Z26" s="13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1"/>
      <c r="BK26" s="221"/>
    </row>
    <row r="27" spans="1:63" ht="12.75" hidden="1" customHeight="1" outlineLevel="1">
      <c r="A27" s="9"/>
      <c r="B27" s="44"/>
      <c r="C27" s="270">
        <f>Asset16</f>
        <v>0</v>
      </c>
      <c r="D27" s="9"/>
      <c r="E27" s="9"/>
      <c r="F27" s="139"/>
      <c r="G27" s="201">
        <f>Input!M22</f>
        <v>0</v>
      </c>
      <c r="H27" s="142"/>
      <c r="I27" s="142"/>
      <c r="J27" s="142"/>
      <c r="K27" s="142"/>
      <c r="L27" s="142"/>
      <c r="M27" s="136"/>
      <c r="N27" s="136"/>
      <c r="O27" s="136"/>
      <c r="P27" s="136"/>
      <c r="Q27" s="136"/>
      <c r="R27" s="137"/>
      <c r="S27" s="52"/>
      <c r="T27" s="137"/>
      <c r="U27" s="137"/>
      <c r="V27" s="137"/>
      <c r="W27" s="137"/>
      <c r="X27" s="137"/>
      <c r="Y27" s="137"/>
      <c r="Z27" s="13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1"/>
      <c r="BK27" s="221"/>
    </row>
    <row r="28" spans="1:63" ht="12.75" hidden="1" customHeight="1" outlineLevel="1">
      <c r="A28" s="9"/>
      <c r="B28" s="44"/>
      <c r="C28" s="270">
        <f>Asset17</f>
        <v>0</v>
      </c>
      <c r="D28" s="9"/>
      <c r="E28" s="9"/>
      <c r="F28" s="139"/>
      <c r="G28" s="201">
        <f>Input!M23</f>
        <v>0</v>
      </c>
      <c r="H28" s="142"/>
      <c r="I28" s="142"/>
      <c r="J28" s="142"/>
      <c r="K28" s="142"/>
      <c r="L28" s="142"/>
      <c r="M28" s="136"/>
      <c r="N28" s="136"/>
      <c r="O28" s="136"/>
      <c r="P28" s="136"/>
      <c r="Q28" s="136"/>
      <c r="R28" s="137"/>
      <c r="S28" s="52"/>
      <c r="T28" s="137"/>
      <c r="U28" s="137"/>
      <c r="V28" s="137"/>
      <c r="W28" s="137"/>
      <c r="X28" s="137"/>
      <c r="Y28" s="137"/>
      <c r="Z28" s="13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1"/>
      <c r="BK28" s="221"/>
    </row>
    <row r="29" spans="1:63" ht="12.75" hidden="1" customHeight="1" outlineLevel="1">
      <c r="A29" s="9"/>
      <c r="B29" s="44"/>
      <c r="C29" s="270">
        <f>Asset18</f>
        <v>0</v>
      </c>
      <c r="D29" s="9"/>
      <c r="E29" s="9"/>
      <c r="F29" s="139"/>
      <c r="G29" s="201">
        <f>Input!M24</f>
        <v>0</v>
      </c>
      <c r="H29" s="142"/>
      <c r="I29" s="142"/>
      <c r="J29" s="142"/>
      <c r="K29" s="142"/>
      <c r="L29" s="142"/>
      <c r="M29" s="136"/>
      <c r="N29" s="136"/>
      <c r="O29" s="136"/>
      <c r="P29" s="136"/>
      <c r="Q29" s="136"/>
      <c r="R29" s="137"/>
      <c r="S29" s="12"/>
      <c r="T29" s="137"/>
      <c r="U29" s="137"/>
      <c r="V29" s="137"/>
      <c r="W29" s="137"/>
      <c r="X29" s="137"/>
      <c r="Y29" s="137"/>
      <c r="Z29" s="13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1"/>
      <c r="BK29" s="221"/>
    </row>
    <row r="30" spans="1:63" ht="12.75" hidden="1" customHeight="1" outlineLevel="1">
      <c r="A30" s="9"/>
      <c r="B30" s="44"/>
      <c r="C30" s="270">
        <f>Asset19</f>
        <v>0</v>
      </c>
      <c r="D30" s="9"/>
      <c r="E30" s="9"/>
      <c r="F30" s="139"/>
      <c r="G30" s="201">
        <f>Input!M25</f>
        <v>0</v>
      </c>
      <c r="H30" s="142"/>
      <c r="I30" s="142"/>
      <c r="J30" s="142"/>
      <c r="K30" s="142"/>
      <c r="L30" s="142"/>
      <c r="M30" s="136"/>
      <c r="N30" s="136"/>
      <c r="O30" s="136"/>
      <c r="P30" s="136"/>
      <c r="Q30" s="136"/>
      <c r="R30" s="137"/>
      <c r="S30" s="52"/>
      <c r="T30" s="137"/>
      <c r="U30" s="137"/>
      <c r="V30" s="137"/>
      <c r="W30" s="137"/>
      <c r="X30" s="137"/>
      <c r="Y30" s="137"/>
      <c r="Z30" s="13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1"/>
      <c r="BK30" s="221"/>
    </row>
    <row r="31" spans="1:63" ht="12.75" hidden="1" customHeight="1" outlineLevel="1">
      <c r="A31" s="9"/>
      <c r="B31" s="44"/>
      <c r="C31" s="270">
        <f>Asset20</f>
        <v>0</v>
      </c>
      <c r="D31" s="9"/>
      <c r="E31" s="9"/>
      <c r="F31" s="139"/>
      <c r="G31" s="201">
        <f>Input!M26</f>
        <v>0</v>
      </c>
      <c r="H31" s="142"/>
      <c r="I31" s="142"/>
      <c r="J31" s="142"/>
      <c r="K31" s="142"/>
      <c r="L31" s="142"/>
      <c r="M31" s="136"/>
      <c r="N31" s="136"/>
      <c r="O31" s="136"/>
      <c r="P31" s="136"/>
      <c r="Q31" s="136"/>
      <c r="R31" s="137"/>
      <c r="S31" s="52"/>
      <c r="T31" s="137"/>
      <c r="U31" s="137"/>
      <c r="V31" s="137"/>
      <c r="W31" s="137"/>
      <c r="X31" s="137"/>
      <c r="Y31" s="137"/>
      <c r="Z31" s="13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1"/>
      <c r="BK31" s="221"/>
    </row>
    <row r="32" spans="1:63" ht="12.75" hidden="1" customHeight="1" outlineLevel="1">
      <c r="A32" s="9"/>
      <c r="B32" s="44"/>
      <c r="C32" s="270">
        <f>Asset21</f>
        <v>0</v>
      </c>
      <c r="D32" s="9"/>
      <c r="E32" s="9"/>
      <c r="F32" s="139"/>
      <c r="G32" s="201">
        <f>Input!M27</f>
        <v>0</v>
      </c>
      <c r="H32" s="142"/>
      <c r="I32" s="142"/>
      <c r="J32" s="142"/>
      <c r="K32" s="142"/>
      <c r="L32" s="142"/>
      <c r="M32" s="136"/>
      <c r="N32" s="136"/>
      <c r="O32" s="136"/>
      <c r="P32" s="136"/>
      <c r="Q32" s="136"/>
      <c r="R32" s="137"/>
      <c r="S32" s="52"/>
      <c r="T32" s="137"/>
      <c r="U32" s="137"/>
      <c r="V32" s="137"/>
      <c r="W32" s="137"/>
      <c r="X32" s="137"/>
      <c r="Y32" s="137"/>
      <c r="Z32" s="13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1"/>
      <c r="BK32" s="221"/>
    </row>
    <row r="33" spans="1:63" ht="12.75" hidden="1" customHeight="1" outlineLevel="1">
      <c r="A33" s="9"/>
      <c r="B33" s="44"/>
      <c r="C33" s="270">
        <f>Asset22</f>
        <v>0</v>
      </c>
      <c r="D33" s="9"/>
      <c r="E33" s="9"/>
      <c r="F33" s="139"/>
      <c r="G33" s="201">
        <f>Input!M28</f>
        <v>0</v>
      </c>
      <c r="H33" s="142"/>
      <c r="I33" s="142"/>
      <c r="J33" s="142"/>
      <c r="K33" s="142"/>
      <c r="L33" s="142"/>
      <c r="M33" s="136"/>
      <c r="N33" s="136"/>
      <c r="O33" s="136"/>
      <c r="P33" s="136"/>
      <c r="Q33" s="136"/>
      <c r="R33" s="137"/>
      <c r="S33" s="52"/>
      <c r="T33" s="137"/>
      <c r="U33" s="137"/>
      <c r="V33" s="137"/>
      <c r="W33" s="137"/>
      <c r="X33" s="137"/>
      <c r="Y33" s="137"/>
      <c r="Z33" s="13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1"/>
      <c r="BK33" s="221"/>
    </row>
    <row r="34" spans="1:63" ht="12.75" hidden="1" customHeight="1" outlineLevel="1">
      <c r="A34" s="9"/>
      <c r="B34" s="44"/>
      <c r="C34" s="270">
        <f>Asset23</f>
        <v>0</v>
      </c>
      <c r="D34" s="9"/>
      <c r="E34" s="9"/>
      <c r="F34" s="139"/>
      <c r="G34" s="201">
        <f>Input!M29</f>
        <v>0</v>
      </c>
      <c r="H34" s="142"/>
      <c r="I34" s="142"/>
      <c r="J34" s="142"/>
      <c r="K34" s="142"/>
      <c r="L34" s="142"/>
      <c r="M34" s="136"/>
      <c r="N34" s="136"/>
      <c r="O34" s="136"/>
      <c r="P34" s="136"/>
      <c r="Q34" s="136"/>
      <c r="R34" s="137"/>
      <c r="S34" s="52"/>
      <c r="T34" s="137"/>
      <c r="U34" s="137"/>
      <c r="V34" s="137"/>
      <c r="W34" s="137"/>
      <c r="X34" s="137"/>
      <c r="Y34" s="137"/>
      <c r="Z34" s="13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1"/>
      <c r="BK34" s="221"/>
    </row>
    <row r="35" spans="1:63" ht="12.75" hidden="1" customHeight="1" outlineLevel="1">
      <c r="A35" s="9"/>
      <c r="B35" s="44"/>
      <c r="C35" s="270">
        <f>Asset24</f>
        <v>0</v>
      </c>
      <c r="D35" s="9"/>
      <c r="E35" s="9"/>
      <c r="F35" s="139"/>
      <c r="G35" s="201">
        <f>Input!M30</f>
        <v>0</v>
      </c>
      <c r="H35" s="142"/>
      <c r="I35" s="142"/>
      <c r="J35" s="142"/>
      <c r="K35" s="142"/>
      <c r="L35" s="142"/>
      <c r="M35" s="136"/>
      <c r="N35" s="136"/>
      <c r="O35" s="136"/>
      <c r="P35" s="136"/>
      <c r="Q35" s="136"/>
      <c r="R35" s="137"/>
      <c r="S35" s="52"/>
      <c r="T35" s="137"/>
      <c r="U35" s="137"/>
      <c r="V35" s="137"/>
      <c r="W35" s="137"/>
      <c r="X35" s="137"/>
      <c r="Y35" s="137"/>
      <c r="Z35" s="13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1"/>
      <c r="BK35" s="221"/>
    </row>
    <row r="36" spans="1:63" ht="12.75" hidden="1" customHeight="1" outlineLevel="1">
      <c r="A36" s="9"/>
      <c r="B36" s="44"/>
      <c r="C36" s="270">
        <f>Asset25</f>
        <v>0</v>
      </c>
      <c r="D36" s="9"/>
      <c r="E36" s="9"/>
      <c r="F36" s="139"/>
      <c r="G36" s="201">
        <f>Input!M31</f>
        <v>0</v>
      </c>
      <c r="H36" s="142"/>
      <c r="I36" s="142"/>
      <c r="J36" s="142"/>
      <c r="K36" s="142"/>
      <c r="L36" s="142"/>
      <c r="M36" s="136"/>
      <c r="N36" s="136"/>
      <c r="O36" s="136"/>
      <c r="P36" s="136"/>
      <c r="Q36" s="136"/>
      <c r="R36" s="137"/>
      <c r="S36" s="52"/>
      <c r="T36" s="137"/>
      <c r="U36" s="137"/>
      <c r="V36" s="137"/>
      <c r="W36" s="137"/>
      <c r="X36" s="137"/>
      <c r="Y36" s="137"/>
      <c r="Z36" s="13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1"/>
      <c r="BK36" s="221"/>
    </row>
    <row r="37" spans="1:63" ht="12.75" hidden="1" customHeight="1" outlineLevel="1">
      <c r="A37" s="9"/>
      <c r="B37" s="44"/>
      <c r="C37" s="270">
        <f>Asset26</f>
        <v>0</v>
      </c>
      <c r="D37" s="9"/>
      <c r="E37" s="9"/>
      <c r="F37" s="139"/>
      <c r="G37" s="201">
        <f>Input!M32</f>
        <v>0</v>
      </c>
      <c r="H37" s="142"/>
      <c r="I37" s="142"/>
      <c r="J37" s="142"/>
      <c r="K37" s="142"/>
      <c r="L37" s="142"/>
      <c r="M37" s="136"/>
      <c r="N37" s="136"/>
      <c r="O37" s="136"/>
      <c r="P37" s="136"/>
      <c r="Q37" s="136"/>
      <c r="R37" s="137"/>
      <c r="S37" s="52"/>
      <c r="T37" s="137"/>
      <c r="U37" s="137"/>
      <c r="V37" s="137"/>
      <c r="W37" s="137"/>
      <c r="X37" s="137"/>
      <c r="Y37" s="137"/>
      <c r="Z37" s="13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1"/>
      <c r="BK37" s="221"/>
    </row>
    <row r="38" spans="1:63" ht="12.75" hidden="1" customHeight="1" outlineLevel="1">
      <c r="A38" s="9"/>
      <c r="B38" s="44"/>
      <c r="C38" s="270">
        <f>Asset27</f>
        <v>0</v>
      </c>
      <c r="D38" s="9"/>
      <c r="E38" s="9"/>
      <c r="F38" s="139"/>
      <c r="G38" s="201">
        <f>Input!M33</f>
        <v>0</v>
      </c>
      <c r="H38" s="142"/>
      <c r="I38" s="142"/>
      <c r="J38" s="142"/>
      <c r="K38" s="142"/>
      <c r="L38" s="142"/>
      <c r="M38" s="136"/>
      <c r="N38" s="136"/>
      <c r="O38" s="136"/>
      <c r="P38" s="136"/>
      <c r="Q38" s="136"/>
      <c r="R38" s="137"/>
      <c r="S38" s="52"/>
      <c r="T38" s="137"/>
      <c r="U38" s="137"/>
      <c r="V38" s="137"/>
      <c r="W38" s="137"/>
      <c r="X38" s="137"/>
      <c r="Y38" s="137"/>
      <c r="Z38" s="13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1"/>
      <c r="BK38" s="221"/>
    </row>
    <row r="39" spans="1:63" ht="12.75" hidden="1" customHeight="1" outlineLevel="1">
      <c r="A39" s="9"/>
      <c r="B39" s="44"/>
      <c r="C39" s="270">
        <f>Asset28</f>
        <v>0</v>
      </c>
      <c r="D39" s="9"/>
      <c r="E39" s="9"/>
      <c r="F39" s="139"/>
      <c r="G39" s="201">
        <f>Input!M34</f>
        <v>0</v>
      </c>
      <c r="H39" s="142"/>
      <c r="I39" s="142"/>
      <c r="J39" s="142"/>
      <c r="K39" s="142"/>
      <c r="L39" s="142"/>
      <c r="M39" s="136"/>
      <c r="N39" s="136"/>
      <c r="O39" s="136"/>
      <c r="P39" s="136"/>
      <c r="Q39" s="136"/>
      <c r="R39" s="137"/>
      <c r="S39" s="52"/>
      <c r="T39" s="137"/>
      <c r="U39" s="137"/>
      <c r="V39" s="137"/>
      <c r="W39" s="137"/>
      <c r="X39" s="137"/>
      <c r="Y39" s="137"/>
      <c r="Z39" s="13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1"/>
      <c r="BK39" s="221"/>
    </row>
    <row r="40" spans="1:63" ht="12.75" hidden="1" customHeight="1" outlineLevel="1">
      <c r="A40" s="9"/>
      <c r="B40" s="44"/>
      <c r="C40" s="270">
        <f>Asset29</f>
        <v>0</v>
      </c>
      <c r="D40" s="9"/>
      <c r="E40" s="9"/>
      <c r="F40" s="139"/>
      <c r="G40" s="201">
        <f>Input!M35</f>
        <v>0</v>
      </c>
      <c r="H40" s="142"/>
      <c r="I40" s="142"/>
      <c r="J40" s="142"/>
      <c r="K40" s="142"/>
      <c r="L40" s="142"/>
      <c r="M40" s="136"/>
      <c r="N40" s="136"/>
      <c r="O40" s="136"/>
      <c r="P40" s="136"/>
      <c r="Q40" s="136"/>
      <c r="R40" s="137"/>
      <c r="S40" s="52"/>
      <c r="T40" s="137"/>
      <c r="U40" s="137"/>
      <c r="V40" s="137"/>
      <c r="W40" s="137"/>
      <c r="X40" s="137"/>
      <c r="Y40" s="137"/>
      <c r="Z40" s="13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1"/>
      <c r="BK40" s="221"/>
    </row>
    <row r="41" spans="1:63" ht="12.75" hidden="1" customHeight="1" outlineLevel="1">
      <c r="A41" s="9"/>
      <c r="B41" s="44"/>
      <c r="C41" s="270">
        <f>Asset30</f>
        <v>0</v>
      </c>
      <c r="D41" s="9"/>
      <c r="E41" s="9"/>
      <c r="F41" s="139"/>
      <c r="G41" s="201">
        <f>Input!M36</f>
        <v>0</v>
      </c>
      <c r="H41" s="142"/>
      <c r="I41" s="142"/>
      <c r="J41" s="142"/>
      <c r="K41" s="142"/>
      <c r="L41" s="142"/>
      <c r="M41" s="136"/>
      <c r="N41" s="136"/>
      <c r="O41" s="136"/>
      <c r="P41" s="136"/>
      <c r="Q41" s="136"/>
      <c r="R41" s="137"/>
      <c r="S41" s="52"/>
      <c r="T41" s="137"/>
      <c r="U41" s="137"/>
      <c r="V41" s="137"/>
      <c r="W41" s="137"/>
      <c r="X41" s="137"/>
      <c r="Y41" s="137"/>
      <c r="Z41" s="13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1"/>
      <c r="BK41" s="221"/>
    </row>
    <row r="42" spans="1:63" collapsed="1">
      <c r="A42" s="9"/>
      <c r="B42" s="44"/>
      <c r="C42" s="127"/>
      <c r="D42" s="9"/>
      <c r="E42" s="9"/>
      <c r="F42" s="139"/>
      <c r="G42" s="201"/>
      <c r="H42" s="142"/>
      <c r="I42" s="142"/>
      <c r="J42" s="142"/>
      <c r="K42" s="142"/>
      <c r="L42" s="142"/>
      <c r="M42" s="136"/>
      <c r="N42" s="136"/>
      <c r="O42" s="136"/>
      <c r="P42" s="136"/>
      <c r="Q42" s="136"/>
      <c r="R42" s="137"/>
      <c r="S42" s="12"/>
      <c r="T42" s="137"/>
      <c r="U42" s="137"/>
      <c r="V42" s="137"/>
      <c r="W42" s="137"/>
      <c r="X42" s="137"/>
      <c r="Y42" s="137"/>
      <c r="Z42" s="13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1"/>
      <c r="BK42" s="221"/>
    </row>
    <row r="43" spans="1:63">
      <c r="A43" s="9"/>
      <c r="B43" s="44" t="s">
        <v>31</v>
      </c>
      <c r="C43" s="9"/>
      <c r="D43" s="9"/>
      <c r="E43" s="9"/>
      <c r="F43" s="9"/>
      <c r="G43" s="309">
        <f>SUM(G44:G73)</f>
        <v>114.70962703646313</v>
      </c>
      <c r="H43" s="138"/>
      <c r="I43" s="138"/>
      <c r="J43" s="138"/>
      <c r="K43" s="138"/>
      <c r="L43" s="138"/>
      <c r="M43" s="138"/>
      <c r="N43" s="136"/>
      <c r="O43" s="136"/>
      <c r="P43" s="136"/>
      <c r="Q43" s="136"/>
      <c r="R43" s="137"/>
      <c r="S43" s="137"/>
      <c r="T43" s="137"/>
      <c r="U43" s="137"/>
      <c r="V43" s="137"/>
      <c r="W43" s="137"/>
      <c r="X43" s="137"/>
      <c r="Y43" s="137"/>
      <c r="Z43" s="13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1"/>
      <c r="BK43" s="221"/>
    </row>
    <row r="44" spans="1:63" hidden="1" outlineLevel="1">
      <c r="A44" s="9"/>
      <c r="B44" s="9"/>
      <c r="C44" s="270" t="str">
        <f>Asset1</f>
        <v>Secondary</v>
      </c>
      <c r="D44" s="9"/>
      <c r="E44" s="9"/>
      <c r="F44" s="9"/>
      <c r="G44" s="201">
        <f>Input!G109*(1+previous_vanilla)^0.5</f>
        <v>19.637342770118853</v>
      </c>
      <c r="H44" s="111"/>
      <c r="I44" s="111"/>
      <c r="J44" s="111"/>
      <c r="K44" s="111"/>
      <c r="L44" s="111"/>
      <c r="M44" s="111"/>
      <c r="N44" s="9"/>
      <c r="O44" s="9"/>
      <c r="P44" s="9"/>
      <c r="Q44" s="9"/>
      <c r="R44" s="9"/>
      <c r="S44" s="9"/>
      <c r="T44" s="9"/>
      <c r="U44" s="9"/>
      <c r="V44" s="9"/>
      <c r="W44" s="9"/>
      <c r="X44" s="9"/>
      <c r="Y44" s="9"/>
      <c r="Z44" s="9"/>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row>
    <row r="45" spans="1:63" hidden="1" outlineLevel="1">
      <c r="A45" s="9"/>
      <c r="B45" s="44"/>
      <c r="C45" s="270" t="str">
        <f>Asset2</f>
        <v>Switchgear</v>
      </c>
      <c r="D45" s="9"/>
      <c r="E45" s="9"/>
      <c r="F45" s="139"/>
      <c r="G45" s="201">
        <f>Input!G110*(1+previous_vanilla)^0.5</f>
        <v>49.97528276533977</v>
      </c>
      <c r="H45" s="111"/>
      <c r="I45" s="111"/>
      <c r="J45" s="111"/>
      <c r="K45" s="111"/>
      <c r="L45" s="111"/>
      <c r="M45" s="111"/>
      <c r="N45" s="29"/>
      <c r="O45" s="29"/>
      <c r="P45" s="29"/>
      <c r="Q45" s="29"/>
      <c r="R45" s="100"/>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1"/>
      <c r="BK45" s="221"/>
    </row>
    <row r="46" spans="1:63" hidden="1" outlineLevel="1">
      <c r="A46" s="9"/>
      <c r="B46" s="44"/>
      <c r="C46" s="270" t="str">
        <f>Asset3</f>
        <v>Transformers</v>
      </c>
      <c r="D46" s="9"/>
      <c r="E46" s="9"/>
      <c r="F46" s="139"/>
      <c r="G46" s="201">
        <f>Input!G111*(1+previous_vanilla)^0.5</f>
        <v>12.911814561388574</v>
      </c>
      <c r="H46" s="111"/>
      <c r="I46" s="111"/>
      <c r="J46" s="111"/>
      <c r="K46" s="111"/>
      <c r="L46" s="111"/>
      <c r="M46" s="111"/>
      <c r="N46" s="29"/>
      <c r="O46" s="29"/>
      <c r="P46" s="29"/>
      <c r="Q46" s="29"/>
      <c r="R46" s="100"/>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1"/>
      <c r="BK46" s="221"/>
    </row>
    <row r="47" spans="1:63" hidden="1" outlineLevel="1">
      <c r="A47" s="9"/>
      <c r="B47" s="44"/>
      <c r="C47" s="270" t="str">
        <f>Asset4</f>
        <v>Reactive</v>
      </c>
      <c r="D47" s="9"/>
      <c r="E47" s="9"/>
      <c r="F47" s="139"/>
      <c r="G47" s="201">
        <f>Input!G112*(1+previous_vanilla)^0.5</f>
        <v>0.11260461492315643</v>
      </c>
      <c r="H47" s="111"/>
      <c r="I47" s="111"/>
      <c r="J47" s="111"/>
      <c r="K47" s="111"/>
      <c r="L47" s="111"/>
      <c r="M47" s="111"/>
      <c r="N47" s="29"/>
      <c r="O47" s="29"/>
      <c r="P47" s="29"/>
      <c r="Q47" s="29"/>
      <c r="R47" s="100"/>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1"/>
      <c r="BK47" s="221"/>
    </row>
    <row r="48" spans="1:63" hidden="1" outlineLevel="1">
      <c r="A48" s="9"/>
      <c r="B48" s="44"/>
      <c r="C48" s="270" t="str">
        <f>Asset5</f>
        <v>Towers and Conductor</v>
      </c>
      <c r="D48" s="9"/>
      <c r="E48" s="9"/>
      <c r="F48" s="139"/>
      <c r="G48" s="201">
        <f>Input!G113*(1+previous_vanilla)^0.5</f>
        <v>2.4700966018898804</v>
      </c>
      <c r="H48" s="111"/>
      <c r="I48" s="111"/>
      <c r="J48" s="111"/>
      <c r="K48" s="111"/>
      <c r="L48" s="111"/>
      <c r="M48" s="111"/>
      <c r="N48" s="29"/>
      <c r="O48" s="29"/>
      <c r="P48" s="29"/>
      <c r="Q48" s="29"/>
      <c r="R48" s="100"/>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1"/>
      <c r="BK48" s="221"/>
    </row>
    <row r="49" spans="1:63" hidden="1" outlineLevel="1">
      <c r="A49" s="9"/>
      <c r="B49" s="44"/>
      <c r="C49" s="270" t="str">
        <f>Asset6</f>
        <v>Establishment</v>
      </c>
      <c r="D49" s="9"/>
      <c r="E49" s="9"/>
      <c r="F49" s="139"/>
      <c r="G49" s="201">
        <f>Input!G114*(1+previous_vanilla)^0.5</f>
        <v>14.825899830838466</v>
      </c>
      <c r="H49" s="111"/>
      <c r="I49" s="111"/>
      <c r="J49" s="111"/>
      <c r="K49" s="111"/>
      <c r="L49" s="111"/>
      <c r="M49" s="111"/>
      <c r="N49" s="29"/>
      <c r="O49" s="29"/>
      <c r="P49" s="29"/>
      <c r="Q49" s="29"/>
      <c r="R49" s="100"/>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1"/>
      <c r="BK49" s="221"/>
    </row>
    <row r="50" spans="1:63" hidden="1" outlineLevel="1">
      <c r="A50" s="9"/>
      <c r="B50" s="44"/>
      <c r="C50" s="270" t="str">
        <f>Asset7</f>
        <v>Communications</v>
      </c>
      <c r="D50" s="9"/>
      <c r="E50" s="9"/>
      <c r="F50" s="139"/>
      <c r="G50" s="201">
        <f>Input!G115*(1+previous_vanilla)^0.5</f>
        <v>1.1875547761923038</v>
      </c>
      <c r="H50" s="111"/>
      <c r="I50" s="111"/>
      <c r="J50" s="111"/>
      <c r="K50" s="111"/>
      <c r="L50" s="111"/>
      <c r="M50" s="111"/>
      <c r="N50" s="29"/>
      <c r="O50" s="29"/>
      <c r="P50" s="29"/>
      <c r="Q50" s="29"/>
      <c r="R50" s="100"/>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1"/>
      <c r="BK50" s="221"/>
    </row>
    <row r="51" spans="1:63" hidden="1" outlineLevel="1">
      <c r="A51" s="9"/>
      <c r="B51" s="44"/>
      <c r="C51" s="270" t="str">
        <f>Asset8</f>
        <v>Inventory</v>
      </c>
      <c r="D51" s="9"/>
      <c r="E51" s="9"/>
      <c r="F51" s="139"/>
      <c r="G51" s="201">
        <f>Input!G116*(1+previous_vanilla)^0.5</f>
        <v>0</v>
      </c>
      <c r="H51" s="111"/>
      <c r="I51" s="111"/>
      <c r="J51" s="111"/>
      <c r="K51" s="111"/>
      <c r="L51" s="111"/>
      <c r="M51" s="111"/>
      <c r="N51" s="29"/>
      <c r="O51" s="29"/>
      <c r="P51" s="29"/>
      <c r="Q51" s="29"/>
      <c r="R51" s="100"/>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1"/>
      <c r="BK51" s="221"/>
    </row>
    <row r="52" spans="1:63" hidden="1" outlineLevel="1">
      <c r="A52" s="9"/>
      <c r="B52" s="44"/>
      <c r="C52" s="270" t="str">
        <f>Asset9</f>
        <v>IT</v>
      </c>
      <c r="D52" s="9"/>
      <c r="E52" s="9"/>
      <c r="F52" s="139"/>
      <c r="G52" s="201">
        <f>Input!G117*(1+previous_vanilla)^0.5</f>
        <v>10.074136444996487</v>
      </c>
      <c r="H52" s="111"/>
      <c r="I52" s="111"/>
      <c r="J52" s="111"/>
      <c r="K52" s="111"/>
      <c r="L52" s="111"/>
      <c r="M52" s="111"/>
      <c r="N52" s="29"/>
      <c r="O52" s="29"/>
      <c r="P52" s="29"/>
      <c r="Q52" s="29"/>
      <c r="R52" s="100"/>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1"/>
      <c r="BK52" s="221"/>
    </row>
    <row r="53" spans="1:63" hidden="1" outlineLevel="1">
      <c r="A53" s="9"/>
      <c r="B53" s="44"/>
      <c r="C53" s="270" t="str">
        <f>Asset10</f>
        <v>Vehicles</v>
      </c>
      <c r="D53" s="9"/>
      <c r="E53" s="9"/>
      <c r="F53" s="139"/>
      <c r="G53" s="201">
        <f>Input!G118*(1+previous_vanilla)^0.5</f>
        <v>1.0343806964413715</v>
      </c>
      <c r="H53" s="111"/>
      <c r="I53" s="111"/>
      <c r="J53" s="111"/>
      <c r="K53" s="111"/>
      <c r="L53" s="111"/>
      <c r="M53" s="111"/>
      <c r="N53" s="29"/>
      <c r="O53" s="29"/>
      <c r="P53" s="29"/>
      <c r="Q53" s="29"/>
      <c r="R53" s="100"/>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1"/>
      <c r="BK53" s="221"/>
    </row>
    <row r="54" spans="1:63" hidden="1" outlineLevel="1">
      <c r="A54" s="9"/>
      <c r="B54" s="44"/>
      <c r="C54" s="270" t="str">
        <f>Asset11</f>
        <v>other</v>
      </c>
      <c r="D54" s="9"/>
      <c r="E54" s="9"/>
      <c r="F54" s="139"/>
      <c r="G54" s="201">
        <f>Input!G119*(1+previous_vanilla)^0.5</f>
        <v>2.3311419950854444</v>
      </c>
      <c r="H54" s="111"/>
      <c r="I54" s="111"/>
      <c r="J54" s="111"/>
      <c r="K54" s="111"/>
      <c r="L54" s="111"/>
      <c r="M54" s="111"/>
      <c r="N54" s="29"/>
      <c r="O54" s="29"/>
      <c r="P54" s="29"/>
      <c r="Q54" s="29"/>
      <c r="R54" s="100"/>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1"/>
      <c r="BK54" s="221"/>
    </row>
    <row r="55" spans="1:63" hidden="1" outlineLevel="1">
      <c r="A55" s="9"/>
      <c r="B55" s="44"/>
      <c r="C55" s="270" t="str">
        <f>Asset12</f>
        <v>premises</v>
      </c>
      <c r="D55" s="9"/>
      <c r="E55" s="9"/>
      <c r="F55" s="139"/>
      <c r="G55" s="201">
        <f>Input!G120*(1+previous_vanilla)^0.5</f>
        <v>0.14937197924882625</v>
      </c>
      <c r="H55" s="111"/>
      <c r="I55" s="111"/>
      <c r="J55" s="111"/>
      <c r="K55" s="111"/>
      <c r="L55" s="111"/>
      <c r="M55" s="111"/>
      <c r="N55" s="29"/>
      <c r="O55" s="29"/>
      <c r="P55" s="29"/>
      <c r="Q55" s="29"/>
      <c r="R55" s="100"/>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1"/>
      <c r="BK55" s="221"/>
    </row>
    <row r="56" spans="1:63" hidden="1" outlineLevel="1">
      <c r="A56" s="9"/>
      <c r="B56" s="44"/>
      <c r="C56" s="270" t="str">
        <f>Asset13</f>
        <v>Land</v>
      </c>
      <c r="D56" s="9"/>
      <c r="E56" s="9"/>
      <c r="F56" s="139"/>
      <c r="G56" s="201">
        <f>Input!G121*(1+previous_vanilla)^0.5</f>
        <v>0</v>
      </c>
      <c r="H56" s="111"/>
      <c r="I56" s="111"/>
      <c r="J56" s="111"/>
      <c r="K56" s="111"/>
      <c r="L56" s="111"/>
      <c r="M56" s="111"/>
      <c r="N56" s="29"/>
      <c r="O56" s="29"/>
      <c r="P56" s="29"/>
      <c r="Q56" s="29"/>
      <c r="R56" s="100"/>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1"/>
      <c r="BK56" s="221"/>
    </row>
    <row r="57" spans="1:63" hidden="1" outlineLevel="1">
      <c r="A57" s="9"/>
      <c r="B57" s="44"/>
      <c r="C57" s="270" t="str">
        <f>Asset14</f>
        <v>Easements</v>
      </c>
      <c r="D57" s="9"/>
      <c r="E57" s="9"/>
      <c r="F57" s="139"/>
      <c r="G57" s="201">
        <f>Input!G122*(1+previous_vanilla)^0.5</f>
        <v>0</v>
      </c>
      <c r="H57" s="111"/>
      <c r="I57" s="111"/>
      <c r="J57" s="111"/>
      <c r="K57" s="111"/>
      <c r="L57" s="111"/>
      <c r="M57" s="111"/>
      <c r="N57" s="29"/>
      <c r="O57" s="29"/>
      <c r="P57" s="29"/>
      <c r="Q57" s="29"/>
      <c r="R57" s="100"/>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1"/>
      <c r="BK57" s="221"/>
    </row>
    <row r="58" spans="1:63" hidden="1" outlineLevel="1">
      <c r="A58" s="9"/>
      <c r="B58" s="44"/>
      <c r="C58" s="270">
        <f>Asset15</f>
        <v>0</v>
      </c>
      <c r="D58" s="9"/>
      <c r="E58" s="9"/>
      <c r="F58" s="139"/>
      <c r="G58" s="201">
        <f>Input!G123*(1+previous_vanilla)^0.5</f>
        <v>0</v>
      </c>
      <c r="H58" s="111"/>
      <c r="I58" s="111"/>
      <c r="J58" s="111"/>
      <c r="K58" s="111"/>
      <c r="L58" s="111"/>
      <c r="M58" s="111"/>
      <c r="N58" s="29"/>
      <c r="O58" s="29"/>
      <c r="P58" s="29"/>
      <c r="Q58" s="29"/>
      <c r="R58" s="100"/>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1"/>
      <c r="BK58" s="221"/>
    </row>
    <row r="59" spans="1:63" hidden="1" outlineLevel="1">
      <c r="A59" s="9"/>
      <c r="B59" s="44"/>
      <c r="C59" s="270">
        <f>Asset16</f>
        <v>0</v>
      </c>
      <c r="D59" s="9"/>
      <c r="E59" s="9"/>
      <c r="F59" s="139"/>
      <c r="G59" s="201">
        <f>Input!G124*(1+previous_vanilla)^0.5</f>
        <v>0</v>
      </c>
      <c r="H59" s="111"/>
      <c r="I59" s="111"/>
      <c r="J59" s="111"/>
      <c r="K59" s="111"/>
      <c r="L59" s="111"/>
      <c r="M59" s="111"/>
      <c r="N59" s="29"/>
      <c r="O59" s="29"/>
      <c r="P59" s="29"/>
      <c r="Q59" s="29"/>
      <c r="R59" s="100"/>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1"/>
      <c r="BK59" s="221"/>
    </row>
    <row r="60" spans="1:63" hidden="1" outlineLevel="1">
      <c r="A60" s="9"/>
      <c r="B60" s="44"/>
      <c r="C60" s="270">
        <f>Asset17</f>
        <v>0</v>
      </c>
      <c r="D60" s="9"/>
      <c r="E60" s="9"/>
      <c r="F60" s="139"/>
      <c r="G60" s="201">
        <f>Input!G125*(1+previous_vanilla)^0.5</f>
        <v>0</v>
      </c>
      <c r="H60" s="111"/>
      <c r="I60" s="111"/>
      <c r="J60" s="111"/>
      <c r="K60" s="111"/>
      <c r="L60" s="111"/>
      <c r="M60" s="111"/>
      <c r="N60" s="29"/>
      <c r="O60" s="29"/>
      <c r="P60" s="29"/>
      <c r="Q60" s="29"/>
      <c r="R60" s="100"/>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1"/>
      <c r="BK60" s="221"/>
    </row>
    <row r="61" spans="1:63" hidden="1" outlineLevel="1">
      <c r="A61" s="9"/>
      <c r="B61" s="44"/>
      <c r="C61" s="270">
        <f>Asset18</f>
        <v>0</v>
      </c>
      <c r="D61" s="9"/>
      <c r="E61" s="9"/>
      <c r="F61" s="139"/>
      <c r="G61" s="201">
        <f>Input!G126*(1+previous_vanilla)^0.5</f>
        <v>0</v>
      </c>
      <c r="H61" s="111"/>
      <c r="I61" s="111"/>
      <c r="J61" s="111"/>
      <c r="K61" s="111"/>
      <c r="L61" s="111"/>
      <c r="M61" s="111"/>
      <c r="N61" s="29"/>
      <c r="O61" s="29"/>
      <c r="P61" s="29"/>
      <c r="Q61" s="29"/>
      <c r="R61" s="100"/>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1"/>
      <c r="BK61" s="221"/>
    </row>
    <row r="62" spans="1:63" hidden="1" outlineLevel="1">
      <c r="A62" s="9"/>
      <c r="B62" s="44"/>
      <c r="C62" s="270">
        <f>Asset19</f>
        <v>0</v>
      </c>
      <c r="D62" s="9"/>
      <c r="E62" s="9"/>
      <c r="F62" s="139"/>
      <c r="G62" s="201">
        <f>Input!G127*(1+previous_vanilla)^0.5</f>
        <v>0</v>
      </c>
      <c r="H62" s="111"/>
      <c r="I62" s="111"/>
      <c r="J62" s="111"/>
      <c r="K62" s="111"/>
      <c r="L62" s="111"/>
      <c r="M62" s="111"/>
      <c r="N62" s="29"/>
      <c r="O62" s="29"/>
      <c r="P62" s="29"/>
      <c r="Q62" s="29"/>
      <c r="R62" s="100"/>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1"/>
      <c r="BK62" s="221"/>
    </row>
    <row r="63" spans="1:63" hidden="1" outlineLevel="1">
      <c r="A63" s="9"/>
      <c r="B63" s="44"/>
      <c r="C63" s="270">
        <f>Asset20</f>
        <v>0</v>
      </c>
      <c r="D63" s="9"/>
      <c r="E63" s="9"/>
      <c r="F63" s="139"/>
      <c r="G63" s="201">
        <f>Input!G128*(1+previous_vanilla)^0.5</f>
        <v>0</v>
      </c>
      <c r="H63" s="111"/>
      <c r="I63" s="111"/>
      <c r="J63" s="111"/>
      <c r="K63" s="111"/>
      <c r="L63" s="111"/>
      <c r="M63" s="111"/>
      <c r="N63" s="29"/>
      <c r="O63" s="29"/>
      <c r="P63" s="29"/>
      <c r="Q63" s="29"/>
      <c r="R63" s="100"/>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1"/>
      <c r="BK63" s="221"/>
    </row>
    <row r="64" spans="1:63" hidden="1" outlineLevel="1">
      <c r="A64" s="9"/>
      <c r="B64" s="44"/>
      <c r="C64" s="270">
        <f>Asset21</f>
        <v>0</v>
      </c>
      <c r="D64" s="9"/>
      <c r="E64" s="9"/>
      <c r="F64" s="139"/>
      <c r="G64" s="201">
        <f>Input!G129*(1+previous_vanilla)^0.5</f>
        <v>0</v>
      </c>
      <c r="H64" s="111"/>
      <c r="I64" s="111"/>
      <c r="J64" s="111"/>
      <c r="K64" s="111"/>
      <c r="L64" s="111"/>
      <c r="M64" s="111"/>
      <c r="N64" s="29"/>
      <c r="O64" s="29"/>
      <c r="P64" s="29"/>
      <c r="Q64" s="29"/>
      <c r="R64" s="100"/>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1"/>
      <c r="BK64" s="221"/>
    </row>
    <row r="65" spans="1:63" hidden="1" outlineLevel="1">
      <c r="A65" s="9"/>
      <c r="B65" s="44"/>
      <c r="C65" s="270">
        <f>Asset22</f>
        <v>0</v>
      </c>
      <c r="D65" s="9"/>
      <c r="E65" s="9"/>
      <c r="F65" s="139"/>
      <c r="G65" s="201">
        <f>Input!G130*(1+previous_vanilla)^0.5</f>
        <v>0</v>
      </c>
      <c r="H65" s="111"/>
      <c r="I65" s="111"/>
      <c r="J65" s="111"/>
      <c r="K65" s="111"/>
      <c r="L65" s="111"/>
      <c r="M65" s="111"/>
      <c r="N65" s="29"/>
      <c r="O65" s="29"/>
      <c r="P65" s="29"/>
      <c r="Q65" s="29"/>
      <c r="R65" s="100"/>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1"/>
      <c r="BK65" s="221"/>
    </row>
    <row r="66" spans="1:63" hidden="1" outlineLevel="1">
      <c r="A66" s="9"/>
      <c r="B66" s="44"/>
      <c r="C66" s="270">
        <f>Asset23</f>
        <v>0</v>
      </c>
      <c r="D66" s="9"/>
      <c r="E66" s="9"/>
      <c r="F66" s="139"/>
      <c r="G66" s="201">
        <f>Input!G131*(1+previous_vanilla)^0.5</f>
        <v>0</v>
      </c>
      <c r="H66" s="111"/>
      <c r="I66" s="111"/>
      <c r="J66" s="111"/>
      <c r="K66" s="111"/>
      <c r="L66" s="111"/>
      <c r="M66" s="111"/>
      <c r="N66" s="29"/>
      <c r="O66" s="29"/>
      <c r="P66" s="29"/>
      <c r="Q66" s="29"/>
      <c r="R66" s="100"/>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1"/>
      <c r="BK66" s="221"/>
    </row>
    <row r="67" spans="1:63" hidden="1" outlineLevel="1">
      <c r="A67" s="9"/>
      <c r="B67" s="44"/>
      <c r="C67" s="270">
        <f>Asset24</f>
        <v>0</v>
      </c>
      <c r="D67" s="9"/>
      <c r="E67" s="9"/>
      <c r="F67" s="139"/>
      <c r="G67" s="201">
        <f>Input!G132*(1+previous_vanilla)^0.5</f>
        <v>0</v>
      </c>
      <c r="H67" s="111"/>
      <c r="I67" s="111"/>
      <c r="J67" s="111"/>
      <c r="K67" s="111"/>
      <c r="L67" s="111"/>
      <c r="M67" s="111"/>
      <c r="N67" s="29"/>
      <c r="O67" s="29"/>
      <c r="P67" s="29"/>
      <c r="Q67" s="29"/>
      <c r="R67" s="100"/>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1"/>
      <c r="BK67" s="221"/>
    </row>
    <row r="68" spans="1:63" hidden="1" outlineLevel="1">
      <c r="A68" s="9"/>
      <c r="B68" s="44"/>
      <c r="C68" s="270">
        <f>Asset25</f>
        <v>0</v>
      </c>
      <c r="D68" s="9"/>
      <c r="E68" s="9"/>
      <c r="F68" s="139"/>
      <c r="G68" s="201">
        <f>Input!G133*(1+previous_vanilla)^0.5</f>
        <v>0</v>
      </c>
      <c r="H68" s="111"/>
      <c r="I68" s="111"/>
      <c r="J68" s="111"/>
      <c r="K68" s="111"/>
      <c r="L68" s="111"/>
      <c r="M68" s="111"/>
      <c r="N68" s="29"/>
      <c r="O68" s="29"/>
      <c r="P68" s="29"/>
      <c r="Q68" s="29"/>
      <c r="R68" s="100"/>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1"/>
      <c r="BK68" s="221"/>
    </row>
    <row r="69" spans="1:63" hidden="1" outlineLevel="1">
      <c r="A69" s="9"/>
      <c r="B69" s="44"/>
      <c r="C69" s="270">
        <f>Asset26</f>
        <v>0</v>
      </c>
      <c r="D69" s="9"/>
      <c r="E69" s="9"/>
      <c r="F69" s="139"/>
      <c r="G69" s="201">
        <f>Input!G134*(1+previous_vanilla)^0.5</f>
        <v>0</v>
      </c>
      <c r="H69" s="111"/>
      <c r="I69" s="111"/>
      <c r="J69" s="111"/>
      <c r="K69" s="111"/>
      <c r="L69" s="111"/>
      <c r="M69" s="111"/>
      <c r="N69" s="29"/>
      <c r="O69" s="29"/>
      <c r="P69" s="29"/>
      <c r="Q69" s="29"/>
      <c r="R69" s="100"/>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1"/>
      <c r="BK69" s="221"/>
    </row>
    <row r="70" spans="1:63" hidden="1" outlineLevel="1">
      <c r="A70" s="9"/>
      <c r="B70" s="44"/>
      <c r="C70" s="270">
        <f>Asset27</f>
        <v>0</v>
      </c>
      <c r="D70" s="9"/>
      <c r="E70" s="9"/>
      <c r="F70" s="139"/>
      <c r="G70" s="201">
        <f>Input!G135*(1+previous_vanilla)^0.5</f>
        <v>0</v>
      </c>
      <c r="H70" s="111"/>
      <c r="I70" s="111"/>
      <c r="J70" s="111"/>
      <c r="K70" s="111"/>
      <c r="L70" s="111"/>
      <c r="M70" s="111"/>
      <c r="N70" s="29"/>
      <c r="O70" s="29"/>
      <c r="P70" s="29"/>
      <c r="Q70" s="29"/>
      <c r="R70" s="100"/>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1"/>
      <c r="BK70" s="221"/>
    </row>
    <row r="71" spans="1:63" hidden="1" outlineLevel="1">
      <c r="A71" s="9"/>
      <c r="B71" s="44"/>
      <c r="C71" s="270">
        <f>Asset28</f>
        <v>0</v>
      </c>
      <c r="D71" s="9"/>
      <c r="E71" s="9"/>
      <c r="F71" s="139"/>
      <c r="G71" s="201">
        <f>Input!G136*(1+previous_vanilla)^0.5</f>
        <v>0</v>
      </c>
      <c r="H71" s="111"/>
      <c r="I71" s="111"/>
      <c r="J71" s="111"/>
      <c r="K71" s="111"/>
      <c r="L71" s="111"/>
      <c r="M71" s="111"/>
      <c r="N71" s="29"/>
      <c r="O71" s="29"/>
      <c r="P71" s="29"/>
      <c r="Q71" s="29"/>
      <c r="R71" s="100"/>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1"/>
      <c r="BK71" s="221"/>
    </row>
    <row r="72" spans="1:63" hidden="1" outlineLevel="1">
      <c r="A72" s="9"/>
      <c r="B72" s="44"/>
      <c r="C72" s="270">
        <f>Asset29</f>
        <v>0</v>
      </c>
      <c r="D72" s="9"/>
      <c r="E72" s="9"/>
      <c r="F72" s="139"/>
      <c r="G72" s="201">
        <f>Input!G137*(1+previous_vanilla)^0.5</f>
        <v>0</v>
      </c>
      <c r="H72" s="111"/>
      <c r="I72" s="111"/>
      <c r="J72" s="111"/>
      <c r="K72" s="111"/>
      <c r="L72" s="111"/>
      <c r="M72" s="111"/>
      <c r="N72" s="29"/>
      <c r="O72" s="29"/>
      <c r="P72" s="29"/>
      <c r="Q72" s="29"/>
      <c r="R72" s="100"/>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1"/>
      <c r="BK72" s="221"/>
    </row>
    <row r="73" spans="1:63" hidden="1" outlineLevel="1">
      <c r="A73" s="9"/>
      <c r="B73" s="44"/>
      <c r="C73" s="270">
        <f>Asset30</f>
        <v>0</v>
      </c>
      <c r="D73" s="9"/>
      <c r="E73" s="9"/>
      <c r="F73" s="139"/>
      <c r="G73" s="201">
        <f>Input!G138*(1+previous_vanilla)^0.5</f>
        <v>0</v>
      </c>
      <c r="H73" s="111"/>
      <c r="I73" s="111"/>
      <c r="J73" s="111"/>
      <c r="K73" s="111"/>
      <c r="L73" s="111"/>
      <c r="M73" s="111"/>
      <c r="N73" s="29"/>
      <c r="O73" s="29"/>
      <c r="P73" s="29"/>
      <c r="Q73" s="29"/>
      <c r="R73" s="100"/>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1"/>
      <c r="BK73" s="221"/>
    </row>
    <row r="74" spans="1:63" collapsed="1">
      <c r="A74" s="9"/>
      <c r="B74" s="44"/>
      <c r="C74" s="113"/>
      <c r="D74" s="9"/>
      <c r="E74" s="9"/>
      <c r="F74" s="139"/>
      <c r="G74" s="202"/>
      <c r="H74" s="35"/>
      <c r="I74" s="35"/>
      <c r="J74" s="35"/>
      <c r="K74" s="35"/>
      <c r="L74" s="35"/>
      <c r="M74" s="35"/>
      <c r="N74" s="29"/>
      <c r="O74" s="29"/>
      <c r="P74" s="29"/>
      <c r="Q74" s="29"/>
      <c r="R74" s="100"/>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1"/>
      <c r="BK74" s="221"/>
    </row>
    <row r="75" spans="1:63">
      <c r="A75" s="9"/>
      <c r="B75" s="44" t="s">
        <v>40</v>
      </c>
      <c r="C75" s="9"/>
      <c r="D75" s="9"/>
      <c r="E75" s="9"/>
      <c r="F75" s="139"/>
      <c r="G75" s="202">
        <f>SUM(G76:G105)</f>
        <v>29.806149546015401</v>
      </c>
      <c r="H75" s="35"/>
      <c r="I75" s="35"/>
      <c r="J75" s="35"/>
      <c r="K75" s="35"/>
      <c r="L75" s="35"/>
      <c r="M75" s="110"/>
      <c r="N75" s="29"/>
      <c r="O75" s="29"/>
      <c r="P75" s="29"/>
      <c r="Q75" s="29"/>
      <c r="R75" s="100"/>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1"/>
      <c r="BK75" s="221"/>
    </row>
    <row r="76" spans="1:63" hidden="1" outlineLevel="1">
      <c r="A76" s="9"/>
      <c r="B76" s="44"/>
      <c r="C76" s="270" t="str">
        <f>Asset1</f>
        <v>Secondary</v>
      </c>
      <c r="D76" s="9"/>
      <c r="E76" s="9"/>
      <c r="F76" s="139"/>
      <c r="G76" s="201">
        <f t="shared" ref="G76:G94" si="0">G44*(1+$F$6)/(1+$G$6)-G12</f>
        <v>5.2305438000338995</v>
      </c>
      <c r="H76" s="115"/>
      <c r="I76" s="115"/>
      <c r="J76" s="115"/>
      <c r="K76" s="115"/>
      <c r="L76" s="115"/>
      <c r="M76" s="149"/>
      <c r="N76" s="150"/>
      <c r="O76" s="150"/>
      <c r="P76" s="150"/>
      <c r="Q76" s="150"/>
      <c r="R76" s="100"/>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1"/>
      <c r="BK76" s="221"/>
    </row>
    <row r="77" spans="1:63" hidden="1" outlineLevel="1">
      <c r="A77" s="9"/>
      <c r="B77" s="44"/>
      <c r="C77" s="270" t="str">
        <f>Asset2</f>
        <v>Switchgear</v>
      </c>
      <c r="D77" s="9"/>
      <c r="E77" s="9"/>
      <c r="F77" s="139"/>
      <c r="G77" s="201">
        <f t="shared" si="0"/>
        <v>10.106665730941359</v>
      </c>
      <c r="H77" s="115"/>
      <c r="I77" s="115"/>
      <c r="J77" s="115"/>
      <c r="K77" s="115"/>
      <c r="L77" s="115"/>
      <c r="M77" s="149"/>
      <c r="N77" s="150"/>
      <c r="O77" s="150"/>
      <c r="P77" s="150"/>
      <c r="Q77" s="150"/>
      <c r="R77" s="100"/>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1"/>
      <c r="BK77" s="221"/>
    </row>
    <row r="78" spans="1:63" hidden="1" outlineLevel="1">
      <c r="A78" s="9"/>
      <c r="B78" s="44"/>
      <c r="C78" s="270" t="str">
        <f>Asset3</f>
        <v>Transformers</v>
      </c>
      <c r="D78" s="9"/>
      <c r="E78" s="9"/>
      <c r="F78" s="139"/>
      <c r="G78" s="201">
        <f t="shared" si="0"/>
        <v>5.4689968375733748</v>
      </c>
      <c r="H78" s="115"/>
      <c r="I78" s="115"/>
      <c r="J78" s="115"/>
      <c r="K78" s="115"/>
      <c r="L78" s="115"/>
      <c r="M78" s="149"/>
      <c r="N78" s="150"/>
      <c r="O78" s="150"/>
      <c r="P78" s="150"/>
      <c r="Q78" s="150"/>
      <c r="R78" s="100"/>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1"/>
      <c r="BK78" s="221"/>
    </row>
    <row r="79" spans="1:63" hidden="1" outlineLevel="1">
      <c r="A79" s="9"/>
      <c r="B79" s="44"/>
      <c r="C79" s="270" t="str">
        <f>Asset4</f>
        <v>Reactive</v>
      </c>
      <c r="D79" s="9"/>
      <c r="E79" s="9"/>
      <c r="F79" s="139"/>
      <c r="G79" s="201">
        <f t="shared" si="0"/>
        <v>-0.50780834609878256</v>
      </c>
      <c r="H79" s="115"/>
      <c r="I79" s="115"/>
      <c r="J79" s="115"/>
      <c r="K79" s="115"/>
      <c r="L79" s="115"/>
      <c r="M79" s="149"/>
      <c r="N79" s="150"/>
      <c r="O79" s="150"/>
      <c r="P79" s="150"/>
      <c r="Q79" s="150"/>
      <c r="R79" s="100"/>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1"/>
      <c r="BK79" s="221"/>
    </row>
    <row r="80" spans="1:63" hidden="1" outlineLevel="1">
      <c r="A80" s="9"/>
      <c r="B80" s="44"/>
      <c r="C80" s="270" t="str">
        <f>Asset5</f>
        <v>Towers and Conductor</v>
      </c>
      <c r="D80" s="9"/>
      <c r="E80" s="9"/>
      <c r="F80" s="139"/>
      <c r="G80" s="201">
        <f t="shared" si="0"/>
        <v>0.72877821470993176</v>
      </c>
      <c r="H80" s="115"/>
      <c r="I80" s="115"/>
      <c r="J80" s="115"/>
      <c r="K80" s="115"/>
      <c r="L80" s="115"/>
      <c r="M80" s="149"/>
      <c r="N80" s="150"/>
      <c r="O80" s="150"/>
      <c r="P80" s="150"/>
      <c r="Q80" s="150"/>
      <c r="R80" s="100"/>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1"/>
      <c r="BK80" s="221"/>
    </row>
    <row r="81" spans="1:63" hidden="1" outlineLevel="1">
      <c r="A81" s="9"/>
      <c r="B81" s="44"/>
      <c r="C81" s="270" t="str">
        <f>Asset6</f>
        <v>Establishment</v>
      </c>
      <c r="D81" s="9"/>
      <c r="E81" s="9"/>
      <c r="F81" s="139"/>
      <c r="G81" s="201">
        <f t="shared" si="0"/>
        <v>1.5536555406144092</v>
      </c>
      <c r="H81" s="115"/>
      <c r="I81" s="115"/>
      <c r="J81" s="115"/>
      <c r="K81" s="115"/>
      <c r="L81" s="115"/>
      <c r="M81" s="149"/>
      <c r="N81" s="150"/>
      <c r="O81" s="150"/>
      <c r="P81" s="150"/>
      <c r="Q81" s="150"/>
      <c r="R81" s="100"/>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1"/>
      <c r="BK81" s="221"/>
    </row>
    <row r="82" spans="1:63" hidden="1" outlineLevel="1">
      <c r="A82" s="9"/>
      <c r="B82" s="44"/>
      <c r="C82" s="270" t="str">
        <f>Asset7</f>
        <v>Communications</v>
      </c>
      <c r="D82" s="9"/>
      <c r="E82" s="9"/>
      <c r="F82" s="139"/>
      <c r="G82" s="201">
        <f t="shared" si="0"/>
        <v>-2.2748139050493554</v>
      </c>
      <c r="H82" s="115"/>
      <c r="I82" s="115"/>
      <c r="J82" s="115"/>
      <c r="K82" s="115"/>
      <c r="L82" s="115"/>
      <c r="M82" s="149"/>
      <c r="N82" s="150"/>
      <c r="O82" s="150"/>
      <c r="P82" s="150"/>
      <c r="Q82" s="150"/>
      <c r="R82" s="100"/>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1"/>
      <c r="BK82" s="221"/>
    </row>
    <row r="83" spans="1:63" hidden="1" outlineLevel="1">
      <c r="A83" s="9"/>
      <c r="B83" s="44"/>
      <c r="C83" s="270" t="str">
        <f>Asset8</f>
        <v>Inventory</v>
      </c>
      <c r="D83" s="9"/>
      <c r="E83" s="9"/>
      <c r="F83" s="139"/>
      <c r="G83" s="201">
        <f t="shared" si="0"/>
        <v>-0.29219122749760001</v>
      </c>
      <c r="H83" s="115"/>
      <c r="I83" s="115"/>
      <c r="J83" s="115"/>
      <c r="K83" s="115"/>
      <c r="L83" s="115"/>
      <c r="M83" s="149"/>
      <c r="N83" s="150"/>
      <c r="O83" s="150"/>
      <c r="P83" s="150"/>
      <c r="Q83" s="150"/>
      <c r="R83" s="100"/>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1"/>
      <c r="BK83" s="221"/>
    </row>
    <row r="84" spans="1:63" hidden="1" outlineLevel="1">
      <c r="A84" s="9"/>
      <c r="B84" s="44"/>
      <c r="C84" s="270" t="str">
        <f>Asset9</f>
        <v>IT</v>
      </c>
      <c r="D84" s="9"/>
      <c r="E84" s="9"/>
      <c r="F84" s="139"/>
      <c r="G84" s="201">
        <f t="shared" si="0"/>
        <v>7.7846678654469255</v>
      </c>
      <c r="H84" s="115"/>
      <c r="I84" s="115"/>
      <c r="J84" s="115"/>
      <c r="K84" s="115"/>
      <c r="L84" s="115"/>
      <c r="M84" s="149"/>
      <c r="N84" s="150"/>
      <c r="O84" s="150"/>
      <c r="P84" s="150"/>
      <c r="Q84" s="150"/>
      <c r="R84" s="100"/>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1"/>
      <c r="BK84" s="221"/>
    </row>
    <row r="85" spans="1:63" hidden="1" outlineLevel="1">
      <c r="A85" s="9"/>
      <c r="B85" s="44"/>
      <c r="C85" s="270" t="str">
        <f>Asset10</f>
        <v>Vehicles</v>
      </c>
      <c r="D85" s="9"/>
      <c r="E85" s="9"/>
      <c r="F85" s="139"/>
      <c r="G85" s="201">
        <f t="shared" si="0"/>
        <v>0.72233904719226638</v>
      </c>
      <c r="H85" s="115"/>
      <c r="I85" s="115"/>
      <c r="J85" s="115"/>
      <c r="K85" s="115"/>
      <c r="L85" s="115"/>
      <c r="M85" s="149"/>
      <c r="N85" s="150"/>
      <c r="O85" s="150"/>
      <c r="P85" s="150"/>
      <c r="Q85" s="150"/>
      <c r="R85" s="100"/>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1"/>
      <c r="BK85" s="221"/>
    </row>
    <row r="86" spans="1:63" hidden="1" outlineLevel="1">
      <c r="A86" s="9"/>
      <c r="B86" s="44"/>
      <c r="C86" s="270" t="str">
        <f>Asset11</f>
        <v>other</v>
      </c>
      <c r="D86" s="9"/>
      <c r="E86" s="9"/>
      <c r="F86" s="139"/>
      <c r="G86" s="201">
        <f t="shared" si="0"/>
        <v>1.7741903029893558</v>
      </c>
      <c r="H86" s="115"/>
      <c r="I86" s="115"/>
      <c r="J86" s="115"/>
      <c r="K86" s="115"/>
      <c r="L86" s="115"/>
      <c r="M86" s="149"/>
      <c r="N86" s="150"/>
      <c r="O86" s="150"/>
      <c r="P86" s="150"/>
      <c r="Q86" s="150"/>
      <c r="R86" s="100"/>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1"/>
      <c r="BK86" s="221"/>
    </row>
    <row r="87" spans="1:63" hidden="1" outlineLevel="1">
      <c r="A87" s="9"/>
      <c r="B87" s="44"/>
      <c r="C87" s="270" t="str">
        <f>Asset12</f>
        <v>premises</v>
      </c>
      <c r="D87" s="9"/>
      <c r="E87" s="9"/>
      <c r="F87" s="139"/>
      <c r="G87" s="201">
        <f t="shared" si="0"/>
        <v>-0.48887431484037625</v>
      </c>
      <c r="H87" s="115"/>
      <c r="I87" s="115"/>
      <c r="J87" s="115"/>
      <c r="K87" s="115"/>
      <c r="L87" s="115"/>
      <c r="M87" s="149"/>
      <c r="N87" s="150"/>
      <c r="O87" s="150"/>
      <c r="P87" s="150"/>
      <c r="Q87" s="150"/>
      <c r="R87" s="100"/>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1"/>
      <c r="BK87" s="221"/>
    </row>
    <row r="88" spans="1:63" hidden="1" outlineLevel="1">
      <c r="A88" s="9"/>
      <c r="B88" s="44"/>
      <c r="C88" s="270" t="str">
        <f>Asset13</f>
        <v>Land</v>
      </c>
      <c r="D88" s="9"/>
      <c r="E88" s="9"/>
      <c r="F88" s="139"/>
      <c r="G88" s="201">
        <f t="shared" si="0"/>
        <v>0</v>
      </c>
      <c r="H88" s="115"/>
      <c r="I88" s="115"/>
      <c r="J88" s="115"/>
      <c r="K88" s="115"/>
      <c r="L88" s="115"/>
      <c r="M88" s="149"/>
      <c r="N88" s="150"/>
      <c r="O88" s="150"/>
      <c r="P88" s="150"/>
      <c r="Q88" s="150"/>
      <c r="R88" s="100"/>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1"/>
      <c r="BK88" s="221"/>
    </row>
    <row r="89" spans="1:63" hidden="1" outlineLevel="1">
      <c r="A89" s="9"/>
      <c r="B89" s="44"/>
      <c r="C89" s="270" t="str">
        <f>Asset14</f>
        <v>Easements</v>
      </c>
      <c r="D89" s="9"/>
      <c r="E89" s="9"/>
      <c r="F89" s="139"/>
      <c r="G89" s="201">
        <f t="shared" si="0"/>
        <v>0</v>
      </c>
      <c r="H89" s="115"/>
      <c r="I89" s="115"/>
      <c r="J89" s="115"/>
      <c r="K89" s="115"/>
      <c r="L89" s="115"/>
      <c r="M89" s="149"/>
      <c r="N89" s="150"/>
      <c r="O89" s="150"/>
      <c r="P89" s="150"/>
      <c r="Q89" s="150"/>
      <c r="R89" s="100"/>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1"/>
      <c r="BK89" s="221"/>
    </row>
    <row r="90" spans="1:63" hidden="1" outlineLevel="1">
      <c r="A90" s="9"/>
      <c r="B90" s="44"/>
      <c r="C90" s="270">
        <f>Asset15</f>
        <v>0</v>
      </c>
      <c r="D90" s="9"/>
      <c r="E90" s="9"/>
      <c r="F90" s="139"/>
      <c r="G90" s="201">
        <f t="shared" si="0"/>
        <v>0</v>
      </c>
      <c r="H90" s="115"/>
      <c r="I90" s="115"/>
      <c r="J90" s="115"/>
      <c r="K90" s="115"/>
      <c r="L90" s="115"/>
      <c r="M90" s="149"/>
      <c r="N90" s="150"/>
      <c r="O90" s="150"/>
      <c r="P90" s="150"/>
      <c r="Q90" s="150"/>
      <c r="R90" s="100"/>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1"/>
      <c r="BK90" s="221"/>
    </row>
    <row r="91" spans="1:63" hidden="1" outlineLevel="1">
      <c r="A91" s="9"/>
      <c r="B91" s="44"/>
      <c r="C91" s="270">
        <f>Asset16</f>
        <v>0</v>
      </c>
      <c r="D91" s="9"/>
      <c r="E91" s="9"/>
      <c r="F91" s="139"/>
      <c r="G91" s="201">
        <f t="shared" si="0"/>
        <v>0</v>
      </c>
      <c r="H91" s="115"/>
      <c r="I91" s="115"/>
      <c r="J91" s="115"/>
      <c r="K91" s="115"/>
      <c r="L91" s="115"/>
      <c r="M91" s="149"/>
      <c r="N91" s="150"/>
      <c r="O91" s="150"/>
      <c r="P91" s="150"/>
      <c r="Q91" s="150"/>
      <c r="R91" s="100"/>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1"/>
      <c r="BK91" s="221"/>
    </row>
    <row r="92" spans="1:63" hidden="1" outlineLevel="1">
      <c r="A92" s="9"/>
      <c r="B92" s="44"/>
      <c r="C92" s="270">
        <f>Asset17</f>
        <v>0</v>
      </c>
      <c r="D92" s="9"/>
      <c r="E92" s="9"/>
      <c r="F92" s="139"/>
      <c r="G92" s="201">
        <f t="shared" si="0"/>
        <v>0</v>
      </c>
      <c r="H92" s="115"/>
      <c r="I92" s="115"/>
      <c r="J92" s="115"/>
      <c r="K92" s="115"/>
      <c r="L92" s="115"/>
      <c r="M92" s="149"/>
      <c r="N92" s="150"/>
      <c r="O92" s="150"/>
      <c r="P92" s="150"/>
      <c r="Q92" s="150"/>
      <c r="R92" s="100"/>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1"/>
      <c r="BK92" s="221"/>
    </row>
    <row r="93" spans="1:63" hidden="1" outlineLevel="1">
      <c r="A93" s="9"/>
      <c r="B93" s="44"/>
      <c r="C93" s="270">
        <f>Asset18</f>
        <v>0</v>
      </c>
      <c r="D93" s="9"/>
      <c r="E93" s="9"/>
      <c r="F93" s="139"/>
      <c r="G93" s="201">
        <f t="shared" si="0"/>
        <v>0</v>
      </c>
      <c r="H93" s="115"/>
      <c r="I93" s="115"/>
      <c r="J93" s="115"/>
      <c r="K93" s="115"/>
      <c r="L93" s="115"/>
      <c r="M93" s="149"/>
      <c r="N93" s="150"/>
      <c r="O93" s="150"/>
      <c r="P93" s="150"/>
      <c r="Q93" s="150"/>
      <c r="R93" s="100"/>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1"/>
      <c r="BK93" s="221"/>
    </row>
    <row r="94" spans="1:63" hidden="1" outlineLevel="1">
      <c r="A94" s="9"/>
      <c r="B94" s="44"/>
      <c r="C94" s="270">
        <f>Asset19</f>
        <v>0</v>
      </c>
      <c r="D94" s="9"/>
      <c r="E94" s="9"/>
      <c r="F94" s="139"/>
      <c r="G94" s="201">
        <f t="shared" si="0"/>
        <v>0</v>
      </c>
      <c r="H94" s="115"/>
      <c r="I94" s="115"/>
      <c r="J94" s="115"/>
      <c r="K94" s="115"/>
      <c r="L94" s="115"/>
      <c r="M94" s="149"/>
      <c r="N94" s="150"/>
      <c r="O94" s="150"/>
      <c r="P94" s="150"/>
      <c r="Q94" s="150"/>
      <c r="R94" s="100"/>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1"/>
      <c r="BK94" s="221"/>
    </row>
    <row r="95" spans="1:63" hidden="1" outlineLevel="1">
      <c r="A95" s="9"/>
      <c r="B95" s="44"/>
      <c r="C95" s="270">
        <f>Asset20</f>
        <v>0</v>
      </c>
      <c r="D95" s="9"/>
      <c r="E95" s="9"/>
      <c r="F95" s="139"/>
      <c r="G95" s="201">
        <f t="shared" ref="G95:G105" si="1">G63*(1+$F$6)/(1+$G$6)-G31</f>
        <v>0</v>
      </c>
      <c r="H95" s="115"/>
      <c r="I95" s="115"/>
      <c r="J95" s="115"/>
      <c r="K95" s="115"/>
      <c r="L95" s="115"/>
      <c r="M95" s="149"/>
      <c r="N95" s="150"/>
      <c r="O95" s="150"/>
      <c r="P95" s="150"/>
      <c r="Q95" s="150"/>
      <c r="R95" s="100"/>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1"/>
      <c r="BK95" s="221"/>
    </row>
    <row r="96" spans="1:63" hidden="1" outlineLevel="1">
      <c r="A96" s="9"/>
      <c r="B96" s="44"/>
      <c r="C96" s="270">
        <f>Asset21</f>
        <v>0</v>
      </c>
      <c r="D96" s="9"/>
      <c r="E96" s="9"/>
      <c r="F96" s="139"/>
      <c r="G96" s="201">
        <f t="shared" si="1"/>
        <v>0</v>
      </c>
      <c r="H96" s="115"/>
      <c r="I96" s="115"/>
      <c r="J96" s="115"/>
      <c r="K96" s="115"/>
      <c r="L96" s="115"/>
      <c r="M96" s="149"/>
      <c r="N96" s="150"/>
      <c r="O96" s="150"/>
      <c r="P96" s="150"/>
      <c r="Q96" s="150"/>
      <c r="R96" s="100"/>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1"/>
      <c r="BK96" s="221"/>
    </row>
    <row r="97" spans="1:63" hidden="1" outlineLevel="1">
      <c r="A97" s="9"/>
      <c r="B97" s="44"/>
      <c r="C97" s="270">
        <f>Asset22</f>
        <v>0</v>
      </c>
      <c r="D97" s="9"/>
      <c r="E97" s="9"/>
      <c r="F97" s="139"/>
      <c r="G97" s="201">
        <f t="shared" si="1"/>
        <v>0</v>
      </c>
      <c r="H97" s="115"/>
      <c r="I97" s="115"/>
      <c r="J97" s="115"/>
      <c r="K97" s="115"/>
      <c r="L97" s="115"/>
      <c r="M97" s="149"/>
      <c r="N97" s="150"/>
      <c r="O97" s="150"/>
      <c r="P97" s="150"/>
      <c r="Q97" s="150"/>
      <c r="R97" s="100"/>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1"/>
      <c r="BK97" s="221"/>
    </row>
    <row r="98" spans="1:63" hidden="1" outlineLevel="1">
      <c r="A98" s="9"/>
      <c r="B98" s="44"/>
      <c r="C98" s="270">
        <f>Asset23</f>
        <v>0</v>
      </c>
      <c r="D98" s="9"/>
      <c r="E98" s="9"/>
      <c r="F98" s="139"/>
      <c r="G98" s="201">
        <f t="shared" si="1"/>
        <v>0</v>
      </c>
      <c r="H98" s="115"/>
      <c r="I98" s="115"/>
      <c r="J98" s="115"/>
      <c r="K98" s="115"/>
      <c r="L98" s="115"/>
      <c r="M98" s="149"/>
      <c r="N98" s="150"/>
      <c r="O98" s="150"/>
      <c r="P98" s="150"/>
      <c r="Q98" s="150"/>
      <c r="R98" s="100"/>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1"/>
      <c r="BK98" s="221"/>
    </row>
    <row r="99" spans="1:63" hidden="1" outlineLevel="1">
      <c r="A99" s="9"/>
      <c r="B99" s="44"/>
      <c r="C99" s="270">
        <f>Asset24</f>
        <v>0</v>
      </c>
      <c r="D99" s="9"/>
      <c r="E99" s="9"/>
      <c r="F99" s="139"/>
      <c r="G99" s="201">
        <f t="shared" si="1"/>
        <v>0</v>
      </c>
      <c r="H99" s="115"/>
      <c r="I99" s="115"/>
      <c r="J99" s="115"/>
      <c r="K99" s="115"/>
      <c r="L99" s="115"/>
      <c r="M99" s="149"/>
      <c r="N99" s="150"/>
      <c r="O99" s="150"/>
      <c r="P99" s="150"/>
      <c r="Q99" s="150"/>
      <c r="R99" s="100"/>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1"/>
      <c r="BK99" s="221"/>
    </row>
    <row r="100" spans="1:63" hidden="1" outlineLevel="1">
      <c r="A100" s="9"/>
      <c r="B100" s="44"/>
      <c r="C100" s="270">
        <f>Asset25</f>
        <v>0</v>
      </c>
      <c r="D100" s="9"/>
      <c r="E100" s="9"/>
      <c r="F100" s="139"/>
      <c r="G100" s="201">
        <f t="shared" si="1"/>
        <v>0</v>
      </c>
      <c r="H100" s="115"/>
      <c r="I100" s="115"/>
      <c r="J100" s="115"/>
      <c r="K100" s="115"/>
      <c r="L100" s="115"/>
      <c r="M100" s="149"/>
      <c r="N100" s="150"/>
      <c r="O100" s="150"/>
      <c r="P100" s="150"/>
      <c r="Q100" s="150"/>
      <c r="R100" s="100"/>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1"/>
      <c r="BK100" s="221"/>
    </row>
    <row r="101" spans="1:63" hidden="1" outlineLevel="1">
      <c r="A101" s="9"/>
      <c r="B101" s="44"/>
      <c r="C101" s="270">
        <f>Asset26</f>
        <v>0</v>
      </c>
      <c r="D101" s="9"/>
      <c r="E101" s="9"/>
      <c r="F101" s="139"/>
      <c r="G101" s="201">
        <f t="shared" si="1"/>
        <v>0</v>
      </c>
      <c r="H101" s="115"/>
      <c r="I101" s="115"/>
      <c r="J101" s="115"/>
      <c r="K101" s="115"/>
      <c r="L101" s="115"/>
      <c r="M101" s="149"/>
      <c r="N101" s="150"/>
      <c r="O101" s="150"/>
      <c r="P101" s="150"/>
      <c r="Q101" s="150"/>
      <c r="R101" s="100"/>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1"/>
      <c r="BK101" s="221"/>
    </row>
    <row r="102" spans="1:63" hidden="1" outlineLevel="1">
      <c r="A102" s="9"/>
      <c r="B102" s="44"/>
      <c r="C102" s="270">
        <f>Asset27</f>
        <v>0</v>
      </c>
      <c r="D102" s="9"/>
      <c r="E102" s="9"/>
      <c r="F102" s="139"/>
      <c r="G102" s="201">
        <f t="shared" si="1"/>
        <v>0</v>
      </c>
      <c r="H102" s="115"/>
      <c r="I102" s="115"/>
      <c r="J102" s="115"/>
      <c r="K102" s="115"/>
      <c r="L102" s="115"/>
      <c r="M102" s="149"/>
      <c r="N102" s="150"/>
      <c r="O102" s="150"/>
      <c r="P102" s="150"/>
      <c r="Q102" s="150"/>
      <c r="R102" s="100"/>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1"/>
      <c r="BK102" s="221"/>
    </row>
    <row r="103" spans="1:63" hidden="1" outlineLevel="1">
      <c r="A103" s="9"/>
      <c r="B103" s="44"/>
      <c r="C103" s="270">
        <f>Asset28</f>
        <v>0</v>
      </c>
      <c r="D103" s="9"/>
      <c r="E103" s="9"/>
      <c r="F103" s="139"/>
      <c r="G103" s="201">
        <f t="shared" si="1"/>
        <v>0</v>
      </c>
      <c r="H103" s="115"/>
      <c r="I103" s="115"/>
      <c r="J103" s="115"/>
      <c r="K103" s="115"/>
      <c r="L103" s="115"/>
      <c r="M103" s="149"/>
      <c r="N103" s="150"/>
      <c r="O103" s="150"/>
      <c r="P103" s="150"/>
      <c r="Q103" s="150"/>
      <c r="R103" s="100"/>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1"/>
      <c r="BK103" s="221"/>
    </row>
    <row r="104" spans="1:63" hidden="1" outlineLevel="1">
      <c r="A104" s="9"/>
      <c r="B104" s="44"/>
      <c r="C104" s="270">
        <f>Asset29</f>
        <v>0</v>
      </c>
      <c r="D104" s="9"/>
      <c r="E104" s="9"/>
      <c r="F104" s="139"/>
      <c r="G104" s="201">
        <f t="shared" si="1"/>
        <v>0</v>
      </c>
      <c r="H104" s="115"/>
      <c r="I104" s="115"/>
      <c r="J104" s="115"/>
      <c r="K104" s="115"/>
      <c r="L104" s="115"/>
      <c r="M104" s="149"/>
      <c r="N104" s="150"/>
      <c r="O104" s="150"/>
      <c r="P104" s="150"/>
      <c r="Q104" s="150"/>
      <c r="R104" s="100"/>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1"/>
      <c r="BK104" s="221"/>
    </row>
    <row r="105" spans="1:63" hidden="1" outlineLevel="1">
      <c r="A105" s="9"/>
      <c r="B105" s="44"/>
      <c r="C105" s="270">
        <f>Asset30</f>
        <v>0</v>
      </c>
      <c r="D105" s="9"/>
      <c r="E105" s="9"/>
      <c r="F105" s="139"/>
      <c r="G105" s="201">
        <f t="shared" si="1"/>
        <v>0</v>
      </c>
      <c r="H105" s="115"/>
      <c r="I105" s="115"/>
      <c r="J105" s="115"/>
      <c r="K105" s="115"/>
      <c r="L105" s="115"/>
      <c r="M105" s="149"/>
      <c r="N105" s="150"/>
      <c r="O105" s="150"/>
      <c r="P105" s="150"/>
      <c r="Q105" s="150"/>
      <c r="R105" s="100"/>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1"/>
      <c r="BK105" s="221"/>
    </row>
    <row r="106" spans="1:63" collapsed="1">
      <c r="A106" s="9"/>
      <c r="B106" s="44"/>
      <c r="C106" s="127"/>
      <c r="D106" s="9"/>
      <c r="E106" s="9"/>
      <c r="F106" s="139"/>
      <c r="G106" s="201"/>
      <c r="H106" s="115"/>
      <c r="I106" s="115"/>
      <c r="J106" s="115"/>
      <c r="K106" s="115"/>
      <c r="L106" s="115"/>
      <c r="M106" s="149"/>
      <c r="N106" s="150"/>
      <c r="O106" s="150"/>
      <c r="P106" s="150"/>
      <c r="Q106" s="150"/>
      <c r="R106" s="100"/>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1"/>
      <c r="BK106" s="221"/>
    </row>
    <row r="107" spans="1:63">
      <c r="A107" s="9"/>
      <c r="B107" s="44" t="s">
        <v>57</v>
      </c>
      <c r="C107" s="9"/>
      <c r="D107" s="9"/>
      <c r="E107" s="9"/>
      <c r="F107" s="139"/>
      <c r="G107" s="202"/>
      <c r="H107" s="35">
        <f t="shared" ref="H107:Q107" si="2">SUM(H108,H110,H112,H114,H116,H118,H120,H122,H124,H126,H128,H130,H132,H134,H136,H138,H140,H142,H144,H146,H148,H150,H152,H154,H156,H158,H160,H162,H164,H166)</f>
        <v>3.259753901817052</v>
      </c>
      <c r="I107" s="35">
        <f t="shared" si="2"/>
        <v>3.0584238796535943</v>
      </c>
      <c r="J107" s="35">
        <f t="shared" si="2"/>
        <v>3.5525126238451992</v>
      </c>
      <c r="K107" s="35">
        <f t="shared" si="2"/>
        <v>4.0923014249692535</v>
      </c>
      <c r="L107" s="35">
        <f t="shared" si="2"/>
        <v>4.0933629513387615</v>
      </c>
      <c r="M107" s="35">
        <f t="shared" si="2"/>
        <v>4.6275527557378888</v>
      </c>
      <c r="N107" s="35">
        <f t="shared" si="2"/>
        <v>0</v>
      </c>
      <c r="O107" s="35">
        <f t="shared" si="2"/>
        <v>0</v>
      </c>
      <c r="P107" s="35">
        <f t="shared" si="2"/>
        <v>0</v>
      </c>
      <c r="Q107" s="35">
        <f t="shared" si="2"/>
        <v>0</v>
      </c>
      <c r="R107" s="100"/>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1"/>
      <c r="BK107" s="221"/>
    </row>
    <row r="108" spans="1:63" hidden="1" outlineLevel="1">
      <c r="A108" s="9"/>
      <c r="B108" s="44"/>
      <c r="C108" s="270" t="str">
        <f>Asset1</f>
        <v>Secondary</v>
      </c>
      <c r="D108" s="9"/>
      <c r="E108" s="9"/>
      <c r="F108" s="139"/>
      <c r="G108" s="201"/>
      <c r="H108" s="111">
        <f>($G76+(SUM($G108:G108)))*H$7</f>
        <v>0.57203918723090597</v>
      </c>
      <c r="I108" s="111">
        <f>($G76+(SUM($G108:H108)))*I$7</f>
        <v>0.5367087096205051</v>
      </c>
      <c r="J108" s="111">
        <f>($G76+(SUM($G108:I108)))*J$7</f>
        <v>0.6234140659634354</v>
      </c>
      <c r="K108" s="111">
        <f>($G76+(SUM($G108:J108)))*K$7</f>
        <v>0.71813911465475788</v>
      </c>
      <c r="L108" s="111">
        <f>($G76+(SUM($G108:K108)))*L$7</f>
        <v>0.71832539702450959</v>
      </c>
      <c r="M108" s="111">
        <f>($G76+(SUM($G108:L108)))*M$7</f>
        <v>0.8120679035877133</v>
      </c>
      <c r="N108" s="111">
        <f>IF(COUNT($H108:M108)&gt;=Input!$Y$7,0,($G76+(SUM($G108:M108)))*N$7)</f>
        <v>0</v>
      </c>
      <c r="O108" s="111">
        <f>IF(COUNT($H108:N108)&gt;=Input!$Y$7,0,($G76+(SUM($G108:N108)))*O$7)</f>
        <v>0</v>
      </c>
      <c r="P108" s="111">
        <f>IF(COUNT($H108:O108)&gt;=Input!$Y$7,0,($G76+(SUM($G108:O108)))*P$7)</f>
        <v>0</v>
      </c>
      <c r="Q108" s="111">
        <f>IF(COUNT($H108:P108)&gt;=Input!$Y$7,0,($G76+(SUM($G108:P108)))*Q$7)</f>
        <v>0</v>
      </c>
      <c r="R108" s="100"/>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1"/>
      <c r="BK108" s="221"/>
    </row>
    <row r="109" spans="1:63" hidden="1" outlineLevel="1">
      <c r="A109" s="9"/>
      <c r="B109" s="44"/>
      <c r="C109" s="282" t="s">
        <v>27</v>
      </c>
      <c r="D109" s="9"/>
      <c r="E109" s="9"/>
      <c r="F109" s="139"/>
      <c r="G109" s="201"/>
      <c r="H109" s="111"/>
      <c r="I109" s="111"/>
      <c r="J109" s="111"/>
      <c r="K109" s="111"/>
      <c r="L109" s="111">
        <f>IF(COUNT($H108:L108)=Input!$Y$7,SUM($G108:L108),0)</f>
        <v>0</v>
      </c>
      <c r="M109" s="111">
        <f>IF(COUNT($H108:M108)=Input!$Y$7,SUM($G108:M108),0)</f>
        <v>3.9806943780818274</v>
      </c>
      <c r="N109" s="111">
        <f>IF(COUNT($H108:N108)=Input!$Y$7,SUM($G108:N108),0)</f>
        <v>0</v>
      </c>
      <c r="O109" s="111">
        <f>IF(COUNT($H108:O108)=Input!$Y$7,SUM($G108:O108),0)</f>
        <v>0</v>
      </c>
      <c r="P109" s="111">
        <f>IF(COUNT($H108:P108)=Input!$Y$7,SUM($G108:P108),0)</f>
        <v>0</v>
      </c>
      <c r="Q109" s="111">
        <f>IF(COUNT($H108:Q108)=Input!$Y$7,SUM($G108:Q108),0)</f>
        <v>0</v>
      </c>
      <c r="R109" s="100"/>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1"/>
      <c r="BK109" s="221"/>
    </row>
    <row r="110" spans="1:63" hidden="1" outlineLevel="1">
      <c r="A110" s="9"/>
      <c r="B110" s="44"/>
      <c r="C110" s="270" t="str">
        <f>Asset2</f>
        <v>Switchgear</v>
      </c>
      <c r="D110" s="9"/>
      <c r="E110" s="9"/>
      <c r="F110" s="139"/>
      <c r="G110" s="201"/>
      <c r="H110" s="111">
        <f>($G77+(SUM($G110:G110)))*H$7</f>
        <v>1.1053169749395226</v>
      </c>
      <c r="I110" s="111">
        <f>($G77+(SUM($G110:H110)))*I$7</f>
        <v>1.0370500143759738</v>
      </c>
      <c r="J110" s="111">
        <f>($G77+(SUM($G110:I110)))*J$7</f>
        <v>1.2045855684486635</v>
      </c>
      <c r="K110" s="111">
        <f>($G77+(SUM($G110:J110)))*K$7</f>
        <v>1.3876170925254023</v>
      </c>
      <c r="L110" s="111">
        <f>($G77+(SUM($G110:K110)))*L$7</f>
        <v>1.3879770347636522</v>
      </c>
      <c r="M110" s="111">
        <f>($G77+(SUM($G110:L110)))*M$7</f>
        <v>1.5691100516803129</v>
      </c>
      <c r="N110" s="111">
        <f>IF(COUNT($H110:M110)&gt;=Input!$Y$7,0,($G77+(SUM($G110:M110)))*N$7)</f>
        <v>0</v>
      </c>
      <c r="O110" s="111">
        <f>IF(COUNT($H110:N110)&gt;=Input!$Y$7,0,($G77+(SUM($G110:N110)))*O$7)</f>
        <v>0</v>
      </c>
      <c r="P110" s="111">
        <f>IF(COUNT($H110:O110)&gt;=Input!$Y$7,0,($G77+(SUM($G110:O110)))*P$7)</f>
        <v>0</v>
      </c>
      <c r="Q110" s="111">
        <f>IF(COUNT($H110:P110)&gt;=Input!$Y$7,0,($G77+(SUM($G110:P110)))*Q$7)</f>
        <v>0</v>
      </c>
      <c r="R110" s="100"/>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1"/>
      <c r="BK110" s="221"/>
    </row>
    <row r="111" spans="1:63" hidden="1" outlineLevel="1">
      <c r="A111" s="9"/>
      <c r="B111" s="44"/>
      <c r="C111" s="282" t="s">
        <v>27</v>
      </c>
      <c r="D111" s="9"/>
      <c r="E111" s="9"/>
      <c r="F111" s="139"/>
      <c r="G111" s="201"/>
      <c r="H111" s="111"/>
      <c r="I111" s="111"/>
      <c r="J111" s="111"/>
      <c r="K111" s="111"/>
      <c r="L111" s="111">
        <f>IF(COUNT($H110:L110)=Input!$Y$7,SUM($G110:L110),0)</f>
        <v>0</v>
      </c>
      <c r="M111" s="111">
        <f>IF(COUNT($H110:M110)=Input!$Y$7,SUM($G110:M110),0)</f>
        <v>7.6916567367335267</v>
      </c>
      <c r="N111" s="111">
        <f>IF(COUNT($H110:N110)=Input!$Y$7,SUM($G110:N110),0)</f>
        <v>0</v>
      </c>
      <c r="O111" s="111">
        <f>IF(COUNT($H110:O110)=Input!$Y$7,SUM($G110:O110),0)</f>
        <v>0</v>
      </c>
      <c r="P111" s="111">
        <f>IF(COUNT($H110:P110)=Input!$Y$7,SUM($G110:P110),0)</f>
        <v>0</v>
      </c>
      <c r="Q111" s="111">
        <f>IF(COUNT($H110:Q110)=Input!$Y$7,SUM($G110:Q110),0)</f>
        <v>0</v>
      </c>
      <c r="R111" s="100"/>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1"/>
      <c r="BK111" s="221"/>
    </row>
    <row r="112" spans="1:63" hidden="1" outlineLevel="1">
      <c r="A112" s="9"/>
      <c r="B112" s="44"/>
      <c r="C112" s="270" t="str">
        <f>Asset3</f>
        <v>Transformers</v>
      </c>
      <c r="D112" s="9"/>
      <c r="E112" s="9"/>
      <c r="F112" s="139"/>
      <c r="G112" s="201"/>
      <c r="H112" s="111">
        <f>($G78+(SUM($G112:G112)))*H$7</f>
        <v>0.59811763853570876</v>
      </c>
      <c r="I112" s="111">
        <f>($G78+(SUM($G112:H112)))*I$7</f>
        <v>0.5611764948022433</v>
      </c>
      <c r="J112" s="111">
        <f>($G78+(SUM($G112:I112)))*J$7</f>
        <v>0.65183462477279908</v>
      </c>
      <c r="K112" s="111">
        <f>($G78+(SUM($G112:J112)))*K$7</f>
        <v>0.75087805343665415</v>
      </c>
      <c r="L112" s="111">
        <f>($G78+(SUM($G112:K112)))*L$7</f>
        <v>0.75107282815416265</v>
      </c>
      <c r="M112" s="111">
        <f>($G78+(SUM($G112:L112)))*M$7</f>
        <v>0.84908892199454677</v>
      </c>
      <c r="N112" s="111">
        <f>IF(COUNT($H112:M112)&gt;=Input!$Y$7,0,($G78+(SUM($G112:M112)))*N$7)</f>
        <v>0</v>
      </c>
      <c r="O112" s="111">
        <f>IF(COUNT($H112:N112)&gt;=Input!$Y$7,0,($G78+(SUM($G112:N112)))*O$7)</f>
        <v>0</v>
      </c>
      <c r="P112" s="111">
        <f>IF(COUNT($H112:O112)&gt;=Input!$Y$7,0,($G78+(SUM($G112:O112)))*P$7)</f>
        <v>0</v>
      </c>
      <c r="Q112" s="111">
        <f>IF(COUNT($H112:P112)&gt;=Input!$Y$7,0,($G78+(SUM($G112:P112)))*Q$7)</f>
        <v>0</v>
      </c>
      <c r="R112" s="100"/>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1"/>
      <c r="BK112" s="221"/>
    </row>
    <row r="113" spans="1:63" hidden="1" outlineLevel="1">
      <c r="A113" s="9"/>
      <c r="B113" s="44"/>
      <c r="C113" s="282" t="s">
        <v>27</v>
      </c>
      <c r="D113" s="9"/>
      <c r="E113" s="9"/>
      <c r="F113" s="139"/>
      <c r="G113" s="201"/>
      <c r="H113" s="111"/>
      <c r="I113" s="111"/>
      <c r="J113" s="111"/>
      <c r="K113" s="111"/>
      <c r="L113" s="111">
        <f>IF(COUNT($H112:L112)=Input!$Y$7,SUM($G112:L112),0)</f>
        <v>0</v>
      </c>
      <c r="M113" s="111">
        <f>IF(COUNT($H112:M112)=Input!$Y$7,SUM($G112:M112),0)</f>
        <v>4.1621685616961148</v>
      </c>
      <c r="N113" s="111">
        <f>IF(COUNT($H112:N112)=Input!$Y$7,SUM($G112:N112),0)</f>
        <v>0</v>
      </c>
      <c r="O113" s="111">
        <f>IF(COUNT($H112:O112)=Input!$Y$7,SUM($G112:O112),0)</f>
        <v>0</v>
      </c>
      <c r="P113" s="111">
        <f>IF(COUNT($H112:P112)=Input!$Y$7,SUM($G112:P112),0)</f>
        <v>0</v>
      </c>
      <c r="Q113" s="111">
        <f>IF(COUNT($H112:Q112)=Input!$Y$7,SUM($G112:Q112),0)</f>
        <v>0</v>
      </c>
      <c r="R113" s="100"/>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1"/>
      <c r="BK113" s="221"/>
    </row>
    <row r="114" spans="1:63" hidden="1" outlineLevel="1">
      <c r="A114" s="9"/>
      <c r="B114" s="44"/>
      <c r="C114" s="270" t="str">
        <f>Asset4</f>
        <v>Reactive</v>
      </c>
      <c r="D114" s="9"/>
      <c r="E114" s="9"/>
      <c r="F114" s="139"/>
      <c r="G114" s="201"/>
      <c r="H114" s="111">
        <f>($G79+(SUM($G114:G114)))*H$7</f>
        <v>-5.5536533996624886E-2</v>
      </c>
      <c r="I114" s="111">
        <f>($G79+(SUM($G114:H114)))*I$7</f>
        <v>-5.2106467814576771E-2</v>
      </c>
      <c r="J114" s="111">
        <f>($G79+(SUM($G114:I114)))*J$7</f>
        <v>-6.0524273932962329E-2</v>
      </c>
      <c r="K114" s="111">
        <f>($G79+(SUM($G114:J114)))*K$7</f>
        <v>-6.972067341818515E-2</v>
      </c>
      <c r="L114" s="111">
        <f>($G79+(SUM($G114:K114)))*L$7</f>
        <v>-6.9738758677712148E-2</v>
      </c>
      <c r="M114" s="111">
        <f>($G79+(SUM($G114:L114)))*M$7</f>
        <v>-7.8839767872340469E-2</v>
      </c>
      <c r="N114" s="111">
        <f>IF(COUNT($H114:M114)&gt;=Input!$Y$7,0,($G79+(SUM($G114:M114)))*N$7)</f>
        <v>0</v>
      </c>
      <c r="O114" s="111">
        <f>IF(COUNT($H114:N114)&gt;=Input!$Y$7,0,($G79+(SUM($G114:N114)))*O$7)</f>
        <v>0</v>
      </c>
      <c r="P114" s="111">
        <f>IF(COUNT($H114:O114)&gt;=Input!$Y$7,0,($G79+(SUM($G114:O114)))*P$7)</f>
        <v>0</v>
      </c>
      <c r="Q114" s="111">
        <f>IF(COUNT($H114:P114)&gt;=Input!$Y$7,0,($G79+(SUM($G114:P114)))*Q$7)</f>
        <v>0</v>
      </c>
      <c r="R114" s="100"/>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1"/>
      <c r="BK114" s="221"/>
    </row>
    <row r="115" spans="1:63" hidden="1" outlineLevel="1">
      <c r="A115" s="9"/>
      <c r="B115" s="44"/>
      <c r="C115" s="282" t="s">
        <v>27</v>
      </c>
      <c r="D115" s="9"/>
      <c r="E115" s="9"/>
      <c r="F115" s="139"/>
      <c r="G115" s="201"/>
      <c r="H115" s="111"/>
      <c r="I115" s="111"/>
      <c r="J115" s="111"/>
      <c r="K115" s="111"/>
      <c r="L115" s="111">
        <f>IF(COUNT($H114:L114)=Input!$Y$7,SUM($G114:L114),0)</f>
        <v>0</v>
      </c>
      <c r="M115" s="111">
        <f>IF(COUNT($H114:M114)=Input!$Y$7,SUM($G114:M114),0)</f>
        <v>-0.38646647571240178</v>
      </c>
      <c r="N115" s="111">
        <f>IF(COUNT($H114:N114)=Input!$Y$7,SUM($G114:N114),0)</f>
        <v>0</v>
      </c>
      <c r="O115" s="111">
        <f>IF(COUNT($H114:O114)=Input!$Y$7,SUM($G114:O114),0)</f>
        <v>0</v>
      </c>
      <c r="P115" s="111">
        <f>IF(COUNT($H114:P114)=Input!$Y$7,SUM($G114:P114),0)</f>
        <v>0</v>
      </c>
      <c r="Q115" s="111">
        <f>IF(COUNT($H114:Q114)=Input!$Y$7,SUM($G114:Q114),0)</f>
        <v>0</v>
      </c>
      <c r="R115" s="100"/>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1"/>
      <c r="BK115" s="221"/>
    </row>
    <row r="116" spans="1:63" hidden="1" outlineLevel="1">
      <c r="A116" s="9"/>
      <c r="B116" s="44"/>
      <c r="C116" s="270" t="str">
        <f>Asset5</f>
        <v>Towers and Conductor</v>
      </c>
      <c r="D116" s="9"/>
      <c r="E116" s="9"/>
      <c r="F116" s="139"/>
      <c r="G116" s="201"/>
      <c r="H116" s="111">
        <f>($G80+(SUM($G116:G116)))*H$7</f>
        <v>7.9702935976094527E-2</v>
      </c>
      <c r="I116" s="111">
        <f>($G80+(SUM($G116:H116)))*I$7</f>
        <v>7.4780296307616803E-2</v>
      </c>
      <c r="J116" s="111">
        <f>($G80+(SUM($G116:I116)))*J$7</f>
        <v>8.6861062135632536E-2</v>
      </c>
      <c r="K116" s="111">
        <f>($G80+(SUM($G116:J116)))*K$7</f>
        <v>0.1000592217367673</v>
      </c>
      <c r="L116" s="111">
        <f>($G80+(SUM($G116:K116)))*L$7</f>
        <v>0.10008517669251372</v>
      </c>
      <c r="M116" s="111">
        <f>($G80+(SUM($G116:L116)))*M$7</f>
        <v>0.11314643746909354</v>
      </c>
      <c r="N116" s="111">
        <f>IF(COUNT($H116:M116)&gt;=Input!$Y$7,0,($G80+(SUM($G116:M116)))*N$7)</f>
        <v>0</v>
      </c>
      <c r="O116" s="111">
        <f>IF(COUNT($H116:N116)&gt;=Input!$Y$7,0,($G80+(SUM($G116:N116)))*O$7)</f>
        <v>0</v>
      </c>
      <c r="P116" s="111">
        <f>IF(COUNT($H116:O116)&gt;=Input!$Y$7,0,($G80+(SUM($G116:O116)))*P$7)</f>
        <v>0</v>
      </c>
      <c r="Q116" s="111">
        <f>IF(COUNT($H116:P116)&gt;=Input!$Y$7,0,($G80+(SUM($G116:P116)))*Q$7)</f>
        <v>0</v>
      </c>
      <c r="R116" s="100"/>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1"/>
      <c r="BK116" s="221"/>
    </row>
    <row r="117" spans="1:63" hidden="1" outlineLevel="1">
      <c r="A117" s="9"/>
      <c r="B117" s="44"/>
      <c r="C117" s="282" t="s">
        <v>27</v>
      </c>
      <c r="D117" s="9"/>
      <c r="E117" s="9"/>
      <c r="F117" s="139"/>
      <c r="G117" s="201"/>
      <c r="H117" s="111"/>
      <c r="I117" s="111"/>
      <c r="J117" s="111"/>
      <c r="K117" s="111"/>
      <c r="L117" s="111">
        <f>IF(COUNT($H116:L116)=Input!$Y$7,SUM($G116:L116),0)</f>
        <v>0</v>
      </c>
      <c r="M117" s="111">
        <f>IF(COUNT($H116:M116)=Input!$Y$7,SUM($G116:M116),0)</f>
        <v>0.55463513031771838</v>
      </c>
      <c r="N117" s="111">
        <f>IF(COUNT($H116:N116)=Input!$Y$7,SUM($G116:N116),0)</f>
        <v>0</v>
      </c>
      <c r="O117" s="111">
        <f>IF(COUNT($H116:O116)=Input!$Y$7,SUM($G116:O116),0)</f>
        <v>0</v>
      </c>
      <c r="P117" s="111">
        <f>IF(COUNT($H116:P116)=Input!$Y$7,SUM($G116:P116),0)</f>
        <v>0</v>
      </c>
      <c r="Q117" s="111">
        <f>IF(COUNT($H116:Q116)=Input!$Y$7,SUM($G116:Q116),0)</f>
        <v>0</v>
      </c>
      <c r="R117" s="100"/>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1"/>
      <c r="BK117" s="221"/>
    </row>
    <row r="118" spans="1:63" hidden="1" outlineLevel="1">
      <c r="A118" s="9"/>
      <c r="B118" s="44"/>
      <c r="C118" s="270" t="str">
        <f>Asset6</f>
        <v>Establishment</v>
      </c>
      <c r="D118" s="9"/>
      <c r="E118" s="9"/>
      <c r="F118" s="139"/>
      <c r="G118" s="201"/>
      <c r="H118" s="111">
        <f>($G81+(SUM($G118:G118)))*H$7</f>
        <v>0.16991576529463351</v>
      </c>
      <c r="I118" s="111">
        <f>($G81+(SUM($G118:H118)))*I$7</f>
        <v>0.1594213703730965</v>
      </c>
      <c r="J118" s="111">
        <f>($G81+(SUM($G118:I118)))*J$7</f>
        <v>0.18517591185734281</v>
      </c>
      <c r="K118" s="111">
        <f>($G81+(SUM($G118:J118)))*K$7</f>
        <v>0.21331258413476242</v>
      </c>
      <c r="L118" s="111">
        <f>($G81+(SUM($G118:K118)))*L$7</f>
        <v>0.21336791655275722</v>
      </c>
      <c r="M118" s="111">
        <f>($G81+(SUM($G118:L118)))*M$7</f>
        <v>0.2412127392482597</v>
      </c>
      <c r="N118" s="111">
        <f>IF(COUNT($H118:M118)&gt;=Input!$Y$7,0,($G81+(SUM($G118:M118)))*N$7)</f>
        <v>0</v>
      </c>
      <c r="O118" s="111">
        <f>IF(COUNT($H118:N118)&gt;=Input!$Y$7,0,($G81+(SUM($G118:N118)))*O$7)</f>
        <v>0</v>
      </c>
      <c r="P118" s="111">
        <f>IF(COUNT($H118:O118)&gt;=Input!$Y$7,0,($G81+(SUM($G118:O118)))*P$7)</f>
        <v>0</v>
      </c>
      <c r="Q118" s="111">
        <f>IF(COUNT($H118:P118)&gt;=Input!$Y$7,0,($G81+(SUM($G118:P118)))*Q$7)</f>
        <v>0</v>
      </c>
      <c r="R118" s="100"/>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1"/>
      <c r="BK118" s="221"/>
    </row>
    <row r="119" spans="1:63" hidden="1" outlineLevel="1">
      <c r="A119" s="9"/>
      <c r="B119" s="44"/>
      <c r="C119" s="282" t="s">
        <v>27</v>
      </c>
      <c r="D119" s="9"/>
      <c r="E119" s="9"/>
      <c r="F119" s="139"/>
      <c r="G119" s="201"/>
      <c r="H119" s="111"/>
      <c r="I119" s="111"/>
      <c r="J119" s="111"/>
      <c r="K119" s="111"/>
      <c r="L119" s="111">
        <f>IF(COUNT($H118:L118)=Input!$Y$7,SUM($G118:L118),0)</f>
        <v>0</v>
      </c>
      <c r="M119" s="111">
        <f>IF(COUNT($H118:M118)=Input!$Y$7,SUM($G118:M118),0)</f>
        <v>1.1824062874608523</v>
      </c>
      <c r="N119" s="111">
        <f>IF(COUNT($H118:N118)=Input!$Y$7,SUM($G118:N118),0)</f>
        <v>0</v>
      </c>
      <c r="O119" s="111">
        <f>IF(COUNT($H118:O118)=Input!$Y$7,SUM($G118:O118),0)</f>
        <v>0</v>
      </c>
      <c r="P119" s="111">
        <f>IF(COUNT($H118:P118)=Input!$Y$7,SUM($G118:P118),0)</f>
        <v>0</v>
      </c>
      <c r="Q119" s="111">
        <f>IF(COUNT($H118:Q118)=Input!$Y$7,SUM($G118:Q118),0)</f>
        <v>0</v>
      </c>
      <c r="R119" s="100"/>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1"/>
      <c r="BK119" s="221"/>
    </row>
    <row r="120" spans="1:63" hidden="1" outlineLevel="1">
      <c r="A120" s="9"/>
      <c r="B120" s="44"/>
      <c r="C120" s="270" t="str">
        <f>Asset7</f>
        <v>Communications</v>
      </c>
      <c r="D120" s="9"/>
      <c r="E120" s="9"/>
      <c r="F120" s="139"/>
      <c r="G120" s="201"/>
      <c r="H120" s="111">
        <f>($G82+(SUM($G120:G120)))*H$7</f>
        <v>-0.24878535523162293</v>
      </c>
      <c r="I120" s="111">
        <f>($G82+(SUM($G120:H120)))*I$7</f>
        <v>-0.23341979004131638</v>
      </c>
      <c r="J120" s="111">
        <f>($G82+(SUM($G120:I120)))*J$7</f>
        <v>-0.27112878508880622</v>
      </c>
      <c r="K120" s="111">
        <f>($G82+(SUM($G120:J120)))*K$7</f>
        <v>-0.31232562162387184</v>
      </c>
      <c r="L120" s="111">
        <f>($G82+(SUM($G120:K120)))*L$7</f>
        <v>-0.31240663762166809</v>
      </c>
      <c r="M120" s="111">
        <f>($G82+(SUM($G120:L120)))*M$7</f>
        <v>-0.35317615711651945</v>
      </c>
      <c r="N120" s="111">
        <f>IF(COUNT($H120:M120)&gt;=Input!$Y$7,0,($G82+(SUM($G120:M120)))*N$7)</f>
        <v>0</v>
      </c>
      <c r="O120" s="111">
        <f>IF(COUNT($H120:N120)&gt;=Input!$Y$7,0,($G82+(SUM($G120:N120)))*O$7)</f>
        <v>0</v>
      </c>
      <c r="P120" s="111">
        <f>IF(COUNT($H120:O120)&gt;=Input!$Y$7,0,($G82+(SUM($G120:O120)))*P$7)</f>
        <v>0</v>
      </c>
      <c r="Q120" s="111">
        <f>IF(COUNT($H120:P120)&gt;=Input!$Y$7,0,($G82+(SUM($G120:P120)))*Q$7)</f>
        <v>0</v>
      </c>
      <c r="R120" s="100"/>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1"/>
      <c r="BK120" s="221"/>
    </row>
    <row r="121" spans="1:63" hidden="1" outlineLevel="1">
      <c r="A121" s="9"/>
      <c r="B121" s="44"/>
      <c r="C121" s="282" t="s">
        <v>27</v>
      </c>
      <c r="D121" s="9"/>
      <c r="E121" s="9"/>
      <c r="F121" s="139"/>
      <c r="G121" s="201"/>
      <c r="H121" s="111"/>
      <c r="I121" s="111"/>
      <c r="J121" s="111"/>
      <c r="K121" s="111"/>
      <c r="L121" s="111">
        <f>IF(COUNT($H120:L120)=Input!$Y$7,SUM($G120:L120),0)</f>
        <v>0</v>
      </c>
      <c r="M121" s="111">
        <f>IF(COUNT($H120:M120)=Input!$Y$7,SUM($G120:M120),0)</f>
        <v>-1.7312423467238049</v>
      </c>
      <c r="N121" s="111">
        <f>IF(COUNT($H120:N120)=Input!$Y$7,SUM($G120:N120),0)</f>
        <v>0</v>
      </c>
      <c r="O121" s="111">
        <f>IF(COUNT($H120:O120)=Input!$Y$7,SUM($G120:O120),0)</f>
        <v>0</v>
      </c>
      <c r="P121" s="111">
        <f>IF(COUNT($H120:P120)=Input!$Y$7,SUM($G120:P120),0)</f>
        <v>0</v>
      </c>
      <c r="Q121" s="111">
        <f>IF(COUNT($H120:Q120)=Input!$Y$7,SUM($G120:Q120),0)</f>
        <v>0</v>
      </c>
      <c r="R121" s="100"/>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1"/>
      <c r="BK121" s="221"/>
    </row>
    <row r="122" spans="1:63" hidden="1" outlineLevel="1">
      <c r="A122" s="9"/>
      <c r="B122" s="44"/>
      <c r="C122" s="270" t="str">
        <f>Asset8</f>
        <v>Inventory</v>
      </c>
      <c r="D122" s="9"/>
      <c r="E122" s="9"/>
      <c r="F122" s="139"/>
      <c r="G122" s="201"/>
      <c r="H122" s="111">
        <f>($G83+(SUM($G122:G122)))*H$7</f>
        <v>-3.1955536304398138E-2</v>
      </c>
      <c r="I122" s="111">
        <f>($G83+(SUM($G122:H122)))*I$7</f>
        <v>-2.9981887671345377E-2</v>
      </c>
      <c r="J122" s="111">
        <f>($G83+(SUM($G122:I122)))*J$7</f>
        <v>-3.4825465216818452E-2</v>
      </c>
      <c r="K122" s="111">
        <f>($G83+(SUM($G122:J122)))*K$7</f>
        <v>-4.0117042786957158E-2</v>
      </c>
      <c r="L122" s="111">
        <f>($G83+(SUM($G122:K122)))*L$7</f>
        <v>-4.0127448984928114E-2</v>
      </c>
      <c r="M122" s="111">
        <f>($G83+(SUM($G122:L122)))*M$7</f>
        <v>-4.5364139300230852E-2</v>
      </c>
      <c r="N122" s="111">
        <f>IF(COUNT($H122:M122)&gt;=Input!$Y$7,0,($G83+(SUM($G122:M122)))*N$7)</f>
        <v>0</v>
      </c>
      <c r="O122" s="111">
        <f>IF(COUNT($H122:N122)&gt;=Input!$Y$7,0,($G83+(SUM($G122:N122)))*O$7)</f>
        <v>0</v>
      </c>
      <c r="P122" s="111">
        <f>IF(COUNT($H122:O122)&gt;=Input!$Y$7,0,($G83+(SUM($G122:O122)))*P$7)</f>
        <v>0</v>
      </c>
      <c r="Q122" s="111">
        <f>IF(COUNT($H122:P122)&gt;=Input!$Y$7,0,($G83+(SUM($G122:P122)))*Q$7)</f>
        <v>0</v>
      </c>
      <c r="R122" s="100"/>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1"/>
      <c r="BK122" s="221"/>
    </row>
    <row r="123" spans="1:63" hidden="1" outlineLevel="1">
      <c r="A123" s="9"/>
      <c r="B123" s="44"/>
      <c r="C123" s="282" t="s">
        <v>27</v>
      </c>
      <c r="D123" s="9"/>
      <c r="E123" s="9"/>
      <c r="F123" s="139"/>
      <c r="G123" s="201"/>
      <c r="H123" s="111"/>
      <c r="I123" s="111"/>
      <c r="J123" s="111"/>
      <c r="K123" s="111"/>
      <c r="L123" s="111">
        <f>IF(COUNT($H122:L122)=Input!$Y$7,SUM($G122:L122),0)</f>
        <v>0</v>
      </c>
      <c r="M123" s="111">
        <f>IF(COUNT($H122:M122)=Input!$Y$7,SUM($G122:M122),0)</f>
        <v>-0.2223715202646781</v>
      </c>
      <c r="N123" s="111">
        <f>IF(COUNT($H122:N122)=Input!$Y$7,SUM($G122:N122),0)</f>
        <v>0</v>
      </c>
      <c r="O123" s="111">
        <f>IF(COUNT($H122:O122)=Input!$Y$7,SUM($G122:O122),0)</f>
        <v>0</v>
      </c>
      <c r="P123" s="111">
        <f>IF(COUNT($H122:P122)=Input!$Y$7,SUM($G122:P122),0)</f>
        <v>0</v>
      </c>
      <c r="Q123" s="111">
        <f>IF(COUNT($H122:Q122)=Input!$Y$7,SUM($G122:Q122),0)</f>
        <v>0</v>
      </c>
      <c r="R123" s="100"/>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1"/>
      <c r="BK123" s="221"/>
    </row>
    <row r="124" spans="1:63" hidden="1" outlineLevel="1">
      <c r="A124" s="9"/>
      <c r="B124" s="44"/>
      <c r="C124" s="270" t="str">
        <f>Asset9</f>
        <v>IT</v>
      </c>
      <c r="D124" s="9"/>
      <c r="E124" s="9"/>
      <c r="F124" s="139"/>
      <c r="G124" s="201"/>
      <c r="H124" s="111">
        <f>($G84+(SUM($G124:G124)))*H$7</f>
        <v>0.85137133897701989</v>
      </c>
      <c r="I124" s="111">
        <f>($G84+(SUM($G124:H124)))*I$7</f>
        <v>0.79878865460626725</v>
      </c>
      <c r="J124" s="111">
        <f>($G84+(SUM($G124:I124)))*J$7</f>
        <v>0.92783305746177136</v>
      </c>
      <c r="K124" s="111">
        <f>($G84+(SUM($G124:J124)))*K$7</f>
        <v>1.0688132443776051</v>
      </c>
      <c r="L124" s="111">
        <f>($G84+(SUM($G124:K124)))*L$7</f>
        <v>1.0690904901924085</v>
      </c>
      <c r="M124" s="111">
        <f>($G84+(SUM($G124:L124)))*M$7</f>
        <v>1.2086083503553018</v>
      </c>
      <c r="N124" s="111">
        <f>IF(COUNT($H124:M124)&gt;=Input!$Y$7,0,($G84+(SUM($G124:M124)))*N$7)</f>
        <v>0</v>
      </c>
      <c r="O124" s="111">
        <f>IF(COUNT($H124:N124)&gt;=Input!$Y$7,0,($G84+(SUM($G124:N124)))*O$7)</f>
        <v>0</v>
      </c>
      <c r="P124" s="111">
        <f>IF(COUNT($H124:O124)&gt;=Input!$Y$7,0,($G84+(SUM($G124:O124)))*P$7)</f>
        <v>0</v>
      </c>
      <c r="Q124" s="111">
        <f>IF(COUNT($H124:P124)&gt;=Input!$Y$7,0,($G84+(SUM($G124:P124)))*Q$7)</f>
        <v>0</v>
      </c>
      <c r="R124" s="100"/>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1"/>
      <c r="BK124" s="221"/>
    </row>
    <row r="125" spans="1:63" hidden="1" outlineLevel="1">
      <c r="A125" s="9"/>
      <c r="B125" s="44"/>
      <c r="C125" s="282" t="s">
        <v>27</v>
      </c>
      <c r="D125" s="9"/>
      <c r="E125" s="9"/>
      <c r="F125" s="139"/>
      <c r="G125" s="201"/>
      <c r="H125" s="111"/>
      <c r="I125" s="111"/>
      <c r="J125" s="111"/>
      <c r="K125" s="111"/>
      <c r="L125" s="111">
        <f>IF(COUNT($H124:L124)=Input!$Y$7,SUM($G124:L124),0)</f>
        <v>0</v>
      </c>
      <c r="M125" s="111">
        <f>IF(COUNT($H124:M124)=Input!$Y$7,SUM($G124:M124),0)</f>
        <v>5.9245051359703744</v>
      </c>
      <c r="N125" s="111">
        <f>IF(COUNT($H124:N124)=Input!$Y$7,SUM($G124:N124),0)</f>
        <v>0</v>
      </c>
      <c r="O125" s="111">
        <f>IF(COUNT($H124:O124)=Input!$Y$7,SUM($G124:O124),0)</f>
        <v>0</v>
      </c>
      <c r="P125" s="111">
        <f>IF(COUNT($H124:P124)=Input!$Y$7,SUM($G124:P124),0)</f>
        <v>0</v>
      </c>
      <c r="Q125" s="111">
        <f>IF(COUNT($H124:Q124)=Input!$Y$7,SUM($G124:Q124),0)</f>
        <v>0</v>
      </c>
      <c r="R125" s="100"/>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1"/>
      <c r="BK125" s="221"/>
    </row>
    <row r="126" spans="1:63" hidden="1" outlineLevel="1">
      <c r="A126" s="9"/>
      <c r="B126" s="44"/>
      <c r="C126" s="270" t="str">
        <f>Asset10</f>
        <v>Vehicles</v>
      </c>
      <c r="D126" s="9"/>
      <c r="E126" s="9"/>
      <c r="F126" s="139"/>
      <c r="G126" s="201"/>
      <c r="H126" s="111">
        <f>($G85+(SUM($G126:G126)))*H$7</f>
        <v>7.899871547932226E-2</v>
      </c>
      <c r="I126" s="111">
        <f>($G85+(SUM($G126:H126)))*I$7</f>
        <v>7.4119570115167344E-2</v>
      </c>
      <c r="J126" s="111">
        <f>($G85+(SUM($G126:I126)))*J$7</f>
        <v>8.609359554763045E-2</v>
      </c>
      <c r="K126" s="111">
        <f>($G85+(SUM($G126:J126)))*K$7</f>
        <v>9.9175141947545412E-2</v>
      </c>
      <c r="L126" s="111">
        <f>($G85+(SUM($G126:K126)))*L$7</f>
        <v>9.9200867576585042E-2</v>
      </c>
      <c r="M126" s="111">
        <f>($G85+(SUM($G126:L126)))*M$7</f>
        <v>0.1121467247304512</v>
      </c>
      <c r="N126" s="111">
        <f>IF(COUNT($H126:M126)&gt;=Input!$Y$7,0,($G85+(SUM($G126:M126)))*N$7)</f>
        <v>0</v>
      </c>
      <c r="O126" s="111">
        <f>IF(COUNT($H126:N126)&gt;=Input!$Y$7,0,($G85+(SUM($G126:N126)))*O$7)</f>
        <v>0</v>
      </c>
      <c r="P126" s="111">
        <f>IF(COUNT($H126:O126)&gt;=Input!$Y$7,0,($G85+(SUM($G126:O126)))*P$7)</f>
        <v>0</v>
      </c>
      <c r="Q126" s="111">
        <f>IF(COUNT($H126:P126)&gt;=Input!$Y$7,0,($G85+(SUM($G126:P126)))*Q$7)</f>
        <v>0</v>
      </c>
      <c r="R126" s="100"/>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1"/>
      <c r="BK126" s="221"/>
    </row>
    <row r="127" spans="1:63" hidden="1" outlineLevel="1">
      <c r="A127" s="9"/>
      <c r="B127" s="44"/>
      <c r="C127" s="282" t="s">
        <v>27</v>
      </c>
      <c r="D127" s="9"/>
      <c r="E127" s="9"/>
      <c r="F127" s="139"/>
      <c r="G127" s="201"/>
      <c r="H127" s="111"/>
      <c r="I127" s="111"/>
      <c r="J127" s="111"/>
      <c r="K127" s="111"/>
      <c r="L127" s="111">
        <f>IF(COUNT($H126:L126)=Input!$Y$7,SUM($G126:L126),0)</f>
        <v>0</v>
      </c>
      <c r="M127" s="111">
        <f>IF(COUNT($H126:M126)=Input!$Y$7,SUM($G126:M126),0)</f>
        <v>0.54973461539670165</v>
      </c>
      <c r="N127" s="111">
        <f>IF(COUNT($H126:N126)=Input!$Y$7,SUM($G126:N126),0)</f>
        <v>0</v>
      </c>
      <c r="O127" s="111">
        <f>IF(COUNT($H126:O126)=Input!$Y$7,SUM($G126:O126),0)</f>
        <v>0</v>
      </c>
      <c r="P127" s="111">
        <f>IF(COUNT($H126:P126)=Input!$Y$7,SUM($G126:P126),0)</f>
        <v>0</v>
      </c>
      <c r="Q127" s="111">
        <f>IF(COUNT($H126:Q126)=Input!$Y$7,SUM($G126:Q126),0)</f>
        <v>0</v>
      </c>
      <c r="R127" s="100"/>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1"/>
      <c r="BK127" s="221"/>
    </row>
    <row r="128" spans="1:63" hidden="1" outlineLevel="1">
      <c r="A128" s="9"/>
      <c r="B128" s="44"/>
      <c r="C128" s="270" t="str">
        <f>Asset11</f>
        <v>other</v>
      </c>
      <c r="D128" s="9"/>
      <c r="E128" s="9"/>
      <c r="F128" s="139"/>
      <c r="G128" s="201"/>
      <c r="H128" s="111">
        <f>($G86+(SUM($G128:G128)))*H$7</f>
        <v>0.19403458181698205</v>
      </c>
      <c r="I128" s="111">
        <f>($G86+(SUM($G128:H128)))*I$7</f>
        <v>0.18205055239810031</v>
      </c>
      <c r="J128" s="111">
        <f>($G86+(SUM($G128:I128)))*J$7</f>
        <v>0.2114608409497164</v>
      </c>
      <c r="K128" s="111">
        <f>($G86+(SUM($G128:J128)))*K$7</f>
        <v>0.2435913935773896</v>
      </c>
      <c r="L128" s="111">
        <f>($G86+(SUM($G128:K128)))*L$7</f>
        <v>0.243654580195582</v>
      </c>
      <c r="M128" s="111">
        <f>($G86+(SUM($G128:L128)))*M$7</f>
        <v>0.27545185644079268</v>
      </c>
      <c r="N128" s="111">
        <f>IF(COUNT($H128:M128)&gt;=Input!$Y$7,0,($G86+(SUM($G128:M128)))*N$7)</f>
        <v>0</v>
      </c>
      <c r="O128" s="111">
        <f>IF(COUNT($H128:N128)&gt;=Input!$Y$7,0,($G86+(SUM($G128:N128)))*O$7)</f>
        <v>0</v>
      </c>
      <c r="P128" s="111">
        <f>IF(COUNT($H128:O128)&gt;=Input!$Y$7,0,($G86+(SUM($G128:O128)))*P$7)</f>
        <v>0</v>
      </c>
      <c r="Q128" s="111">
        <f>IF(COUNT($H128:P128)&gt;=Input!$Y$7,0,($G86+(SUM($G128:P128)))*Q$7)</f>
        <v>0</v>
      </c>
      <c r="R128" s="100"/>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1"/>
      <c r="BK128" s="221"/>
    </row>
    <row r="129" spans="1:63" hidden="1" outlineLevel="1">
      <c r="A129" s="9"/>
      <c r="B129" s="44"/>
      <c r="C129" s="282" t="s">
        <v>27</v>
      </c>
      <c r="D129" s="9"/>
      <c r="E129" s="9"/>
      <c r="F129" s="139"/>
      <c r="G129" s="201"/>
      <c r="H129" s="111"/>
      <c r="I129" s="111"/>
      <c r="J129" s="111"/>
      <c r="K129" s="111"/>
      <c r="L129" s="111">
        <f>IF(COUNT($H128:L128)=Input!$Y$7,SUM($G128:L128),0)</f>
        <v>0</v>
      </c>
      <c r="M129" s="111">
        <f>IF(COUNT($H128:M128)=Input!$Y$7,SUM($G128:M128),0)</f>
        <v>1.350243805378563</v>
      </c>
      <c r="N129" s="111">
        <f>IF(COUNT($H128:N128)=Input!$Y$7,SUM($G128:N128),0)</f>
        <v>0</v>
      </c>
      <c r="O129" s="111">
        <f>IF(COUNT($H128:O128)=Input!$Y$7,SUM($G128:O128),0)</f>
        <v>0</v>
      </c>
      <c r="P129" s="111">
        <f>IF(COUNT($H128:P128)=Input!$Y$7,SUM($G128:P128),0)</f>
        <v>0</v>
      </c>
      <c r="Q129" s="111">
        <f>IF(COUNT($H128:Q128)=Input!$Y$7,SUM($G128:Q128),0)</f>
        <v>0</v>
      </c>
      <c r="R129" s="100"/>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1"/>
      <c r="BK129" s="221"/>
    </row>
    <row r="130" spans="1:63" hidden="1" outlineLevel="1">
      <c r="A130" s="9"/>
      <c r="B130" s="44"/>
      <c r="C130" s="270" t="str">
        <f>Asset12</f>
        <v>premises</v>
      </c>
      <c r="D130" s="9"/>
      <c r="E130" s="9"/>
      <c r="F130" s="139"/>
      <c r="G130" s="201"/>
      <c r="H130" s="111">
        <f>($G87+(SUM($G130:G130)))*H$7</f>
        <v>-5.3465810900492294E-2</v>
      </c>
      <c r="I130" s="111">
        <f>($G87+(SUM($G130:H130)))*I$7</f>
        <v>-5.0163637418137362E-2</v>
      </c>
      <c r="J130" s="111">
        <f>($G87+(SUM($G130:I130)))*J$7</f>
        <v>-5.8267579053205197E-2</v>
      </c>
      <c r="K130" s="111">
        <f>($G87+(SUM($G130:J130)))*K$7</f>
        <v>-6.7121083592616856E-2</v>
      </c>
      <c r="L130" s="111">
        <f>($G87+(SUM($G130:K130)))*L$7</f>
        <v>-6.7138494529100867E-2</v>
      </c>
      <c r="M130" s="111">
        <f>($G87+(SUM($G130:L130)))*M$7</f>
        <v>-7.5900165479492021E-2</v>
      </c>
      <c r="N130" s="111">
        <f>IF(COUNT($H130:M130)&gt;=Input!$Y$7,0,($G87+(SUM($G130:M130)))*N$7)</f>
        <v>0</v>
      </c>
      <c r="O130" s="111">
        <f>IF(COUNT($H130:N130)&gt;=Input!$Y$7,0,($G87+(SUM($G130:N130)))*O$7)</f>
        <v>0</v>
      </c>
      <c r="P130" s="111">
        <f>IF(COUNT($H130:O130)&gt;=Input!$Y$7,0,($G87+(SUM($G130:O130)))*P$7)</f>
        <v>0</v>
      </c>
      <c r="Q130" s="111">
        <f>IF(COUNT($H130:P130)&gt;=Input!$Y$7,0,($G87+(SUM($G130:P130)))*Q$7)</f>
        <v>0</v>
      </c>
      <c r="R130" s="100"/>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1"/>
      <c r="BK130" s="221"/>
    </row>
    <row r="131" spans="1:63" hidden="1" outlineLevel="1">
      <c r="A131" s="9"/>
      <c r="B131" s="44"/>
      <c r="C131" s="282" t="s">
        <v>27</v>
      </c>
      <c r="D131" s="9"/>
      <c r="E131" s="9"/>
      <c r="F131" s="139"/>
      <c r="G131" s="201"/>
      <c r="H131" s="111"/>
      <c r="I131" s="111"/>
      <c r="J131" s="111"/>
      <c r="K131" s="111"/>
      <c r="L131" s="111">
        <f>IF(COUNT($H130:L130)=Input!$Y$7,SUM($G130:L130),0)</f>
        <v>0</v>
      </c>
      <c r="M131" s="111">
        <f>IF(COUNT($H130:M130)=Input!$Y$7,SUM($G130:M130),0)</f>
        <v>-0.37205677097304463</v>
      </c>
      <c r="N131" s="111">
        <f>IF(COUNT($H130:N130)=Input!$Y$7,SUM($G130:N130),0)</f>
        <v>0</v>
      </c>
      <c r="O131" s="111">
        <f>IF(COUNT($H130:O130)=Input!$Y$7,SUM($G130:O130),0)</f>
        <v>0</v>
      </c>
      <c r="P131" s="111">
        <f>IF(COUNT($H130:P130)=Input!$Y$7,SUM($G130:P130),0)</f>
        <v>0</v>
      </c>
      <c r="Q131" s="111">
        <f>IF(COUNT($H130:Q130)=Input!$Y$7,SUM($G130:Q130),0)</f>
        <v>0</v>
      </c>
      <c r="R131" s="100"/>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1"/>
      <c r="BK131" s="221"/>
    </row>
    <row r="132" spans="1:63" hidden="1" outlineLevel="1">
      <c r="A132" s="9"/>
      <c r="B132" s="44"/>
      <c r="C132" s="270" t="str">
        <f>Asset13</f>
        <v>Land</v>
      </c>
      <c r="D132" s="9"/>
      <c r="E132" s="9"/>
      <c r="F132" s="139"/>
      <c r="G132" s="201"/>
      <c r="H132" s="111">
        <f>($G88+(SUM($G132:G132)))*H$7</f>
        <v>0</v>
      </c>
      <c r="I132" s="111">
        <f>($G88+(SUM($G132:H132)))*I$7</f>
        <v>0</v>
      </c>
      <c r="J132" s="111">
        <f>($G88+(SUM($G132:I132)))*J$7</f>
        <v>0</v>
      </c>
      <c r="K132" s="111">
        <f>($G88+(SUM($G132:J132)))*K$7</f>
        <v>0</v>
      </c>
      <c r="L132" s="111">
        <f>($G88+(SUM($G132:K132)))*L$7</f>
        <v>0</v>
      </c>
      <c r="M132" s="111">
        <f>($G88+(SUM($G132:L132)))*M$7</f>
        <v>0</v>
      </c>
      <c r="N132" s="111">
        <f>IF(COUNT($H132:M132)&gt;=Input!$Y$7,0,($G88+(SUM($G132:M132)))*N$7)</f>
        <v>0</v>
      </c>
      <c r="O132" s="111">
        <f>IF(COUNT($H132:N132)&gt;=Input!$Y$7,0,($G88+(SUM($G132:N132)))*O$7)</f>
        <v>0</v>
      </c>
      <c r="P132" s="111">
        <f>IF(COUNT($H132:O132)&gt;=Input!$Y$7,0,($G88+(SUM($G132:O132)))*P$7)</f>
        <v>0</v>
      </c>
      <c r="Q132" s="111">
        <f>IF(COUNT($H132:P132)&gt;=Input!$Y$7,0,($G88+(SUM($G132:P132)))*Q$7)</f>
        <v>0</v>
      </c>
      <c r="R132" s="100"/>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1"/>
      <c r="BK132" s="221"/>
    </row>
    <row r="133" spans="1:63" hidden="1" outlineLevel="1">
      <c r="A133" s="9"/>
      <c r="B133" s="44"/>
      <c r="C133" s="282" t="s">
        <v>27</v>
      </c>
      <c r="D133" s="9"/>
      <c r="E133" s="9"/>
      <c r="F133" s="139"/>
      <c r="G133" s="201"/>
      <c r="H133" s="111"/>
      <c r="I133" s="111"/>
      <c r="J133" s="111"/>
      <c r="K133" s="111"/>
      <c r="L133" s="111">
        <f>IF(COUNT($H132:L132)=Input!$Y$7,SUM($G132:L132),0)</f>
        <v>0</v>
      </c>
      <c r="M133" s="111">
        <f>IF(COUNT($H132:M132)=Input!$Y$7,SUM($G132:M132),0)</f>
        <v>0</v>
      </c>
      <c r="N133" s="111">
        <f>IF(COUNT($H132:N132)=Input!$Y$7,SUM($G132:N132),0)</f>
        <v>0</v>
      </c>
      <c r="O133" s="111">
        <f>IF(COUNT($H132:O132)=Input!$Y$7,SUM($G132:O132),0)</f>
        <v>0</v>
      </c>
      <c r="P133" s="111">
        <f>IF(COUNT($H132:P132)=Input!$Y$7,SUM($G132:P132),0)</f>
        <v>0</v>
      </c>
      <c r="Q133" s="111">
        <f>IF(COUNT($H132:Q132)=Input!$Y$7,SUM($G132:Q132),0)</f>
        <v>0</v>
      </c>
      <c r="R133" s="100"/>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1"/>
      <c r="BK133" s="221"/>
    </row>
    <row r="134" spans="1:63" hidden="1" outlineLevel="1">
      <c r="A134" s="9"/>
      <c r="B134" s="44"/>
      <c r="C134" s="270" t="str">
        <f>Asset14</f>
        <v>Easements</v>
      </c>
      <c r="D134" s="9"/>
      <c r="E134" s="9"/>
      <c r="F134" s="139"/>
      <c r="G134" s="201"/>
      <c r="H134" s="111">
        <f>($G89+(SUM($G134:G134)))*H$7</f>
        <v>0</v>
      </c>
      <c r="I134" s="111">
        <f>($G89+(SUM($G134:H134)))*I$7</f>
        <v>0</v>
      </c>
      <c r="J134" s="111">
        <f>($G89+(SUM($G134:I134)))*J$7</f>
        <v>0</v>
      </c>
      <c r="K134" s="111">
        <f>($G89+(SUM($G134:J134)))*K$7</f>
        <v>0</v>
      </c>
      <c r="L134" s="111">
        <f>($G89+(SUM($G134:K134)))*L$7</f>
        <v>0</v>
      </c>
      <c r="M134" s="111">
        <f>($G89+(SUM($G134:L134)))*M$7</f>
        <v>0</v>
      </c>
      <c r="N134" s="111">
        <f>IF(COUNT($H134:M134)&gt;=Input!$Y$7,0,($G89+(SUM($G134:M134)))*N$7)</f>
        <v>0</v>
      </c>
      <c r="O134" s="111">
        <f>IF(COUNT($H134:N134)&gt;=Input!$Y$7,0,($G89+(SUM($G134:N134)))*O$7)</f>
        <v>0</v>
      </c>
      <c r="P134" s="111">
        <f>IF(COUNT($H134:O134)&gt;=Input!$Y$7,0,($G89+(SUM($G134:O134)))*P$7)</f>
        <v>0</v>
      </c>
      <c r="Q134" s="111">
        <f>IF(COUNT($H134:P134)&gt;=Input!$Y$7,0,($G89+(SUM($G134:P134)))*Q$7)</f>
        <v>0</v>
      </c>
      <c r="R134" s="100"/>
      <c r="S134" s="100"/>
      <c r="T134" s="100"/>
      <c r="U134" s="100"/>
      <c r="V134" s="100"/>
      <c r="W134" s="100"/>
      <c r="X134" s="100"/>
      <c r="Y134" s="100"/>
      <c r="Z134" s="100"/>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1"/>
      <c r="BK134" s="221"/>
    </row>
    <row r="135" spans="1:63" hidden="1" outlineLevel="1">
      <c r="A135" s="9"/>
      <c r="B135" s="44"/>
      <c r="C135" s="282" t="s">
        <v>27</v>
      </c>
      <c r="D135" s="9"/>
      <c r="E135" s="9"/>
      <c r="F135" s="139"/>
      <c r="G135" s="201"/>
      <c r="H135" s="111"/>
      <c r="I135" s="111"/>
      <c r="J135" s="111"/>
      <c r="K135" s="111"/>
      <c r="L135" s="111">
        <f>IF(COUNT($H134:L134)=Input!$Y$7,SUM($G134:L134),0)</f>
        <v>0</v>
      </c>
      <c r="M135" s="111">
        <f>IF(COUNT($H134:M134)=Input!$Y$7,SUM($G134:M134),0)</f>
        <v>0</v>
      </c>
      <c r="N135" s="111">
        <f>IF(COUNT($H134:N134)=Input!$Y$7,SUM($G134:N134),0)</f>
        <v>0</v>
      </c>
      <c r="O135" s="111">
        <f>IF(COUNT($H134:O134)=Input!$Y$7,SUM($G134:O134),0)</f>
        <v>0</v>
      </c>
      <c r="P135" s="111">
        <f>IF(COUNT($H134:P134)=Input!$Y$7,SUM($G134:P134),0)</f>
        <v>0</v>
      </c>
      <c r="Q135" s="111">
        <f>IF(COUNT($H134:Q134)=Input!$Y$7,SUM($G134:Q134),0)</f>
        <v>0</v>
      </c>
      <c r="R135" s="100"/>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1"/>
      <c r="BK135" s="221"/>
    </row>
    <row r="136" spans="1:63" hidden="1" outlineLevel="1">
      <c r="A136" s="9"/>
      <c r="B136" s="44"/>
      <c r="C136" s="270">
        <f>Asset15</f>
        <v>0</v>
      </c>
      <c r="D136" s="9"/>
      <c r="E136" s="9"/>
      <c r="F136" s="139"/>
      <c r="G136" s="201"/>
      <c r="H136" s="111">
        <f>($G90+(SUM($G136:G136)))*H$7</f>
        <v>0</v>
      </c>
      <c r="I136" s="111">
        <f>($G90+(SUM($G136:H136)))*I$7</f>
        <v>0</v>
      </c>
      <c r="J136" s="111">
        <f>($G90+(SUM($G136:I136)))*J$7</f>
        <v>0</v>
      </c>
      <c r="K136" s="111">
        <f>($G90+(SUM($G136:J136)))*K$7</f>
        <v>0</v>
      </c>
      <c r="L136" s="111">
        <f>($G90+(SUM($G136:K136)))*L$7</f>
        <v>0</v>
      </c>
      <c r="M136" s="111">
        <f>($G90+(SUM($G136:L136)))*M$7</f>
        <v>0</v>
      </c>
      <c r="N136" s="111">
        <f>IF(COUNT($H136:M136)&gt;=Input!$Y$7,0,($G90+(SUM($G136:M136)))*N$7)</f>
        <v>0</v>
      </c>
      <c r="O136" s="111">
        <f>IF(COUNT($H136:N136)&gt;=Input!$Y$7,0,($G90+(SUM($G136:N136)))*O$7)</f>
        <v>0</v>
      </c>
      <c r="P136" s="111">
        <f>IF(COUNT($H136:O136)&gt;=Input!$Y$7,0,($G90+(SUM($G136:O136)))*P$7)</f>
        <v>0</v>
      </c>
      <c r="Q136" s="111">
        <f>IF(COUNT($H136:P136)&gt;=Input!$Y$7,0,($G90+(SUM($G136:P136)))*Q$7)</f>
        <v>0</v>
      </c>
      <c r="R136" s="100"/>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1"/>
      <c r="BK136" s="221"/>
    </row>
    <row r="137" spans="1:63" hidden="1" outlineLevel="1">
      <c r="A137" s="9"/>
      <c r="B137" s="44"/>
      <c r="C137" s="282" t="s">
        <v>27</v>
      </c>
      <c r="D137" s="9"/>
      <c r="E137" s="9"/>
      <c r="F137" s="139"/>
      <c r="G137" s="201"/>
      <c r="H137" s="111"/>
      <c r="I137" s="111"/>
      <c r="J137" s="111"/>
      <c r="K137" s="111"/>
      <c r="L137" s="111">
        <f>IF(COUNT($H136:L136)=Input!$Y$7,SUM($G136:L136),0)</f>
        <v>0</v>
      </c>
      <c r="M137" s="111">
        <f>IF(COUNT($H136:M136)=Input!$Y$7,SUM($G136:M136),0)</f>
        <v>0</v>
      </c>
      <c r="N137" s="111">
        <f>IF(COUNT($H136:N136)=Input!$Y$7,SUM($G136:N136),0)</f>
        <v>0</v>
      </c>
      <c r="O137" s="111">
        <f>IF(COUNT($H136:O136)=Input!$Y$7,SUM($G136:O136),0)</f>
        <v>0</v>
      </c>
      <c r="P137" s="111">
        <f>IF(COUNT($H136:P136)=Input!$Y$7,SUM($G136:P136),0)</f>
        <v>0</v>
      </c>
      <c r="Q137" s="111">
        <f>IF(COUNT($H136:Q136)=Input!$Y$7,SUM($G136:Q136),0)</f>
        <v>0</v>
      </c>
      <c r="R137" s="100"/>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1"/>
      <c r="BK137" s="221"/>
    </row>
    <row r="138" spans="1:63" hidden="1" outlineLevel="1">
      <c r="A138" s="9"/>
      <c r="B138" s="44"/>
      <c r="C138" s="270">
        <f>Asset16</f>
        <v>0</v>
      </c>
      <c r="D138" s="9"/>
      <c r="E138" s="9"/>
      <c r="F138" s="139"/>
      <c r="G138" s="201"/>
      <c r="H138" s="111">
        <f>($G91+(SUM($G138:G138)))*H$7</f>
        <v>0</v>
      </c>
      <c r="I138" s="111">
        <f>($G91+(SUM($G138:H138)))*I$7</f>
        <v>0</v>
      </c>
      <c r="J138" s="111">
        <f>($G91+(SUM($G138:I138)))*J$7</f>
        <v>0</v>
      </c>
      <c r="K138" s="111">
        <f>($G91+(SUM($G138:J138)))*K$7</f>
        <v>0</v>
      </c>
      <c r="L138" s="111">
        <f>($G91+(SUM($G138:K138)))*L$7</f>
        <v>0</v>
      </c>
      <c r="M138" s="111">
        <f>($G91+(SUM($G138:L138)))*M$7</f>
        <v>0</v>
      </c>
      <c r="N138" s="111">
        <f>IF(COUNT($H138:M138)&gt;=Input!$Y$7,0,($G91+(SUM($G138:M138)))*N$7)</f>
        <v>0</v>
      </c>
      <c r="O138" s="111">
        <f>IF(COUNT($H138:N138)&gt;=Input!$Y$7,0,($G91+(SUM($G138:N138)))*O$7)</f>
        <v>0</v>
      </c>
      <c r="P138" s="111">
        <f>IF(COUNT($H138:O138)&gt;=Input!$Y$7,0,($G91+(SUM($G138:O138)))*P$7)</f>
        <v>0</v>
      </c>
      <c r="Q138" s="111">
        <f>IF(COUNT($H138:P138)&gt;=Input!$Y$7,0,($G91+(SUM($G138:P138)))*Q$7)</f>
        <v>0</v>
      </c>
      <c r="R138" s="100"/>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1"/>
      <c r="BK138" s="221"/>
    </row>
    <row r="139" spans="1:63" hidden="1" outlineLevel="1">
      <c r="A139" s="9"/>
      <c r="B139" s="44"/>
      <c r="C139" s="282" t="s">
        <v>27</v>
      </c>
      <c r="D139" s="9"/>
      <c r="E139" s="9"/>
      <c r="F139" s="139"/>
      <c r="G139" s="201"/>
      <c r="H139" s="111"/>
      <c r="I139" s="111"/>
      <c r="J139" s="111"/>
      <c r="K139" s="111"/>
      <c r="L139" s="111">
        <f>IF(COUNT($H138:L138)=Input!$Y$7,SUM($G138:L138),0)</f>
        <v>0</v>
      </c>
      <c r="M139" s="111">
        <f>IF(COUNT($H138:M138)=Input!$Y$7,SUM($G138:M138),0)</f>
        <v>0</v>
      </c>
      <c r="N139" s="111">
        <f>IF(COUNT($H138:N138)=Input!$Y$7,SUM($G138:N138),0)</f>
        <v>0</v>
      </c>
      <c r="O139" s="111">
        <f>IF(COUNT($H138:O138)=Input!$Y$7,SUM($G138:O138),0)</f>
        <v>0</v>
      </c>
      <c r="P139" s="111">
        <f>IF(COUNT($H138:P138)=Input!$Y$7,SUM($G138:P138),0)</f>
        <v>0</v>
      </c>
      <c r="Q139" s="111">
        <f>IF(COUNT($H138:Q138)=Input!$Y$7,SUM($G138:Q138),0)</f>
        <v>0</v>
      </c>
      <c r="R139" s="100"/>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1"/>
      <c r="BK139" s="221"/>
    </row>
    <row r="140" spans="1:63" hidden="1" outlineLevel="1">
      <c r="A140" s="9"/>
      <c r="B140" s="44"/>
      <c r="C140" s="270">
        <f>Asset17</f>
        <v>0</v>
      </c>
      <c r="D140" s="9"/>
      <c r="E140" s="9"/>
      <c r="F140" s="139"/>
      <c r="G140" s="201"/>
      <c r="H140" s="111">
        <f>($G92+(SUM($G140:G140)))*H$7</f>
        <v>0</v>
      </c>
      <c r="I140" s="111">
        <f>($G92+(SUM($G140:H140)))*I$7</f>
        <v>0</v>
      </c>
      <c r="J140" s="111">
        <f>($G92+(SUM($G140:I140)))*J$7</f>
        <v>0</v>
      </c>
      <c r="K140" s="111">
        <f>($G92+(SUM($G140:J140)))*K$7</f>
        <v>0</v>
      </c>
      <c r="L140" s="111">
        <f>($G92+(SUM($G140:K140)))*L$7</f>
        <v>0</v>
      </c>
      <c r="M140" s="111">
        <f>($G92+(SUM($G140:L140)))*M$7</f>
        <v>0</v>
      </c>
      <c r="N140" s="111">
        <f>IF(COUNT($H140:M140)&gt;=Input!$Y$7,0,($G92+(SUM($G140:M140)))*N$7)</f>
        <v>0</v>
      </c>
      <c r="O140" s="111">
        <f>IF(COUNT($H140:N140)&gt;=Input!$Y$7,0,($G92+(SUM($G140:N140)))*O$7)</f>
        <v>0</v>
      </c>
      <c r="P140" s="111">
        <f>IF(COUNT($H140:O140)&gt;=Input!$Y$7,0,($G92+(SUM($G140:O140)))*P$7)</f>
        <v>0</v>
      </c>
      <c r="Q140" s="111">
        <f>IF(COUNT($H140:P140)&gt;=Input!$Y$7,0,($G92+(SUM($G140:P140)))*Q$7)</f>
        <v>0</v>
      </c>
      <c r="R140" s="100"/>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1"/>
      <c r="BK140" s="221"/>
    </row>
    <row r="141" spans="1:63" hidden="1" outlineLevel="1">
      <c r="A141" s="9"/>
      <c r="B141" s="44"/>
      <c r="C141" s="282" t="s">
        <v>27</v>
      </c>
      <c r="D141" s="9"/>
      <c r="E141" s="9"/>
      <c r="F141" s="139"/>
      <c r="G141" s="201"/>
      <c r="H141" s="111"/>
      <c r="I141" s="111"/>
      <c r="J141" s="111"/>
      <c r="K141" s="111"/>
      <c r="L141" s="111">
        <f>IF(COUNT($H140:L140)=Input!$Y$7,SUM($G140:L140),0)</f>
        <v>0</v>
      </c>
      <c r="M141" s="111">
        <f>IF(COUNT($H140:M140)=Input!$Y$7,SUM($G140:M140),0)</f>
        <v>0</v>
      </c>
      <c r="N141" s="111">
        <f>IF(COUNT($H140:N140)=Input!$Y$7,SUM($G140:N140),0)</f>
        <v>0</v>
      </c>
      <c r="O141" s="111">
        <f>IF(COUNT($H140:O140)=Input!$Y$7,SUM($G140:O140),0)</f>
        <v>0</v>
      </c>
      <c r="P141" s="111">
        <f>IF(COUNT($H140:P140)=Input!$Y$7,SUM($G140:P140),0)</f>
        <v>0</v>
      </c>
      <c r="Q141" s="111">
        <f>IF(COUNT($H140:Q140)=Input!$Y$7,SUM($G140:Q140),0)</f>
        <v>0</v>
      </c>
      <c r="R141" s="100"/>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1"/>
      <c r="BK141" s="221"/>
    </row>
    <row r="142" spans="1:63" hidden="1" outlineLevel="1">
      <c r="A142" s="9"/>
      <c r="B142" s="44"/>
      <c r="C142" s="270">
        <f>Asset18</f>
        <v>0</v>
      </c>
      <c r="D142" s="9"/>
      <c r="E142" s="9"/>
      <c r="F142" s="139"/>
      <c r="G142" s="201"/>
      <c r="H142" s="111">
        <f>($G93+(SUM($G142:G142)))*H$7</f>
        <v>0</v>
      </c>
      <c r="I142" s="111">
        <f>($G93+(SUM($G142:H142)))*I$7</f>
        <v>0</v>
      </c>
      <c r="J142" s="111">
        <f>($G93+(SUM($G142:I142)))*J$7</f>
        <v>0</v>
      </c>
      <c r="K142" s="111">
        <f>($G93+(SUM($G142:J142)))*K$7</f>
        <v>0</v>
      </c>
      <c r="L142" s="111">
        <f>($G93+(SUM($G142:K142)))*L$7</f>
        <v>0</v>
      </c>
      <c r="M142" s="111">
        <f>($G93+(SUM($G142:L142)))*M$7</f>
        <v>0</v>
      </c>
      <c r="N142" s="111">
        <f>IF(COUNT($H142:M142)&gt;=Input!$Y$7,0,($G93+(SUM($G142:M142)))*N$7)</f>
        <v>0</v>
      </c>
      <c r="O142" s="111">
        <f>IF(COUNT($H142:N142)&gt;=Input!$Y$7,0,($G93+(SUM($G142:N142)))*O$7)</f>
        <v>0</v>
      </c>
      <c r="P142" s="111">
        <f>IF(COUNT($H142:O142)&gt;=Input!$Y$7,0,($G93+(SUM($G142:O142)))*P$7)</f>
        <v>0</v>
      </c>
      <c r="Q142" s="111">
        <f>IF(COUNT($H142:P142)&gt;=Input!$Y$7,0,($G93+(SUM($G142:P142)))*Q$7)</f>
        <v>0</v>
      </c>
      <c r="R142" s="100"/>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1"/>
      <c r="BK142" s="221"/>
    </row>
    <row r="143" spans="1:63" hidden="1" outlineLevel="1">
      <c r="A143" s="9"/>
      <c r="B143" s="44"/>
      <c r="C143" s="282" t="s">
        <v>27</v>
      </c>
      <c r="D143" s="9"/>
      <c r="E143" s="9"/>
      <c r="F143" s="139"/>
      <c r="G143" s="201"/>
      <c r="H143" s="111"/>
      <c r="I143" s="111"/>
      <c r="J143" s="111"/>
      <c r="K143" s="111"/>
      <c r="L143" s="111">
        <f>IF(COUNT($H142:L142)=Input!$Y$7,SUM($G142:L142),0)</f>
        <v>0</v>
      </c>
      <c r="M143" s="111">
        <f>IF(COUNT($H142:M142)=Input!$Y$7,SUM($G142:M142),0)</f>
        <v>0</v>
      </c>
      <c r="N143" s="111">
        <f>IF(COUNT($H142:N142)=Input!$Y$7,SUM($G142:N142),0)</f>
        <v>0</v>
      </c>
      <c r="O143" s="111">
        <f>IF(COUNT($H142:O142)=Input!$Y$7,SUM($G142:O142),0)</f>
        <v>0</v>
      </c>
      <c r="P143" s="111">
        <f>IF(COUNT($H142:P142)=Input!$Y$7,SUM($G142:P142),0)</f>
        <v>0</v>
      </c>
      <c r="Q143" s="111">
        <f>IF(COUNT($H142:Q142)=Input!$Y$7,SUM($G142:Q142),0)</f>
        <v>0</v>
      </c>
      <c r="R143" s="100"/>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1"/>
      <c r="BK143" s="221"/>
    </row>
    <row r="144" spans="1:63" hidden="1" outlineLevel="1">
      <c r="A144" s="9"/>
      <c r="B144" s="44"/>
      <c r="C144" s="270">
        <f>Asset19</f>
        <v>0</v>
      </c>
      <c r="D144" s="9"/>
      <c r="E144" s="9"/>
      <c r="F144" s="139"/>
      <c r="G144" s="201"/>
      <c r="H144" s="111">
        <f>($G94+(SUM($G144:G144)))*H$7</f>
        <v>0</v>
      </c>
      <c r="I144" s="111">
        <f>($G94+(SUM($G144:H144)))*I$7</f>
        <v>0</v>
      </c>
      <c r="J144" s="111">
        <f>($G94+(SUM($G144:I144)))*J$7</f>
        <v>0</v>
      </c>
      <c r="K144" s="111">
        <f>($G94+(SUM($G144:J144)))*K$7</f>
        <v>0</v>
      </c>
      <c r="L144" s="111">
        <f>($G94+(SUM($G144:K144)))*L$7</f>
        <v>0</v>
      </c>
      <c r="M144" s="111">
        <f>($G94+(SUM($G144:L144)))*M$7</f>
        <v>0</v>
      </c>
      <c r="N144" s="111">
        <f>IF(COUNT($H144:M144)&gt;=Input!$Y$7,0,($G94+(SUM($G144:M144)))*N$7)</f>
        <v>0</v>
      </c>
      <c r="O144" s="111">
        <f>IF(COUNT($H144:N144)&gt;=Input!$Y$7,0,($G94+(SUM($G144:N144)))*O$7)</f>
        <v>0</v>
      </c>
      <c r="P144" s="111">
        <f>IF(COUNT($H144:O144)&gt;=Input!$Y$7,0,($G94+(SUM($G144:O144)))*P$7)</f>
        <v>0</v>
      </c>
      <c r="Q144" s="111">
        <f>IF(COUNT($H144:P144)&gt;=Input!$Y$7,0,($G94+(SUM($G144:P144)))*Q$7)</f>
        <v>0</v>
      </c>
      <c r="R144" s="100"/>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1"/>
      <c r="BK144" s="221"/>
    </row>
    <row r="145" spans="1:63" hidden="1" outlineLevel="1">
      <c r="A145" s="9"/>
      <c r="B145" s="44"/>
      <c r="C145" s="282" t="s">
        <v>27</v>
      </c>
      <c r="D145" s="9"/>
      <c r="E145" s="9"/>
      <c r="F145" s="139"/>
      <c r="G145" s="201"/>
      <c r="H145" s="111"/>
      <c r="I145" s="111"/>
      <c r="J145" s="111"/>
      <c r="K145" s="111"/>
      <c r="L145" s="111">
        <f>IF(COUNT($H144:L144)=Input!$Y$7,SUM($G144:L144),0)</f>
        <v>0</v>
      </c>
      <c r="M145" s="111">
        <f>IF(COUNT($H144:M144)=Input!$Y$7,SUM($G144:M144),0)</f>
        <v>0</v>
      </c>
      <c r="N145" s="111">
        <f>IF(COUNT($H144:N144)=Input!$Y$7,SUM($G144:N144),0)</f>
        <v>0</v>
      </c>
      <c r="O145" s="111">
        <f>IF(COUNT($H144:O144)=Input!$Y$7,SUM($G144:O144),0)</f>
        <v>0</v>
      </c>
      <c r="P145" s="111">
        <f>IF(COUNT($H144:P144)=Input!$Y$7,SUM($G144:P144),0)</f>
        <v>0</v>
      </c>
      <c r="Q145" s="111">
        <f>IF(COUNT($H144:Q144)=Input!$Y$7,SUM($G144:Q144),0)</f>
        <v>0</v>
      </c>
      <c r="R145" s="100"/>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1"/>
      <c r="BK145" s="221"/>
    </row>
    <row r="146" spans="1:63" hidden="1" outlineLevel="1">
      <c r="A146" s="9"/>
      <c r="B146" s="44"/>
      <c r="C146" s="270">
        <f>Asset20</f>
        <v>0</v>
      </c>
      <c r="D146" s="9"/>
      <c r="E146" s="9"/>
      <c r="F146" s="139"/>
      <c r="G146" s="201"/>
      <c r="H146" s="111">
        <f>($G95+(SUM($G146:G146)))*H$7</f>
        <v>0</v>
      </c>
      <c r="I146" s="111">
        <f>($G95+(SUM($G146:H146)))*I$7</f>
        <v>0</v>
      </c>
      <c r="J146" s="111">
        <f>($G95+(SUM($G146:I146)))*J$7</f>
        <v>0</v>
      </c>
      <c r="K146" s="111">
        <f>($G95+(SUM($G146:J146)))*K$7</f>
        <v>0</v>
      </c>
      <c r="L146" s="111">
        <f>($G95+(SUM($G146:K146)))*L$7</f>
        <v>0</v>
      </c>
      <c r="M146" s="111">
        <f>($G95+(SUM($G146:L146)))*M$7</f>
        <v>0</v>
      </c>
      <c r="N146" s="111">
        <f>IF(COUNT($H146:M146)&gt;=Input!$Y$7,0,($G95+(SUM($G146:M146)))*N$7)</f>
        <v>0</v>
      </c>
      <c r="O146" s="111">
        <f>IF(COUNT($H146:N146)&gt;=Input!$Y$7,0,($G95+(SUM($G146:N146)))*O$7)</f>
        <v>0</v>
      </c>
      <c r="P146" s="111">
        <f>IF(COUNT($H146:O146)&gt;=Input!$Y$7,0,($G95+(SUM($G146:O146)))*P$7)</f>
        <v>0</v>
      </c>
      <c r="Q146" s="111">
        <f>IF(COUNT($H146:P146)&gt;=Input!$Y$7,0,($G95+(SUM($G146:P146)))*Q$7)</f>
        <v>0</v>
      </c>
      <c r="R146" s="100"/>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1"/>
      <c r="BK146" s="221"/>
    </row>
    <row r="147" spans="1:63" hidden="1" outlineLevel="1">
      <c r="A147" s="9"/>
      <c r="B147" s="44"/>
      <c r="C147" s="282" t="s">
        <v>27</v>
      </c>
      <c r="D147" s="9"/>
      <c r="E147" s="9"/>
      <c r="F147" s="139"/>
      <c r="G147" s="201"/>
      <c r="H147" s="111"/>
      <c r="I147" s="111"/>
      <c r="J147" s="111"/>
      <c r="K147" s="111"/>
      <c r="L147" s="111">
        <f>IF(COUNT($H146:L146)=Input!$Y$7,SUM($G146:L146),0)</f>
        <v>0</v>
      </c>
      <c r="M147" s="111">
        <f>IF(COUNT($H146:M146)=Input!$Y$7,SUM($G146:M146),0)</f>
        <v>0</v>
      </c>
      <c r="N147" s="111">
        <f>IF(COUNT($H146:N146)=Input!$Y$7,SUM($G146:N146),0)</f>
        <v>0</v>
      </c>
      <c r="O147" s="111">
        <f>IF(COUNT($H146:O146)=Input!$Y$7,SUM($G146:O146),0)</f>
        <v>0</v>
      </c>
      <c r="P147" s="111">
        <f>IF(COUNT($H146:P146)=Input!$Y$7,SUM($G146:P146),0)</f>
        <v>0</v>
      </c>
      <c r="Q147" s="111">
        <f>IF(COUNT($H146:Q146)=Input!$Y$7,SUM($G146:Q146),0)</f>
        <v>0</v>
      </c>
      <c r="R147" s="100"/>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1"/>
      <c r="BK147" s="221"/>
    </row>
    <row r="148" spans="1:63" hidden="1" outlineLevel="1">
      <c r="A148" s="9"/>
      <c r="B148" s="44"/>
      <c r="C148" s="282">
        <f>Asset21</f>
        <v>0</v>
      </c>
      <c r="D148" s="9"/>
      <c r="E148" s="9"/>
      <c r="F148" s="139"/>
      <c r="G148" s="201"/>
      <c r="H148" s="111">
        <f>($G96+(SUM($G148:G148)))*H$7</f>
        <v>0</v>
      </c>
      <c r="I148" s="111">
        <f>($G96+(SUM($G148:H148)))*I$7</f>
        <v>0</v>
      </c>
      <c r="J148" s="111">
        <f>($G96+(SUM($G148:I148)))*J$7</f>
        <v>0</v>
      </c>
      <c r="K148" s="111">
        <f>($G96+(SUM($G148:J148)))*K$7</f>
        <v>0</v>
      </c>
      <c r="L148" s="111">
        <f>($G96+(SUM($G148:K148)))*L$7</f>
        <v>0</v>
      </c>
      <c r="M148" s="111">
        <f>($G96+(SUM($G148:L148)))*M$7</f>
        <v>0</v>
      </c>
      <c r="N148" s="111">
        <f>IF(COUNT($H148:M148)&gt;=Input!$Y$7,0,($G96+(SUM($G148:M148)))*N$7)</f>
        <v>0</v>
      </c>
      <c r="O148" s="111">
        <f>IF(COUNT($H148:N148)&gt;=Input!$Y$7,0,($G96+(SUM($G148:N148)))*O$7)</f>
        <v>0</v>
      </c>
      <c r="P148" s="111">
        <f>IF(COUNT($H148:O148)&gt;=Input!$Y$7,0,($G96+(SUM($G148:O148)))*P$7)</f>
        <v>0</v>
      </c>
      <c r="Q148" s="111">
        <f>IF(COUNT($H148:P148)&gt;=Input!$Y$7,0,($G96+(SUM($G148:P148)))*Q$7)</f>
        <v>0</v>
      </c>
      <c r="R148" s="100"/>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1"/>
      <c r="BK148" s="221"/>
    </row>
    <row r="149" spans="1:63" hidden="1" outlineLevel="1">
      <c r="A149" s="9"/>
      <c r="B149" s="44"/>
      <c r="C149" s="282" t="s">
        <v>27</v>
      </c>
      <c r="D149" s="9"/>
      <c r="E149" s="9"/>
      <c r="F149" s="139"/>
      <c r="G149" s="201"/>
      <c r="H149" s="111"/>
      <c r="I149" s="111"/>
      <c r="J149" s="111"/>
      <c r="K149" s="111"/>
      <c r="L149" s="111">
        <f>IF(COUNT($H148:L148)=Input!$Y$7,SUM($G148:L148),0)</f>
        <v>0</v>
      </c>
      <c r="M149" s="111">
        <f>IF(COUNT($H148:M148)=Input!$Y$7,SUM($G148:M148),0)</f>
        <v>0</v>
      </c>
      <c r="N149" s="111">
        <f>IF(COUNT($H148:N148)=Input!$Y$7,SUM($G148:N148),0)</f>
        <v>0</v>
      </c>
      <c r="O149" s="111">
        <f>IF(COUNT($H148:O148)=Input!$Y$7,SUM($G148:O148),0)</f>
        <v>0</v>
      </c>
      <c r="P149" s="111">
        <f>IF(COUNT($H148:P148)=Input!$Y$7,SUM($G148:P148),0)</f>
        <v>0</v>
      </c>
      <c r="Q149" s="111">
        <f>IF(COUNT($H148:Q148)=Input!$Y$7,SUM($G148:Q148),0)</f>
        <v>0</v>
      </c>
      <c r="R149" s="100"/>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1"/>
      <c r="BK149" s="221"/>
    </row>
    <row r="150" spans="1:63" hidden="1" outlineLevel="1">
      <c r="A150" s="9"/>
      <c r="B150" s="44"/>
      <c r="C150" s="282">
        <f>Asset22</f>
        <v>0</v>
      </c>
      <c r="D150" s="9"/>
      <c r="E150" s="9"/>
      <c r="F150" s="139"/>
      <c r="G150" s="201"/>
      <c r="H150" s="111">
        <f>($G97+(SUM($G150:G150)))*H$7</f>
        <v>0</v>
      </c>
      <c r="I150" s="111">
        <f>($G97+(SUM($G150:H150)))*I$7</f>
        <v>0</v>
      </c>
      <c r="J150" s="111">
        <f>($G97+(SUM($G150:I150)))*J$7</f>
        <v>0</v>
      </c>
      <c r="K150" s="111">
        <f>($G97+(SUM($G150:J150)))*K$7</f>
        <v>0</v>
      </c>
      <c r="L150" s="111">
        <f>($G97+(SUM($G150:K150)))*L$7</f>
        <v>0</v>
      </c>
      <c r="M150" s="111">
        <f>($G97+(SUM($G150:L150)))*M$7</f>
        <v>0</v>
      </c>
      <c r="N150" s="111">
        <f>IF(COUNT($H150:M150)&gt;=Input!$Y$7,0,($G97+(SUM($G150:M150)))*N$7)</f>
        <v>0</v>
      </c>
      <c r="O150" s="111">
        <f>IF(COUNT($H150:N150)&gt;=Input!$Y$7,0,($G97+(SUM($G150:N150)))*O$7)</f>
        <v>0</v>
      </c>
      <c r="P150" s="111">
        <f>IF(COUNT($H150:O150)&gt;=Input!$Y$7,0,($G97+(SUM($G150:O150)))*P$7)</f>
        <v>0</v>
      </c>
      <c r="Q150" s="111">
        <f>IF(COUNT($H150:P150)&gt;=Input!$Y$7,0,($G97+(SUM($G150:P150)))*Q$7)</f>
        <v>0</v>
      </c>
      <c r="R150" s="100"/>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1"/>
      <c r="BK150" s="221"/>
    </row>
    <row r="151" spans="1:63" hidden="1" outlineLevel="1">
      <c r="A151" s="9"/>
      <c r="B151" s="44"/>
      <c r="C151" s="282" t="s">
        <v>27</v>
      </c>
      <c r="D151" s="9"/>
      <c r="E151" s="9"/>
      <c r="F151" s="139"/>
      <c r="G151" s="201"/>
      <c r="H151" s="111"/>
      <c r="I151" s="111"/>
      <c r="J151" s="111"/>
      <c r="K151" s="111"/>
      <c r="L151" s="111">
        <f>IF(COUNT($H150:L150)=Input!$Y$7,SUM($G150:L150),0)</f>
        <v>0</v>
      </c>
      <c r="M151" s="111">
        <f>IF(COUNT($H150:M150)=Input!$Y$7,SUM($G150:M150),0)</f>
        <v>0</v>
      </c>
      <c r="N151" s="111">
        <f>IF(COUNT($H150:N150)=Input!$Y$7,SUM($G150:N150),0)</f>
        <v>0</v>
      </c>
      <c r="O151" s="111">
        <f>IF(COUNT($H150:O150)=Input!$Y$7,SUM($G150:O150),0)</f>
        <v>0</v>
      </c>
      <c r="P151" s="111">
        <f>IF(COUNT($H150:P150)=Input!$Y$7,SUM($G150:P150),0)</f>
        <v>0</v>
      </c>
      <c r="Q151" s="111">
        <f>IF(COUNT($H150:Q150)=Input!$Y$7,SUM($G150:Q150),0)</f>
        <v>0</v>
      </c>
      <c r="R151" s="100"/>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1"/>
      <c r="BK151" s="221"/>
    </row>
    <row r="152" spans="1:63" hidden="1" outlineLevel="1">
      <c r="A152" s="9"/>
      <c r="B152" s="44"/>
      <c r="C152" s="282">
        <f>Asset23</f>
        <v>0</v>
      </c>
      <c r="D152" s="9"/>
      <c r="E152" s="9"/>
      <c r="F152" s="139"/>
      <c r="G152" s="201"/>
      <c r="H152" s="111">
        <f>($G98+(SUM($G152:G152)))*H$7</f>
        <v>0</v>
      </c>
      <c r="I152" s="111">
        <f>($G98+(SUM($G152:H152)))*I$7</f>
        <v>0</v>
      </c>
      <c r="J152" s="111">
        <f>($G98+(SUM($G152:I152)))*J$7</f>
        <v>0</v>
      </c>
      <c r="K152" s="111">
        <f>($G98+(SUM($G152:J152)))*K$7</f>
        <v>0</v>
      </c>
      <c r="L152" s="111">
        <f>($G98+(SUM($G152:K152)))*L$7</f>
        <v>0</v>
      </c>
      <c r="M152" s="111">
        <f>($G98+(SUM($G152:L152)))*M$7</f>
        <v>0</v>
      </c>
      <c r="N152" s="111">
        <f>IF(COUNT($H152:M152)&gt;=Input!$Y$7,0,($G98+(SUM($G152:M152)))*N$7)</f>
        <v>0</v>
      </c>
      <c r="O152" s="111">
        <f>IF(COUNT($H152:N152)&gt;=Input!$Y$7,0,($G98+(SUM($G152:N152)))*O$7)</f>
        <v>0</v>
      </c>
      <c r="P152" s="111">
        <f>IF(COUNT($H152:O152)&gt;=Input!$Y$7,0,($G98+(SUM($G152:O152)))*P$7)</f>
        <v>0</v>
      </c>
      <c r="Q152" s="111">
        <f>IF(COUNT($H152:P152)&gt;=Input!$Y$7,0,($G98+(SUM($G152:P152)))*Q$7)</f>
        <v>0</v>
      </c>
      <c r="R152" s="100"/>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1"/>
      <c r="BK152" s="221"/>
    </row>
    <row r="153" spans="1:63" hidden="1" outlineLevel="1">
      <c r="A153" s="9"/>
      <c r="B153" s="44"/>
      <c r="C153" s="282" t="s">
        <v>27</v>
      </c>
      <c r="D153" s="9"/>
      <c r="E153" s="9"/>
      <c r="F153" s="139"/>
      <c r="G153" s="201"/>
      <c r="H153" s="111"/>
      <c r="I153" s="111"/>
      <c r="J153" s="111"/>
      <c r="K153" s="111"/>
      <c r="L153" s="111">
        <f>IF(COUNT($H152:L152)=Input!$Y$7,SUM($G152:L152),0)</f>
        <v>0</v>
      </c>
      <c r="M153" s="111">
        <f>IF(COUNT($H152:M152)=Input!$Y$7,SUM($G152:M152),0)</f>
        <v>0</v>
      </c>
      <c r="N153" s="111">
        <f>IF(COUNT($H152:N152)=Input!$Y$7,SUM($G152:N152),0)</f>
        <v>0</v>
      </c>
      <c r="O153" s="111">
        <f>IF(COUNT($H152:O152)=Input!$Y$7,SUM($G152:O152),0)</f>
        <v>0</v>
      </c>
      <c r="P153" s="111">
        <f>IF(COUNT($H152:P152)=Input!$Y$7,SUM($G152:P152),0)</f>
        <v>0</v>
      </c>
      <c r="Q153" s="111">
        <f>IF(COUNT($H152:Q152)=Input!$Y$7,SUM($G152:Q152),0)</f>
        <v>0</v>
      </c>
      <c r="R153" s="100"/>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1"/>
      <c r="BK153" s="221"/>
    </row>
    <row r="154" spans="1:63" hidden="1" outlineLevel="1">
      <c r="A154" s="9"/>
      <c r="B154" s="44"/>
      <c r="C154" s="282">
        <f>Asset24</f>
        <v>0</v>
      </c>
      <c r="D154" s="9"/>
      <c r="E154" s="9"/>
      <c r="F154" s="139"/>
      <c r="G154" s="201"/>
      <c r="H154" s="111">
        <f>($G99+(SUM($G154:G154)))*H$7</f>
        <v>0</v>
      </c>
      <c r="I154" s="111">
        <f>($G99+(SUM($G154:H154)))*I$7</f>
        <v>0</v>
      </c>
      <c r="J154" s="111">
        <f>($G99+(SUM($G154:I154)))*J$7</f>
        <v>0</v>
      </c>
      <c r="K154" s="111">
        <f>($G99+(SUM($G154:J154)))*K$7</f>
        <v>0</v>
      </c>
      <c r="L154" s="111">
        <f>($G99+(SUM($G154:K154)))*L$7</f>
        <v>0</v>
      </c>
      <c r="M154" s="111">
        <f>($G99+(SUM($G154:L154)))*M$7</f>
        <v>0</v>
      </c>
      <c r="N154" s="111">
        <f>IF(COUNT($H154:M154)&gt;=Input!$Y$7,0,($G99+(SUM($G154:M154)))*N$7)</f>
        <v>0</v>
      </c>
      <c r="O154" s="111">
        <f>IF(COUNT($H154:N154)&gt;=Input!$Y$7,0,($G99+(SUM($G154:N154)))*O$7)</f>
        <v>0</v>
      </c>
      <c r="P154" s="111">
        <f>IF(COUNT($H154:O154)&gt;=Input!$Y$7,0,($G99+(SUM($G154:O154)))*P$7)</f>
        <v>0</v>
      </c>
      <c r="Q154" s="111">
        <f>IF(COUNT($H154:P154)&gt;=Input!$Y$7,0,($G99+(SUM($G154:P154)))*Q$7)</f>
        <v>0</v>
      </c>
      <c r="R154" s="100"/>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1"/>
      <c r="BK154" s="221"/>
    </row>
    <row r="155" spans="1:63" hidden="1" outlineLevel="1">
      <c r="A155" s="9"/>
      <c r="B155" s="44"/>
      <c r="C155" s="282" t="s">
        <v>27</v>
      </c>
      <c r="D155" s="9"/>
      <c r="E155" s="9"/>
      <c r="F155" s="139"/>
      <c r="G155" s="201"/>
      <c r="H155" s="111"/>
      <c r="I155" s="111"/>
      <c r="J155" s="111"/>
      <c r="K155" s="111"/>
      <c r="L155" s="111">
        <f>IF(COUNT($H154:L154)=Input!$Y$7,SUM($G154:L154),0)</f>
        <v>0</v>
      </c>
      <c r="M155" s="111">
        <f>IF(COUNT($H154:M154)=Input!$Y$7,SUM($G154:M154),0)</f>
        <v>0</v>
      </c>
      <c r="N155" s="111">
        <f>IF(COUNT($H154:N154)=Input!$Y$7,SUM($G154:N154),0)</f>
        <v>0</v>
      </c>
      <c r="O155" s="111">
        <f>IF(COUNT($H154:O154)=Input!$Y$7,SUM($G154:O154),0)</f>
        <v>0</v>
      </c>
      <c r="P155" s="111">
        <f>IF(COUNT($H154:P154)=Input!$Y$7,SUM($G154:P154),0)</f>
        <v>0</v>
      </c>
      <c r="Q155" s="111">
        <f>IF(COUNT($H154:Q154)=Input!$Y$7,SUM($G154:Q154),0)</f>
        <v>0</v>
      </c>
      <c r="R155" s="100"/>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1"/>
      <c r="BK155" s="221"/>
    </row>
    <row r="156" spans="1:63" hidden="1" outlineLevel="1">
      <c r="A156" s="9"/>
      <c r="B156" s="44"/>
      <c r="C156" s="282">
        <f>Asset25</f>
        <v>0</v>
      </c>
      <c r="D156" s="9"/>
      <c r="E156" s="9"/>
      <c r="F156" s="139"/>
      <c r="G156" s="201"/>
      <c r="H156" s="111">
        <f>($G100+(SUM($G156:G156)))*H$7</f>
        <v>0</v>
      </c>
      <c r="I156" s="111">
        <f>($G100+(SUM($G156:H156)))*I$7</f>
        <v>0</v>
      </c>
      <c r="J156" s="111">
        <f>($G100+(SUM($G156:I156)))*J$7</f>
        <v>0</v>
      </c>
      <c r="K156" s="111">
        <f>($G100+(SUM($G156:J156)))*K$7</f>
        <v>0</v>
      </c>
      <c r="L156" s="111">
        <f>($G100+(SUM($G156:K156)))*L$7</f>
        <v>0</v>
      </c>
      <c r="M156" s="111">
        <f>($G100+(SUM($G156:L156)))*M$7</f>
        <v>0</v>
      </c>
      <c r="N156" s="111">
        <f>IF(COUNT($H156:M156)&gt;=Input!$Y$7,0,($G100+(SUM($G156:M156)))*N$7)</f>
        <v>0</v>
      </c>
      <c r="O156" s="111">
        <f>IF(COUNT($H156:N156)&gt;=Input!$Y$7,0,($G100+(SUM($G156:N156)))*O$7)</f>
        <v>0</v>
      </c>
      <c r="P156" s="111">
        <f>IF(COUNT($H156:O156)&gt;=Input!$Y$7,0,($G100+(SUM($G156:O156)))*P$7)</f>
        <v>0</v>
      </c>
      <c r="Q156" s="111">
        <f>IF(COUNT($H156:P156)&gt;=Input!$Y$7,0,($G100+(SUM($G156:P156)))*Q$7)</f>
        <v>0</v>
      </c>
      <c r="R156" s="100"/>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1"/>
      <c r="BK156" s="221"/>
    </row>
    <row r="157" spans="1:63" hidden="1" outlineLevel="1">
      <c r="A157" s="9"/>
      <c r="B157" s="44"/>
      <c r="C157" s="282" t="s">
        <v>27</v>
      </c>
      <c r="D157" s="9"/>
      <c r="E157" s="9"/>
      <c r="F157" s="139"/>
      <c r="G157" s="201"/>
      <c r="H157" s="111"/>
      <c r="I157" s="111"/>
      <c r="J157" s="111"/>
      <c r="K157" s="111"/>
      <c r="L157" s="111">
        <f>IF(COUNT($H156:L156)=Input!$Y$7,SUM($G156:L156),0)</f>
        <v>0</v>
      </c>
      <c r="M157" s="111">
        <f>IF(COUNT($H156:M156)=Input!$Y$7,SUM($G156:M156),0)</f>
        <v>0</v>
      </c>
      <c r="N157" s="111">
        <f>IF(COUNT($H156:N156)=Input!$Y$7,SUM($G156:N156),0)</f>
        <v>0</v>
      </c>
      <c r="O157" s="111">
        <f>IF(COUNT($H156:O156)=Input!$Y$7,SUM($G156:O156),0)</f>
        <v>0</v>
      </c>
      <c r="P157" s="111">
        <f>IF(COUNT($H156:P156)=Input!$Y$7,SUM($G156:P156),0)</f>
        <v>0</v>
      </c>
      <c r="Q157" s="111">
        <f>IF(COUNT($H156:Q156)=Input!$Y$7,SUM($G156:Q156),0)</f>
        <v>0</v>
      </c>
      <c r="R157" s="100"/>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1"/>
      <c r="BK157" s="221"/>
    </row>
    <row r="158" spans="1:63" hidden="1" outlineLevel="1">
      <c r="A158" s="9"/>
      <c r="B158" s="44"/>
      <c r="C158" s="282">
        <f>Asset26</f>
        <v>0</v>
      </c>
      <c r="D158" s="9"/>
      <c r="E158" s="9"/>
      <c r="F158" s="139"/>
      <c r="G158" s="201"/>
      <c r="H158" s="111">
        <f>($G101+(SUM($G158:G158)))*H$7</f>
        <v>0</v>
      </c>
      <c r="I158" s="111">
        <f>($G101+(SUM($G158:H158)))*I$7</f>
        <v>0</v>
      </c>
      <c r="J158" s="111">
        <f>($G101+(SUM($G158:I158)))*J$7</f>
        <v>0</v>
      </c>
      <c r="K158" s="111">
        <f>($G101+(SUM($G158:J158)))*K$7</f>
        <v>0</v>
      </c>
      <c r="L158" s="111">
        <f>($G101+(SUM($G158:K158)))*L$7</f>
        <v>0</v>
      </c>
      <c r="M158" s="111">
        <f>($G101+(SUM($G158:L158)))*M$7</f>
        <v>0</v>
      </c>
      <c r="N158" s="111">
        <f>IF(COUNT($H158:M158)&gt;=Input!$Y$7,0,($G101+(SUM($G158:M158)))*N$7)</f>
        <v>0</v>
      </c>
      <c r="O158" s="111">
        <f>IF(COUNT($H158:N158)&gt;=Input!$Y$7,0,($G101+(SUM($G158:N158)))*O$7)</f>
        <v>0</v>
      </c>
      <c r="P158" s="111">
        <f>IF(COUNT($H158:O158)&gt;=Input!$Y$7,0,($G101+(SUM($G158:O158)))*P$7)</f>
        <v>0</v>
      </c>
      <c r="Q158" s="111">
        <f>IF(COUNT($H158:P158)&gt;=Input!$Y$7,0,($G101+(SUM($G158:P158)))*Q$7)</f>
        <v>0</v>
      </c>
      <c r="R158" s="100"/>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1"/>
      <c r="BK158" s="221"/>
    </row>
    <row r="159" spans="1:63" hidden="1" outlineLevel="1">
      <c r="A159" s="9"/>
      <c r="B159" s="44"/>
      <c r="C159" s="282" t="s">
        <v>27</v>
      </c>
      <c r="D159" s="9"/>
      <c r="E159" s="9"/>
      <c r="F159" s="139"/>
      <c r="G159" s="201"/>
      <c r="H159" s="111"/>
      <c r="I159" s="111"/>
      <c r="J159" s="111"/>
      <c r="K159" s="111"/>
      <c r="L159" s="111">
        <f>IF(COUNT($H158:L158)=Input!$Y$7,SUM($G158:L158),0)</f>
        <v>0</v>
      </c>
      <c r="M159" s="111">
        <f>IF(COUNT($H158:M158)=Input!$Y$7,SUM($G158:M158),0)</f>
        <v>0</v>
      </c>
      <c r="N159" s="111">
        <f>IF(COUNT($H158:N158)=Input!$Y$7,SUM($G158:N158),0)</f>
        <v>0</v>
      </c>
      <c r="O159" s="111">
        <f>IF(COUNT($H158:O158)=Input!$Y$7,SUM($G158:O158),0)</f>
        <v>0</v>
      </c>
      <c r="P159" s="111">
        <f>IF(COUNT($H158:P158)=Input!$Y$7,SUM($G158:P158),0)</f>
        <v>0</v>
      </c>
      <c r="Q159" s="111">
        <f>IF(COUNT($H158:Q158)=Input!$Y$7,SUM($G158:Q158),0)</f>
        <v>0</v>
      </c>
      <c r="R159" s="100"/>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1"/>
      <c r="BK159" s="221"/>
    </row>
    <row r="160" spans="1:63" hidden="1" outlineLevel="1">
      <c r="A160" s="9"/>
      <c r="B160" s="44"/>
      <c r="C160" s="282">
        <f>Asset27</f>
        <v>0</v>
      </c>
      <c r="D160" s="9"/>
      <c r="E160" s="9"/>
      <c r="F160" s="139"/>
      <c r="G160" s="201"/>
      <c r="H160" s="111">
        <f>($G102+(SUM($G160:G160)))*H$7</f>
        <v>0</v>
      </c>
      <c r="I160" s="111">
        <f>($G102+(SUM($G160:H160)))*I$7</f>
        <v>0</v>
      </c>
      <c r="J160" s="111">
        <f>($G102+(SUM($G160:I160)))*J$7</f>
        <v>0</v>
      </c>
      <c r="K160" s="111">
        <f>($G102+(SUM($G160:J160)))*K$7</f>
        <v>0</v>
      </c>
      <c r="L160" s="111">
        <f>($G102+(SUM($G160:K160)))*L$7</f>
        <v>0</v>
      </c>
      <c r="M160" s="111">
        <f>($G102+(SUM($G160:L160)))*M$7</f>
        <v>0</v>
      </c>
      <c r="N160" s="111">
        <f>IF(COUNT($H160:M160)&gt;=Input!$Y$7,0,($G102+(SUM($G160:M160)))*N$7)</f>
        <v>0</v>
      </c>
      <c r="O160" s="111">
        <f>IF(COUNT($H160:N160)&gt;=Input!$Y$7,0,($G102+(SUM($G160:N160)))*O$7)</f>
        <v>0</v>
      </c>
      <c r="P160" s="111">
        <f>IF(COUNT($H160:O160)&gt;=Input!$Y$7,0,($G102+(SUM($G160:O160)))*P$7)</f>
        <v>0</v>
      </c>
      <c r="Q160" s="111">
        <f>IF(COUNT($H160:P160)&gt;=Input!$Y$7,0,($G102+(SUM($G160:P160)))*Q$7)</f>
        <v>0</v>
      </c>
      <c r="R160" s="100"/>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1"/>
      <c r="BK160" s="221"/>
    </row>
    <row r="161" spans="1:63" hidden="1" outlineLevel="1">
      <c r="A161" s="9"/>
      <c r="B161" s="44"/>
      <c r="C161" s="282" t="s">
        <v>27</v>
      </c>
      <c r="D161" s="9"/>
      <c r="E161" s="9"/>
      <c r="F161" s="139"/>
      <c r="G161" s="201"/>
      <c r="H161" s="111"/>
      <c r="I161" s="111"/>
      <c r="J161" s="111"/>
      <c r="K161" s="111"/>
      <c r="L161" s="111">
        <f>IF(COUNT($H160:L160)=Input!$Y$7,SUM($G160:L160),0)</f>
        <v>0</v>
      </c>
      <c r="M161" s="111">
        <f>IF(COUNT($H160:M160)=Input!$Y$7,SUM($G160:M160),0)</f>
        <v>0</v>
      </c>
      <c r="N161" s="111">
        <f>IF(COUNT($H160:N160)=Input!$Y$7,SUM($G160:N160),0)</f>
        <v>0</v>
      </c>
      <c r="O161" s="111">
        <f>IF(COUNT($H160:O160)=Input!$Y$7,SUM($G160:O160),0)</f>
        <v>0</v>
      </c>
      <c r="P161" s="111">
        <f>IF(COUNT($H160:P160)=Input!$Y$7,SUM($G160:P160),0)</f>
        <v>0</v>
      </c>
      <c r="Q161" s="111">
        <f>IF(COUNT($H160:Q160)=Input!$Y$7,SUM($G160:Q160),0)</f>
        <v>0</v>
      </c>
      <c r="R161" s="100"/>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1"/>
      <c r="BK161" s="221"/>
    </row>
    <row r="162" spans="1:63" hidden="1" outlineLevel="1">
      <c r="A162" s="9"/>
      <c r="B162" s="44"/>
      <c r="C162" s="282">
        <f>Asset28</f>
        <v>0</v>
      </c>
      <c r="D162" s="9"/>
      <c r="E162" s="9"/>
      <c r="F162" s="139"/>
      <c r="G162" s="201"/>
      <c r="H162" s="111">
        <f>($G103+(SUM($G162:G162)))*H$7</f>
        <v>0</v>
      </c>
      <c r="I162" s="111">
        <f>($G103+(SUM($G162:H162)))*I$7</f>
        <v>0</v>
      </c>
      <c r="J162" s="111">
        <f>($G103+(SUM($G162:I162)))*J$7</f>
        <v>0</v>
      </c>
      <c r="K162" s="111">
        <f>($G103+(SUM($G162:J162)))*K$7</f>
        <v>0</v>
      </c>
      <c r="L162" s="111">
        <f>($G103+(SUM($G162:K162)))*L$7</f>
        <v>0</v>
      </c>
      <c r="M162" s="111">
        <f>($G103+(SUM($G162:L162)))*M$7</f>
        <v>0</v>
      </c>
      <c r="N162" s="111">
        <f>IF(COUNT($H162:M162)&gt;=Input!$Y$7,0,($G103+(SUM($G162:M162)))*N$7)</f>
        <v>0</v>
      </c>
      <c r="O162" s="111">
        <f>IF(COUNT($H162:N162)&gt;=Input!$Y$7,0,($G103+(SUM($G162:N162)))*O$7)</f>
        <v>0</v>
      </c>
      <c r="P162" s="111">
        <f>IF(COUNT($H162:O162)&gt;=Input!$Y$7,0,($G103+(SUM($G162:O162)))*P$7)</f>
        <v>0</v>
      </c>
      <c r="Q162" s="111">
        <f>IF(COUNT($H162:P162)&gt;=Input!$Y$7,0,($G103+(SUM($G162:P162)))*Q$7)</f>
        <v>0</v>
      </c>
      <c r="R162" s="100"/>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1"/>
      <c r="BK162" s="221"/>
    </row>
    <row r="163" spans="1:63" hidden="1" outlineLevel="1">
      <c r="A163" s="9"/>
      <c r="B163" s="44"/>
      <c r="C163" s="282" t="s">
        <v>27</v>
      </c>
      <c r="D163" s="9"/>
      <c r="E163" s="9"/>
      <c r="F163" s="139"/>
      <c r="G163" s="201"/>
      <c r="H163" s="111"/>
      <c r="I163" s="111"/>
      <c r="J163" s="111"/>
      <c r="K163" s="111"/>
      <c r="L163" s="111">
        <f>IF(COUNT($H162:L162)=Input!$Y$7,SUM($G162:L162),0)</f>
        <v>0</v>
      </c>
      <c r="M163" s="111">
        <f>IF(COUNT($H162:M162)=Input!$Y$7,SUM($G162:M162),0)</f>
        <v>0</v>
      </c>
      <c r="N163" s="111">
        <f>IF(COUNT($H162:N162)=Input!$Y$7,SUM($G162:N162),0)</f>
        <v>0</v>
      </c>
      <c r="O163" s="111">
        <f>IF(COUNT($H162:O162)=Input!$Y$7,SUM($G162:O162),0)</f>
        <v>0</v>
      </c>
      <c r="P163" s="111">
        <f>IF(COUNT($H162:P162)=Input!$Y$7,SUM($G162:P162),0)</f>
        <v>0</v>
      </c>
      <c r="Q163" s="111">
        <f>IF(COUNT($H162:Q162)=Input!$Y$7,SUM($G162:Q162),0)</f>
        <v>0</v>
      </c>
      <c r="R163" s="100"/>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1"/>
      <c r="BK163" s="221"/>
    </row>
    <row r="164" spans="1:63" hidden="1" outlineLevel="1">
      <c r="A164" s="9"/>
      <c r="B164" s="44"/>
      <c r="C164" s="282">
        <f>Asset29</f>
        <v>0</v>
      </c>
      <c r="D164" s="9"/>
      <c r="E164" s="9"/>
      <c r="F164" s="139"/>
      <c r="G164" s="201"/>
      <c r="H164" s="111">
        <f>($G104+(SUM($G164:G164)))*H$7</f>
        <v>0</v>
      </c>
      <c r="I164" s="111">
        <f>($G104+(SUM($G164:H164)))*I$7</f>
        <v>0</v>
      </c>
      <c r="J164" s="111">
        <f>($G104+(SUM($G164:I164)))*J$7</f>
        <v>0</v>
      </c>
      <c r="K164" s="111">
        <f>($G104+(SUM($G164:J164)))*K$7</f>
        <v>0</v>
      </c>
      <c r="L164" s="111">
        <f>($G104+(SUM($G164:K164)))*L$7</f>
        <v>0</v>
      </c>
      <c r="M164" s="111">
        <f>($G104+(SUM($G164:L164)))*M$7</f>
        <v>0</v>
      </c>
      <c r="N164" s="111">
        <f>IF(COUNT($H164:M164)&gt;=Input!$Y$7,0,($G104+(SUM($G164:M164)))*N$7)</f>
        <v>0</v>
      </c>
      <c r="O164" s="111">
        <f>IF(COUNT($H164:N164)&gt;=Input!$Y$7,0,($G104+(SUM($G164:N164)))*O$7)</f>
        <v>0</v>
      </c>
      <c r="P164" s="111">
        <f>IF(COUNT($H164:O164)&gt;=Input!$Y$7,0,($G104+(SUM($G164:O164)))*P$7)</f>
        <v>0</v>
      </c>
      <c r="Q164" s="111">
        <f>IF(COUNT($H164:P164)&gt;=Input!$Y$7,0,($G104+(SUM($G164:P164)))*Q$7)</f>
        <v>0</v>
      </c>
      <c r="R164" s="100"/>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1"/>
      <c r="BK164" s="221"/>
    </row>
    <row r="165" spans="1:63" hidden="1" outlineLevel="1">
      <c r="A165" s="9"/>
      <c r="B165" s="44"/>
      <c r="C165" s="282" t="s">
        <v>27</v>
      </c>
      <c r="D165" s="9"/>
      <c r="E165" s="9"/>
      <c r="F165" s="139"/>
      <c r="G165" s="201"/>
      <c r="H165" s="111"/>
      <c r="I165" s="111"/>
      <c r="J165" s="111"/>
      <c r="K165" s="111"/>
      <c r="L165" s="111">
        <f>IF(COUNT($H164:L164)=Input!$Y$7,SUM($G164:L164),0)</f>
        <v>0</v>
      </c>
      <c r="M165" s="111">
        <f>IF(COUNT($H164:M164)=Input!$Y$7,SUM($G164:M164),0)</f>
        <v>0</v>
      </c>
      <c r="N165" s="111">
        <f>IF(COUNT($H164:N164)=Input!$Y$7,SUM($G164:N164),0)</f>
        <v>0</v>
      </c>
      <c r="O165" s="111">
        <f>IF(COUNT($H164:O164)=Input!$Y$7,SUM($G164:O164),0)</f>
        <v>0</v>
      </c>
      <c r="P165" s="111">
        <f>IF(COUNT($H164:P164)=Input!$Y$7,SUM($G164:P164),0)</f>
        <v>0</v>
      </c>
      <c r="Q165" s="111">
        <f>IF(COUNT($H164:Q164)=Input!$Y$7,SUM($G164:Q164),0)</f>
        <v>0</v>
      </c>
      <c r="R165" s="100"/>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1"/>
      <c r="BK165" s="221"/>
    </row>
    <row r="166" spans="1:63" hidden="1" outlineLevel="1">
      <c r="A166" s="9"/>
      <c r="B166" s="44"/>
      <c r="C166" s="282">
        <f>Asset30</f>
        <v>0</v>
      </c>
      <c r="D166" s="9"/>
      <c r="E166" s="9"/>
      <c r="F166" s="139"/>
      <c r="G166" s="201"/>
      <c r="H166" s="111">
        <f>($G105+(SUM($G166:G166)))*H$7</f>
        <v>0</v>
      </c>
      <c r="I166" s="111">
        <f>($G105+(SUM($G166:H166)))*I$7</f>
        <v>0</v>
      </c>
      <c r="J166" s="111">
        <f>($G105+(SUM($G166:I166)))*J$7</f>
        <v>0</v>
      </c>
      <c r="K166" s="111">
        <f>($G105+(SUM($G166:J166)))*K$7</f>
        <v>0</v>
      </c>
      <c r="L166" s="111">
        <f>($G105+(SUM($G166:K166)))*L$7</f>
        <v>0</v>
      </c>
      <c r="M166" s="111">
        <f>($G105+(SUM($G166:L166)))*M$7</f>
        <v>0</v>
      </c>
      <c r="N166" s="111">
        <f>IF(COUNT($H166:M166)&gt;=Input!$Y$7,0,($G105+(SUM($G166:M166)))*N$7)</f>
        <v>0</v>
      </c>
      <c r="O166" s="111">
        <f>IF(COUNT($H166:N166)&gt;=Input!$Y$7,0,($G105+(SUM($G166:N166)))*O$7)</f>
        <v>0</v>
      </c>
      <c r="P166" s="111">
        <f>IF(COUNT($H166:O166)&gt;=Input!$Y$7,0,($G105+(SUM($G166:O166)))*P$7)</f>
        <v>0</v>
      </c>
      <c r="Q166" s="111">
        <f>IF(COUNT($H166:P166)&gt;=Input!$Y$7,0,($G105+(SUM($G166:P166)))*Q$7)</f>
        <v>0</v>
      </c>
      <c r="R166" s="100"/>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1"/>
      <c r="BK166" s="221"/>
    </row>
    <row r="167" spans="1:63" hidden="1" outlineLevel="1">
      <c r="A167" s="9"/>
      <c r="B167" s="44"/>
      <c r="C167" s="282" t="s">
        <v>27</v>
      </c>
      <c r="D167" s="9"/>
      <c r="E167" s="9"/>
      <c r="F167" s="139"/>
      <c r="G167" s="201"/>
      <c r="H167" s="111"/>
      <c r="I167" s="111"/>
      <c r="J167" s="111"/>
      <c r="K167" s="111"/>
      <c r="L167" s="111">
        <f>IF(COUNT($H166:L166)=Input!$Y$7,SUM($G166:L166),0)</f>
        <v>0</v>
      </c>
      <c r="M167" s="111">
        <f>IF(COUNT($H166:M166)=Input!$Y$7,SUM($G166:M166),0)</f>
        <v>0</v>
      </c>
      <c r="N167" s="111">
        <f>IF(COUNT($H166:N166)=Input!$Y$7,SUM($G166:N166),0)</f>
        <v>0</v>
      </c>
      <c r="O167" s="111">
        <f>IF(COUNT($H166:O166)=Input!$Y$7,SUM($G166:O166),0)</f>
        <v>0</v>
      </c>
      <c r="P167" s="111">
        <f>IF(COUNT($H166:P166)=Input!$Y$7,SUM($G166:P166),0)</f>
        <v>0</v>
      </c>
      <c r="Q167" s="111">
        <f>IF(COUNT($H166:Q166)=Input!$Y$7,SUM($G166:Q166),0)</f>
        <v>0</v>
      </c>
      <c r="R167" s="100"/>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1"/>
      <c r="BK167" s="221"/>
    </row>
    <row r="168" spans="1:63" collapsed="1">
      <c r="A168" s="9"/>
      <c r="B168" s="184" t="s">
        <v>41</v>
      </c>
      <c r="D168" s="9"/>
      <c r="E168" s="9"/>
      <c r="F168" s="139"/>
      <c r="G168" s="203"/>
      <c r="H168" s="115"/>
      <c r="I168" s="115"/>
      <c r="J168" s="115"/>
      <c r="K168" s="115"/>
      <c r="L168" s="115">
        <f>IF(COUNT($H107:L107)=Input!$Y$7, SUM($G107:L107), 0)</f>
        <v>0</v>
      </c>
      <c r="M168" s="115">
        <f>IF(COUNT($H107:M107)=Input!$Y$7, SUM($G107:M107), 0)</f>
        <v>22.683907537361748</v>
      </c>
      <c r="N168" s="115">
        <f>IF(COUNT($H107:N107)=Input!$Y$7, SUM($G107:N107), 0)</f>
        <v>0</v>
      </c>
      <c r="O168" s="115">
        <f>IF(COUNT($H107:O107)=Input!$Y$7, SUM($G107:O107), 0)</f>
        <v>0</v>
      </c>
      <c r="P168" s="115">
        <f>IF(COUNT($H107:P107)=Input!$Y$7, SUM($G107:P107), 0)</f>
        <v>0</v>
      </c>
      <c r="Q168" s="115">
        <f>IF(COUNT($H107:Q107)=Input!$Y$7, SUM($G107:Q107), 0)</f>
        <v>0</v>
      </c>
      <c r="R168" s="100"/>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1"/>
      <c r="BK168" s="221"/>
    </row>
    <row r="169" spans="1:63">
      <c r="A169" s="9"/>
      <c r="B169" s="151"/>
      <c r="C169" s="26"/>
      <c r="D169" s="9"/>
      <c r="E169" s="9"/>
      <c r="F169" s="139"/>
      <c r="G169" s="115"/>
      <c r="H169" s="115"/>
      <c r="I169" s="115"/>
      <c r="J169" s="115"/>
      <c r="K169" s="115"/>
      <c r="L169" s="115"/>
      <c r="M169" s="9"/>
      <c r="N169" s="111"/>
      <c r="O169" s="150"/>
      <c r="P169" s="150"/>
      <c r="Q169" s="150"/>
      <c r="R169" s="100"/>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1"/>
      <c r="BK169" s="221"/>
    </row>
    <row r="170" spans="1:63">
      <c r="A170" s="74"/>
      <c r="B170" s="178" t="s">
        <v>50</v>
      </c>
      <c r="C170" s="179"/>
      <c r="D170" s="74"/>
      <c r="E170" s="74"/>
      <c r="F170" s="180"/>
      <c r="G170" s="181"/>
      <c r="H170" s="181"/>
      <c r="I170" s="181"/>
      <c r="J170" s="181"/>
      <c r="K170" s="181"/>
      <c r="L170" s="181"/>
      <c r="M170" s="74"/>
      <c r="N170" s="182"/>
      <c r="O170" s="183"/>
      <c r="P170" s="183"/>
      <c r="Q170" s="183"/>
      <c r="R170" s="183"/>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1"/>
      <c r="BK170" s="221"/>
    </row>
    <row r="171" spans="1:63">
      <c r="A171" s="9"/>
      <c r="B171" s="151"/>
      <c r="C171" s="26"/>
      <c r="D171" s="9"/>
      <c r="E171" s="9"/>
      <c r="F171" s="139"/>
      <c r="G171" s="115"/>
      <c r="H171" s="115"/>
      <c r="I171" s="115"/>
      <c r="J171" s="115"/>
      <c r="K171" s="115"/>
      <c r="L171" s="115"/>
      <c r="M171" s="9"/>
      <c r="N171" s="111"/>
      <c r="O171" s="150"/>
      <c r="P171" s="150"/>
      <c r="Q171" s="150"/>
      <c r="R171" s="100"/>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1"/>
      <c r="BK171" s="221"/>
    </row>
    <row r="172" spans="1:63">
      <c r="A172" s="9"/>
      <c r="B172" s="44" t="s">
        <v>51</v>
      </c>
      <c r="C172" s="9"/>
      <c r="D172" s="9"/>
      <c r="E172" s="9"/>
      <c r="F172" s="139"/>
      <c r="G172" s="203">
        <f>SUM(G173:G202)</f>
        <v>17.003209000000002</v>
      </c>
      <c r="H172" s="115"/>
      <c r="I172" s="115"/>
      <c r="J172" s="115"/>
      <c r="K172" s="115"/>
      <c r="L172" s="115"/>
      <c r="M172" s="9"/>
      <c r="N172" s="111"/>
      <c r="O172" s="150"/>
      <c r="P172" s="150"/>
      <c r="Q172" s="150"/>
      <c r="R172" s="100"/>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1"/>
      <c r="BK172" s="221"/>
    </row>
    <row r="173" spans="1:63" hidden="1" outlineLevel="1">
      <c r="A173" s="9"/>
      <c r="B173" s="9"/>
      <c r="C173" s="270" t="str">
        <f>Asset1</f>
        <v>Secondary</v>
      </c>
      <c r="D173" s="9"/>
      <c r="E173" s="9"/>
      <c r="F173" s="139"/>
      <c r="G173" s="201">
        <f>Input!S7</f>
        <v>6.3991040000000003</v>
      </c>
      <c r="H173" s="115"/>
      <c r="I173" s="115"/>
      <c r="J173" s="115"/>
      <c r="K173" s="115"/>
      <c r="L173" s="115"/>
      <c r="M173" s="9"/>
      <c r="N173" s="111"/>
      <c r="O173" s="150"/>
      <c r="P173" s="150"/>
      <c r="Q173" s="150"/>
      <c r="R173" s="100"/>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1"/>
      <c r="BK173" s="221"/>
    </row>
    <row r="174" spans="1:63" hidden="1" outlineLevel="1">
      <c r="A174" s="9"/>
      <c r="B174" s="44"/>
      <c r="C174" s="270" t="str">
        <f>Asset2</f>
        <v>Switchgear</v>
      </c>
      <c r="D174" s="9"/>
      <c r="E174" s="9"/>
      <c r="F174" s="139"/>
      <c r="G174" s="201">
        <f>Input!S8</f>
        <v>4.6862470000000007</v>
      </c>
      <c r="H174" s="115"/>
      <c r="I174" s="115"/>
      <c r="J174" s="115"/>
      <c r="K174" s="115"/>
      <c r="L174" s="115"/>
      <c r="M174" s="9"/>
      <c r="N174" s="111"/>
      <c r="O174" s="150"/>
      <c r="P174" s="150"/>
      <c r="Q174" s="150"/>
      <c r="R174" s="100"/>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1"/>
      <c r="BK174" s="221"/>
    </row>
    <row r="175" spans="1:63" hidden="1" outlineLevel="1">
      <c r="A175" s="9"/>
      <c r="B175" s="44"/>
      <c r="C175" s="270" t="str">
        <f>Asset3</f>
        <v>Transformers</v>
      </c>
      <c r="D175" s="9"/>
      <c r="E175" s="9"/>
      <c r="F175" s="139"/>
      <c r="G175" s="201">
        <f>Input!S9</f>
        <v>0</v>
      </c>
      <c r="H175" s="115"/>
      <c r="I175" s="115"/>
      <c r="J175" s="115"/>
      <c r="K175" s="115"/>
      <c r="L175" s="115"/>
      <c r="M175" s="9"/>
      <c r="N175" s="111"/>
      <c r="O175" s="150"/>
      <c r="P175" s="150"/>
      <c r="Q175" s="150"/>
      <c r="R175" s="100"/>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1"/>
      <c r="BK175" s="221"/>
    </row>
    <row r="176" spans="1:63" hidden="1" outlineLevel="1">
      <c r="A176" s="9"/>
      <c r="B176" s="44"/>
      <c r="C176" s="270" t="str">
        <f>Asset4</f>
        <v>Reactive</v>
      </c>
      <c r="D176" s="9"/>
      <c r="E176" s="9"/>
      <c r="F176" s="139"/>
      <c r="G176" s="201">
        <f>Input!S10</f>
        <v>0</v>
      </c>
      <c r="H176" s="115"/>
      <c r="I176" s="115"/>
      <c r="J176" s="115"/>
      <c r="K176" s="115"/>
      <c r="L176" s="115"/>
      <c r="M176" s="9"/>
      <c r="N176" s="111"/>
      <c r="O176" s="150"/>
      <c r="P176" s="150"/>
      <c r="Q176" s="150"/>
      <c r="R176" s="100"/>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1"/>
      <c r="BK176" s="221"/>
    </row>
    <row r="177" spans="1:63" hidden="1" outlineLevel="1">
      <c r="A177" s="9"/>
      <c r="B177" s="44"/>
      <c r="C177" s="270" t="str">
        <f>Asset5</f>
        <v>Towers and Conductor</v>
      </c>
      <c r="D177" s="9"/>
      <c r="E177" s="9"/>
      <c r="F177" s="139"/>
      <c r="G177" s="201">
        <f>Input!S11</f>
        <v>4.1564750000000004</v>
      </c>
      <c r="H177" s="115"/>
      <c r="I177" s="115"/>
      <c r="J177" s="115"/>
      <c r="K177" s="115"/>
      <c r="L177" s="115"/>
      <c r="M177" s="9"/>
      <c r="N177" s="111"/>
      <c r="O177" s="150"/>
      <c r="P177" s="150"/>
      <c r="Q177" s="150"/>
      <c r="R177" s="100"/>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1"/>
      <c r="BK177" s="221"/>
    </row>
    <row r="178" spans="1:63" hidden="1" outlineLevel="1">
      <c r="A178" s="9"/>
      <c r="B178" s="44"/>
      <c r="C178" s="270" t="str">
        <f>Asset6</f>
        <v>Establishment</v>
      </c>
      <c r="D178" s="9"/>
      <c r="E178" s="9"/>
      <c r="F178" s="139"/>
      <c r="G178" s="201">
        <f>Input!S12</f>
        <v>0</v>
      </c>
      <c r="H178" s="115"/>
      <c r="I178" s="115"/>
      <c r="J178" s="115"/>
      <c r="K178" s="115"/>
      <c r="L178" s="115"/>
      <c r="M178" s="9"/>
      <c r="N178" s="111"/>
      <c r="O178" s="150"/>
      <c r="P178" s="150"/>
      <c r="Q178" s="150"/>
      <c r="R178" s="100"/>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1"/>
      <c r="BK178" s="221"/>
    </row>
    <row r="179" spans="1:63" hidden="1" outlineLevel="1">
      <c r="A179" s="9"/>
      <c r="B179" s="44"/>
      <c r="C179" s="270" t="str">
        <f>Asset7</f>
        <v>Communications</v>
      </c>
      <c r="D179" s="9"/>
      <c r="E179" s="9"/>
      <c r="F179" s="139"/>
      <c r="G179" s="201">
        <f>Input!S13</f>
        <v>1.3286929999999999</v>
      </c>
      <c r="H179" s="115"/>
      <c r="I179" s="115"/>
      <c r="J179" s="115"/>
      <c r="K179" s="115"/>
      <c r="L179" s="115"/>
      <c r="M179" s="9"/>
      <c r="N179" s="111"/>
      <c r="O179" s="150"/>
      <c r="P179" s="150"/>
      <c r="Q179" s="150"/>
      <c r="R179" s="100"/>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1"/>
      <c r="BK179" s="221"/>
    </row>
    <row r="180" spans="1:63" hidden="1" outlineLevel="1">
      <c r="A180" s="9"/>
      <c r="B180" s="44"/>
      <c r="C180" s="270" t="str">
        <f>Asset8</f>
        <v>Inventory</v>
      </c>
      <c r="D180" s="9"/>
      <c r="E180" s="9"/>
      <c r="F180" s="139"/>
      <c r="G180" s="201">
        <f>Input!S14</f>
        <v>0</v>
      </c>
      <c r="H180" s="115"/>
      <c r="I180" s="115"/>
      <c r="J180" s="115"/>
      <c r="K180" s="115"/>
      <c r="L180" s="115"/>
      <c r="M180" s="9"/>
      <c r="N180" s="111"/>
      <c r="O180" s="150"/>
      <c r="P180" s="150"/>
      <c r="Q180" s="150"/>
      <c r="R180" s="100"/>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1"/>
      <c r="BK180" s="221"/>
    </row>
    <row r="181" spans="1:63" hidden="1" outlineLevel="1">
      <c r="A181" s="9"/>
      <c r="B181" s="44"/>
      <c r="C181" s="270" t="str">
        <f>Asset9</f>
        <v>IT</v>
      </c>
      <c r="D181" s="9"/>
      <c r="E181" s="9"/>
      <c r="F181" s="139"/>
      <c r="G181" s="201">
        <f>Input!S15</f>
        <v>0</v>
      </c>
      <c r="H181" s="115"/>
      <c r="I181" s="115"/>
      <c r="J181" s="115"/>
      <c r="K181" s="115"/>
      <c r="L181" s="115"/>
      <c r="M181" s="9"/>
      <c r="N181" s="111"/>
      <c r="O181" s="150"/>
      <c r="P181" s="150"/>
      <c r="Q181" s="150"/>
      <c r="R181" s="100"/>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1"/>
      <c r="BK181" s="221"/>
    </row>
    <row r="182" spans="1:63" hidden="1" outlineLevel="1">
      <c r="A182" s="9"/>
      <c r="B182" s="44"/>
      <c r="C182" s="270" t="str">
        <f>Asset10</f>
        <v>Vehicles</v>
      </c>
      <c r="D182" s="9"/>
      <c r="E182" s="9"/>
      <c r="F182" s="139"/>
      <c r="G182" s="201">
        <f>Input!S16</f>
        <v>0</v>
      </c>
      <c r="H182" s="115"/>
      <c r="I182" s="115"/>
      <c r="J182" s="115"/>
      <c r="K182" s="115"/>
      <c r="L182" s="115"/>
      <c r="M182" s="9"/>
      <c r="N182" s="111"/>
      <c r="O182" s="150"/>
      <c r="P182" s="150"/>
      <c r="Q182" s="150"/>
      <c r="R182" s="100"/>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1"/>
      <c r="BK182" s="221"/>
    </row>
    <row r="183" spans="1:63" hidden="1" outlineLevel="1">
      <c r="A183" s="9"/>
      <c r="B183" s="44"/>
      <c r="C183" s="270" t="str">
        <f>Asset11</f>
        <v>other</v>
      </c>
      <c r="D183" s="9"/>
      <c r="E183" s="9"/>
      <c r="F183" s="139"/>
      <c r="G183" s="201">
        <f>Input!S17</f>
        <v>0.43269000000000002</v>
      </c>
      <c r="H183" s="115"/>
      <c r="I183" s="115"/>
      <c r="J183" s="115"/>
      <c r="K183" s="115"/>
      <c r="L183" s="115"/>
      <c r="M183" s="9"/>
      <c r="N183" s="111"/>
      <c r="O183" s="150"/>
      <c r="P183" s="150"/>
      <c r="Q183" s="150"/>
      <c r="R183" s="100"/>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1"/>
      <c r="BK183" s="221"/>
    </row>
    <row r="184" spans="1:63" hidden="1" outlineLevel="1">
      <c r="A184" s="9"/>
      <c r="B184" s="44"/>
      <c r="C184" s="270" t="str">
        <f>Asset12</f>
        <v>premises</v>
      </c>
      <c r="D184" s="9"/>
      <c r="E184" s="9"/>
      <c r="F184" s="139"/>
      <c r="G184" s="201">
        <f>Input!S18</f>
        <v>0</v>
      </c>
      <c r="H184" s="115"/>
      <c r="I184" s="115"/>
      <c r="J184" s="115"/>
      <c r="K184" s="115"/>
      <c r="L184" s="115"/>
      <c r="M184" s="9"/>
      <c r="N184" s="111"/>
      <c r="O184" s="150"/>
      <c r="P184" s="150"/>
      <c r="Q184" s="150"/>
      <c r="R184" s="100"/>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1"/>
      <c r="BK184" s="221"/>
    </row>
    <row r="185" spans="1:63" hidden="1" outlineLevel="1">
      <c r="A185" s="9"/>
      <c r="B185" s="44"/>
      <c r="C185" s="270" t="str">
        <f>Asset13</f>
        <v>Land</v>
      </c>
      <c r="D185" s="9"/>
      <c r="E185" s="9"/>
      <c r="F185" s="139"/>
      <c r="G185" s="201">
        <f>Input!S19</f>
        <v>0</v>
      </c>
      <c r="H185" s="115"/>
      <c r="I185" s="115"/>
      <c r="J185" s="115"/>
      <c r="K185" s="115"/>
      <c r="L185" s="115"/>
      <c r="M185" s="9"/>
      <c r="N185" s="111"/>
      <c r="O185" s="150"/>
      <c r="P185" s="150"/>
      <c r="Q185" s="150"/>
      <c r="R185" s="100"/>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1"/>
      <c r="BK185" s="221"/>
    </row>
    <row r="186" spans="1:63" hidden="1" outlineLevel="1">
      <c r="A186" s="9"/>
      <c r="B186" s="44"/>
      <c r="C186" s="270" t="str">
        <f>Asset14</f>
        <v>Easements</v>
      </c>
      <c r="D186" s="9"/>
      <c r="E186" s="9"/>
      <c r="F186" s="139"/>
      <c r="G186" s="201">
        <f>Input!S20</f>
        <v>0</v>
      </c>
      <c r="H186" s="115"/>
      <c r="I186" s="115"/>
      <c r="J186" s="115"/>
      <c r="K186" s="115"/>
      <c r="L186" s="115"/>
      <c r="M186" s="9"/>
      <c r="N186" s="111"/>
      <c r="O186" s="150"/>
      <c r="P186" s="150"/>
      <c r="Q186" s="150"/>
      <c r="R186" s="100"/>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1"/>
      <c r="BK186" s="221"/>
    </row>
    <row r="187" spans="1:63" hidden="1" outlineLevel="1">
      <c r="A187" s="9"/>
      <c r="B187" s="44"/>
      <c r="C187" s="270">
        <f>Asset15</f>
        <v>0</v>
      </c>
      <c r="D187" s="9"/>
      <c r="E187" s="9"/>
      <c r="F187" s="139"/>
      <c r="G187" s="201">
        <f>Input!S21</f>
        <v>0</v>
      </c>
      <c r="H187" s="115"/>
      <c r="I187" s="115"/>
      <c r="J187" s="115"/>
      <c r="K187" s="115"/>
      <c r="L187" s="115"/>
      <c r="M187" s="9"/>
      <c r="N187" s="111"/>
      <c r="O187" s="150"/>
      <c r="P187" s="150"/>
      <c r="Q187" s="150"/>
      <c r="R187" s="100"/>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1"/>
      <c r="BK187" s="221"/>
    </row>
    <row r="188" spans="1:63" hidden="1" outlineLevel="1">
      <c r="A188" s="9"/>
      <c r="B188" s="44"/>
      <c r="C188" s="270">
        <f>Asset16</f>
        <v>0</v>
      </c>
      <c r="D188" s="9"/>
      <c r="E188" s="9"/>
      <c r="F188" s="139"/>
      <c r="G188" s="201">
        <f>Input!S22</f>
        <v>0</v>
      </c>
      <c r="H188" s="115"/>
      <c r="I188" s="115"/>
      <c r="J188" s="115"/>
      <c r="K188" s="115"/>
      <c r="L188" s="115"/>
      <c r="M188" s="9"/>
      <c r="N188" s="111"/>
      <c r="O188" s="150"/>
      <c r="P188" s="150"/>
      <c r="Q188" s="150"/>
      <c r="R188" s="100"/>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1"/>
      <c r="BK188" s="221"/>
    </row>
    <row r="189" spans="1:63" hidden="1" outlineLevel="1">
      <c r="A189" s="9"/>
      <c r="B189" s="44"/>
      <c r="C189" s="270">
        <f>Asset17</f>
        <v>0</v>
      </c>
      <c r="D189" s="9"/>
      <c r="E189" s="9"/>
      <c r="F189" s="139"/>
      <c r="G189" s="201">
        <f>Input!S23</f>
        <v>0</v>
      </c>
      <c r="H189" s="115"/>
      <c r="I189" s="115"/>
      <c r="J189" s="115"/>
      <c r="K189" s="115"/>
      <c r="L189" s="115"/>
      <c r="M189" s="9"/>
      <c r="N189" s="111"/>
      <c r="O189" s="150"/>
      <c r="P189" s="150"/>
      <c r="Q189" s="150"/>
      <c r="R189" s="100"/>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1"/>
      <c r="BK189" s="221"/>
    </row>
    <row r="190" spans="1:63" hidden="1" outlineLevel="1">
      <c r="A190" s="9"/>
      <c r="B190" s="44"/>
      <c r="C190" s="270">
        <f>Asset18</f>
        <v>0</v>
      </c>
      <c r="D190" s="9"/>
      <c r="E190" s="9"/>
      <c r="F190" s="139"/>
      <c r="G190" s="201">
        <f>Input!S24</f>
        <v>0</v>
      </c>
      <c r="H190" s="115"/>
      <c r="I190" s="115"/>
      <c r="J190" s="115"/>
      <c r="K190" s="115"/>
      <c r="L190" s="115"/>
      <c r="M190" s="9"/>
      <c r="N190" s="111"/>
      <c r="O190" s="150"/>
      <c r="P190" s="150"/>
      <c r="Q190" s="150"/>
      <c r="R190" s="100"/>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1"/>
      <c r="BK190" s="221"/>
    </row>
    <row r="191" spans="1:63" hidden="1" outlineLevel="1">
      <c r="A191" s="9"/>
      <c r="B191" s="44"/>
      <c r="C191" s="270">
        <f>Asset19</f>
        <v>0</v>
      </c>
      <c r="D191" s="9"/>
      <c r="E191" s="9"/>
      <c r="F191" s="139"/>
      <c r="G191" s="201">
        <f>Input!S25</f>
        <v>0</v>
      </c>
      <c r="H191" s="115"/>
      <c r="I191" s="115"/>
      <c r="J191" s="115"/>
      <c r="K191" s="115"/>
      <c r="L191" s="115"/>
      <c r="M191" s="9"/>
      <c r="N191" s="111"/>
      <c r="O191" s="150"/>
      <c r="P191" s="150"/>
      <c r="Q191" s="150"/>
      <c r="R191" s="100"/>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1"/>
      <c r="BK191" s="221"/>
    </row>
    <row r="192" spans="1:63" hidden="1" outlineLevel="1">
      <c r="A192" s="9"/>
      <c r="B192" s="44"/>
      <c r="C192" s="270">
        <f>Asset20</f>
        <v>0</v>
      </c>
      <c r="D192" s="9"/>
      <c r="E192" s="9"/>
      <c r="F192" s="139"/>
      <c r="G192" s="201">
        <f>Input!S26</f>
        <v>0</v>
      </c>
      <c r="H192" s="115"/>
      <c r="I192" s="115"/>
      <c r="J192" s="115"/>
      <c r="K192" s="115"/>
      <c r="L192" s="115"/>
      <c r="M192" s="9"/>
      <c r="N192" s="111"/>
      <c r="O192" s="150"/>
      <c r="P192" s="150"/>
      <c r="Q192" s="150"/>
      <c r="R192" s="100"/>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1"/>
      <c r="BK192" s="221"/>
    </row>
    <row r="193" spans="1:63" hidden="1" outlineLevel="1">
      <c r="A193" s="9"/>
      <c r="B193" s="44"/>
      <c r="C193" s="270">
        <f>Asset21</f>
        <v>0</v>
      </c>
      <c r="D193" s="9"/>
      <c r="E193" s="9"/>
      <c r="F193" s="139"/>
      <c r="G193" s="201">
        <f>Input!S27</f>
        <v>0</v>
      </c>
      <c r="H193" s="115"/>
      <c r="I193" s="115"/>
      <c r="J193" s="115"/>
      <c r="K193" s="115"/>
      <c r="L193" s="115"/>
      <c r="M193" s="9"/>
      <c r="N193" s="111"/>
      <c r="O193" s="150"/>
      <c r="P193" s="150"/>
      <c r="Q193" s="150"/>
      <c r="R193" s="100"/>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1"/>
      <c r="BK193" s="221"/>
    </row>
    <row r="194" spans="1:63" hidden="1" outlineLevel="1">
      <c r="A194" s="9"/>
      <c r="B194" s="44"/>
      <c r="C194" s="270">
        <f>Asset22</f>
        <v>0</v>
      </c>
      <c r="D194" s="9"/>
      <c r="E194" s="9"/>
      <c r="F194" s="139"/>
      <c r="G194" s="201">
        <f>Input!S28</f>
        <v>0</v>
      </c>
      <c r="H194" s="115"/>
      <c r="I194" s="115"/>
      <c r="J194" s="115"/>
      <c r="K194" s="115"/>
      <c r="L194" s="115"/>
      <c r="M194" s="9"/>
      <c r="N194" s="111"/>
      <c r="O194" s="150"/>
      <c r="P194" s="150"/>
      <c r="Q194" s="150"/>
      <c r="R194" s="100"/>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1"/>
      <c r="BK194" s="221"/>
    </row>
    <row r="195" spans="1:63" hidden="1" outlineLevel="1">
      <c r="A195" s="9"/>
      <c r="B195" s="44"/>
      <c r="C195" s="270">
        <f>Asset23</f>
        <v>0</v>
      </c>
      <c r="D195" s="9"/>
      <c r="E195" s="9"/>
      <c r="F195" s="139"/>
      <c r="G195" s="201">
        <f>Input!S29</f>
        <v>0</v>
      </c>
      <c r="H195" s="115"/>
      <c r="I195" s="115"/>
      <c r="J195" s="115"/>
      <c r="K195" s="115"/>
      <c r="L195" s="115"/>
      <c r="M195" s="9"/>
      <c r="N195" s="111"/>
      <c r="O195" s="150"/>
      <c r="P195" s="150"/>
      <c r="Q195" s="150"/>
      <c r="R195" s="100"/>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1"/>
      <c r="BK195" s="221"/>
    </row>
    <row r="196" spans="1:63" hidden="1" outlineLevel="1">
      <c r="A196" s="9"/>
      <c r="B196" s="44"/>
      <c r="C196" s="270">
        <f>Asset24</f>
        <v>0</v>
      </c>
      <c r="D196" s="9"/>
      <c r="E196" s="9"/>
      <c r="F196" s="139"/>
      <c r="G196" s="201">
        <f>Input!S30</f>
        <v>0</v>
      </c>
      <c r="H196" s="115"/>
      <c r="I196" s="115"/>
      <c r="J196" s="115"/>
      <c r="K196" s="115"/>
      <c r="L196" s="115"/>
      <c r="M196" s="9"/>
      <c r="N196" s="111"/>
      <c r="O196" s="150"/>
      <c r="P196" s="150"/>
      <c r="Q196" s="150"/>
      <c r="R196" s="100"/>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1"/>
      <c r="BK196" s="221"/>
    </row>
    <row r="197" spans="1:63" hidden="1" outlineLevel="1">
      <c r="A197" s="9"/>
      <c r="B197" s="44"/>
      <c r="C197" s="270">
        <f>Asset25</f>
        <v>0</v>
      </c>
      <c r="D197" s="9"/>
      <c r="E197" s="9"/>
      <c r="F197" s="139"/>
      <c r="G197" s="201">
        <f>Input!S31</f>
        <v>0</v>
      </c>
      <c r="H197" s="115"/>
      <c r="I197" s="115"/>
      <c r="J197" s="115"/>
      <c r="K197" s="115"/>
      <c r="L197" s="115"/>
      <c r="M197" s="9"/>
      <c r="N197" s="111"/>
      <c r="O197" s="150"/>
      <c r="P197" s="150"/>
      <c r="Q197" s="150"/>
      <c r="R197" s="100"/>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1"/>
      <c r="BK197" s="221"/>
    </row>
    <row r="198" spans="1:63" hidden="1" outlineLevel="1">
      <c r="A198" s="9"/>
      <c r="B198" s="44"/>
      <c r="C198" s="270">
        <f>Asset26</f>
        <v>0</v>
      </c>
      <c r="D198" s="9"/>
      <c r="E198" s="9"/>
      <c r="F198" s="139"/>
      <c r="G198" s="201">
        <f>Input!S32</f>
        <v>0</v>
      </c>
      <c r="H198" s="115"/>
      <c r="I198" s="115"/>
      <c r="J198" s="115"/>
      <c r="K198" s="115"/>
      <c r="L198" s="115"/>
      <c r="M198" s="9"/>
      <c r="N198" s="111"/>
      <c r="O198" s="150"/>
      <c r="P198" s="150"/>
      <c r="Q198" s="150"/>
      <c r="R198" s="100"/>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1"/>
      <c r="BK198" s="221"/>
    </row>
    <row r="199" spans="1:63" hidden="1" outlineLevel="1">
      <c r="A199" s="9"/>
      <c r="B199" s="44"/>
      <c r="C199" s="270">
        <f>Asset27</f>
        <v>0</v>
      </c>
      <c r="D199" s="9"/>
      <c r="E199" s="9"/>
      <c r="F199" s="139"/>
      <c r="G199" s="201">
        <f>Input!S33</f>
        <v>0</v>
      </c>
      <c r="H199" s="115"/>
      <c r="I199" s="115"/>
      <c r="J199" s="115"/>
      <c r="K199" s="115"/>
      <c r="L199" s="115"/>
      <c r="M199" s="9"/>
      <c r="N199" s="111"/>
      <c r="O199" s="150"/>
      <c r="P199" s="150"/>
      <c r="Q199" s="150"/>
      <c r="R199" s="100"/>
      <c r="S199" s="100"/>
      <c r="T199" s="100"/>
      <c r="U199" s="100"/>
      <c r="V199" s="100"/>
      <c r="W199" s="100"/>
      <c r="X199" s="100"/>
      <c r="Y199" s="100"/>
      <c r="Z199" s="100"/>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1"/>
      <c r="BK199" s="221"/>
    </row>
    <row r="200" spans="1:63" hidden="1" outlineLevel="1">
      <c r="A200" s="9"/>
      <c r="B200" s="44"/>
      <c r="C200" s="270">
        <f>Asset28</f>
        <v>0</v>
      </c>
      <c r="D200" s="9"/>
      <c r="E200" s="9"/>
      <c r="F200" s="139"/>
      <c r="G200" s="201">
        <f>Input!S34</f>
        <v>0</v>
      </c>
      <c r="H200" s="115"/>
      <c r="I200" s="115"/>
      <c r="J200" s="115"/>
      <c r="K200" s="115"/>
      <c r="L200" s="115"/>
      <c r="M200" s="9"/>
      <c r="N200" s="111"/>
      <c r="O200" s="150"/>
      <c r="P200" s="150"/>
      <c r="Q200" s="150"/>
      <c r="R200" s="100"/>
      <c r="S200" s="100"/>
      <c r="T200" s="100"/>
      <c r="U200" s="100"/>
      <c r="V200" s="100"/>
      <c r="W200" s="100"/>
      <c r="X200" s="100"/>
      <c r="Y200" s="100"/>
      <c r="Z200" s="100"/>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1"/>
      <c r="BK200" s="221"/>
    </row>
    <row r="201" spans="1:63" hidden="1" outlineLevel="1">
      <c r="A201" s="9"/>
      <c r="B201" s="44"/>
      <c r="C201" s="270">
        <f>Asset29</f>
        <v>0</v>
      </c>
      <c r="D201" s="9"/>
      <c r="E201" s="9"/>
      <c r="F201" s="139"/>
      <c r="G201" s="201">
        <f>Input!S35</f>
        <v>0</v>
      </c>
      <c r="H201" s="115"/>
      <c r="I201" s="115"/>
      <c r="J201" s="115"/>
      <c r="K201" s="115"/>
      <c r="L201" s="115"/>
      <c r="M201" s="9"/>
      <c r="N201" s="111"/>
      <c r="O201" s="150"/>
      <c r="P201" s="150"/>
      <c r="Q201" s="150"/>
      <c r="R201" s="100"/>
      <c r="S201" s="100"/>
      <c r="T201" s="100"/>
      <c r="U201" s="100"/>
      <c r="V201" s="100"/>
      <c r="W201" s="100"/>
      <c r="X201" s="100"/>
      <c r="Y201" s="100"/>
      <c r="Z201" s="100"/>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1"/>
      <c r="BK201" s="221"/>
    </row>
    <row r="202" spans="1:63" hidden="1" outlineLevel="1">
      <c r="A202" s="9"/>
      <c r="B202" s="44"/>
      <c r="C202" s="270">
        <f>Asset30</f>
        <v>0</v>
      </c>
      <c r="D202" s="9"/>
      <c r="E202" s="9"/>
      <c r="F202" s="139"/>
      <c r="G202" s="201">
        <f>Input!S36</f>
        <v>0</v>
      </c>
      <c r="H202" s="115"/>
      <c r="I202" s="115"/>
      <c r="J202" s="115"/>
      <c r="K202" s="115"/>
      <c r="L202" s="115"/>
      <c r="M202" s="9"/>
      <c r="N202" s="111"/>
      <c r="O202" s="150"/>
      <c r="P202" s="150"/>
      <c r="Q202" s="150"/>
      <c r="R202" s="100"/>
      <c r="S202" s="100"/>
      <c r="T202" s="100"/>
      <c r="U202" s="100"/>
      <c r="V202" s="100"/>
      <c r="W202" s="100"/>
      <c r="X202" s="100"/>
      <c r="Y202" s="100"/>
      <c r="Z202" s="100"/>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1"/>
      <c r="BK202" s="221"/>
    </row>
    <row r="203" spans="1:63" collapsed="1">
      <c r="A203" s="9"/>
      <c r="B203" s="151"/>
      <c r="C203" s="26"/>
      <c r="D203" s="9"/>
      <c r="E203" s="9"/>
      <c r="F203" s="139"/>
      <c r="G203" s="203"/>
      <c r="H203" s="115"/>
      <c r="I203" s="115"/>
      <c r="J203" s="115"/>
      <c r="K203" s="115"/>
      <c r="L203" s="115"/>
      <c r="M203" s="9"/>
      <c r="N203" s="111"/>
      <c r="O203" s="150"/>
      <c r="P203" s="150"/>
      <c r="Q203" s="150"/>
      <c r="R203" s="100"/>
      <c r="S203" s="100"/>
      <c r="T203" s="100"/>
      <c r="U203" s="100"/>
      <c r="V203" s="100"/>
      <c r="W203" s="100"/>
      <c r="X203" s="100"/>
      <c r="Y203" s="100"/>
      <c r="Z203" s="100"/>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1"/>
      <c r="BK203" s="221"/>
    </row>
    <row r="204" spans="1:63">
      <c r="A204" s="9"/>
      <c r="B204" s="151" t="s">
        <v>52</v>
      </c>
      <c r="C204" s="26"/>
      <c r="D204" s="9"/>
      <c r="E204" s="9"/>
      <c r="F204" s="139"/>
      <c r="G204" s="203">
        <f>SUM(G205:G234)</f>
        <v>39.219019383019834</v>
      </c>
      <c r="H204" s="115"/>
      <c r="I204" s="115"/>
      <c r="J204" s="115"/>
      <c r="K204" s="115"/>
      <c r="L204" s="115"/>
      <c r="M204" s="9"/>
      <c r="N204" s="111"/>
      <c r="O204" s="150"/>
      <c r="P204" s="150"/>
      <c r="Q204" s="150"/>
      <c r="R204" s="100"/>
      <c r="S204" s="100"/>
      <c r="T204" s="100"/>
      <c r="U204" s="100"/>
      <c r="V204" s="100"/>
      <c r="W204" s="100"/>
      <c r="X204" s="100"/>
      <c r="Y204" s="100"/>
      <c r="Z204" s="100"/>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1"/>
      <c r="BK204" s="221"/>
    </row>
    <row r="205" spans="1:63" hidden="1" outlineLevel="1">
      <c r="A205" s="9"/>
      <c r="B205" s="9"/>
      <c r="C205" s="270" t="str">
        <f>Asset1</f>
        <v>Secondary</v>
      </c>
      <c r="D205" s="9"/>
      <c r="E205" s="9"/>
      <c r="F205" s="139"/>
      <c r="G205" s="201">
        <f>Input!T7</f>
        <v>4.6134896100000002</v>
      </c>
      <c r="H205" s="115"/>
      <c r="I205" s="115"/>
      <c r="J205" s="115"/>
      <c r="K205" s="115"/>
      <c r="L205" s="115"/>
      <c r="M205" s="9"/>
      <c r="N205" s="111"/>
      <c r="O205" s="150"/>
      <c r="P205" s="150"/>
      <c r="Q205" s="150"/>
      <c r="R205" s="100"/>
      <c r="S205" s="100"/>
      <c r="T205" s="100"/>
      <c r="U205" s="100"/>
      <c r="V205" s="100"/>
      <c r="W205" s="100"/>
      <c r="X205" s="100"/>
      <c r="Y205" s="100"/>
      <c r="Z205" s="100"/>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1"/>
      <c r="BK205" s="221"/>
    </row>
    <row r="206" spans="1:63" hidden="1" outlineLevel="1">
      <c r="A206" s="9"/>
      <c r="B206" s="44"/>
      <c r="C206" s="270" t="str">
        <f>Asset2</f>
        <v>Switchgear</v>
      </c>
      <c r="D206" s="9"/>
      <c r="E206" s="9"/>
      <c r="F206" s="139"/>
      <c r="G206" s="201">
        <f>Input!T8</f>
        <v>2.2539754199999997</v>
      </c>
      <c r="H206" s="115"/>
      <c r="I206" s="115"/>
      <c r="J206" s="115"/>
      <c r="K206" s="115"/>
      <c r="L206" s="115"/>
      <c r="M206" s="9"/>
      <c r="N206" s="111"/>
      <c r="O206" s="150"/>
      <c r="P206" s="150"/>
      <c r="Q206" s="150"/>
      <c r="R206" s="100"/>
      <c r="S206" s="100"/>
      <c r="T206" s="100"/>
      <c r="U206" s="100"/>
      <c r="V206" s="100"/>
      <c r="W206" s="100"/>
      <c r="X206" s="100"/>
      <c r="Y206" s="100"/>
      <c r="Z206" s="100"/>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1"/>
      <c r="BK206" s="221"/>
    </row>
    <row r="207" spans="1:63" hidden="1" outlineLevel="1">
      <c r="A207" s="9"/>
      <c r="B207" s="44"/>
      <c r="C207" s="270" t="str">
        <f>Asset3</f>
        <v>Transformers</v>
      </c>
      <c r="D207" s="9"/>
      <c r="E207" s="9"/>
      <c r="F207" s="139"/>
      <c r="G207" s="201">
        <f>Input!T9</f>
        <v>0.5963920800000001</v>
      </c>
      <c r="H207" s="115"/>
      <c r="I207" s="115"/>
      <c r="J207" s="115"/>
      <c r="K207" s="115"/>
      <c r="L207" s="115"/>
      <c r="M207" s="9"/>
      <c r="N207" s="111"/>
      <c r="O207" s="150"/>
      <c r="P207" s="150"/>
      <c r="Q207" s="150"/>
      <c r="R207" s="100"/>
      <c r="S207" s="100"/>
      <c r="T207" s="100"/>
      <c r="U207" s="100"/>
      <c r="V207" s="100"/>
      <c r="W207" s="100"/>
      <c r="X207" s="100"/>
      <c r="Y207" s="100"/>
      <c r="Z207" s="100"/>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1"/>
      <c r="BK207" s="221"/>
    </row>
    <row r="208" spans="1:63" hidden="1" outlineLevel="1">
      <c r="A208" s="9"/>
      <c r="B208" s="44"/>
      <c r="C208" s="270" t="str">
        <f>Asset4</f>
        <v>Reactive</v>
      </c>
      <c r="D208" s="9"/>
      <c r="E208" s="9"/>
      <c r="F208" s="139"/>
      <c r="G208" s="201">
        <f>Input!T10</f>
        <v>0</v>
      </c>
      <c r="H208" s="115"/>
      <c r="I208" s="115"/>
      <c r="J208" s="115"/>
      <c r="K208" s="115"/>
      <c r="L208" s="115"/>
      <c r="M208" s="9"/>
      <c r="N208" s="111"/>
      <c r="O208" s="150"/>
      <c r="P208" s="150"/>
      <c r="Q208" s="150"/>
      <c r="R208" s="100"/>
      <c r="S208" s="100"/>
      <c r="T208" s="100"/>
      <c r="U208" s="100"/>
      <c r="V208" s="100"/>
      <c r="W208" s="100"/>
      <c r="X208" s="100"/>
      <c r="Y208" s="100"/>
      <c r="Z208" s="100"/>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1"/>
      <c r="BK208" s="221"/>
    </row>
    <row r="209" spans="1:63" hidden="1" outlineLevel="1">
      <c r="A209" s="9"/>
      <c r="B209" s="44"/>
      <c r="C209" s="270" t="str">
        <f>Asset5</f>
        <v>Towers and Conductor</v>
      </c>
      <c r="D209" s="9"/>
      <c r="E209" s="9"/>
      <c r="F209" s="139"/>
      <c r="G209" s="201">
        <f>Input!T11</f>
        <v>2.1061156299999997</v>
      </c>
      <c r="H209" s="115"/>
      <c r="I209" s="115"/>
      <c r="J209" s="115"/>
      <c r="K209" s="115"/>
      <c r="L209" s="115"/>
      <c r="M209" s="9"/>
      <c r="N209" s="111"/>
      <c r="O209" s="150"/>
      <c r="P209" s="150"/>
      <c r="Q209" s="150"/>
      <c r="R209" s="100"/>
      <c r="S209" s="100"/>
      <c r="T209" s="100"/>
      <c r="U209" s="100"/>
      <c r="V209" s="100"/>
      <c r="W209" s="100"/>
      <c r="X209" s="100"/>
      <c r="Y209" s="100"/>
      <c r="Z209" s="100"/>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1"/>
      <c r="BK209" s="221"/>
    </row>
    <row r="210" spans="1:63" hidden="1" outlineLevel="1">
      <c r="A210" s="9"/>
      <c r="B210" s="44"/>
      <c r="C210" s="270" t="str">
        <f>Asset6</f>
        <v>Establishment</v>
      </c>
      <c r="D210" s="9"/>
      <c r="E210" s="9"/>
      <c r="F210" s="139"/>
      <c r="G210" s="201">
        <f>Input!T12</f>
        <v>13.983938839999997</v>
      </c>
      <c r="H210" s="115"/>
      <c r="I210" s="115"/>
      <c r="J210" s="115"/>
      <c r="K210" s="115"/>
      <c r="L210" s="115"/>
      <c r="M210" s="9"/>
      <c r="N210" s="111"/>
      <c r="O210" s="150"/>
      <c r="P210" s="150"/>
      <c r="Q210" s="150"/>
      <c r="R210" s="100"/>
      <c r="S210" s="100"/>
      <c r="T210" s="100"/>
      <c r="U210" s="100"/>
      <c r="V210" s="100"/>
      <c r="W210" s="100"/>
      <c r="X210" s="100"/>
      <c r="Y210" s="100"/>
      <c r="Z210" s="100"/>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1"/>
      <c r="BK210" s="221"/>
    </row>
    <row r="211" spans="1:63" hidden="1" outlineLevel="1">
      <c r="A211" s="9"/>
      <c r="B211" s="44"/>
      <c r="C211" s="270" t="str">
        <f>Asset7</f>
        <v>Communications</v>
      </c>
      <c r="D211" s="9"/>
      <c r="E211" s="9"/>
      <c r="F211" s="139"/>
      <c r="G211" s="201">
        <f>Input!T13</f>
        <v>0.46451441999999998</v>
      </c>
      <c r="H211" s="115"/>
      <c r="I211" s="115"/>
      <c r="J211" s="115"/>
      <c r="K211" s="115"/>
      <c r="L211" s="115"/>
      <c r="M211" s="9"/>
      <c r="N211" s="111"/>
      <c r="O211" s="150"/>
      <c r="P211" s="150"/>
      <c r="Q211" s="150"/>
      <c r="R211" s="100"/>
      <c r="S211" s="100"/>
      <c r="T211" s="100"/>
      <c r="U211" s="100"/>
      <c r="V211" s="100"/>
      <c r="W211" s="100"/>
      <c r="X211" s="100"/>
      <c r="Y211" s="100"/>
      <c r="Z211" s="100"/>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1"/>
      <c r="BK211" s="221"/>
    </row>
    <row r="212" spans="1:63" hidden="1" outlineLevel="1">
      <c r="A212" s="9"/>
      <c r="B212" s="44"/>
      <c r="C212" s="270" t="str">
        <f>Asset8</f>
        <v>Inventory</v>
      </c>
      <c r="D212" s="9"/>
      <c r="E212" s="9"/>
      <c r="F212" s="139"/>
      <c r="G212" s="201">
        <f>Input!T14</f>
        <v>0</v>
      </c>
      <c r="H212" s="115"/>
      <c r="I212" s="115"/>
      <c r="J212" s="115"/>
      <c r="K212" s="115"/>
      <c r="L212" s="115"/>
      <c r="M212" s="9"/>
      <c r="N212" s="111"/>
      <c r="O212" s="150"/>
      <c r="P212" s="150"/>
      <c r="Q212" s="150"/>
      <c r="R212" s="100"/>
      <c r="S212" s="100"/>
      <c r="T212" s="100"/>
      <c r="U212" s="100"/>
      <c r="V212" s="100"/>
      <c r="W212" s="100"/>
      <c r="X212" s="100"/>
      <c r="Y212" s="100"/>
      <c r="Z212" s="100"/>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1"/>
      <c r="BK212" s="221"/>
    </row>
    <row r="213" spans="1:63" hidden="1" outlineLevel="1">
      <c r="A213" s="9"/>
      <c r="B213" s="44"/>
      <c r="C213" s="270" t="str">
        <f>Asset9</f>
        <v>IT</v>
      </c>
      <c r="D213" s="9"/>
      <c r="E213" s="9"/>
      <c r="F213" s="139"/>
      <c r="G213" s="201">
        <f>Input!T15</f>
        <v>3.4024412430198385</v>
      </c>
      <c r="H213" s="115"/>
      <c r="I213" s="115"/>
      <c r="J213" s="115"/>
      <c r="K213" s="115"/>
      <c r="L213" s="115"/>
      <c r="M213" s="9"/>
      <c r="N213" s="111"/>
      <c r="O213" s="150"/>
      <c r="P213" s="150"/>
      <c r="Q213" s="150"/>
      <c r="R213" s="100"/>
      <c r="S213" s="100"/>
      <c r="T213" s="100"/>
      <c r="U213" s="100"/>
      <c r="V213" s="100"/>
      <c r="W213" s="100"/>
      <c r="X213" s="100"/>
      <c r="Y213" s="100"/>
      <c r="Z213" s="100"/>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1"/>
      <c r="BK213" s="221"/>
    </row>
    <row r="214" spans="1:63" hidden="1" outlineLevel="1">
      <c r="A214" s="9"/>
      <c r="B214" s="44"/>
      <c r="C214" s="270" t="str">
        <f>Asset10</f>
        <v>Vehicles</v>
      </c>
      <c r="D214" s="9"/>
      <c r="E214" s="9"/>
      <c r="F214" s="139"/>
      <c r="G214" s="201">
        <f>Input!T16</f>
        <v>0.79015199999999997</v>
      </c>
      <c r="H214" s="115"/>
      <c r="I214" s="115"/>
      <c r="J214" s="115"/>
      <c r="K214" s="115"/>
      <c r="L214" s="115"/>
      <c r="M214" s="9"/>
      <c r="N214" s="111"/>
      <c r="O214" s="150"/>
      <c r="P214" s="150"/>
      <c r="Q214" s="150"/>
      <c r="R214" s="100"/>
      <c r="S214" s="100"/>
      <c r="T214" s="100"/>
      <c r="U214" s="100"/>
      <c r="V214" s="100"/>
      <c r="W214" s="100"/>
      <c r="X214" s="100"/>
      <c r="Y214" s="100"/>
      <c r="Z214" s="100"/>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1"/>
      <c r="BK214" s="221"/>
    </row>
    <row r="215" spans="1:63" hidden="1" outlineLevel="1">
      <c r="A215" s="9"/>
      <c r="B215" s="44"/>
      <c r="C215" s="270" t="str">
        <f>Asset11</f>
        <v>other</v>
      </c>
      <c r="D215" s="9"/>
      <c r="E215" s="9"/>
      <c r="F215" s="139"/>
      <c r="G215" s="201">
        <f>Input!T17</f>
        <v>10.700122210000002</v>
      </c>
      <c r="H215" s="115"/>
      <c r="I215" s="115"/>
      <c r="J215" s="115"/>
      <c r="K215" s="115"/>
      <c r="L215" s="115"/>
      <c r="M215" s="9"/>
      <c r="N215" s="111"/>
      <c r="O215" s="150"/>
      <c r="P215" s="150"/>
      <c r="Q215" s="150"/>
      <c r="R215" s="100"/>
      <c r="S215" s="100"/>
      <c r="T215" s="100"/>
      <c r="U215" s="100"/>
      <c r="V215" s="100"/>
      <c r="W215" s="100"/>
      <c r="X215" s="100"/>
      <c r="Y215" s="100"/>
      <c r="Z215" s="100"/>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1"/>
      <c r="BK215" s="221"/>
    </row>
    <row r="216" spans="1:63" hidden="1" outlineLevel="1">
      <c r="A216" s="9"/>
      <c r="B216" s="44"/>
      <c r="C216" s="270" t="str">
        <f>Asset12</f>
        <v>premises</v>
      </c>
      <c r="D216" s="9"/>
      <c r="E216" s="9"/>
      <c r="F216" s="139"/>
      <c r="G216" s="201">
        <f>Input!T18</f>
        <v>0.3078779299999998</v>
      </c>
      <c r="H216" s="115"/>
      <c r="I216" s="115"/>
      <c r="J216" s="115"/>
      <c r="K216" s="115"/>
      <c r="L216" s="115"/>
      <c r="M216" s="9"/>
      <c r="N216" s="111"/>
      <c r="O216" s="150"/>
      <c r="P216" s="150"/>
      <c r="Q216" s="150"/>
      <c r="R216" s="100"/>
      <c r="S216" s="100"/>
      <c r="T216" s="100"/>
      <c r="U216" s="100"/>
      <c r="V216" s="100"/>
      <c r="W216" s="100"/>
      <c r="X216" s="100"/>
      <c r="Y216" s="100"/>
      <c r="Z216" s="100"/>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1"/>
      <c r="BK216" s="221"/>
    </row>
    <row r="217" spans="1:63" hidden="1" outlineLevel="1">
      <c r="A217" s="9"/>
      <c r="B217" s="44"/>
      <c r="C217" s="270" t="str">
        <f>Asset13</f>
        <v>Land</v>
      </c>
      <c r="D217" s="9"/>
      <c r="E217" s="9"/>
      <c r="F217" s="139"/>
      <c r="G217" s="201">
        <f>Input!T19</f>
        <v>0</v>
      </c>
      <c r="H217" s="115"/>
      <c r="I217" s="115"/>
      <c r="J217" s="115"/>
      <c r="K217" s="115"/>
      <c r="L217" s="115"/>
      <c r="M217" s="9"/>
      <c r="N217" s="111"/>
      <c r="O217" s="150"/>
      <c r="P217" s="150"/>
      <c r="Q217" s="150"/>
      <c r="R217" s="100"/>
      <c r="S217" s="100"/>
      <c r="T217" s="100"/>
      <c r="U217" s="100"/>
      <c r="V217" s="100"/>
      <c r="W217" s="100"/>
      <c r="X217" s="100"/>
      <c r="Y217" s="100"/>
      <c r="Z217" s="100"/>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1"/>
      <c r="BK217" s="221"/>
    </row>
    <row r="218" spans="1:63" hidden="1" outlineLevel="1">
      <c r="A218" s="9"/>
      <c r="B218" s="44"/>
      <c r="C218" s="270" t="str">
        <f>Asset14</f>
        <v>Easements</v>
      </c>
      <c r="D218" s="9"/>
      <c r="E218" s="9"/>
      <c r="F218" s="139"/>
      <c r="G218" s="201">
        <f>Input!T20</f>
        <v>0</v>
      </c>
      <c r="H218" s="115"/>
      <c r="I218" s="115"/>
      <c r="J218" s="115"/>
      <c r="K218" s="115"/>
      <c r="L218" s="115"/>
      <c r="M218" s="9"/>
      <c r="N218" s="111"/>
      <c r="O218" s="150"/>
      <c r="P218" s="150"/>
      <c r="Q218" s="150"/>
      <c r="R218" s="100"/>
      <c r="S218" s="100"/>
      <c r="T218" s="100"/>
      <c r="U218" s="100"/>
      <c r="V218" s="100"/>
      <c r="W218" s="100"/>
      <c r="X218" s="100"/>
      <c r="Y218" s="100"/>
      <c r="Z218" s="100"/>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1"/>
      <c r="BK218" s="221"/>
    </row>
    <row r="219" spans="1:63" hidden="1" outlineLevel="1">
      <c r="A219" s="9"/>
      <c r="B219" s="44"/>
      <c r="C219" s="270">
        <f>Asset15</f>
        <v>0</v>
      </c>
      <c r="D219" s="9"/>
      <c r="E219" s="9"/>
      <c r="F219" s="139"/>
      <c r="G219" s="201">
        <f>Input!T21</f>
        <v>0</v>
      </c>
      <c r="H219" s="115"/>
      <c r="I219" s="115"/>
      <c r="J219" s="115"/>
      <c r="K219" s="115"/>
      <c r="L219" s="115"/>
      <c r="M219" s="9"/>
      <c r="N219" s="111"/>
      <c r="O219" s="150"/>
      <c r="P219" s="150"/>
      <c r="Q219" s="150"/>
      <c r="R219" s="100"/>
      <c r="S219" s="100"/>
      <c r="T219" s="100"/>
      <c r="U219" s="100"/>
      <c r="V219" s="100"/>
      <c r="W219" s="100"/>
      <c r="X219" s="100"/>
      <c r="Y219" s="100"/>
      <c r="Z219" s="100"/>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1"/>
      <c r="BK219" s="221"/>
    </row>
    <row r="220" spans="1:63" hidden="1" outlineLevel="1">
      <c r="A220" s="9"/>
      <c r="B220" s="44"/>
      <c r="C220" s="270">
        <f>Asset16</f>
        <v>0</v>
      </c>
      <c r="D220" s="9"/>
      <c r="E220" s="9"/>
      <c r="F220" s="139"/>
      <c r="G220" s="201">
        <f>Input!T22</f>
        <v>0</v>
      </c>
      <c r="H220" s="115"/>
      <c r="I220" s="115"/>
      <c r="J220" s="115"/>
      <c r="K220" s="115"/>
      <c r="L220" s="115"/>
      <c r="M220" s="9"/>
      <c r="N220" s="111"/>
      <c r="O220" s="150"/>
      <c r="P220" s="150"/>
      <c r="Q220" s="150"/>
      <c r="R220" s="100"/>
      <c r="S220" s="100"/>
      <c r="T220" s="100"/>
      <c r="U220" s="100"/>
      <c r="V220" s="100"/>
      <c r="W220" s="100"/>
      <c r="X220" s="100"/>
      <c r="Y220" s="100"/>
      <c r="Z220" s="100"/>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1"/>
      <c r="BK220" s="221"/>
    </row>
    <row r="221" spans="1:63" hidden="1" outlineLevel="1">
      <c r="A221" s="9"/>
      <c r="B221" s="44"/>
      <c r="C221" s="270">
        <f>Asset17</f>
        <v>0</v>
      </c>
      <c r="D221" s="9"/>
      <c r="E221" s="9"/>
      <c r="F221" s="139"/>
      <c r="G221" s="201">
        <f>Input!T23</f>
        <v>0</v>
      </c>
      <c r="H221" s="115"/>
      <c r="I221" s="115"/>
      <c r="J221" s="115"/>
      <c r="K221" s="115"/>
      <c r="L221" s="115"/>
      <c r="M221" s="9"/>
      <c r="N221" s="111"/>
      <c r="O221" s="150"/>
      <c r="P221" s="150"/>
      <c r="Q221" s="150"/>
      <c r="R221" s="100"/>
      <c r="S221" s="100"/>
      <c r="T221" s="100"/>
      <c r="U221" s="100"/>
      <c r="V221" s="100"/>
      <c r="W221" s="100"/>
      <c r="X221" s="100"/>
      <c r="Y221" s="100"/>
      <c r="Z221" s="100"/>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1"/>
      <c r="BK221" s="221"/>
    </row>
    <row r="222" spans="1:63" hidden="1" outlineLevel="1">
      <c r="A222" s="9"/>
      <c r="B222" s="44"/>
      <c r="C222" s="270">
        <f>Asset18</f>
        <v>0</v>
      </c>
      <c r="D222" s="9"/>
      <c r="E222" s="9"/>
      <c r="F222" s="139"/>
      <c r="G222" s="201">
        <f>Input!T24</f>
        <v>0</v>
      </c>
      <c r="H222" s="115"/>
      <c r="I222" s="115"/>
      <c r="J222" s="115"/>
      <c r="K222" s="115"/>
      <c r="L222" s="115"/>
      <c r="M222" s="9"/>
      <c r="N222" s="111"/>
      <c r="O222" s="150"/>
      <c r="P222" s="150"/>
      <c r="Q222" s="150"/>
      <c r="R222" s="100"/>
      <c r="S222" s="100"/>
      <c r="T222" s="100"/>
      <c r="U222" s="100"/>
      <c r="V222" s="100"/>
      <c r="W222" s="100"/>
      <c r="X222" s="100"/>
      <c r="Y222" s="100"/>
      <c r="Z222" s="100"/>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1"/>
      <c r="BK222" s="221"/>
    </row>
    <row r="223" spans="1:63" hidden="1" outlineLevel="1">
      <c r="A223" s="9"/>
      <c r="B223" s="44"/>
      <c r="C223" s="270">
        <f>Asset19</f>
        <v>0</v>
      </c>
      <c r="D223" s="9"/>
      <c r="E223" s="9"/>
      <c r="F223" s="139"/>
      <c r="G223" s="201">
        <f>Input!T25</f>
        <v>0</v>
      </c>
      <c r="H223" s="115"/>
      <c r="I223" s="115"/>
      <c r="J223" s="115"/>
      <c r="K223" s="115"/>
      <c r="L223" s="115"/>
      <c r="M223" s="9"/>
      <c r="N223" s="111"/>
      <c r="O223" s="150"/>
      <c r="P223" s="150"/>
      <c r="Q223" s="150"/>
      <c r="R223" s="100"/>
      <c r="S223" s="100"/>
      <c r="T223" s="100"/>
      <c r="U223" s="100"/>
      <c r="V223" s="100"/>
      <c r="W223" s="100"/>
      <c r="X223" s="100"/>
      <c r="Y223" s="100"/>
      <c r="Z223" s="100"/>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1"/>
      <c r="BK223" s="221"/>
    </row>
    <row r="224" spans="1:63" hidden="1" outlineLevel="1">
      <c r="A224" s="9"/>
      <c r="B224" s="44"/>
      <c r="C224" s="270">
        <f>Asset20</f>
        <v>0</v>
      </c>
      <c r="D224" s="9"/>
      <c r="E224" s="9"/>
      <c r="F224" s="139"/>
      <c r="G224" s="201">
        <f>Input!T26</f>
        <v>0</v>
      </c>
      <c r="H224" s="115"/>
      <c r="I224" s="115"/>
      <c r="J224" s="115"/>
      <c r="K224" s="115"/>
      <c r="L224" s="115"/>
      <c r="M224" s="9"/>
      <c r="N224" s="111"/>
      <c r="O224" s="150"/>
      <c r="P224" s="150"/>
      <c r="Q224" s="150"/>
      <c r="R224" s="100"/>
      <c r="S224" s="100"/>
      <c r="T224" s="100"/>
      <c r="U224" s="100"/>
      <c r="V224" s="100"/>
      <c r="W224" s="100"/>
      <c r="X224" s="100"/>
      <c r="Y224" s="100"/>
      <c r="Z224" s="100"/>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1"/>
      <c r="BK224" s="221"/>
    </row>
    <row r="225" spans="1:63" hidden="1" outlineLevel="1">
      <c r="A225" s="9"/>
      <c r="B225" s="44"/>
      <c r="C225" s="270">
        <f>Asset21</f>
        <v>0</v>
      </c>
      <c r="D225" s="9"/>
      <c r="E225" s="9"/>
      <c r="F225" s="139"/>
      <c r="G225" s="201">
        <f>Input!T27</f>
        <v>0</v>
      </c>
      <c r="H225" s="115"/>
      <c r="I225" s="115"/>
      <c r="J225" s="115"/>
      <c r="K225" s="115"/>
      <c r="L225" s="115"/>
      <c r="M225" s="9"/>
      <c r="N225" s="111"/>
      <c r="O225" s="150"/>
      <c r="P225" s="150"/>
      <c r="Q225" s="150"/>
      <c r="R225" s="100"/>
      <c r="S225" s="100"/>
      <c r="T225" s="100"/>
      <c r="U225" s="100"/>
      <c r="V225" s="100"/>
      <c r="W225" s="100"/>
      <c r="X225" s="100"/>
      <c r="Y225" s="100"/>
      <c r="Z225" s="100"/>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1"/>
      <c r="BK225" s="221"/>
    </row>
    <row r="226" spans="1:63" hidden="1" outlineLevel="1">
      <c r="A226" s="9"/>
      <c r="B226" s="44"/>
      <c r="C226" s="270">
        <f>Asset22</f>
        <v>0</v>
      </c>
      <c r="D226" s="9"/>
      <c r="E226" s="9"/>
      <c r="F226" s="139"/>
      <c r="G226" s="201">
        <f>Input!T28</f>
        <v>0</v>
      </c>
      <c r="H226" s="115"/>
      <c r="I226" s="115"/>
      <c r="J226" s="115"/>
      <c r="K226" s="115"/>
      <c r="L226" s="115"/>
      <c r="M226" s="9"/>
      <c r="N226" s="111"/>
      <c r="O226" s="150"/>
      <c r="P226" s="150"/>
      <c r="Q226" s="150"/>
      <c r="R226" s="100"/>
      <c r="S226" s="100"/>
      <c r="T226" s="100"/>
      <c r="U226" s="100"/>
      <c r="V226" s="100"/>
      <c r="W226" s="100"/>
      <c r="X226" s="100"/>
      <c r="Y226" s="100"/>
      <c r="Z226" s="100"/>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1"/>
      <c r="BK226" s="221"/>
    </row>
    <row r="227" spans="1:63" hidden="1" outlineLevel="1">
      <c r="A227" s="9"/>
      <c r="B227" s="44"/>
      <c r="C227" s="270">
        <f>Asset23</f>
        <v>0</v>
      </c>
      <c r="D227" s="9"/>
      <c r="E227" s="9"/>
      <c r="F227" s="139"/>
      <c r="G227" s="201">
        <f>Input!T29</f>
        <v>0</v>
      </c>
      <c r="H227" s="115"/>
      <c r="I227" s="115"/>
      <c r="J227" s="115"/>
      <c r="K227" s="115"/>
      <c r="L227" s="115"/>
      <c r="M227" s="9"/>
      <c r="N227" s="111"/>
      <c r="O227" s="150"/>
      <c r="P227" s="150"/>
      <c r="Q227" s="150"/>
      <c r="R227" s="100"/>
      <c r="S227" s="100"/>
      <c r="T227" s="100"/>
      <c r="U227" s="100"/>
      <c r="V227" s="100"/>
      <c r="W227" s="100"/>
      <c r="X227" s="100"/>
      <c r="Y227" s="100"/>
      <c r="Z227" s="100"/>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1"/>
      <c r="BK227" s="221"/>
    </row>
    <row r="228" spans="1:63" hidden="1" outlineLevel="1">
      <c r="A228" s="9"/>
      <c r="B228" s="44"/>
      <c r="C228" s="270">
        <f>Asset24</f>
        <v>0</v>
      </c>
      <c r="D228" s="9"/>
      <c r="E228" s="9"/>
      <c r="F228" s="139"/>
      <c r="G228" s="201">
        <f>Input!T30</f>
        <v>0</v>
      </c>
      <c r="H228" s="115"/>
      <c r="I228" s="115"/>
      <c r="J228" s="115"/>
      <c r="K228" s="115"/>
      <c r="L228" s="115"/>
      <c r="M228" s="9"/>
      <c r="N228" s="111"/>
      <c r="O228" s="150"/>
      <c r="P228" s="150"/>
      <c r="Q228" s="150"/>
      <c r="R228" s="100"/>
      <c r="S228" s="100"/>
      <c r="T228" s="100"/>
      <c r="U228" s="100"/>
      <c r="V228" s="100"/>
      <c r="W228" s="100"/>
      <c r="X228" s="100"/>
      <c r="Y228" s="100"/>
      <c r="Z228" s="100"/>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1"/>
      <c r="BK228" s="221"/>
    </row>
    <row r="229" spans="1:63" hidden="1" outlineLevel="1">
      <c r="A229" s="9"/>
      <c r="B229" s="44"/>
      <c r="C229" s="270">
        <f>Asset25</f>
        <v>0</v>
      </c>
      <c r="D229" s="9"/>
      <c r="E229" s="9"/>
      <c r="F229" s="139"/>
      <c r="G229" s="201">
        <f>Input!T31</f>
        <v>0</v>
      </c>
      <c r="H229" s="115"/>
      <c r="I229" s="115"/>
      <c r="J229" s="115"/>
      <c r="K229" s="115"/>
      <c r="L229" s="115"/>
      <c r="M229" s="9"/>
      <c r="N229" s="111"/>
      <c r="O229" s="150"/>
      <c r="P229" s="150"/>
      <c r="Q229" s="150"/>
      <c r="R229" s="100"/>
      <c r="S229" s="100"/>
      <c r="T229" s="100"/>
      <c r="U229" s="100"/>
      <c r="V229" s="100"/>
      <c r="W229" s="100"/>
      <c r="X229" s="100"/>
      <c r="Y229" s="100"/>
      <c r="Z229" s="100"/>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1"/>
      <c r="BK229" s="221"/>
    </row>
    <row r="230" spans="1:63" hidden="1" outlineLevel="1">
      <c r="A230" s="9"/>
      <c r="B230" s="44"/>
      <c r="C230" s="270">
        <f>Asset26</f>
        <v>0</v>
      </c>
      <c r="D230" s="9"/>
      <c r="E230" s="9"/>
      <c r="F230" s="139"/>
      <c r="G230" s="201">
        <f>Input!T32</f>
        <v>0</v>
      </c>
      <c r="H230" s="115"/>
      <c r="I230" s="115"/>
      <c r="J230" s="115"/>
      <c r="K230" s="115"/>
      <c r="L230" s="115"/>
      <c r="M230" s="9"/>
      <c r="N230" s="111"/>
      <c r="O230" s="150"/>
      <c r="P230" s="150"/>
      <c r="Q230" s="150"/>
      <c r="R230" s="100"/>
      <c r="S230" s="100"/>
      <c r="T230" s="100"/>
      <c r="U230" s="100"/>
      <c r="V230" s="100"/>
      <c r="W230" s="100"/>
      <c r="X230" s="100"/>
      <c r="Y230" s="100"/>
      <c r="Z230" s="100"/>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1"/>
      <c r="BK230" s="221"/>
    </row>
    <row r="231" spans="1:63" hidden="1" outlineLevel="1">
      <c r="A231" s="9"/>
      <c r="B231" s="44"/>
      <c r="C231" s="270">
        <f>Asset27</f>
        <v>0</v>
      </c>
      <c r="D231" s="9"/>
      <c r="E231" s="9"/>
      <c r="F231" s="139"/>
      <c r="G231" s="201">
        <f>Input!T33</f>
        <v>0</v>
      </c>
      <c r="H231" s="115"/>
      <c r="I231" s="115"/>
      <c r="J231" s="115"/>
      <c r="K231" s="115"/>
      <c r="L231" s="115"/>
      <c r="M231" s="9"/>
      <c r="N231" s="111"/>
      <c r="O231" s="150"/>
      <c r="P231" s="150"/>
      <c r="Q231" s="150"/>
      <c r="R231" s="100"/>
      <c r="S231" s="100"/>
      <c r="T231" s="100"/>
      <c r="U231" s="100"/>
      <c r="V231" s="100"/>
      <c r="W231" s="100"/>
      <c r="X231" s="100"/>
      <c r="Y231" s="100"/>
      <c r="Z231" s="100"/>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1"/>
      <c r="BK231" s="221"/>
    </row>
    <row r="232" spans="1:63" hidden="1" outlineLevel="1">
      <c r="A232" s="9"/>
      <c r="B232" s="44"/>
      <c r="C232" s="270">
        <f>Asset28</f>
        <v>0</v>
      </c>
      <c r="D232" s="9"/>
      <c r="E232" s="9"/>
      <c r="F232" s="139"/>
      <c r="G232" s="201">
        <f>Input!T34</f>
        <v>0</v>
      </c>
      <c r="H232" s="115"/>
      <c r="I232" s="115"/>
      <c r="J232" s="115"/>
      <c r="K232" s="115"/>
      <c r="L232" s="115"/>
      <c r="M232" s="9"/>
      <c r="N232" s="111"/>
      <c r="O232" s="150"/>
      <c r="P232" s="150"/>
      <c r="Q232" s="150"/>
      <c r="R232" s="100"/>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1"/>
      <c r="BK232" s="221"/>
    </row>
    <row r="233" spans="1:63" hidden="1" outlineLevel="1">
      <c r="A233" s="9"/>
      <c r="B233" s="44"/>
      <c r="C233" s="270">
        <f>Asset29</f>
        <v>0</v>
      </c>
      <c r="D233" s="9"/>
      <c r="E233" s="9"/>
      <c r="F233" s="139"/>
      <c r="G233" s="201">
        <f>Input!T35</f>
        <v>0</v>
      </c>
      <c r="H233" s="115"/>
      <c r="I233" s="115"/>
      <c r="J233" s="115"/>
      <c r="K233" s="115"/>
      <c r="L233" s="115"/>
      <c r="M233" s="9"/>
      <c r="N233" s="111"/>
      <c r="O233" s="150"/>
      <c r="P233" s="150"/>
      <c r="Q233" s="150"/>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1"/>
      <c r="BK233" s="221"/>
    </row>
    <row r="234" spans="1:63" hidden="1" outlineLevel="1">
      <c r="A234" s="9"/>
      <c r="B234" s="44"/>
      <c r="C234" s="270">
        <f>Asset30</f>
        <v>0</v>
      </c>
      <c r="D234" s="9"/>
      <c r="E234" s="9"/>
      <c r="F234" s="139"/>
      <c r="G234" s="201">
        <f>Input!T36</f>
        <v>0</v>
      </c>
      <c r="H234" s="115"/>
      <c r="I234" s="115"/>
      <c r="J234" s="115"/>
      <c r="K234" s="115"/>
      <c r="L234" s="115"/>
      <c r="M234" s="9"/>
      <c r="N234" s="111"/>
      <c r="O234" s="150"/>
      <c r="P234" s="150"/>
      <c r="Q234" s="150"/>
      <c r="R234" s="100"/>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1"/>
      <c r="BK234" s="221"/>
    </row>
    <row r="235" spans="1:63" collapsed="1">
      <c r="A235" s="9"/>
      <c r="B235" s="151"/>
      <c r="C235" s="26"/>
      <c r="D235" s="9"/>
      <c r="E235" s="9"/>
      <c r="F235" s="139"/>
      <c r="G235" s="203"/>
      <c r="H235" s="115"/>
      <c r="I235" s="115"/>
      <c r="J235" s="115"/>
      <c r="K235" s="115"/>
      <c r="L235" s="115"/>
      <c r="M235" s="9"/>
      <c r="N235" s="111"/>
      <c r="O235" s="150"/>
      <c r="P235" s="150"/>
      <c r="Q235" s="150"/>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1"/>
      <c r="BK235" s="221"/>
    </row>
    <row r="236" spans="1:63">
      <c r="A236" s="9"/>
      <c r="B236" s="151" t="s">
        <v>53</v>
      </c>
      <c r="C236" s="26"/>
      <c r="D236" s="9"/>
      <c r="E236" s="9"/>
      <c r="F236" s="139"/>
      <c r="G236" s="203">
        <f>SUM(G237:G266)</f>
        <v>22.215810383019836</v>
      </c>
      <c r="H236" s="115"/>
      <c r="I236" s="115"/>
      <c r="J236" s="115"/>
      <c r="K236" s="115"/>
      <c r="L236" s="115"/>
      <c r="M236" s="9"/>
      <c r="N236" s="111"/>
      <c r="O236" s="150"/>
      <c r="P236" s="150"/>
      <c r="Q236" s="150"/>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1"/>
      <c r="BK236" s="221"/>
    </row>
    <row r="237" spans="1:63" hidden="1" outlineLevel="1">
      <c r="A237" s="9"/>
      <c r="B237" s="9"/>
      <c r="C237" s="270" t="str">
        <f>Asset1</f>
        <v>Secondary</v>
      </c>
      <c r="D237" s="9"/>
      <c r="E237" s="9"/>
      <c r="F237" s="139"/>
      <c r="G237" s="201">
        <f>G205-G173</f>
        <v>-1.7856143900000001</v>
      </c>
      <c r="H237" s="115"/>
      <c r="I237" s="115"/>
      <c r="J237" s="115"/>
      <c r="K237" s="115"/>
      <c r="L237" s="115"/>
      <c r="M237" s="9"/>
      <c r="N237" s="111"/>
      <c r="O237" s="150"/>
      <c r="P237" s="150"/>
      <c r="Q237" s="150"/>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1"/>
      <c r="BK237" s="221"/>
    </row>
    <row r="238" spans="1:63" hidden="1" outlineLevel="1">
      <c r="A238" s="9"/>
      <c r="B238" s="44"/>
      <c r="C238" s="270" t="str">
        <f>Asset2</f>
        <v>Switchgear</v>
      </c>
      <c r="D238" s="9"/>
      <c r="E238" s="9"/>
      <c r="F238" s="139"/>
      <c r="G238" s="201">
        <f t="shared" ref="G238:G266" si="3">G206-G174</f>
        <v>-2.432271580000001</v>
      </c>
      <c r="H238" s="115"/>
      <c r="I238" s="115"/>
      <c r="J238" s="115"/>
      <c r="K238" s="115"/>
      <c r="L238" s="115"/>
      <c r="M238" s="9"/>
      <c r="N238" s="111"/>
      <c r="O238" s="150"/>
      <c r="P238" s="150"/>
      <c r="Q238" s="150"/>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1"/>
      <c r="BK238" s="221"/>
    </row>
    <row r="239" spans="1:63" hidden="1" outlineLevel="1">
      <c r="A239" s="9"/>
      <c r="B239" s="44"/>
      <c r="C239" s="270" t="str">
        <f>Asset3</f>
        <v>Transformers</v>
      </c>
      <c r="D239" s="9"/>
      <c r="E239" s="9"/>
      <c r="F239" s="139"/>
      <c r="G239" s="201">
        <f t="shared" si="3"/>
        <v>0.5963920800000001</v>
      </c>
      <c r="H239" s="115"/>
      <c r="I239" s="115"/>
      <c r="J239" s="115"/>
      <c r="K239" s="115"/>
      <c r="L239" s="115"/>
      <c r="M239" s="9"/>
      <c r="N239" s="111"/>
      <c r="O239" s="150"/>
      <c r="P239" s="150"/>
      <c r="Q239" s="150"/>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1"/>
      <c r="BK239" s="221"/>
    </row>
    <row r="240" spans="1:63" hidden="1" outlineLevel="1">
      <c r="A240" s="9"/>
      <c r="B240" s="44"/>
      <c r="C240" s="270" t="str">
        <f>Asset4</f>
        <v>Reactive</v>
      </c>
      <c r="D240" s="9"/>
      <c r="E240" s="9"/>
      <c r="F240" s="139"/>
      <c r="G240" s="201">
        <f t="shared" si="3"/>
        <v>0</v>
      </c>
      <c r="H240" s="115"/>
      <c r="I240" s="115"/>
      <c r="J240" s="115"/>
      <c r="K240" s="115"/>
      <c r="L240" s="115"/>
      <c r="M240" s="9"/>
      <c r="N240" s="111"/>
      <c r="O240" s="150"/>
      <c r="P240" s="150"/>
      <c r="Q240" s="150"/>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1"/>
      <c r="BK240" s="221"/>
    </row>
    <row r="241" spans="1:63" hidden="1" outlineLevel="1">
      <c r="A241" s="9"/>
      <c r="B241" s="44"/>
      <c r="C241" s="270" t="str">
        <f>Asset5</f>
        <v>Towers and Conductor</v>
      </c>
      <c r="D241" s="9"/>
      <c r="E241" s="9"/>
      <c r="F241" s="139"/>
      <c r="G241" s="201">
        <f t="shared" si="3"/>
        <v>-2.0503593700000007</v>
      </c>
      <c r="H241" s="115"/>
      <c r="I241" s="115"/>
      <c r="J241" s="115"/>
      <c r="K241" s="115"/>
      <c r="L241" s="115"/>
      <c r="M241" s="9"/>
      <c r="N241" s="111"/>
      <c r="O241" s="150"/>
      <c r="P241" s="150"/>
      <c r="Q241" s="150"/>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1"/>
      <c r="BK241" s="221"/>
    </row>
    <row r="242" spans="1:63" hidden="1" outlineLevel="1">
      <c r="A242" s="9"/>
      <c r="B242" s="44"/>
      <c r="C242" s="270" t="str">
        <f>Asset6</f>
        <v>Establishment</v>
      </c>
      <c r="D242" s="9"/>
      <c r="E242" s="9"/>
      <c r="F242" s="139"/>
      <c r="G242" s="201">
        <f t="shared" si="3"/>
        <v>13.983938839999997</v>
      </c>
      <c r="H242" s="115"/>
      <c r="I242" s="115"/>
      <c r="J242" s="115"/>
      <c r="K242" s="115"/>
      <c r="L242" s="115"/>
      <c r="M242" s="9"/>
      <c r="N242" s="111"/>
      <c r="O242" s="150"/>
      <c r="P242" s="150"/>
      <c r="Q242" s="150"/>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1"/>
      <c r="BK242" s="221"/>
    </row>
    <row r="243" spans="1:63" hidden="1" outlineLevel="1">
      <c r="A243" s="9"/>
      <c r="B243" s="44"/>
      <c r="C243" s="270" t="str">
        <f>Asset7</f>
        <v>Communications</v>
      </c>
      <c r="D243" s="9"/>
      <c r="E243" s="9"/>
      <c r="F243" s="139"/>
      <c r="G243" s="201">
        <f t="shared" si="3"/>
        <v>-0.86417857999999992</v>
      </c>
      <c r="H243" s="115"/>
      <c r="I243" s="115"/>
      <c r="J243" s="115"/>
      <c r="K243" s="115"/>
      <c r="L243" s="115"/>
      <c r="M243" s="9"/>
      <c r="N243" s="111"/>
      <c r="O243" s="150"/>
      <c r="P243" s="150"/>
      <c r="Q243" s="150"/>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1"/>
      <c r="BK243" s="221"/>
    </row>
    <row r="244" spans="1:63" hidden="1" outlineLevel="1">
      <c r="A244" s="9"/>
      <c r="B244" s="44"/>
      <c r="C244" s="270" t="str">
        <f>Asset8</f>
        <v>Inventory</v>
      </c>
      <c r="D244" s="9"/>
      <c r="E244" s="9"/>
      <c r="F244" s="139"/>
      <c r="G244" s="201">
        <f t="shared" si="3"/>
        <v>0</v>
      </c>
      <c r="H244" s="115"/>
      <c r="I244" s="115"/>
      <c r="J244" s="115"/>
      <c r="K244" s="115"/>
      <c r="L244" s="115"/>
      <c r="M244" s="9"/>
      <c r="N244" s="111"/>
      <c r="O244" s="150"/>
      <c r="P244" s="150"/>
      <c r="Q244" s="150"/>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1"/>
      <c r="BK244" s="221"/>
    </row>
    <row r="245" spans="1:63" hidden="1" outlineLevel="1">
      <c r="A245" s="9"/>
      <c r="B245" s="44"/>
      <c r="C245" s="270" t="str">
        <f>Asset9</f>
        <v>IT</v>
      </c>
      <c r="D245" s="9"/>
      <c r="E245" s="9"/>
      <c r="F245" s="139"/>
      <c r="G245" s="201">
        <f t="shared" si="3"/>
        <v>3.4024412430198385</v>
      </c>
      <c r="H245" s="115"/>
      <c r="I245" s="115"/>
      <c r="J245" s="115"/>
      <c r="K245" s="115"/>
      <c r="L245" s="115"/>
      <c r="M245" s="9"/>
      <c r="N245" s="111"/>
      <c r="O245" s="150"/>
      <c r="P245" s="150"/>
      <c r="Q245" s="150"/>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1"/>
      <c r="BK245" s="221"/>
    </row>
    <row r="246" spans="1:63" hidden="1" outlineLevel="1">
      <c r="A246" s="9"/>
      <c r="B246" s="44"/>
      <c r="C246" s="270" t="str">
        <f>Asset10</f>
        <v>Vehicles</v>
      </c>
      <c r="D246" s="9"/>
      <c r="E246" s="9"/>
      <c r="F246" s="139"/>
      <c r="G246" s="201">
        <f t="shared" si="3"/>
        <v>0.79015199999999997</v>
      </c>
      <c r="H246" s="115"/>
      <c r="I246" s="115"/>
      <c r="J246" s="115"/>
      <c r="K246" s="115"/>
      <c r="L246" s="115"/>
      <c r="M246" s="9"/>
      <c r="N246" s="111"/>
      <c r="O246" s="150"/>
      <c r="P246" s="150"/>
      <c r="Q246" s="150"/>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1"/>
      <c r="BK246" s="221"/>
    </row>
    <row r="247" spans="1:63" hidden="1" outlineLevel="1">
      <c r="A247" s="9"/>
      <c r="B247" s="44"/>
      <c r="C247" s="270" t="str">
        <f>Asset11</f>
        <v>other</v>
      </c>
      <c r="D247" s="9"/>
      <c r="E247" s="9"/>
      <c r="F247" s="139"/>
      <c r="G247" s="201">
        <f t="shared" si="3"/>
        <v>10.267432210000003</v>
      </c>
      <c r="H247" s="115"/>
      <c r="I247" s="115"/>
      <c r="J247" s="115"/>
      <c r="K247" s="115"/>
      <c r="L247" s="115"/>
      <c r="M247" s="9"/>
      <c r="N247" s="111"/>
      <c r="O247" s="150"/>
      <c r="P247" s="150"/>
      <c r="Q247" s="150"/>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1"/>
      <c r="BK247" s="221"/>
    </row>
    <row r="248" spans="1:63" hidden="1" outlineLevel="1">
      <c r="A248" s="9"/>
      <c r="B248" s="44"/>
      <c r="C248" s="270" t="str">
        <f>Asset12</f>
        <v>premises</v>
      </c>
      <c r="D248" s="9"/>
      <c r="E248" s="9"/>
      <c r="F248" s="139"/>
      <c r="G248" s="201">
        <f t="shared" si="3"/>
        <v>0.3078779299999998</v>
      </c>
      <c r="H248" s="115"/>
      <c r="I248" s="115"/>
      <c r="J248" s="115"/>
      <c r="K248" s="115"/>
      <c r="L248" s="115"/>
      <c r="M248" s="9"/>
      <c r="N248" s="111"/>
      <c r="O248" s="150"/>
      <c r="P248" s="150"/>
      <c r="Q248" s="150"/>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1"/>
      <c r="BK248" s="221"/>
    </row>
    <row r="249" spans="1:63" hidden="1" outlineLevel="1">
      <c r="A249" s="9"/>
      <c r="B249" s="44"/>
      <c r="C249" s="270" t="str">
        <f>Asset13</f>
        <v>Land</v>
      </c>
      <c r="D249" s="9"/>
      <c r="E249" s="9"/>
      <c r="F249" s="139"/>
      <c r="G249" s="201">
        <f t="shared" si="3"/>
        <v>0</v>
      </c>
      <c r="H249" s="115"/>
      <c r="I249" s="115"/>
      <c r="J249" s="115"/>
      <c r="K249" s="115"/>
      <c r="L249" s="115"/>
      <c r="M249" s="9"/>
      <c r="N249" s="111"/>
      <c r="O249" s="150"/>
      <c r="P249" s="150"/>
      <c r="Q249" s="150"/>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1"/>
      <c r="BK249" s="221"/>
    </row>
    <row r="250" spans="1:63" hidden="1" outlineLevel="1">
      <c r="A250" s="9"/>
      <c r="B250" s="44"/>
      <c r="C250" s="270" t="str">
        <f>Asset14</f>
        <v>Easements</v>
      </c>
      <c r="D250" s="9"/>
      <c r="E250" s="9"/>
      <c r="F250" s="139"/>
      <c r="G250" s="201">
        <f t="shared" si="3"/>
        <v>0</v>
      </c>
      <c r="H250" s="115"/>
      <c r="I250" s="115"/>
      <c r="J250" s="115"/>
      <c r="K250" s="115"/>
      <c r="L250" s="115"/>
      <c r="M250" s="9"/>
      <c r="N250" s="111"/>
      <c r="O250" s="150"/>
      <c r="P250" s="150"/>
      <c r="Q250" s="150"/>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1"/>
      <c r="BK250" s="221"/>
    </row>
    <row r="251" spans="1:63" hidden="1" outlineLevel="1">
      <c r="A251" s="9"/>
      <c r="B251" s="44"/>
      <c r="C251" s="270">
        <f>Asset15</f>
        <v>0</v>
      </c>
      <c r="D251" s="9"/>
      <c r="E251" s="9"/>
      <c r="F251" s="139"/>
      <c r="G251" s="201">
        <f t="shared" si="3"/>
        <v>0</v>
      </c>
      <c r="H251" s="115"/>
      <c r="I251" s="115"/>
      <c r="J251" s="115"/>
      <c r="K251" s="115"/>
      <c r="L251" s="115"/>
      <c r="M251" s="9"/>
      <c r="N251" s="111"/>
      <c r="O251" s="150"/>
      <c r="P251" s="150"/>
      <c r="Q251" s="150"/>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1"/>
      <c r="BK251" s="221"/>
    </row>
    <row r="252" spans="1:63" hidden="1" outlineLevel="1">
      <c r="A252" s="9"/>
      <c r="B252" s="44"/>
      <c r="C252" s="270">
        <f>Asset16</f>
        <v>0</v>
      </c>
      <c r="D252" s="9"/>
      <c r="E252" s="9"/>
      <c r="F252" s="139"/>
      <c r="G252" s="201">
        <f t="shared" si="3"/>
        <v>0</v>
      </c>
      <c r="H252" s="115"/>
      <c r="I252" s="115"/>
      <c r="J252" s="115"/>
      <c r="K252" s="115"/>
      <c r="L252" s="115"/>
      <c r="M252" s="9"/>
      <c r="N252" s="111"/>
      <c r="O252" s="150"/>
      <c r="P252" s="150"/>
      <c r="Q252" s="150"/>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1"/>
      <c r="BK252" s="221"/>
    </row>
    <row r="253" spans="1:63" hidden="1" outlineLevel="1">
      <c r="A253" s="9"/>
      <c r="B253" s="44"/>
      <c r="C253" s="270">
        <f>Asset17</f>
        <v>0</v>
      </c>
      <c r="D253" s="9"/>
      <c r="E253" s="9"/>
      <c r="F253" s="139"/>
      <c r="G253" s="201">
        <f t="shared" si="3"/>
        <v>0</v>
      </c>
      <c r="H253" s="115"/>
      <c r="I253" s="115"/>
      <c r="J253" s="115"/>
      <c r="K253" s="115"/>
      <c r="L253" s="115"/>
      <c r="M253" s="9"/>
      <c r="N253" s="111"/>
      <c r="O253" s="150"/>
      <c r="P253" s="150"/>
      <c r="Q253" s="150"/>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1"/>
      <c r="BK253" s="221"/>
    </row>
    <row r="254" spans="1:63" hidden="1" outlineLevel="1">
      <c r="A254" s="9"/>
      <c r="B254" s="44"/>
      <c r="C254" s="270">
        <f>Asset18</f>
        <v>0</v>
      </c>
      <c r="D254" s="9"/>
      <c r="E254" s="9"/>
      <c r="F254" s="139"/>
      <c r="G254" s="201">
        <f t="shared" si="3"/>
        <v>0</v>
      </c>
      <c r="H254" s="115"/>
      <c r="I254" s="115"/>
      <c r="J254" s="115"/>
      <c r="K254" s="115"/>
      <c r="L254" s="115"/>
      <c r="M254" s="9"/>
      <c r="N254" s="111"/>
      <c r="O254" s="150"/>
      <c r="P254" s="150"/>
      <c r="Q254" s="150"/>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1"/>
      <c r="BK254" s="221"/>
    </row>
    <row r="255" spans="1:63" hidden="1" outlineLevel="1">
      <c r="A255" s="9"/>
      <c r="B255" s="44"/>
      <c r="C255" s="270">
        <f>Asset19</f>
        <v>0</v>
      </c>
      <c r="D255" s="9"/>
      <c r="E255" s="9"/>
      <c r="F255" s="139"/>
      <c r="G255" s="201">
        <f t="shared" si="3"/>
        <v>0</v>
      </c>
      <c r="H255" s="115"/>
      <c r="I255" s="115"/>
      <c r="J255" s="115"/>
      <c r="K255" s="115"/>
      <c r="L255" s="115"/>
      <c r="M255" s="9"/>
      <c r="N255" s="111"/>
      <c r="O255" s="150"/>
      <c r="P255" s="150"/>
      <c r="Q255" s="150"/>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1"/>
      <c r="BK255" s="221"/>
    </row>
    <row r="256" spans="1:63" hidden="1" outlineLevel="1">
      <c r="A256" s="9"/>
      <c r="B256" s="44"/>
      <c r="C256" s="270">
        <f>Asset20</f>
        <v>0</v>
      </c>
      <c r="D256" s="9"/>
      <c r="E256" s="9"/>
      <c r="F256" s="139"/>
      <c r="G256" s="201">
        <f t="shared" si="3"/>
        <v>0</v>
      </c>
      <c r="H256" s="115"/>
      <c r="I256" s="115"/>
      <c r="J256" s="115"/>
      <c r="K256" s="115"/>
      <c r="L256" s="115"/>
      <c r="M256" s="9"/>
      <c r="N256" s="111"/>
      <c r="O256" s="150"/>
      <c r="P256" s="150"/>
      <c r="Q256" s="150"/>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1"/>
      <c r="BK256" s="221"/>
    </row>
    <row r="257" spans="1:63" hidden="1" outlineLevel="1">
      <c r="A257" s="9"/>
      <c r="B257" s="44"/>
      <c r="C257" s="270">
        <f>Asset21</f>
        <v>0</v>
      </c>
      <c r="D257" s="9"/>
      <c r="E257" s="9"/>
      <c r="F257" s="139"/>
      <c r="G257" s="201">
        <f t="shared" si="3"/>
        <v>0</v>
      </c>
      <c r="H257" s="115"/>
      <c r="I257" s="115"/>
      <c r="J257" s="115"/>
      <c r="K257" s="115"/>
      <c r="L257" s="115"/>
      <c r="M257" s="9"/>
      <c r="N257" s="111"/>
      <c r="O257" s="150"/>
      <c r="P257" s="150"/>
      <c r="Q257" s="150"/>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1"/>
      <c r="BK257" s="221"/>
    </row>
    <row r="258" spans="1:63" hidden="1" outlineLevel="1">
      <c r="A258" s="9"/>
      <c r="B258" s="44"/>
      <c r="C258" s="270">
        <f>Asset22</f>
        <v>0</v>
      </c>
      <c r="D258" s="9"/>
      <c r="E258" s="9"/>
      <c r="F258" s="139"/>
      <c r="G258" s="201">
        <f t="shared" si="3"/>
        <v>0</v>
      </c>
      <c r="H258" s="115"/>
      <c r="I258" s="115"/>
      <c r="J258" s="115"/>
      <c r="K258" s="115"/>
      <c r="L258" s="115"/>
      <c r="M258" s="9"/>
      <c r="N258" s="111"/>
      <c r="O258" s="150"/>
      <c r="P258" s="150"/>
      <c r="Q258" s="150"/>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1"/>
      <c r="BK258" s="221"/>
    </row>
    <row r="259" spans="1:63" hidden="1" outlineLevel="1">
      <c r="A259" s="9"/>
      <c r="B259" s="44"/>
      <c r="C259" s="270">
        <f>Asset23</f>
        <v>0</v>
      </c>
      <c r="D259" s="9"/>
      <c r="E259" s="9"/>
      <c r="F259" s="139"/>
      <c r="G259" s="201">
        <f t="shared" si="3"/>
        <v>0</v>
      </c>
      <c r="H259" s="115"/>
      <c r="I259" s="115"/>
      <c r="J259" s="115"/>
      <c r="K259" s="115"/>
      <c r="L259" s="115"/>
      <c r="M259" s="9"/>
      <c r="N259" s="111"/>
      <c r="O259" s="150"/>
      <c r="P259" s="150"/>
      <c r="Q259" s="150"/>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1"/>
      <c r="BK259" s="221"/>
    </row>
    <row r="260" spans="1:63" hidden="1" outlineLevel="1">
      <c r="A260" s="9"/>
      <c r="B260" s="44"/>
      <c r="C260" s="270">
        <f>Asset24</f>
        <v>0</v>
      </c>
      <c r="D260" s="9"/>
      <c r="E260" s="9"/>
      <c r="F260" s="139"/>
      <c r="G260" s="201">
        <f t="shared" si="3"/>
        <v>0</v>
      </c>
      <c r="H260" s="115"/>
      <c r="I260" s="115"/>
      <c r="J260" s="115"/>
      <c r="K260" s="115"/>
      <c r="L260" s="115"/>
      <c r="M260" s="9"/>
      <c r="N260" s="111"/>
      <c r="O260" s="150"/>
      <c r="P260" s="150"/>
      <c r="Q260" s="150"/>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1"/>
      <c r="BK260" s="221"/>
    </row>
    <row r="261" spans="1:63" hidden="1" outlineLevel="1">
      <c r="A261" s="9"/>
      <c r="B261" s="44"/>
      <c r="C261" s="270">
        <f>Asset25</f>
        <v>0</v>
      </c>
      <c r="D261" s="9"/>
      <c r="E261" s="9"/>
      <c r="F261" s="139"/>
      <c r="G261" s="201">
        <f t="shared" si="3"/>
        <v>0</v>
      </c>
      <c r="H261" s="115"/>
      <c r="I261" s="115"/>
      <c r="J261" s="115"/>
      <c r="K261" s="115"/>
      <c r="L261" s="115"/>
      <c r="M261" s="9"/>
      <c r="N261" s="111"/>
      <c r="O261" s="150"/>
      <c r="P261" s="150"/>
      <c r="Q261" s="150"/>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1"/>
      <c r="BK261" s="221"/>
    </row>
    <row r="262" spans="1:63" hidden="1" outlineLevel="1">
      <c r="A262" s="9"/>
      <c r="B262" s="44"/>
      <c r="C262" s="270">
        <f>Asset26</f>
        <v>0</v>
      </c>
      <c r="D262" s="9"/>
      <c r="E262" s="9"/>
      <c r="F262" s="139"/>
      <c r="G262" s="201">
        <f t="shared" si="3"/>
        <v>0</v>
      </c>
      <c r="H262" s="115"/>
      <c r="I262" s="115"/>
      <c r="J262" s="115"/>
      <c r="K262" s="115"/>
      <c r="L262" s="115"/>
      <c r="M262" s="9"/>
      <c r="N262" s="111"/>
      <c r="O262" s="150"/>
      <c r="P262" s="150"/>
      <c r="Q262" s="150"/>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1"/>
      <c r="BK262" s="221"/>
    </row>
    <row r="263" spans="1:63" hidden="1" outlineLevel="1">
      <c r="A263" s="9"/>
      <c r="B263" s="44"/>
      <c r="C263" s="270">
        <f>Asset27</f>
        <v>0</v>
      </c>
      <c r="D263" s="9"/>
      <c r="E263" s="9"/>
      <c r="F263" s="139"/>
      <c r="G263" s="201">
        <f t="shared" si="3"/>
        <v>0</v>
      </c>
      <c r="H263" s="115"/>
      <c r="I263" s="115"/>
      <c r="J263" s="115"/>
      <c r="K263" s="115"/>
      <c r="L263" s="115"/>
      <c r="M263" s="9"/>
      <c r="N263" s="111"/>
      <c r="O263" s="150"/>
      <c r="P263" s="150"/>
      <c r="Q263" s="150"/>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1"/>
      <c r="BK263" s="221"/>
    </row>
    <row r="264" spans="1:63" hidden="1" outlineLevel="1">
      <c r="A264" s="9"/>
      <c r="B264" s="44"/>
      <c r="C264" s="270">
        <f>Asset28</f>
        <v>0</v>
      </c>
      <c r="D264" s="9"/>
      <c r="E264" s="9"/>
      <c r="F264" s="139"/>
      <c r="G264" s="201">
        <f t="shared" si="3"/>
        <v>0</v>
      </c>
      <c r="H264" s="115"/>
      <c r="I264" s="115"/>
      <c r="J264" s="115"/>
      <c r="K264" s="115"/>
      <c r="L264" s="115"/>
      <c r="M264" s="9"/>
      <c r="N264" s="111"/>
      <c r="O264" s="150"/>
      <c r="P264" s="150"/>
      <c r="Q264" s="150"/>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1"/>
      <c r="BK264" s="221"/>
    </row>
    <row r="265" spans="1:63" hidden="1" outlineLevel="1">
      <c r="A265" s="9"/>
      <c r="B265" s="44"/>
      <c r="C265" s="270">
        <f>Asset29</f>
        <v>0</v>
      </c>
      <c r="D265" s="9"/>
      <c r="E265" s="9"/>
      <c r="F265" s="139"/>
      <c r="G265" s="201">
        <f t="shared" si="3"/>
        <v>0</v>
      </c>
      <c r="H265" s="115"/>
      <c r="I265" s="115"/>
      <c r="J265" s="115"/>
      <c r="K265" s="115"/>
      <c r="L265" s="115"/>
      <c r="M265" s="9"/>
      <c r="N265" s="111"/>
      <c r="O265" s="150"/>
      <c r="P265" s="150"/>
      <c r="Q265" s="150"/>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1"/>
      <c r="BK265" s="221"/>
    </row>
    <row r="266" spans="1:63" hidden="1" outlineLevel="1">
      <c r="A266" s="9"/>
      <c r="B266" s="44"/>
      <c r="C266" s="270">
        <f>Asset30</f>
        <v>0</v>
      </c>
      <c r="D266" s="9"/>
      <c r="E266" s="9"/>
      <c r="F266" s="139"/>
      <c r="G266" s="201">
        <f t="shared" si="3"/>
        <v>0</v>
      </c>
      <c r="H266" s="115"/>
      <c r="I266" s="115"/>
      <c r="J266" s="115"/>
      <c r="K266" s="115"/>
      <c r="L266" s="115"/>
      <c r="M266" s="9"/>
      <c r="N266" s="111"/>
      <c r="O266" s="150"/>
      <c r="P266" s="150"/>
      <c r="Q266" s="150"/>
      <c r="R266" s="100"/>
      <c r="S266" s="100"/>
      <c r="T266" s="100"/>
      <c r="U266" s="100"/>
      <c r="V266" s="100"/>
      <c r="W266" s="100"/>
      <c r="X266" s="100"/>
      <c r="Y266" s="100"/>
      <c r="Z266" s="100"/>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1"/>
      <c r="BK266" s="221"/>
    </row>
    <row r="267" spans="1:63" collapsed="1">
      <c r="A267" s="9"/>
      <c r="B267" s="151"/>
      <c r="C267" s="26"/>
      <c r="D267" s="9"/>
      <c r="E267" s="9"/>
      <c r="F267" s="139"/>
      <c r="G267" s="203"/>
      <c r="H267" s="115"/>
      <c r="I267" s="115"/>
      <c r="J267" s="115"/>
      <c r="K267" s="115"/>
      <c r="L267" s="115"/>
      <c r="M267" s="9"/>
      <c r="N267" s="111"/>
      <c r="O267" s="150"/>
      <c r="P267" s="150"/>
      <c r="Q267" s="150"/>
      <c r="R267" s="100"/>
      <c r="S267" s="100"/>
      <c r="T267" s="100"/>
      <c r="U267" s="100"/>
      <c r="V267" s="100"/>
      <c r="W267" s="100"/>
      <c r="X267" s="100"/>
      <c r="Y267" s="100"/>
      <c r="Z267" s="100"/>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1"/>
      <c r="BK267" s="221"/>
    </row>
    <row r="268" spans="1:63">
      <c r="A268" s="9"/>
      <c r="B268" s="151" t="s">
        <v>59</v>
      </c>
      <c r="C268" s="26"/>
      <c r="D268" s="9"/>
      <c r="E268" s="9"/>
      <c r="F268" s="139"/>
      <c r="G268" s="203"/>
      <c r="H268" s="115">
        <f t="shared" ref="H268:Q268" si="4">SUM(H269,H271,H273,H275,H277,H279,H281,H283,H285,H287,H289,H291,H293,H295,H297,H299,H301,H303,H305,H307,H309,H311,H313,H315,H317,H319,H321,H323,H325,H327)</f>
        <v>2.4296353497883385</v>
      </c>
      <c r="I268" s="115">
        <f t="shared" si="4"/>
        <v>2.2795753901854563</v>
      </c>
      <c r="J268" s="115">
        <f t="shared" si="4"/>
        <v>2.6478410675886779</v>
      </c>
      <c r="K268" s="115">
        <f t="shared" si="4"/>
        <v>3.0501689709005868</v>
      </c>
      <c r="L268" s="115">
        <f t="shared" si="4"/>
        <v>3.050960172343939</v>
      </c>
      <c r="M268" s="115">
        <f t="shared" si="4"/>
        <v>3.4491149016138909</v>
      </c>
      <c r="N268" s="115">
        <f t="shared" si="4"/>
        <v>0</v>
      </c>
      <c r="O268" s="115">
        <f t="shared" si="4"/>
        <v>0</v>
      </c>
      <c r="P268" s="115">
        <f t="shared" si="4"/>
        <v>0</v>
      </c>
      <c r="Q268" s="115">
        <f t="shared" si="4"/>
        <v>0</v>
      </c>
      <c r="R268" s="100"/>
      <c r="S268" s="100"/>
      <c r="T268" s="100"/>
      <c r="U268" s="100"/>
      <c r="V268" s="100"/>
      <c r="W268" s="100"/>
      <c r="X268" s="100"/>
      <c r="Y268" s="100"/>
      <c r="Z268" s="100"/>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1"/>
      <c r="BK268" s="221"/>
    </row>
    <row r="269" spans="1:63" hidden="1" outlineLevel="1">
      <c r="A269" s="9"/>
      <c r="B269" s="44"/>
      <c r="C269" s="270" t="str">
        <f>Asset1</f>
        <v>Secondary</v>
      </c>
      <c r="D269" s="9"/>
      <c r="E269" s="9"/>
      <c r="F269" s="139"/>
      <c r="G269" s="203"/>
      <c r="H269" s="111">
        <f>($G237+(SUM($G269:G269)))*H$7</f>
        <v>-0.19528397876274164</v>
      </c>
      <c r="I269" s="111">
        <f>($G237+(SUM($G269:H269)))*I$7</f>
        <v>-0.18322278366744474</v>
      </c>
      <c r="J269" s="111">
        <f>($G237+(SUM($G269:I269)))*J$7</f>
        <v>-0.21282244632106986</v>
      </c>
      <c r="K269" s="111">
        <f>($G237+(SUM($G269:J269)))*K$7</f>
        <v>-0.24515988894712723</v>
      </c>
      <c r="L269" s="111">
        <f>($G237+(SUM($G269:K269)))*L$7</f>
        <v>-0.24522348242664838</v>
      </c>
      <c r="M269" s="111">
        <f>($G237+(SUM($G269:L269)))*M$7</f>
        <v>-0.27722550268940593</v>
      </c>
      <c r="N269" s="111">
        <f>IF(COUNT($H269:M269)&gt;=Input!$Y$7,0,($G237+(SUM($G269:M269)))*N$7)</f>
        <v>0</v>
      </c>
      <c r="O269" s="111">
        <f>IF(COUNT($H269:N269)&gt;=Input!$Y$7,0,($G237+(SUM($G269:N269)))*O$7)</f>
        <v>0</v>
      </c>
      <c r="P269" s="111">
        <f>IF(COUNT($H269:O269)&gt;=Input!$Y$7,0,($G237+(SUM($G269:O269)))*P$7)</f>
        <v>0</v>
      </c>
      <c r="Q269" s="111">
        <f>IF(COUNT($H269:P269)&gt;=Input!$Y$7,0,($G237+(SUM($G269:P269)))*Q$7)</f>
        <v>0</v>
      </c>
      <c r="R269" s="100"/>
      <c r="S269" s="100"/>
      <c r="T269" s="100"/>
      <c r="U269" s="100"/>
      <c r="V269" s="100"/>
      <c r="W269" s="100"/>
      <c r="X269" s="100"/>
      <c r="Y269" s="100"/>
      <c r="Z269" s="100"/>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1"/>
      <c r="BK269" s="221"/>
    </row>
    <row r="270" spans="1:63" hidden="1" outlineLevel="1">
      <c r="A270" s="9"/>
      <c r="B270" s="44"/>
      <c r="C270" s="282" t="s">
        <v>27</v>
      </c>
      <c r="D270" s="9"/>
      <c r="E270" s="9"/>
      <c r="F270" s="139"/>
      <c r="G270" s="203"/>
      <c r="H270" s="111"/>
      <c r="I270" s="111"/>
      <c r="J270" s="111"/>
      <c r="K270" s="111"/>
      <c r="L270" s="111">
        <f>IF(COUNT($H269:L269)=Input!$Y$7, SUM($G269:L269), 0)</f>
        <v>0</v>
      </c>
      <c r="M270" s="111">
        <f>IF(COUNT($H269:M269)=Input!$Y$7, SUM($G269:M269), 0)</f>
        <v>-1.358938082814438</v>
      </c>
      <c r="N270" s="111">
        <f>IF(COUNT($H269:N269)=Input!$Y$7, SUM($G269:N269), 0)</f>
        <v>0</v>
      </c>
      <c r="O270" s="111">
        <f>IF(COUNT($H269:O269)=Input!$Y$7, SUM($G269:O269), 0)</f>
        <v>0</v>
      </c>
      <c r="P270" s="111">
        <f>IF(COUNT($H269:P269)=Input!$Y$7, SUM($G269:P269), 0)</f>
        <v>0</v>
      </c>
      <c r="Q270" s="111">
        <f>IF(COUNT($H269:Q269)=Input!$Y$7, SUM($G269:Q269), 0)</f>
        <v>0</v>
      </c>
      <c r="R270" s="100"/>
      <c r="S270" s="100"/>
      <c r="T270" s="100"/>
      <c r="U270" s="100"/>
      <c r="V270" s="100"/>
      <c r="W270" s="100"/>
      <c r="X270" s="100"/>
      <c r="Y270" s="100"/>
      <c r="Z270" s="100"/>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1"/>
      <c r="BK270" s="221"/>
    </row>
    <row r="271" spans="1:63" hidden="1" outlineLevel="1">
      <c r="A271" s="9"/>
      <c r="B271" s="44"/>
      <c r="C271" s="270" t="str">
        <f>Asset2</f>
        <v>Switchgear</v>
      </c>
      <c r="D271" s="9"/>
      <c r="E271" s="9"/>
      <c r="F271" s="139"/>
      <c r="G271" s="203"/>
      <c r="H271" s="111">
        <f>($G238+(SUM($G271:G271)))*H$7</f>
        <v>-0.2660057368679361</v>
      </c>
      <c r="I271" s="111">
        <f>($G238+(SUM($G271:H271)))*I$7</f>
        <v>-0.24957660064713871</v>
      </c>
      <c r="J271" s="111">
        <f>($G238+(SUM($G271:I271)))*J$7</f>
        <v>-0.2898957303837667</v>
      </c>
      <c r="K271" s="111">
        <f>($G238+(SUM($G271:J271)))*K$7</f>
        <v>-0.33394412241606874</v>
      </c>
      <c r="L271" s="111">
        <f>($G238+(SUM($G271:K271)))*L$7</f>
        <v>-0.33403074616517092</v>
      </c>
      <c r="M271" s="111">
        <f>($G238+(SUM($G271:L271)))*M$7</f>
        <v>-0.37762224320036747</v>
      </c>
      <c r="N271" s="111">
        <f>IF(COUNT($H271:M271)&gt;=Input!$Y$7,0,($G238+(SUM($G271:M271)))*N$7)</f>
        <v>0</v>
      </c>
      <c r="O271" s="111">
        <f>IF(COUNT($H271:N271)&gt;=Input!$Y$7,0,($G238+(SUM($G271:N271)))*O$7)</f>
        <v>0</v>
      </c>
      <c r="P271" s="111">
        <f>IF(COUNT($H271:O271)&gt;=Input!$Y$7,0,($G238+(SUM($G271:O271)))*P$7)</f>
        <v>0</v>
      </c>
      <c r="Q271" s="111">
        <f>IF(COUNT($H271:P271)&gt;=Input!$Y$7,0,($G238+(SUM($G271:P271)))*Q$7)</f>
        <v>0</v>
      </c>
      <c r="R271" s="100"/>
      <c r="S271" s="100"/>
      <c r="T271" s="100"/>
      <c r="U271" s="100"/>
      <c r="V271" s="100"/>
      <c r="W271" s="100"/>
      <c r="X271" s="100"/>
      <c r="Y271" s="100"/>
      <c r="Z271" s="100"/>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1"/>
      <c r="BK271" s="221"/>
    </row>
    <row r="272" spans="1:63" hidden="1" outlineLevel="1">
      <c r="A272" s="9"/>
      <c r="B272" s="44"/>
      <c r="C272" s="282" t="s">
        <v>27</v>
      </c>
      <c r="D272" s="9"/>
      <c r="E272" s="9"/>
      <c r="F272" s="139"/>
      <c r="G272" s="203"/>
      <c r="H272" s="111"/>
      <c r="I272" s="111"/>
      <c r="J272" s="111"/>
      <c r="K272" s="111"/>
      <c r="L272" s="111">
        <f>IF(COUNT($H271:L271)=Input!$Y$7, SUM($G271:L271), 0)</f>
        <v>0</v>
      </c>
      <c r="M272" s="111">
        <f>IF(COUNT($H271:M271)=Input!$Y$7, SUM($G271:M271), 0)</f>
        <v>-1.8510751796804485</v>
      </c>
      <c r="N272" s="111">
        <f>IF(COUNT($H271:N271)=Input!$Y$7, SUM($G271:N271), 0)</f>
        <v>0</v>
      </c>
      <c r="O272" s="111">
        <f>IF(COUNT($H271:O271)=Input!$Y$7, SUM($G271:O271), 0)</f>
        <v>0</v>
      </c>
      <c r="P272" s="111">
        <f>IF(COUNT($H271:P271)=Input!$Y$7, SUM($G271:P271), 0)</f>
        <v>0</v>
      </c>
      <c r="Q272" s="111">
        <f>IF(COUNT($H271:Q271)=Input!$Y$7, SUM($G271:Q271), 0)</f>
        <v>0</v>
      </c>
      <c r="R272" s="100"/>
      <c r="S272" s="100"/>
      <c r="T272" s="100"/>
      <c r="U272" s="100"/>
      <c r="V272" s="100"/>
      <c r="W272" s="100"/>
      <c r="X272" s="100"/>
      <c r="Y272" s="100"/>
      <c r="Z272" s="100"/>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1"/>
      <c r="BK272" s="221"/>
    </row>
    <row r="273" spans="1:63" hidden="1" outlineLevel="1">
      <c r="A273" s="9"/>
      <c r="B273" s="44"/>
      <c r="C273" s="270" t="str">
        <f>Asset3</f>
        <v>Transformers</v>
      </c>
      <c r="D273" s="9"/>
      <c r="E273" s="9"/>
      <c r="F273" s="139"/>
      <c r="G273" s="203"/>
      <c r="H273" s="111">
        <f>($G239+(SUM($G273:G273)))*H$7</f>
        <v>6.5224507002873855E-2</v>
      </c>
      <c r="I273" s="111">
        <f>($G239+(SUM($G273:H273)))*I$7</f>
        <v>6.1196088957827792E-2</v>
      </c>
      <c r="J273" s="111">
        <f>($G239+(SUM($G273:I273)))*J$7</f>
        <v>7.1082324460944354E-2</v>
      </c>
      <c r="K273" s="111">
        <f>($G239+(SUM($G273:J273)))*K$7</f>
        <v>8.1882973681538393E-2</v>
      </c>
      <c r="L273" s="111">
        <f>($G239+(SUM($G273:K273)))*L$7</f>
        <v>8.1904213792358779E-2</v>
      </c>
      <c r="M273" s="111">
        <f>($G239+(SUM($G273:L273)))*M$7</f>
        <v>9.2592832530869348E-2</v>
      </c>
      <c r="N273" s="111">
        <f>IF(COUNT($H273:M273)&gt;=Input!$Y$7,0,($G239+(SUM($G273:M273)))*N$7)</f>
        <v>0</v>
      </c>
      <c r="O273" s="111">
        <f>IF(COUNT($H273:N273)&gt;=Input!$Y$7,0,($G239+(SUM($G273:N273)))*O$7)</f>
        <v>0</v>
      </c>
      <c r="P273" s="111">
        <f>IF(COUNT($H273:O273)&gt;=Input!$Y$7,0,($G239+(SUM($G273:O273)))*P$7)</f>
        <v>0</v>
      </c>
      <c r="Q273" s="111">
        <f>IF(COUNT($H273:P273)&gt;=Input!$Y$7,0,($G239+(SUM($G273:P273)))*Q$7)</f>
        <v>0</v>
      </c>
      <c r="R273" s="100"/>
      <c r="S273" s="100"/>
      <c r="T273" s="100"/>
      <c r="U273" s="100"/>
      <c r="V273" s="100"/>
      <c r="W273" s="100"/>
      <c r="X273" s="100"/>
      <c r="Y273" s="100"/>
      <c r="Z273" s="100"/>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1"/>
      <c r="BK273" s="221"/>
    </row>
    <row r="274" spans="1:63" hidden="1" outlineLevel="1">
      <c r="A274" s="9"/>
      <c r="B274" s="44"/>
      <c r="C274" s="282" t="s">
        <v>27</v>
      </c>
      <c r="D274" s="9"/>
      <c r="E274" s="9"/>
      <c r="F274" s="139"/>
      <c r="G274" s="203"/>
      <c r="H274" s="111"/>
      <c r="I274" s="111"/>
      <c r="J274" s="111"/>
      <c r="K274" s="111"/>
      <c r="L274" s="111">
        <f>IF(COUNT($H273:L273)=Input!$Y$7, SUM($G273:L273), 0)</f>
        <v>0</v>
      </c>
      <c r="M274" s="111">
        <f>IF(COUNT($H273:M273)=Input!$Y$7, SUM($G273:M273), 0)</f>
        <v>0.45388294042641258</v>
      </c>
      <c r="N274" s="111">
        <f>IF(COUNT($H273:N273)=Input!$Y$7, SUM($G273:N273), 0)</f>
        <v>0</v>
      </c>
      <c r="O274" s="111">
        <f>IF(COUNT($H273:O273)=Input!$Y$7, SUM($G273:O273), 0)</f>
        <v>0</v>
      </c>
      <c r="P274" s="111">
        <f>IF(COUNT($H273:P273)=Input!$Y$7, SUM($G273:P273), 0)</f>
        <v>0</v>
      </c>
      <c r="Q274" s="111">
        <f>IF(COUNT($H273:Q273)=Input!$Y$7, SUM($G273:Q273), 0)</f>
        <v>0</v>
      </c>
      <c r="R274" s="100"/>
      <c r="S274" s="100"/>
      <c r="T274" s="100"/>
      <c r="U274" s="100"/>
      <c r="V274" s="100"/>
      <c r="W274" s="100"/>
      <c r="X274" s="100"/>
      <c r="Y274" s="100"/>
      <c r="Z274" s="100"/>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1"/>
      <c r="BK274" s="221"/>
    </row>
    <row r="275" spans="1:63" hidden="1" outlineLevel="1">
      <c r="A275" s="9"/>
      <c r="B275" s="44"/>
      <c r="C275" s="270" t="str">
        <f>Asset4</f>
        <v>Reactive</v>
      </c>
      <c r="D275" s="9"/>
      <c r="E275" s="9"/>
      <c r="F275" s="139"/>
      <c r="G275" s="203"/>
      <c r="H275" s="111">
        <f>($G240+(SUM($G275:G275)))*H$7</f>
        <v>0</v>
      </c>
      <c r="I275" s="111">
        <f>($G240+(SUM($G275:H275)))*I$7</f>
        <v>0</v>
      </c>
      <c r="J275" s="111">
        <f>($G240+(SUM($G275:I275)))*J$7</f>
        <v>0</v>
      </c>
      <c r="K275" s="111">
        <f>($G240+(SUM($G275:J275)))*K$7</f>
        <v>0</v>
      </c>
      <c r="L275" s="111">
        <f>($G240+(SUM($G275:K275)))*L$7</f>
        <v>0</v>
      </c>
      <c r="M275" s="111">
        <f>($G240+(SUM($G275:L275)))*M$7</f>
        <v>0</v>
      </c>
      <c r="N275" s="111">
        <f>IF(COUNT($H275:M275)&gt;=Input!$Y$7,0,($G240+(SUM($G275:M275)))*N$7)</f>
        <v>0</v>
      </c>
      <c r="O275" s="111">
        <f>IF(COUNT($H275:N275)&gt;=Input!$Y$7,0,($G240+(SUM($G275:N275)))*O$7)</f>
        <v>0</v>
      </c>
      <c r="P275" s="111">
        <f>IF(COUNT($H275:O275)&gt;=Input!$Y$7,0,($G240+(SUM($G275:O275)))*P$7)</f>
        <v>0</v>
      </c>
      <c r="Q275" s="111">
        <f>IF(COUNT($H275:P275)&gt;=Input!$Y$7,0,($G240+(SUM($G275:P275)))*Q$7)</f>
        <v>0</v>
      </c>
      <c r="R275" s="100"/>
      <c r="S275" s="100"/>
      <c r="T275" s="100"/>
      <c r="U275" s="100"/>
      <c r="V275" s="100"/>
      <c r="W275" s="100"/>
      <c r="X275" s="100"/>
      <c r="Y275" s="100"/>
      <c r="Z275" s="100"/>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1"/>
      <c r="BK275" s="221"/>
    </row>
    <row r="276" spans="1:63" hidden="1" outlineLevel="1">
      <c r="A276" s="9"/>
      <c r="B276" s="44"/>
      <c r="C276" s="282" t="s">
        <v>27</v>
      </c>
      <c r="D276" s="9"/>
      <c r="E276" s="9"/>
      <c r="F276" s="139"/>
      <c r="G276" s="203"/>
      <c r="H276" s="111"/>
      <c r="I276" s="111"/>
      <c r="J276" s="111"/>
      <c r="K276" s="111"/>
      <c r="L276" s="111">
        <f>IF(COUNT($H275:L275)=Input!$Y$7, SUM($G275:L275), 0)</f>
        <v>0</v>
      </c>
      <c r="M276" s="111">
        <f>IF(COUNT($H275:M275)=Input!$Y$7, SUM($G275:M275), 0)</f>
        <v>0</v>
      </c>
      <c r="N276" s="111">
        <f>IF(COUNT($H275:N275)=Input!$Y$7, SUM($G275:N275), 0)</f>
        <v>0</v>
      </c>
      <c r="O276" s="111">
        <f>IF(COUNT($H275:O275)=Input!$Y$7, SUM($G275:O275), 0)</f>
        <v>0</v>
      </c>
      <c r="P276" s="111">
        <f>IF(COUNT($H275:P275)=Input!$Y$7, SUM($G275:P275), 0)</f>
        <v>0</v>
      </c>
      <c r="Q276" s="111">
        <f>IF(COUNT($H275:Q275)=Input!$Y$7, SUM($G275:Q275), 0)</f>
        <v>0</v>
      </c>
      <c r="R276" s="100"/>
      <c r="S276" s="100"/>
      <c r="T276" s="100"/>
      <c r="U276" s="100"/>
      <c r="V276" s="100"/>
      <c r="W276" s="100"/>
      <c r="X276" s="100"/>
      <c r="Y276" s="100"/>
      <c r="Z276" s="100"/>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1"/>
      <c r="BK276" s="221"/>
    </row>
    <row r="277" spans="1:63" hidden="1" outlineLevel="1">
      <c r="A277" s="9"/>
      <c r="B277" s="44"/>
      <c r="C277" s="270" t="str">
        <f>Asset5</f>
        <v>Towers and Conductor</v>
      </c>
      <c r="D277" s="9"/>
      <c r="E277" s="9"/>
      <c r="F277" s="139"/>
      <c r="G277" s="203"/>
      <c r="H277" s="111">
        <f>($G241+(SUM($G277:G277)))*H$7</f>
        <v>-0.22423785219779085</v>
      </c>
      <c r="I277" s="111">
        <f>($G241+(SUM($G277:H277)))*I$7</f>
        <v>-0.21038839818603189</v>
      </c>
      <c r="J277" s="111">
        <f>($G241+(SUM($G277:I277)))*J$7</f>
        <v>-0.24437666911988079</v>
      </c>
      <c r="K277" s="111">
        <f>($G241+(SUM($G277:J277)))*K$7</f>
        <v>-0.28150863829614514</v>
      </c>
      <c r="L277" s="111">
        <f>($G241+(SUM($G277:K277)))*L$7</f>
        <v>-0.28158166049362371</v>
      </c>
      <c r="M277" s="111">
        <f>($G241+(SUM($G277:L277)))*M$7</f>
        <v>-0.31832847574788181</v>
      </c>
      <c r="N277" s="111">
        <f>IF(COUNT($H277:M277)&gt;=Input!$Y$7,0,($G241+(SUM($G277:M277)))*N$7)</f>
        <v>0</v>
      </c>
      <c r="O277" s="111">
        <f>IF(COUNT($H277:N277)&gt;=Input!$Y$7,0,($G241+(SUM($G277:N277)))*O$7)</f>
        <v>0</v>
      </c>
      <c r="P277" s="111">
        <f>IF(COUNT($H277:O277)&gt;=Input!$Y$7,0,($G241+(SUM($G277:O277)))*P$7)</f>
        <v>0</v>
      </c>
      <c r="Q277" s="111">
        <f>IF(COUNT($H277:P277)&gt;=Input!$Y$7,0,($G241+(SUM($G277:P277)))*Q$7)</f>
        <v>0</v>
      </c>
      <c r="R277" s="100"/>
      <c r="S277" s="100"/>
      <c r="T277" s="100"/>
      <c r="U277" s="100"/>
      <c r="V277" s="100"/>
      <c r="W277" s="100"/>
      <c r="X277" s="100"/>
      <c r="Y277" s="100"/>
      <c r="Z277" s="100"/>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1"/>
      <c r="BK277" s="221"/>
    </row>
    <row r="278" spans="1:63" hidden="1" outlineLevel="1">
      <c r="A278" s="9"/>
      <c r="B278" s="44"/>
      <c r="C278" s="282" t="s">
        <v>27</v>
      </c>
      <c r="D278" s="9"/>
      <c r="E278" s="9"/>
      <c r="F278" s="139"/>
      <c r="G278" s="203"/>
      <c r="H278" s="111"/>
      <c r="I278" s="111"/>
      <c r="J278" s="111"/>
      <c r="K278" s="111"/>
      <c r="L278" s="111">
        <f>IF(COUNT($H277:L277)=Input!$Y$7, SUM($G277:L277), 0)</f>
        <v>0</v>
      </c>
      <c r="M278" s="111">
        <f>IF(COUNT($H277:M277)=Input!$Y$7, SUM($G277:M277), 0)</f>
        <v>-1.560421694041354</v>
      </c>
      <c r="N278" s="111">
        <f>IF(COUNT($H277:N277)=Input!$Y$7, SUM($G277:N277), 0)</f>
        <v>0</v>
      </c>
      <c r="O278" s="111">
        <f>IF(COUNT($H277:O277)=Input!$Y$7, SUM($G277:O277), 0)</f>
        <v>0</v>
      </c>
      <c r="P278" s="111">
        <f>IF(COUNT($H277:P277)=Input!$Y$7, SUM($G277:P277), 0)</f>
        <v>0</v>
      </c>
      <c r="Q278" s="111">
        <f>IF(COUNT($H277:Q277)=Input!$Y$7, SUM($G277:Q277), 0)</f>
        <v>0</v>
      </c>
      <c r="R278" s="100"/>
      <c r="S278" s="100"/>
      <c r="T278" s="100"/>
      <c r="U278" s="100"/>
      <c r="V278" s="100"/>
      <c r="W278" s="100"/>
      <c r="X278" s="100"/>
      <c r="Y278" s="100"/>
      <c r="Z278" s="100"/>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1"/>
      <c r="BK278" s="221"/>
    </row>
    <row r="279" spans="1:63" hidden="1" outlineLevel="1">
      <c r="A279" s="9"/>
      <c r="B279" s="44"/>
      <c r="C279" s="270" t="str">
        <f>Asset6</f>
        <v>Establishment</v>
      </c>
      <c r="D279" s="9"/>
      <c r="E279" s="9"/>
      <c r="F279" s="139"/>
      <c r="G279" s="203"/>
      <c r="H279" s="111">
        <f>($G242+(SUM($G279:G279)))*H$7</f>
        <v>1.5293555152465126</v>
      </c>
      <c r="I279" s="111">
        <f>($G242+(SUM($G279:H279)))*I$7</f>
        <v>1.4348989430467669</v>
      </c>
      <c r="J279" s="111">
        <f>($G242+(SUM($G279:I279)))*J$7</f>
        <v>1.6667070392129979</v>
      </c>
      <c r="K279" s="111">
        <f>($G242+(SUM($G279:J279)))*K$7</f>
        <v>1.9199559055176623</v>
      </c>
      <c r="L279" s="111">
        <f>($G242+(SUM($G279:K279)))*L$7</f>
        <v>1.9204539342820066</v>
      </c>
      <c r="M279" s="111">
        <f>($G242+(SUM($G279:L279)))*M$7</f>
        <v>2.1710759591811462</v>
      </c>
      <c r="N279" s="111">
        <f>IF(COUNT($H279:M279)&gt;=Input!$Y$7,0,($G242+(SUM($G279:M279)))*N$7)</f>
        <v>0</v>
      </c>
      <c r="O279" s="111">
        <f>IF(COUNT($H279:N279)&gt;=Input!$Y$7,0,($G242+(SUM($G279:N279)))*O$7)</f>
        <v>0</v>
      </c>
      <c r="P279" s="111">
        <f>IF(COUNT($H279:O279)&gt;=Input!$Y$7,0,($G242+(SUM($G279:O279)))*P$7)</f>
        <v>0</v>
      </c>
      <c r="Q279" s="111">
        <f>IF(COUNT($H279:P279)&gt;=Input!$Y$7,0,($G242+(SUM($G279:P279)))*Q$7)</f>
        <v>0</v>
      </c>
      <c r="R279" s="100"/>
      <c r="S279" s="100"/>
      <c r="T279" s="100"/>
      <c r="U279" s="100"/>
      <c r="V279" s="100"/>
      <c r="W279" s="100"/>
      <c r="X279" s="100"/>
      <c r="Y279" s="100"/>
      <c r="Z279" s="100"/>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1"/>
      <c r="BK279" s="221"/>
    </row>
    <row r="280" spans="1:63" hidden="1" outlineLevel="1">
      <c r="A280" s="9"/>
      <c r="B280" s="44"/>
      <c r="C280" s="282" t="s">
        <v>27</v>
      </c>
      <c r="D280" s="9"/>
      <c r="E280" s="9"/>
      <c r="F280" s="139"/>
      <c r="G280" s="203"/>
      <c r="H280" s="111"/>
      <c r="I280" s="111"/>
      <c r="J280" s="111"/>
      <c r="K280" s="111"/>
      <c r="L280" s="111">
        <f>IF(COUNT($H279:L279)=Input!$Y$7, SUM($G279:L279), 0)</f>
        <v>0</v>
      </c>
      <c r="M280" s="111">
        <f>IF(COUNT($H279:M279)=Input!$Y$7, SUM($G279:M279), 0)</f>
        <v>10.642447296487092</v>
      </c>
      <c r="N280" s="111">
        <f>IF(COUNT($H279:N279)=Input!$Y$7, SUM($G279:N279), 0)</f>
        <v>0</v>
      </c>
      <c r="O280" s="111">
        <f>IF(COUNT($H279:O279)=Input!$Y$7, SUM($G279:O279), 0)</f>
        <v>0</v>
      </c>
      <c r="P280" s="111">
        <f>IF(COUNT($H279:P279)=Input!$Y$7, SUM($G279:P279), 0)</f>
        <v>0</v>
      </c>
      <c r="Q280" s="111">
        <f>IF(COUNT($H279:Q279)=Input!$Y$7, SUM($G279:Q279), 0)</f>
        <v>0</v>
      </c>
      <c r="R280" s="100"/>
      <c r="S280" s="100"/>
      <c r="T280" s="100"/>
      <c r="U280" s="100"/>
      <c r="V280" s="100"/>
      <c r="W280" s="100"/>
      <c r="X280" s="100"/>
      <c r="Y280" s="100"/>
      <c r="Z280" s="100"/>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1"/>
      <c r="BK280" s="221"/>
    </row>
    <row r="281" spans="1:63" hidden="1" outlineLevel="1">
      <c r="A281" s="9"/>
      <c r="B281" s="44"/>
      <c r="C281" s="270" t="str">
        <f>Asset7</f>
        <v>Communications</v>
      </c>
      <c r="D281" s="9"/>
      <c r="E281" s="9"/>
      <c r="F281" s="139"/>
      <c r="G281" s="203"/>
      <c r="H281" s="111">
        <f>($G243+(SUM($G281:G281)))*H$7</f>
        <v>-9.4511016717297072E-2</v>
      </c>
      <c r="I281" s="111">
        <f>($G243+(SUM($G281:H281)))*I$7</f>
        <v>-8.8673795361483149E-2</v>
      </c>
      <c r="J281" s="111">
        <f>($G243+(SUM($G281:I281)))*J$7</f>
        <v>-0.10299905762624839</v>
      </c>
      <c r="K281" s="111">
        <f>($G243+(SUM($G281:J281)))*K$7</f>
        <v>-0.11864931526637512</v>
      </c>
      <c r="L281" s="111">
        <f>($G243+(SUM($G281:K281)))*L$7</f>
        <v>-0.11868009241688288</v>
      </c>
      <c r="M281" s="111">
        <f>($G243+(SUM($G281:L281)))*M$7</f>
        <v>-0.13416801667571518</v>
      </c>
      <c r="N281" s="111">
        <f>IF(COUNT($H281:M281)&gt;=Input!$Y$7,0,($G243+(SUM($G281:M281)))*N$7)</f>
        <v>0</v>
      </c>
      <c r="O281" s="111">
        <f>IF(COUNT($H281:N281)&gt;=Input!$Y$7,0,($G243+(SUM($G281:N281)))*O$7)</f>
        <v>0</v>
      </c>
      <c r="P281" s="111">
        <f>IF(COUNT($H281:O281)&gt;=Input!$Y$7,0,($G243+(SUM($G281:O281)))*P$7)</f>
        <v>0</v>
      </c>
      <c r="Q281" s="111">
        <f>IF(COUNT($H281:P281)&gt;=Input!$Y$7,0,($G243+(SUM($G281:P281)))*Q$7)</f>
        <v>0</v>
      </c>
      <c r="R281" s="100"/>
      <c r="S281" s="100"/>
      <c r="T281" s="100"/>
      <c r="U281" s="100"/>
      <c r="V281" s="100"/>
      <c r="W281" s="100"/>
      <c r="X281" s="100"/>
      <c r="Y281" s="100"/>
      <c r="Z281" s="100"/>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1"/>
      <c r="BK281" s="221"/>
    </row>
    <row r="282" spans="1:63" hidden="1" outlineLevel="1">
      <c r="A282" s="9"/>
      <c r="B282" s="44"/>
      <c r="C282" s="282" t="s">
        <v>27</v>
      </c>
      <c r="D282" s="9"/>
      <c r="E282" s="9"/>
      <c r="F282" s="139"/>
      <c r="G282" s="203"/>
      <c r="H282" s="111"/>
      <c r="I282" s="111"/>
      <c r="J282" s="111"/>
      <c r="K282" s="111"/>
      <c r="L282" s="111">
        <f>IF(COUNT($H281:L281)=Input!$Y$7, SUM($G281:L281), 0)</f>
        <v>0</v>
      </c>
      <c r="M282" s="111">
        <f>IF(COUNT($H281:M281)=Input!$Y$7, SUM($G281:M281), 0)</f>
        <v>-0.65768129406400189</v>
      </c>
      <c r="N282" s="111">
        <f>IF(COUNT($H281:N281)=Input!$Y$7, SUM($G281:N281), 0)</f>
        <v>0</v>
      </c>
      <c r="O282" s="111">
        <f>IF(COUNT($H281:O281)=Input!$Y$7, SUM($G281:O281), 0)</f>
        <v>0</v>
      </c>
      <c r="P282" s="111">
        <f>IF(COUNT($H281:P281)=Input!$Y$7, SUM($G281:P281), 0)</f>
        <v>0</v>
      </c>
      <c r="Q282" s="111">
        <f>IF(COUNT($H281:Q281)=Input!$Y$7, SUM($G281:Q281), 0)</f>
        <v>0</v>
      </c>
      <c r="R282" s="100"/>
      <c r="S282" s="100"/>
      <c r="T282" s="100"/>
      <c r="U282" s="100"/>
      <c r="V282" s="100"/>
      <c r="W282" s="100"/>
      <c r="X282" s="100"/>
      <c r="Y282" s="100"/>
      <c r="Z282" s="100"/>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1"/>
      <c r="BK282" s="221"/>
    </row>
    <row r="283" spans="1:63" hidden="1" outlineLevel="1">
      <c r="A283" s="9"/>
      <c r="B283" s="44"/>
      <c r="C283" s="270" t="str">
        <f>Asset8</f>
        <v>Inventory</v>
      </c>
      <c r="D283" s="9"/>
      <c r="E283" s="9"/>
      <c r="F283" s="139"/>
      <c r="G283" s="203"/>
      <c r="H283" s="111">
        <f>($G244+(SUM($G283:G283)))*H$7</f>
        <v>0</v>
      </c>
      <c r="I283" s="111">
        <f>($G244+(SUM($G283:H283)))*I$7</f>
        <v>0</v>
      </c>
      <c r="J283" s="111">
        <f>($G244+(SUM($G283:I283)))*J$7</f>
        <v>0</v>
      </c>
      <c r="K283" s="111">
        <f>($G244+(SUM($G283:J283)))*K$7</f>
        <v>0</v>
      </c>
      <c r="L283" s="111">
        <f>($G244+(SUM($G283:K283)))*L$7</f>
        <v>0</v>
      </c>
      <c r="M283" s="111">
        <f>($G244+(SUM($G283:L283)))*M$7</f>
        <v>0</v>
      </c>
      <c r="N283" s="111">
        <f>IF(COUNT($H283:M283)&gt;=Input!$Y$7,0,($G244+(SUM($G283:M283)))*N$7)</f>
        <v>0</v>
      </c>
      <c r="O283" s="111">
        <f>IF(COUNT($H283:N283)&gt;=Input!$Y$7,0,($G244+(SUM($G283:N283)))*O$7)</f>
        <v>0</v>
      </c>
      <c r="P283" s="111">
        <f>IF(COUNT($H283:O283)&gt;=Input!$Y$7,0,($G244+(SUM($G283:O283)))*P$7)</f>
        <v>0</v>
      </c>
      <c r="Q283" s="111">
        <f>IF(COUNT($H283:P283)&gt;=Input!$Y$7,0,($G244+(SUM($G283:P283)))*Q$7)</f>
        <v>0</v>
      </c>
      <c r="R283" s="100"/>
      <c r="S283" s="100"/>
      <c r="T283" s="100"/>
      <c r="U283" s="100"/>
      <c r="V283" s="100"/>
      <c r="W283" s="100"/>
      <c r="X283" s="100"/>
      <c r="Y283" s="100"/>
      <c r="Z283" s="100"/>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1"/>
      <c r="BK283" s="221"/>
    </row>
    <row r="284" spans="1:63" hidden="1" outlineLevel="1">
      <c r="A284" s="9"/>
      <c r="B284" s="44"/>
      <c r="C284" s="282" t="s">
        <v>27</v>
      </c>
      <c r="D284" s="9"/>
      <c r="E284" s="9"/>
      <c r="F284" s="139"/>
      <c r="G284" s="203"/>
      <c r="H284" s="111"/>
      <c r="I284" s="111"/>
      <c r="J284" s="111"/>
      <c r="K284" s="111"/>
      <c r="L284" s="111">
        <f>IF(COUNT($H283:L283)=Input!$Y$7, SUM($G283:L283), 0)</f>
        <v>0</v>
      </c>
      <c r="M284" s="111">
        <f>IF(COUNT($H283:M283)=Input!$Y$7, SUM($G283:M283), 0)</f>
        <v>0</v>
      </c>
      <c r="N284" s="111">
        <f>IF(COUNT($H283:N283)=Input!$Y$7, SUM($G283:N283), 0)</f>
        <v>0</v>
      </c>
      <c r="O284" s="111">
        <f>IF(COUNT($H283:O283)=Input!$Y$7, SUM($G283:O283), 0)</f>
        <v>0</v>
      </c>
      <c r="P284" s="111">
        <f>IF(COUNT($H283:P283)=Input!$Y$7, SUM($G283:P283), 0)</f>
        <v>0</v>
      </c>
      <c r="Q284" s="111">
        <f>IF(COUNT($H283:Q283)=Input!$Y$7, SUM($G283:Q283), 0)</f>
        <v>0</v>
      </c>
      <c r="R284" s="100"/>
      <c r="S284" s="100"/>
      <c r="T284" s="100"/>
      <c r="U284" s="100"/>
      <c r="V284" s="100"/>
      <c r="W284" s="100"/>
      <c r="X284" s="100"/>
      <c r="Y284" s="100"/>
      <c r="Z284" s="100"/>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1"/>
      <c r="BK284" s="221"/>
    </row>
    <row r="285" spans="1:63" hidden="1" outlineLevel="1">
      <c r="A285" s="9"/>
      <c r="B285" s="44"/>
      <c r="C285" s="270" t="str">
        <f>Asset9</f>
        <v>IT</v>
      </c>
      <c r="D285" s="9"/>
      <c r="E285" s="9"/>
      <c r="F285" s="139"/>
      <c r="G285" s="203"/>
      <c r="H285" s="111">
        <f>($G245+(SUM($G285:G285)))*H$7</f>
        <v>0.37210848387224432</v>
      </c>
      <c r="I285" s="111">
        <f>($G245+(SUM($G285:H285)))*I$7</f>
        <v>0.34912619393205924</v>
      </c>
      <c r="J285" s="111">
        <f>($G245+(SUM($G285:I285)))*J$7</f>
        <v>0.4055275723910266</v>
      </c>
      <c r="K285" s="111">
        <f>($G245+(SUM($G285:J285)))*K$7</f>
        <v>0.46714571856013615</v>
      </c>
      <c r="L285" s="111">
        <f>($G245+(SUM($G285:K285)))*L$7</f>
        <v>0.46726689426230433</v>
      </c>
      <c r="M285" s="111">
        <f>($G245+(SUM($G285:L285)))*M$7</f>
        <v>0.52824590194265952</v>
      </c>
      <c r="N285" s="111">
        <f>IF(COUNT($H285:M285)&gt;=Input!$Y$7,0,($G245+(SUM($G285:M285)))*N$7)</f>
        <v>0</v>
      </c>
      <c r="O285" s="111">
        <f>IF(COUNT($H285:N285)&gt;=Input!$Y$7,0,($G245+(SUM($G285:N285)))*O$7)</f>
        <v>0</v>
      </c>
      <c r="P285" s="111">
        <f>IF(COUNT($H285:O285)&gt;=Input!$Y$7,0,($G245+(SUM($G285:O285)))*P$7)</f>
        <v>0</v>
      </c>
      <c r="Q285" s="111">
        <f>IF(COUNT($H285:P285)&gt;=Input!$Y$7,0,($G245+(SUM($G285:P285)))*Q$7)</f>
        <v>0</v>
      </c>
      <c r="R285" s="100"/>
      <c r="S285" s="100"/>
      <c r="T285" s="100"/>
      <c r="U285" s="100"/>
      <c r="V285" s="100"/>
      <c r="W285" s="100"/>
      <c r="X285" s="100"/>
      <c r="Y285" s="100"/>
      <c r="Z285" s="100"/>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1"/>
      <c r="BK285" s="221"/>
    </row>
    <row r="286" spans="1:63" hidden="1" outlineLevel="1">
      <c r="A286" s="9"/>
      <c r="B286" s="44"/>
      <c r="C286" s="282" t="s">
        <v>27</v>
      </c>
      <c r="D286" s="9"/>
      <c r="E286" s="9"/>
      <c r="F286" s="139"/>
      <c r="G286" s="203"/>
      <c r="H286" s="111"/>
      <c r="I286" s="111"/>
      <c r="J286" s="111"/>
      <c r="K286" s="111"/>
      <c r="L286" s="111">
        <f>IF(COUNT($H285:L285)=Input!$Y$7, SUM($G285:L285), 0)</f>
        <v>0</v>
      </c>
      <c r="M286" s="111">
        <f>IF(COUNT($H285:M285)=Input!$Y$7, SUM($G285:M285), 0)</f>
        <v>2.5894207649604297</v>
      </c>
      <c r="N286" s="111">
        <f>IF(COUNT($H285:N285)=Input!$Y$7, SUM($G285:N285), 0)</f>
        <v>0</v>
      </c>
      <c r="O286" s="111">
        <f>IF(COUNT($H285:O285)=Input!$Y$7, SUM($G285:O285), 0)</f>
        <v>0</v>
      </c>
      <c r="P286" s="111">
        <f>IF(COUNT($H285:P285)=Input!$Y$7, SUM($G285:P285), 0)</f>
        <v>0</v>
      </c>
      <c r="Q286" s="111">
        <f>IF(COUNT($H285:Q285)=Input!$Y$7, SUM($G285:Q285), 0)</f>
        <v>0</v>
      </c>
      <c r="R286" s="100"/>
      <c r="S286" s="100"/>
      <c r="T286" s="100"/>
      <c r="U286" s="100"/>
      <c r="V286" s="100"/>
      <c r="W286" s="100"/>
      <c r="X286" s="100"/>
      <c r="Y286" s="100"/>
      <c r="Z286" s="100"/>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1"/>
      <c r="BK286" s="221"/>
    </row>
    <row r="287" spans="1:63" hidden="1" outlineLevel="1">
      <c r="A287" s="9"/>
      <c r="B287" s="44"/>
      <c r="C287" s="270" t="str">
        <f>Asset10</f>
        <v>Vehicles</v>
      </c>
      <c r="D287" s="9"/>
      <c r="E287" s="9"/>
      <c r="F287" s="139"/>
      <c r="G287" s="203"/>
      <c r="H287" s="111">
        <f>($G246+(SUM($G287:G287)))*H$7</f>
        <v>8.6415088975250604E-2</v>
      </c>
      <c r="I287" s="111">
        <f>($G246+(SUM($G287:H287)))*I$7</f>
        <v>8.107789104477299E-2</v>
      </c>
      <c r="J287" s="111">
        <f>($G246+(SUM($G287:I287)))*J$7</f>
        <v>9.4176034057098956E-2</v>
      </c>
      <c r="K287" s="111">
        <f>($G246+(SUM($G287:J287)))*K$7</f>
        <v>0.10848567174201057</v>
      </c>
      <c r="L287" s="111">
        <f>($G246+(SUM($G287:K287)))*L$7</f>
        <v>0.10851381248466588</v>
      </c>
      <c r="M287" s="111">
        <f>($G246+(SUM($G287:L287)))*M$7</f>
        <v>0.12267502246161863</v>
      </c>
      <c r="N287" s="111">
        <f>IF(COUNT($H287:M287)&gt;=Input!$Y$7,0,($G246+(SUM($G287:M287)))*N$7)</f>
        <v>0</v>
      </c>
      <c r="O287" s="111">
        <f>IF(COUNT($H287:N287)&gt;=Input!$Y$7,0,($G246+(SUM($G287:N287)))*O$7)</f>
        <v>0</v>
      </c>
      <c r="P287" s="111">
        <f>IF(COUNT($H287:O287)&gt;=Input!$Y$7,0,($G246+(SUM($G287:O287)))*P$7)</f>
        <v>0</v>
      </c>
      <c r="Q287" s="111">
        <f>IF(COUNT($H287:P287)&gt;=Input!$Y$7,0,($G246+(SUM($G287:P287)))*Q$7)</f>
        <v>0</v>
      </c>
      <c r="R287" s="100"/>
      <c r="S287" s="100"/>
      <c r="T287" s="100"/>
      <c r="U287" s="100"/>
      <c r="V287" s="100"/>
      <c r="W287" s="100"/>
      <c r="X287" s="100"/>
      <c r="Y287" s="100"/>
      <c r="Z287" s="100"/>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1"/>
      <c r="BK287" s="221"/>
    </row>
    <row r="288" spans="1:63" hidden="1" outlineLevel="1">
      <c r="A288" s="9"/>
      <c r="B288" s="44"/>
      <c r="C288" s="282" t="s">
        <v>27</v>
      </c>
      <c r="D288" s="9"/>
      <c r="E288" s="9"/>
      <c r="F288" s="139"/>
      <c r="G288" s="203"/>
      <c r="H288" s="111"/>
      <c r="I288" s="111"/>
      <c r="J288" s="111"/>
      <c r="K288" s="111"/>
      <c r="L288" s="111">
        <f>IF(COUNT($H287:L287)=Input!$Y$7, SUM($G287:L287), 0)</f>
        <v>0</v>
      </c>
      <c r="M288" s="111">
        <f>IF(COUNT($H287:M287)=Input!$Y$7, SUM($G287:M287), 0)</f>
        <v>0.60134352076541764</v>
      </c>
      <c r="N288" s="111">
        <f>IF(COUNT($H287:N287)=Input!$Y$7, SUM($G287:N287), 0)</f>
        <v>0</v>
      </c>
      <c r="O288" s="111">
        <f>IF(COUNT($H287:O287)=Input!$Y$7, SUM($G287:O287), 0)</f>
        <v>0</v>
      </c>
      <c r="P288" s="111">
        <f>IF(COUNT($H287:P287)=Input!$Y$7, SUM($G287:P287), 0)</f>
        <v>0</v>
      </c>
      <c r="Q288" s="111">
        <f>IF(COUNT($H287:Q287)=Input!$Y$7, SUM($G287:Q287), 0)</f>
        <v>0</v>
      </c>
      <c r="R288" s="100"/>
      <c r="S288" s="100"/>
      <c r="T288" s="100"/>
      <c r="U288" s="100"/>
      <c r="V288" s="100"/>
      <c r="W288" s="100"/>
      <c r="X288" s="100"/>
      <c r="Y288" s="100"/>
      <c r="Z288" s="100"/>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1"/>
      <c r="BK288" s="221"/>
    </row>
    <row r="289" spans="1:63" hidden="1" outlineLevel="1">
      <c r="A289" s="9"/>
      <c r="B289" s="44"/>
      <c r="C289" s="270" t="str">
        <f>Asset11</f>
        <v>other</v>
      </c>
      <c r="D289" s="9"/>
      <c r="E289" s="9"/>
      <c r="F289" s="139"/>
      <c r="G289" s="203"/>
      <c r="H289" s="111">
        <f>($G247+(SUM($G289:G289)))*H$7</f>
        <v>1.1228992244207496</v>
      </c>
      <c r="I289" s="111">
        <f>($G247+(SUM($G289:H289)))*I$7</f>
        <v>1.053546343022574</v>
      </c>
      <c r="J289" s="111">
        <f>($G247+(SUM($G289:I289)))*J$7</f>
        <v>1.2237468809645677</v>
      </c>
      <c r="K289" s="111">
        <f>($G247+(SUM($G289:J289)))*K$7</f>
        <v>1.4096898829179785</v>
      </c>
      <c r="L289" s="111">
        <f>($G247+(SUM($G289:K289)))*L$7</f>
        <v>1.4100555507484116</v>
      </c>
      <c r="M289" s="111">
        <f>($G247+(SUM($G289:L289)))*M$7</f>
        <v>1.5940698460358225</v>
      </c>
      <c r="N289" s="111">
        <f>IF(COUNT($H289:M289)&gt;=Input!$Y$7,0,($G247+(SUM($G289:M289)))*N$7)</f>
        <v>0</v>
      </c>
      <c r="O289" s="111">
        <f>IF(COUNT($H289:N289)&gt;=Input!$Y$7,0,($G247+(SUM($G289:N289)))*O$7)</f>
        <v>0</v>
      </c>
      <c r="P289" s="111">
        <f>IF(COUNT($H289:O289)&gt;=Input!$Y$7,0,($G247+(SUM($G289:O289)))*P$7)</f>
        <v>0</v>
      </c>
      <c r="Q289" s="111">
        <f>IF(COUNT($H289:P289)&gt;=Input!$Y$7,0,($G247+(SUM($G289:P289)))*Q$7)</f>
        <v>0</v>
      </c>
      <c r="R289" s="100"/>
      <c r="S289" s="100"/>
      <c r="T289" s="100"/>
      <c r="U289" s="100"/>
      <c r="V289" s="100"/>
      <c r="W289" s="100"/>
      <c r="X289" s="100"/>
      <c r="Y289" s="100"/>
      <c r="Z289" s="100"/>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1"/>
      <c r="BK289" s="221"/>
    </row>
    <row r="290" spans="1:63" hidden="1" outlineLevel="1">
      <c r="A290" s="9"/>
      <c r="B290" s="44"/>
      <c r="C290" s="282" t="s">
        <v>27</v>
      </c>
      <c r="D290" s="9"/>
      <c r="E290" s="9"/>
      <c r="F290" s="139"/>
      <c r="G290" s="203"/>
      <c r="H290" s="111"/>
      <c r="I290" s="111"/>
      <c r="J290" s="111"/>
      <c r="K290" s="111"/>
      <c r="L290" s="111">
        <f>IF(COUNT($H289:L289)=Input!$Y$7, SUM($G289:L289), 0)</f>
        <v>0</v>
      </c>
      <c r="M290" s="111">
        <f>IF(COUNT($H289:M289)=Input!$Y$7, SUM($G289:M289), 0)</f>
        <v>7.8140077281101039</v>
      </c>
      <c r="N290" s="111">
        <f>IF(COUNT($H289:N289)=Input!$Y$7, SUM($G289:N289), 0)</f>
        <v>0</v>
      </c>
      <c r="O290" s="111">
        <f>IF(COUNT($H289:O289)=Input!$Y$7, SUM($G289:O289), 0)</f>
        <v>0</v>
      </c>
      <c r="P290" s="111">
        <f>IF(COUNT($H289:P289)=Input!$Y$7, SUM($G289:P289), 0)</f>
        <v>0</v>
      </c>
      <c r="Q290" s="111">
        <f>IF(COUNT($H289:Q289)=Input!$Y$7, SUM($G289:Q289), 0)</f>
        <v>0</v>
      </c>
      <c r="R290" s="100"/>
      <c r="S290" s="100"/>
      <c r="T290" s="100"/>
      <c r="U290" s="100"/>
      <c r="V290" s="100"/>
      <c r="W290" s="100"/>
      <c r="X290" s="100"/>
      <c r="Y290" s="100"/>
      <c r="Z290" s="100"/>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1"/>
      <c r="BK290" s="221"/>
    </row>
    <row r="291" spans="1:63" hidden="1" outlineLevel="1">
      <c r="A291" s="9"/>
      <c r="B291" s="44"/>
      <c r="C291" s="270" t="str">
        <f>Asset12</f>
        <v>premises</v>
      </c>
      <c r="D291" s="9"/>
      <c r="E291" s="9"/>
      <c r="F291" s="139"/>
      <c r="G291" s="203"/>
      <c r="H291" s="111">
        <f>($G248+(SUM($G291:G291)))*H$7</f>
        <v>3.3671114816473231E-2</v>
      </c>
      <c r="I291" s="111">
        <f>($G248+(SUM($G291:H291)))*I$7</f>
        <v>3.1591508043553936E-2</v>
      </c>
      <c r="J291" s="111">
        <f>($G248+(SUM($G291:I291)))*J$7</f>
        <v>3.6695119953007914E-2</v>
      </c>
      <c r="K291" s="111">
        <f>($G248+(SUM($G291:J291)))*K$7</f>
        <v>4.2270783406977E-2</v>
      </c>
      <c r="L291" s="111">
        <f>($G248+(SUM($G291:K291)))*L$7</f>
        <v>4.2281748276517768E-2</v>
      </c>
      <c r="M291" s="111">
        <f>($G248+(SUM($G291:L291)))*M$7</f>
        <v>4.7799577775145319E-2</v>
      </c>
      <c r="N291" s="111">
        <f>IF(COUNT($H291:M291)&gt;=Input!$Y$7,0,($G248+(SUM($G291:M291)))*N$7)</f>
        <v>0</v>
      </c>
      <c r="O291" s="111">
        <f>IF(COUNT($H291:N291)&gt;=Input!$Y$7,0,($G248+(SUM($G291:N291)))*O$7)</f>
        <v>0</v>
      </c>
      <c r="P291" s="111">
        <f>IF(COUNT($H291:O291)&gt;=Input!$Y$7,0,($G248+(SUM($G291:O291)))*P$7)</f>
        <v>0</v>
      </c>
      <c r="Q291" s="111">
        <f>IF(COUNT($H291:P291)&gt;=Input!$Y$7,0,($G248+(SUM($G291:P291)))*Q$7)</f>
        <v>0</v>
      </c>
      <c r="R291" s="100"/>
      <c r="S291" s="100"/>
      <c r="T291" s="100"/>
      <c r="U291" s="100"/>
      <c r="V291" s="100"/>
      <c r="W291" s="100"/>
      <c r="X291" s="100"/>
      <c r="Y291" s="100"/>
      <c r="Z291" s="100"/>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1"/>
      <c r="BK291" s="221"/>
    </row>
    <row r="292" spans="1:63" hidden="1" outlineLevel="1">
      <c r="A292" s="9"/>
      <c r="B292" s="44"/>
      <c r="C292" s="282" t="s">
        <v>27</v>
      </c>
      <c r="D292" s="9"/>
      <c r="E292" s="9"/>
      <c r="F292" s="139"/>
      <c r="G292" s="203"/>
      <c r="H292" s="111"/>
      <c r="I292" s="111"/>
      <c r="J292" s="111"/>
      <c r="K292" s="111"/>
      <c r="L292" s="111">
        <f>IF(COUNT($H291:L291)=Input!$Y$7, SUM($G291:L291), 0)</f>
        <v>0</v>
      </c>
      <c r="M292" s="111">
        <f>IF(COUNT($H291:M291)=Input!$Y$7, SUM($G291:M291), 0)</f>
        <v>0.23430985227167517</v>
      </c>
      <c r="N292" s="111">
        <f>IF(COUNT($H291:N291)=Input!$Y$7, SUM($G291:N291), 0)</f>
        <v>0</v>
      </c>
      <c r="O292" s="111">
        <f>IF(COUNT($H291:O291)=Input!$Y$7, SUM($G291:O291), 0)</f>
        <v>0</v>
      </c>
      <c r="P292" s="111">
        <f>IF(COUNT($H291:P291)=Input!$Y$7, SUM($G291:P291), 0)</f>
        <v>0</v>
      </c>
      <c r="Q292" s="111">
        <f>IF(COUNT($H291:Q291)=Input!$Y$7, SUM($G291:Q291), 0)</f>
        <v>0</v>
      </c>
      <c r="R292" s="100"/>
      <c r="S292" s="100"/>
      <c r="T292" s="100"/>
      <c r="U292" s="100"/>
      <c r="V292" s="100"/>
      <c r="W292" s="100"/>
      <c r="X292" s="100"/>
      <c r="Y292" s="100"/>
      <c r="Z292" s="100"/>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1"/>
      <c r="BK292" s="221"/>
    </row>
    <row r="293" spans="1:63" hidden="1" outlineLevel="1">
      <c r="A293" s="9"/>
      <c r="B293" s="44"/>
      <c r="C293" s="270" t="str">
        <f>Asset13</f>
        <v>Land</v>
      </c>
      <c r="D293" s="9"/>
      <c r="E293" s="9"/>
      <c r="F293" s="139"/>
      <c r="G293" s="203"/>
      <c r="H293" s="111">
        <f>($G249+(SUM($G293:G293)))*H$7</f>
        <v>0</v>
      </c>
      <c r="I293" s="111">
        <f>($G249+(SUM($G293:H293)))*I$7</f>
        <v>0</v>
      </c>
      <c r="J293" s="111">
        <f>($G249+(SUM($G293:I293)))*J$7</f>
        <v>0</v>
      </c>
      <c r="K293" s="111">
        <f>($G249+(SUM($G293:J293)))*K$7</f>
        <v>0</v>
      </c>
      <c r="L293" s="111">
        <f>($G249+(SUM($G293:K293)))*L$7</f>
        <v>0</v>
      </c>
      <c r="M293" s="111">
        <f>($G249+(SUM($G293:L293)))*M$7</f>
        <v>0</v>
      </c>
      <c r="N293" s="111">
        <f>IF(COUNT($H293:M293)&gt;=Input!$Y$7,0,($G249+(SUM($G293:M293)))*N$7)</f>
        <v>0</v>
      </c>
      <c r="O293" s="111">
        <f>IF(COUNT($H293:N293)&gt;=Input!$Y$7,0,($G249+(SUM($G293:N293)))*O$7)</f>
        <v>0</v>
      </c>
      <c r="P293" s="111">
        <f>IF(COUNT($H293:O293)&gt;=Input!$Y$7,0,($G249+(SUM($G293:O293)))*P$7)</f>
        <v>0</v>
      </c>
      <c r="Q293" s="111">
        <f>IF(COUNT($H293:P293)&gt;=Input!$Y$7,0,($G249+(SUM($G293:P293)))*Q$7)</f>
        <v>0</v>
      </c>
      <c r="R293" s="100"/>
      <c r="S293" s="100"/>
      <c r="T293" s="100"/>
      <c r="U293" s="100"/>
      <c r="V293" s="100"/>
      <c r="W293" s="100"/>
      <c r="X293" s="100"/>
      <c r="Y293" s="100"/>
      <c r="Z293" s="100"/>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1"/>
      <c r="BK293" s="221"/>
    </row>
    <row r="294" spans="1:63" hidden="1" outlineLevel="1">
      <c r="A294" s="9"/>
      <c r="B294" s="44"/>
      <c r="C294" s="282" t="s">
        <v>27</v>
      </c>
      <c r="D294" s="9"/>
      <c r="E294" s="9"/>
      <c r="F294" s="139"/>
      <c r="G294" s="203"/>
      <c r="H294" s="111"/>
      <c r="I294" s="111"/>
      <c r="J294" s="111"/>
      <c r="K294" s="111"/>
      <c r="L294" s="111">
        <f>IF(COUNT($H293:L293)=Input!$Y$7, SUM($G293:L293), 0)</f>
        <v>0</v>
      </c>
      <c r="M294" s="111">
        <f>IF(COUNT($H293:M293)=Input!$Y$7, SUM($G293:M293), 0)</f>
        <v>0</v>
      </c>
      <c r="N294" s="111">
        <f>IF(COUNT($H293:N293)=Input!$Y$7, SUM($G293:N293), 0)</f>
        <v>0</v>
      </c>
      <c r="O294" s="111">
        <f>IF(COUNT($H293:O293)=Input!$Y$7, SUM($G293:O293), 0)</f>
        <v>0</v>
      </c>
      <c r="P294" s="111">
        <f>IF(COUNT($H293:P293)=Input!$Y$7, SUM($G293:P293), 0)</f>
        <v>0</v>
      </c>
      <c r="Q294" s="111">
        <f>IF(COUNT($H293:Q293)=Input!$Y$7, SUM($G293:Q293), 0)</f>
        <v>0</v>
      </c>
      <c r="R294" s="100"/>
      <c r="S294" s="100"/>
      <c r="T294" s="100"/>
      <c r="U294" s="100"/>
      <c r="V294" s="100"/>
      <c r="W294" s="100"/>
      <c r="X294" s="100"/>
      <c r="Y294" s="100"/>
      <c r="Z294" s="100"/>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1"/>
      <c r="BK294" s="221"/>
    </row>
    <row r="295" spans="1:63" hidden="1" outlineLevel="1">
      <c r="A295" s="9"/>
      <c r="B295" s="44"/>
      <c r="C295" s="270" t="str">
        <f>Asset14</f>
        <v>Easements</v>
      </c>
      <c r="D295" s="9"/>
      <c r="E295" s="9"/>
      <c r="F295" s="139"/>
      <c r="G295" s="203"/>
      <c r="H295" s="111">
        <f>($G250+(SUM($G295:G295)))*H$7</f>
        <v>0</v>
      </c>
      <c r="I295" s="111">
        <f>($G250+(SUM($G295:H295)))*I$7</f>
        <v>0</v>
      </c>
      <c r="J295" s="111">
        <f>($G250+(SUM($G295:I295)))*J$7</f>
        <v>0</v>
      </c>
      <c r="K295" s="111">
        <f>($G250+(SUM($G295:J295)))*K$7</f>
        <v>0</v>
      </c>
      <c r="L295" s="111">
        <f>($G250+(SUM($G295:K295)))*L$7</f>
        <v>0</v>
      </c>
      <c r="M295" s="111">
        <f>($G250+(SUM($G295:L295)))*M$7</f>
        <v>0</v>
      </c>
      <c r="N295" s="111">
        <f>IF(COUNT($H295:M295)&gt;=Input!$Y$7,0,($G250+(SUM($G295:M295)))*N$7)</f>
        <v>0</v>
      </c>
      <c r="O295" s="111">
        <f>IF(COUNT($H295:N295)&gt;=Input!$Y$7,0,($G250+(SUM($G295:N295)))*O$7)</f>
        <v>0</v>
      </c>
      <c r="P295" s="111">
        <f>IF(COUNT($H295:O295)&gt;=Input!$Y$7,0,($G250+(SUM($G295:O295)))*P$7)</f>
        <v>0</v>
      </c>
      <c r="Q295" s="111">
        <f>IF(COUNT($H295:P295)&gt;=Input!$Y$7,0,($G250+(SUM($G295:P295)))*Q$7)</f>
        <v>0</v>
      </c>
      <c r="R295" s="100"/>
      <c r="S295" s="100"/>
      <c r="T295" s="100"/>
      <c r="U295" s="100"/>
      <c r="V295" s="100"/>
      <c r="W295" s="100"/>
      <c r="X295" s="100"/>
      <c r="Y295" s="100"/>
      <c r="Z295" s="100"/>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1"/>
      <c r="BK295" s="221"/>
    </row>
    <row r="296" spans="1:63" hidden="1" outlineLevel="1">
      <c r="A296" s="9"/>
      <c r="B296" s="44"/>
      <c r="C296" s="282" t="s">
        <v>27</v>
      </c>
      <c r="D296" s="9"/>
      <c r="E296" s="9"/>
      <c r="F296" s="139"/>
      <c r="G296" s="203"/>
      <c r="H296" s="111"/>
      <c r="I296" s="111"/>
      <c r="J296" s="111"/>
      <c r="K296" s="111"/>
      <c r="L296" s="111">
        <f>IF(COUNT($H295:L295)=Input!$Y$7, SUM($G295:L295), 0)</f>
        <v>0</v>
      </c>
      <c r="M296" s="111">
        <f>IF(COUNT($H295:M295)=Input!$Y$7, SUM($G295:M295), 0)</f>
        <v>0</v>
      </c>
      <c r="N296" s="111">
        <f>IF(COUNT($H295:N295)=Input!$Y$7, SUM($G295:N295), 0)</f>
        <v>0</v>
      </c>
      <c r="O296" s="111">
        <f>IF(COUNT($H295:O295)=Input!$Y$7, SUM($G295:O295), 0)</f>
        <v>0</v>
      </c>
      <c r="P296" s="111">
        <f>IF(COUNT($H295:P295)=Input!$Y$7, SUM($G295:P295), 0)</f>
        <v>0</v>
      </c>
      <c r="Q296" s="111">
        <f>IF(COUNT($H295:Q295)=Input!$Y$7, SUM($G295:Q295), 0)</f>
        <v>0</v>
      </c>
      <c r="R296" s="100"/>
      <c r="S296" s="100"/>
      <c r="T296" s="100"/>
      <c r="U296" s="100"/>
      <c r="V296" s="100"/>
      <c r="W296" s="100"/>
      <c r="X296" s="100"/>
      <c r="Y296" s="100"/>
      <c r="Z296" s="100"/>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1"/>
      <c r="BK296" s="221"/>
    </row>
    <row r="297" spans="1:63" hidden="1" outlineLevel="1">
      <c r="A297" s="9"/>
      <c r="B297" s="44"/>
      <c r="C297" s="270">
        <f>Asset15</f>
        <v>0</v>
      </c>
      <c r="D297" s="9"/>
      <c r="E297" s="9"/>
      <c r="F297" s="139"/>
      <c r="G297" s="203"/>
      <c r="H297" s="111">
        <f>($G251+(SUM($G297:G297)))*H$7</f>
        <v>0</v>
      </c>
      <c r="I297" s="111">
        <f>($G251+(SUM($G297:H297)))*I$7</f>
        <v>0</v>
      </c>
      <c r="J297" s="111">
        <f>($G251+(SUM($G297:I297)))*J$7</f>
        <v>0</v>
      </c>
      <c r="K297" s="111">
        <f>($G251+(SUM($G297:J297)))*K$7</f>
        <v>0</v>
      </c>
      <c r="L297" s="111">
        <f>($G251+(SUM($G297:K297)))*L$7</f>
        <v>0</v>
      </c>
      <c r="M297" s="111">
        <f>($G251+(SUM($G297:L297)))*M$7</f>
        <v>0</v>
      </c>
      <c r="N297" s="111">
        <f>IF(COUNT($H297:M297)&gt;=Input!$Y$7,0,($G251+(SUM($G297:M297)))*N$7)</f>
        <v>0</v>
      </c>
      <c r="O297" s="111">
        <f>IF(COUNT($H297:N297)&gt;=Input!$Y$7,0,($G251+(SUM($G297:N297)))*O$7)</f>
        <v>0</v>
      </c>
      <c r="P297" s="111">
        <f>IF(COUNT($H297:O297)&gt;=Input!$Y$7,0,($G251+(SUM($G297:O297)))*P$7)</f>
        <v>0</v>
      </c>
      <c r="Q297" s="111">
        <f>IF(COUNT($H297:P297)&gt;=Input!$Y$7,0,($G251+(SUM($G297:P297)))*Q$7)</f>
        <v>0</v>
      </c>
      <c r="R297" s="100"/>
      <c r="S297" s="100"/>
      <c r="T297" s="100"/>
      <c r="U297" s="100"/>
      <c r="V297" s="100"/>
      <c r="W297" s="100"/>
      <c r="X297" s="100"/>
      <c r="Y297" s="100"/>
      <c r="Z297" s="100"/>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1"/>
      <c r="BK297" s="221"/>
    </row>
    <row r="298" spans="1:63" hidden="1" outlineLevel="1">
      <c r="A298" s="9"/>
      <c r="B298" s="44"/>
      <c r="C298" s="282" t="s">
        <v>27</v>
      </c>
      <c r="D298" s="9"/>
      <c r="E298" s="9"/>
      <c r="F298" s="139"/>
      <c r="G298" s="203"/>
      <c r="H298" s="111"/>
      <c r="I298" s="111"/>
      <c r="J298" s="111"/>
      <c r="K298" s="111"/>
      <c r="L298" s="111">
        <f>IF(COUNT($H297:L297)=Input!$Y$7, SUM($G297:L297), 0)</f>
        <v>0</v>
      </c>
      <c r="M298" s="111">
        <f>IF(COUNT($H297:M297)=Input!$Y$7, SUM($G297:M297), 0)</f>
        <v>0</v>
      </c>
      <c r="N298" s="111">
        <f>IF(COUNT($H297:N297)=Input!$Y$7, SUM($G297:N297), 0)</f>
        <v>0</v>
      </c>
      <c r="O298" s="111">
        <f>IF(COUNT($H297:O297)=Input!$Y$7, SUM($G297:O297), 0)</f>
        <v>0</v>
      </c>
      <c r="P298" s="111">
        <f>IF(COUNT($H297:P297)=Input!$Y$7, SUM($G297:P297), 0)</f>
        <v>0</v>
      </c>
      <c r="Q298" s="111">
        <f>IF(COUNT($H297:Q297)=Input!$Y$7, SUM($G297:Q297), 0)</f>
        <v>0</v>
      </c>
      <c r="R298" s="100"/>
      <c r="S298" s="100"/>
      <c r="T298" s="100"/>
      <c r="U298" s="100"/>
      <c r="V298" s="100"/>
      <c r="W298" s="100"/>
      <c r="X298" s="100"/>
      <c r="Y298" s="100"/>
      <c r="Z298" s="100"/>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1"/>
      <c r="BK298" s="221"/>
    </row>
    <row r="299" spans="1:63" hidden="1" outlineLevel="1">
      <c r="A299" s="9"/>
      <c r="B299" s="44"/>
      <c r="C299" s="270">
        <f>Asset16</f>
        <v>0</v>
      </c>
      <c r="D299" s="9"/>
      <c r="E299" s="9"/>
      <c r="F299" s="139"/>
      <c r="G299" s="203"/>
      <c r="H299" s="111">
        <f>($G252+(SUM($G299:G299)))*H$7</f>
        <v>0</v>
      </c>
      <c r="I299" s="111">
        <f>($G252+(SUM($G299:H299)))*I$7</f>
        <v>0</v>
      </c>
      <c r="J299" s="111">
        <f>($G252+(SUM($G299:I299)))*J$7</f>
        <v>0</v>
      </c>
      <c r="K299" s="111">
        <f>($G252+(SUM($G299:J299)))*K$7</f>
        <v>0</v>
      </c>
      <c r="L299" s="111">
        <f>($G252+(SUM($G299:K299)))*L$7</f>
        <v>0</v>
      </c>
      <c r="M299" s="111">
        <f>($G252+(SUM($G299:L299)))*M$7</f>
        <v>0</v>
      </c>
      <c r="N299" s="111">
        <f>IF(COUNT($H299:M299)&gt;=Input!$Y$7,0,($G252+(SUM($G299:M299)))*N$7)</f>
        <v>0</v>
      </c>
      <c r="O299" s="111">
        <f>IF(COUNT($H299:N299)&gt;=Input!$Y$7,0,($G252+(SUM($G299:N299)))*O$7)</f>
        <v>0</v>
      </c>
      <c r="P299" s="111">
        <f>IF(COUNT($H299:O299)&gt;=Input!$Y$7,0,($G252+(SUM($G299:O299)))*P$7)</f>
        <v>0</v>
      </c>
      <c r="Q299" s="111">
        <f>IF(COUNT($H299:P299)&gt;=Input!$Y$7,0,($G252+(SUM($G299:P299)))*Q$7)</f>
        <v>0</v>
      </c>
      <c r="R299" s="100"/>
      <c r="S299" s="100"/>
      <c r="T299" s="100"/>
      <c r="U299" s="100"/>
      <c r="V299" s="100"/>
      <c r="W299" s="100"/>
      <c r="X299" s="100"/>
      <c r="Y299" s="100"/>
      <c r="Z299" s="100"/>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1"/>
      <c r="BK299" s="221"/>
    </row>
    <row r="300" spans="1:63" hidden="1" outlineLevel="1">
      <c r="A300" s="9"/>
      <c r="B300" s="44"/>
      <c r="C300" s="282" t="s">
        <v>27</v>
      </c>
      <c r="D300" s="9"/>
      <c r="E300" s="9"/>
      <c r="F300" s="139"/>
      <c r="G300" s="203"/>
      <c r="H300" s="111"/>
      <c r="I300" s="111"/>
      <c r="J300" s="111"/>
      <c r="K300" s="111"/>
      <c r="L300" s="111">
        <f>IF(COUNT($H299:L299)=Input!$Y$7, SUM($G299:L299), 0)</f>
        <v>0</v>
      </c>
      <c r="M300" s="111">
        <f>IF(COUNT($H299:M299)=Input!$Y$7, SUM($G299:M299), 0)</f>
        <v>0</v>
      </c>
      <c r="N300" s="111">
        <f>IF(COUNT($H299:N299)=Input!$Y$7, SUM($G299:N299), 0)</f>
        <v>0</v>
      </c>
      <c r="O300" s="111">
        <f>IF(COUNT($H299:O299)=Input!$Y$7, SUM($G299:O299), 0)</f>
        <v>0</v>
      </c>
      <c r="P300" s="111">
        <f>IF(COUNT($H299:P299)=Input!$Y$7, SUM($G299:P299), 0)</f>
        <v>0</v>
      </c>
      <c r="Q300" s="111">
        <f>IF(COUNT($H299:Q299)=Input!$Y$7, SUM($G299:Q299), 0)</f>
        <v>0</v>
      </c>
      <c r="R300" s="100"/>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1"/>
      <c r="BK300" s="221"/>
    </row>
    <row r="301" spans="1:63" hidden="1" outlineLevel="1">
      <c r="A301" s="9"/>
      <c r="B301" s="44"/>
      <c r="C301" s="270">
        <f>Asset17</f>
        <v>0</v>
      </c>
      <c r="D301" s="9"/>
      <c r="E301" s="9"/>
      <c r="F301" s="139"/>
      <c r="G301" s="203"/>
      <c r="H301" s="111">
        <f>($G253+(SUM($G301:G301)))*H$7</f>
        <v>0</v>
      </c>
      <c r="I301" s="111">
        <f>($G253+(SUM($G301:H301)))*I$7</f>
        <v>0</v>
      </c>
      <c r="J301" s="111">
        <f>($G253+(SUM($G301:I301)))*J$7</f>
        <v>0</v>
      </c>
      <c r="K301" s="111">
        <f>($G253+(SUM($G301:J301)))*K$7</f>
        <v>0</v>
      </c>
      <c r="L301" s="111">
        <f>($G253+(SUM($G301:K301)))*L$7</f>
        <v>0</v>
      </c>
      <c r="M301" s="111">
        <f>($G253+(SUM($G301:L301)))*M$7</f>
        <v>0</v>
      </c>
      <c r="N301" s="111">
        <f>IF(COUNT($H301:M301)&gt;=Input!$Y$7,0,($G253+(SUM($G301:M301)))*N$7)</f>
        <v>0</v>
      </c>
      <c r="O301" s="111">
        <f>IF(COUNT($H301:N301)&gt;=Input!$Y$7,0,($G253+(SUM($G301:N301)))*O$7)</f>
        <v>0</v>
      </c>
      <c r="P301" s="111">
        <f>IF(COUNT($H301:O301)&gt;=Input!$Y$7,0,($G253+(SUM($G301:O301)))*P$7)</f>
        <v>0</v>
      </c>
      <c r="Q301" s="111">
        <f>IF(COUNT($H301:P301)&gt;=Input!$Y$7,0,($G253+(SUM($G301:P301)))*Q$7)</f>
        <v>0</v>
      </c>
      <c r="R301" s="100"/>
      <c r="S301" s="100"/>
      <c r="T301" s="100"/>
      <c r="U301" s="100"/>
      <c r="V301" s="100"/>
      <c r="W301" s="100"/>
      <c r="X301" s="100"/>
      <c r="Y301" s="100"/>
      <c r="Z301" s="100"/>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1"/>
      <c r="BK301" s="221"/>
    </row>
    <row r="302" spans="1:63" hidden="1" outlineLevel="1">
      <c r="A302" s="9"/>
      <c r="B302" s="44"/>
      <c r="C302" s="282" t="s">
        <v>27</v>
      </c>
      <c r="D302" s="9"/>
      <c r="E302" s="9"/>
      <c r="F302" s="139"/>
      <c r="G302" s="203"/>
      <c r="H302" s="111"/>
      <c r="I302" s="111"/>
      <c r="J302" s="111"/>
      <c r="K302" s="111"/>
      <c r="L302" s="111">
        <f>IF(COUNT($H301:L301)=Input!$Y$7, SUM($G301:L301), 0)</f>
        <v>0</v>
      </c>
      <c r="M302" s="111">
        <f>IF(COUNT($H301:M301)=Input!$Y$7, SUM($G301:M301), 0)</f>
        <v>0</v>
      </c>
      <c r="N302" s="111">
        <f>IF(COUNT($H301:N301)=Input!$Y$7, SUM($G301:N301), 0)</f>
        <v>0</v>
      </c>
      <c r="O302" s="111">
        <f>IF(COUNT($H301:O301)=Input!$Y$7, SUM($G301:O301), 0)</f>
        <v>0</v>
      </c>
      <c r="P302" s="111">
        <f>IF(COUNT($H301:P301)=Input!$Y$7, SUM($G301:P301), 0)</f>
        <v>0</v>
      </c>
      <c r="Q302" s="111">
        <f>IF(COUNT($H301:Q301)=Input!$Y$7, SUM($G301:Q301), 0)</f>
        <v>0</v>
      </c>
      <c r="R302" s="100"/>
      <c r="S302" s="100"/>
      <c r="T302" s="100"/>
      <c r="U302" s="100"/>
      <c r="V302" s="100"/>
      <c r="W302" s="100"/>
      <c r="X302" s="100"/>
      <c r="Y302" s="100"/>
      <c r="Z302" s="100"/>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1"/>
      <c r="BK302" s="221"/>
    </row>
    <row r="303" spans="1:63" hidden="1" outlineLevel="1">
      <c r="A303" s="9"/>
      <c r="B303" s="44"/>
      <c r="C303" s="270">
        <f>Asset18</f>
        <v>0</v>
      </c>
      <c r="D303" s="9"/>
      <c r="E303" s="9"/>
      <c r="F303" s="139"/>
      <c r="G303" s="203"/>
      <c r="H303" s="111">
        <f>($G254+(SUM($G303:G303)))*H$7</f>
        <v>0</v>
      </c>
      <c r="I303" s="111">
        <f>($G254+(SUM($G303:H303)))*I$7</f>
        <v>0</v>
      </c>
      <c r="J303" s="111">
        <f>($G254+(SUM($G303:I303)))*J$7</f>
        <v>0</v>
      </c>
      <c r="K303" s="111">
        <f>($G254+(SUM($G303:J303)))*K$7</f>
        <v>0</v>
      </c>
      <c r="L303" s="111">
        <f>($G254+(SUM($G303:K303)))*L$7</f>
        <v>0</v>
      </c>
      <c r="M303" s="111">
        <f>($G254+(SUM($G303:L303)))*M$7</f>
        <v>0</v>
      </c>
      <c r="N303" s="111">
        <f>IF(COUNT($H303:M303)&gt;=Input!$Y$7,0,($G254+(SUM($G303:M303)))*N$7)</f>
        <v>0</v>
      </c>
      <c r="O303" s="111">
        <f>IF(COUNT($H303:N303)&gt;=Input!$Y$7,0,($G254+(SUM($G303:N303)))*O$7)</f>
        <v>0</v>
      </c>
      <c r="P303" s="111">
        <f>IF(COUNT($H303:O303)&gt;=Input!$Y$7,0,($G254+(SUM($G303:O303)))*P$7)</f>
        <v>0</v>
      </c>
      <c r="Q303" s="111">
        <f>IF(COUNT($H303:P303)&gt;=Input!$Y$7,0,($G254+(SUM($G303:P303)))*Q$7)</f>
        <v>0</v>
      </c>
      <c r="R303" s="100"/>
      <c r="S303" s="100"/>
      <c r="T303" s="100"/>
      <c r="U303" s="100"/>
      <c r="V303" s="100"/>
      <c r="W303" s="100"/>
      <c r="X303" s="100"/>
      <c r="Y303" s="100"/>
      <c r="Z303" s="100"/>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1"/>
      <c r="BK303" s="221"/>
    </row>
    <row r="304" spans="1:63" hidden="1" outlineLevel="1">
      <c r="A304" s="9"/>
      <c r="B304" s="44"/>
      <c r="C304" s="282" t="s">
        <v>27</v>
      </c>
      <c r="D304" s="9"/>
      <c r="E304" s="9"/>
      <c r="F304" s="139"/>
      <c r="G304" s="203"/>
      <c r="H304" s="111"/>
      <c r="I304" s="111"/>
      <c r="J304" s="111"/>
      <c r="K304" s="111"/>
      <c r="L304" s="111">
        <f>IF(COUNT($H303:L303)=Input!$Y$7, SUM($G303:L303), 0)</f>
        <v>0</v>
      </c>
      <c r="M304" s="111">
        <f>IF(COUNT($H303:M303)=Input!$Y$7, SUM($G303:M303), 0)</f>
        <v>0</v>
      </c>
      <c r="N304" s="111">
        <f>IF(COUNT($H303:N303)=Input!$Y$7, SUM($G303:N303), 0)</f>
        <v>0</v>
      </c>
      <c r="O304" s="111">
        <f>IF(COUNT($H303:O303)=Input!$Y$7, SUM($G303:O303), 0)</f>
        <v>0</v>
      </c>
      <c r="P304" s="111">
        <f>IF(COUNT($H303:P303)=Input!$Y$7, SUM($G303:P303), 0)</f>
        <v>0</v>
      </c>
      <c r="Q304" s="111">
        <f>IF(COUNT($H303:Q303)=Input!$Y$7, SUM($G303:Q303), 0)</f>
        <v>0</v>
      </c>
      <c r="R304" s="100"/>
      <c r="S304" s="100"/>
      <c r="T304" s="100"/>
      <c r="U304" s="100"/>
      <c r="V304" s="100"/>
      <c r="W304" s="100"/>
      <c r="X304" s="100"/>
      <c r="Y304" s="100"/>
      <c r="Z304" s="100"/>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1"/>
      <c r="BK304" s="221"/>
    </row>
    <row r="305" spans="1:63" hidden="1" outlineLevel="1">
      <c r="A305" s="9"/>
      <c r="B305" s="44"/>
      <c r="C305" s="270">
        <f>Asset19</f>
        <v>0</v>
      </c>
      <c r="D305" s="9"/>
      <c r="E305" s="9"/>
      <c r="F305" s="139"/>
      <c r="G305" s="203"/>
      <c r="H305" s="111">
        <f>($G255+(SUM($G305:G305)))*H$7</f>
        <v>0</v>
      </c>
      <c r="I305" s="111">
        <f>($G255+(SUM($G305:H305)))*I$7</f>
        <v>0</v>
      </c>
      <c r="J305" s="111">
        <f>($G255+(SUM($G305:I305)))*J$7</f>
        <v>0</v>
      </c>
      <c r="K305" s="111">
        <f>($G255+(SUM($G305:J305)))*K$7</f>
        <v>0</v>
      </c>
      <c r="L305" s="111">
        <f>($G255+(SUM($G305:K305)))*L$7</f>
        <v>0</v>
      </c>
      <c r="M305" s="111">
        <f>($G255+(SUM($G305:L305)))*M$7</f>
        <v>0</v>
      </c>
      <c r="N305" s="111">
        <f>IF(COUNT($H305:M305)&gt;=Input!$Y$7,0,($G255+(SUM($G305:M305)))*N$7)</f>
        <v>0</v>
      </c>
      <c r="O305" s="111">
        <f>IF(COUNT($H305:N305)&gt;=Input!$Y$7,0,($G255+(SUM($G305:N305)))*O$7)</f>
        <v>0</v>
      </c>
      <c r="P305" s="111">
        <f>IF(COUNT($H305:O305)&gt;=Input!$Y$7,0,($G255+(SUM($G305:O305)))*P$7)</f>
        <v>0</v>
      </c>
      <c r="Q305" s="111">
        <f>IF(COUNT($H305:P305)&gt;=Input!$Y$7,0,($G255+(SUM($G305:P305)))*Q$7)</f>
        <v>0</v>
      </c>
      <c r="R305" s="100"/>
      <c r="S305" s="100"/>
      <c r="T305" s="100"/>
      <c r="U305" s="100"/>
      <c r="V305" s="100"/>
      <c r="W305" s="100"/>
      <c r="X305" s="100"/>
      <c r="Y305" s="100"/>
      <c r="Z305" s="100"/>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1"/>
      <c r="BK305" s="221"/>
    </row>
    <row r="306" spans="1:63" hidden="1" outlineLevel="1">
      <c r="A306" s="9"/>
      <c r="B306" s="44"/>
      <c r="C306" s="282" t="s">
        <v>27</v>
      </c>
      <c r="D306" s="9"/>
      <c r="E306" s="9"/>
      <c r="F306" s="139"/>
      <c r="G306" s="203"/>
      <c r="H306" s="111"/>
      <c r="I306" s="111"/>
      <c r="J306" s="111"/>
      <c r="K306" s="111"/>
      <c r="L306" s="111">
        <f>IF(COUNT($H305:L305)=Input!$Y$7, SUM($G305:L305), 0)</f>
        <v>0</v>
      </c>
      <c r="M306" s="111">
        <f>IF(COUNT($H305:M305)=Input!$Y$7, SUM($G305:M305), 0)</f>
        <v>0</v>
      </c>
      <c r="N306" s="111">
        <f>IF(COUNT($H305:N305)=Input!$Y$7, SUM($G305:N305), 0)</f>
        <v>0</v>
      </c>
      <c r="O306" s="111">
        <f>IF(COUNT($H305:O305)=Input!$Y$7, SUM($G305:O305), 0)</f>
        <v>0</v>
      </c>
      <c r="P306" s="111">
        <f>IF(COUNT($H305:P305)=Input!$Y$7, SUM($G305:P305), 0)</f>
        <v>0</v>
      </c>
      <c r="Q306" s="111">
        <f>IF(COUNT($H305:Q305)=Input!$Y$7, SUM($G305:Q305), 0)</f>
        <v>0</v>
      </c>
      <c r="R306" s="100"/>
      <c r="S306" s="100"/>
      <c r="T306" s="100"/>
      <c r="U306" s="100"/>
      <c r="V306" s="100"/>
      <c r="W306" s="100"/>
      <c r="X306" s="100"/>
      <c r="Y306" s="100"/>
      <c r="Z306" s="100"/>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1"/>
      <c r="BK306" s="221"/>
    </row>
    <row r="307" spans="1:63" hidden="1" outlineLevel="1">
      <c r="A307" s="9"/>
      <c r="B307" s="44"/>
      <c r="C307" s="270">
        <f>Asset20</f>
        <v>0</v>
      </c>
      <c r="D307" s="9"/>
      <c r="E307" s="9"/>
      <c r="F307" s="139"/>
      <c r="G307" s="203"/>
      <c r="H307" s="111">
        <f>($G256+(SUM($G307:G307)))*H$7</f>
        <v>0</v>
      </c>
      <c r="I307" s="111">
        <f>($G256+(SUM($G307:H307)))*I$7</f>
        <v>0</v>
      </c>
      <c r="J307" s="111">
        <f>($G256+(SUM($G307:I307)))*J$7</f>
        <v>0</v>
      </c>
      <c r="K307" s="111">
        <f>($G256+(SUM($G307:J307)))*K$7</f>
        <v>0</v>
      </c>
      <c r="L307" s="111">
        <f>($G256+(SUM($G307:K307)))*L$7</f>
        <v>0</v>
      </c>
      <c r="M307" s="111">
        <f>($G256+(SUM($G307:L307)))*M$7</f>
        <v>0</v>
      </c>
      <c r="N307" s="111">
        <f>IF(COUNT($H307:M307)&gt;=Input!$Y$7,0,($G256+(SUM($G307:M307)))*N$7)</f>
        <v>0</v>
      </c>
      <c r="O307" s="111">
        <f>IF(COUNT($H307:N307)&gt;=Input!$Y$7,0,($G256+(SUM($G307:N307)))*O$7)</f>
        <v>0</v>
      </c>
      <c r="P307" s="111">
        <f>IF(COUNT($H307:O307)&gt;=Input!$Y$7,0,($G256+(SUM($G307:O307)))*P$7)</f>
        <v>0</v>
      </c>
      <c r="Q307" s="111">
        <f>IF(COUNT($H307:P307)&gt;=Input!$Y$7,0,($G256+(SUM($G307:P307)))*Q$7)</f>
        <v>0</v>
      </c>
      <c r="R307" s="100"/>
      <c r="S307" s="100"/>
      <c r="T307" s="100"/>
      <c r="U307" s="100"/>
      <c r="V307" s="100"/>
      <c r="W307" s="100"/>
      <c r="X307" s="100"/>
      <c r="Y307" s="100"/>
      <c r="Z307" s="100"/>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1"/>
      <c r="BK307" s="221"/>
    </row>
    <row r="308" spans="1:63" hidden="1" outlineLevel="1">
      <c r="A308" s="9"/>
      <c r="B308" s="44"/>
      <c r="C308" s="282" t="s">
        <v>27</v>
      </c>
      <c r="D308" s="9"/>
      <c r="E308" s="9"/>
      <c r="F308" s="139"/>
      <c r="G308" s="203"/>
      <c r="H308" s="111"/>
      <c r="I308" s="111"/>
      <c r="J308" s="111"/>
      <c r="K308" s="111"/>
      <c r="L308" s="111">
        <f>IF(COUNT($H307:L307)=Input!$Y$7, SUM($G307:L307), 0)</f>
        <v>0</v>
      </c>
      <c r="M308" s="111">
        <f>IF(COUNT($H307:M307)=Input!$Y$7, SUM($G307:M307), 0)</f>
        <v>0</v>
      </c>
      <c r="N308" s="111">
        <f>IF(COUNT($H307:N307)=Input!$Y$7, SUM($G307:N307), 0)</f>
        <v>0</v>
      </c>
      <c r="O308" s="111">
        <f>IF(COUNT($H307:O307)=Input!$Y$7, SUM($G307:O307), 0)</f>
        <v>0</v>
      </c>
      <c r="P308" s="111">
        <f>IF(COUNT($H307:P307)=Input!$Y$7, SUM($G307:P307), 0)</f>
        <v>0</v>
      </c>
      <c r="Q308" s="111">
        <f>IF(COUNT($H307:Q307)=Input!$Y$7, SUM($G307:Q307), 0)</f>
        <v>0</v>
      </c>
      <c r="R308" s="100"/>
      <c r="S308" s="100"/>
      <c r="T308" s="100"/>
      <c r="U308" s="100"/>
      <c r="V308" s="100"/>
      <c r="W308" s="100"/>
      <c r="X308" s="100"/>
      <c r="Y308" s="100"/>
      <c r="Z308" s="100"/>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1"/>
      <c r="BK308" s="221"/>
    </row>
    <row r="309" spans="1:63" hidden="1" outlineLevel="1">
      <c r="A309" s="9"/>
      <c r="B309" s="44"/>
      <c r="C309" s="320">
        <f>Asset21</f>
        <v>0</v>
      </c>
      <c r="D309" s="9"/>
      <c r="E309" s="9"/>
      <c r="F309" s="139"/>
      <c r="G309" s="203"/>
      <c r="H309" s="111">
        <f>($G257+(SUM($G309:G309)))*H$7</f>
        <v>0</v>
      </c>
      <c r="I309" s="111">
        <f>($G257+(SUM($G309:H309)))*I$7</f>
        <v>0</v>
      </c>
      <c r="J309" s="111">
        <f>($G257+(SUM($G309:I309)))*J$7</f>
        <v>0</v>
      </c>
      <c r="K309" s="111">
        <f>($G257+(SUM($G309:J309)))*K$7</f>
        <v>0</v>
      </c>
      <c r="L309" s="111">
        <f>($G257+(SUM($G309:K309)))*L$7</f>
        <v>0</v>
      </c>
      <c r="M309" s="111">
        <f>($G257+(SUM($G309:L309)))*M$7</f>
        <v>0</v>
      </c>
      <c r="N309" s="111">
        <f>IF(COUNT($H309:M309)&gt;=Input!$Y$7,0,($G257+(SUM($G309:M309)))*N$7)</f>
        <v>0</v>
      </c>
      <c r="O309" s="111">
        <f>IF(COUNT($H309:N309)&gt;=Input!$Y$7,0,($G257+(SUM($G309:N309)))*O$7)</f>
        <v>0</v>
      </c>
      <c r="P309" s="111">
        <f>IF(COUNT($H309:O309)&gt;=Input!$Y$7,0,($G257+(SUM($G309:O309)))*P$7)</f>
        <v>0</v>
      </c>
      <c r="Q309" s="111">
        <f>IF(COUNT($H309:P309)&gt;=Input!$Y$7,0,($G257+(SUM($G309:P309)))*Q$7)</f>
        <v>0</v>
      </c>
      <c r="R309" s="100"/>
      <c r="S309" s="100"/>
      <c r="T309" s="100"/>
      <c r="U309" s="100"/>
      <c r="V309" s="100"/>
      <c r="W309" s="100"/>
      <c r="X309" s="100"/>
      <c r="Y309" s="100"/>
      <c r="Z309" s="100"/>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1"/>
      <c r="BK309" s="221"/>
    </row>
    <row r="310" spans="1:63" hidden="1" outlineLevel="1">
      <c r="A310" s="9"/>
      <c r="B310" s="44"/>
      <c r="C310" s="282" t="s">
        <v>27</v>
      </c>
      <c r="D310" s="9"/>
      <c r="E310" s="9"/>
      <c r="F310" s="139"/>
      <c r="G310" s="203"/>
      <c r="H310" s="111"/>
      <c r="I310" s="111"/>
      <c r="J310" s="111"/>
      <c r="K310" s="111"/>
      <c r="L310" s="111">
        <f>IF(COUNT($H309:L309)=Input!$Y$7,SUM($G309:L309),0)</f>
        <v>0</v>
      </c>
      <c r="M310" s="111">
        <f>IF(COUNT($H309:M309)=Input!$Y$7,SUM($G309:M309),0)</f>
        <v>0</v>
      </c>
      <c r="N310" s="111">
        <f>IF(COUNT($H309:N309)=Input!$Y$7,SUM($G309:N309),0)</f>
        <v>0</v>
      </c>
      <c r="O310" s="111">
        <f>IF(COUNT($H309:O309)=Input!$Y$7,SUM($G309:O309),0)</f>
        <v>0</v>
      </c>
      <c r="P310" s="111">
        <f>IF(COUNT($H309:P309)=Input!$Y$7,SUM($G309:P309),0)</f>
        <v>0</v>
      </c>
      <c r="Q310" s="111">
        <f>IF(COUNT($H309:Q309)=Input!$Y$7,SUM($G309:Q309),0)</f>
        <v>0</v>
      </c>
      <c r="R310" s="100"/>
      <c r="S310" s="100"/>
      <c r="T310" s="100"/>
      <c r="U310" s="100"/>
      <c r="V310" s="100"/>
      <c r="W310" s="100"/>
      <c r="X310" s="100"/>
      <c r="Y310" s="100"/>
      <c r="Z310" s="100"/>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1"/>
      <c r="BK310" s="221"/>
    </row>
    <row r="311" spans="1:63" hidden="1" outlineLevel="1">
      <c r="A311" s="9"/>
      <c r="B311" s="44"/>
      <c r="C311" s="320">
        <f>Asset22</f>
        <v>0</v>
      </c>
      <c r="D311" s="9"/>
      <c r="E311" s="9"/>
      <c r="F311" s="139"/>
      <c r="G311" s="203"/>
      <c r="H311" s="111">
        <f>($G258+(SUM($G311:G311)))*H$7</f>
        <v>0</v>
      </c>
      <c r="I311" s="111">
        <f>($G258+(SUM($G311:H311)))*I$7</f>
        <v>0</v>
      </c>
      <c r="J311" s="111">
        <f>($G258+(SUM($G311:I311)))*J$7</f>
        <v>0</v>
      </c>
      <c r="K311" s="111">
        <f>($G258+(SUM($G311:J311)))*K$7</f>
        <v>0</v>
      </c>
      <c r="L311" s="111">
        <f>($G258+(SUM($G311:K311)))*L$7</f>
        <v>0</v>
      </c>
      <c r="M311" s="111">
        <f>($G258+(SUM($G311:L311)))*M$7</f>
        <v>0</v>
      </c>
      <c r="N311" s="111">
        <f>IF(COUNT($H311:M311)&gt;=Input!$Y$7,0,($G258+(SUM($G311:M311)))*N$7)</f>
        <v>0</v>
      </c>
      <c r="O311" s="111">
        <f>IF(COUNT($H311:N311)&gt;=Input!$Y$7,0,($G258+(SUM($G311:N311)))*O$7)</f>
        <v>0</v>
      </c>
      <c r="P311" s="111">
        <f>IF(COUNT($H311:O311)&gt;=Input!$Y$7,0,($G258+(SUM($G311:O311)))*P$7)</f>
        <v>0</v>
      </c>
      <c r="Q311" s="111">
        <f>IF(COUNT($H311:P311)&gt;=Input!$Y$7,0,($G258+(SUM($G311:P311)))*Q$7)</f>
        <v>0</v>
      </c>
      <c r="R311" s="100"/>
      <c r="S311" s="100"/>
      <c r="T311" s="100"/>
      <c r="U311" s="100"/>
      <c r="V311" s="100"/>
      <c r="W311" s="100"/>
      <c r="X311" s="100"/>
      <c r="Y311" s="100"/>
      <c r="Z311" s="100"/>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1"/>
      <c r="BK311" s="221"/>
    </row>
    <row r="312" spans="1:63" hidden="1" outlineLevel="1">
      <c r="A312" s="9"/>
      <c r="B312" s="44"/>
      <c r="C312" s="282" t="s">
        <v>27</v>
      </c>
      <c r="D312" s="9"/>
      <c r="E312" s="9"/>
      <c r="F312" s="139"/>
      <c r="G312" s="203"/>
      <c r="H312" s="111"/>
      <c r="I312" s="111"/>
      <c r="J312" s="111"/>
      <c r="K312" s="111"/>
      <c r="L312" s="111">
        <f>IF(COUNT($H311:L311)=Input!$Y$7,SUM($G311:L311),0)</f>
        <v>0</v>
      </c>
      <c r="M312" s="111">
        <f>IF(COUNT($H311:M311)=Input!$Y$7,SUM($G311:M311),0)</f>
        <v>0</v>
      </c>
      <c r="N312" s="111">
        <f>IF(COUNT($H311:N311)=Input!$Y$7,SUM($G311:N311),0)</f>
        <v>0</v>
      </c>
      <c r="O312" s="111">
        <f>IF(COUNT($H311:O311)=Input!$Y$7,SUM($G311:O311),0)</f>
        <v>0</v>
      </c>
      <c r="P312" s="111">
        <f>IF(COUNT($H311:P311)=Input!$Y$7,SUM($G311:P311),0)</f>
        <v>0</v>
      </c>
      <c r="Q312" s="111">
        <f>IF(COUNT($H311:Q311)=Input!$Y$7,SUM($G311:Q311),0)</f>
        <v>0</v>
      </c>
      <c r="R312" s="100"/>
      <c r="S312" s="100"/>
      <c r="T312" s="100"/>
      <c r="U312" s="100"/>
      <c r="V312" s="100"/>
      <c r="W312" s="100"/>
      <c r="X312" s="100"/>
      <c r="Y312" s="100"/>
      <c r="Z312" s="100"/>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1"/>
      <c r="BK312" s="221"/>
    </row>
    <row r="313" spans="1:63" hidden="1" outlineLevel="1">
      <c r="A313" s="9"/>
      <c r="B313" s="44"/>
      <c r="C313" s="320">
        <f>Asset23</f>
        <v>0</v>
      </c>
      <c r="D313" s="9"/>
      <c r="E313" s="9"/>
      <c r="F313" s="139"/>
      <c r="G313" s="203"/>
      <c r="H313" s="111">
        <f>($G259+(SUM($G313:G313)))*H$7</f>
        <v>0</v>
      </c>
      <c r="I313" s="111">
        <f>($G259+(SUM($G313:H313)))*I$7</f>
        <v>0</v>
      </c>
      <c r="J313" s="111">
        <f>($G259+(SUM($G313:I313)))*J$7</f>
        <v>0</v>
      </c>
      <c r="K313" s="111">
        <f>($G259+(SUM($G313:J313)))*K$7</f>
        <v>0</v>
      </c>
      <c r="L313" s="111">
        <f>($G259+(SUM($G313:K313)))*L$7</f>
        <v>0</v>
      </c>
      <c r="M313" s="111">
        <f>($G259+(SUM($G313:L313)))*M$7</f>
        <v>0</v>
      </c>
      <c r="N313" s="111">
        <f>IF(COUNT($H313:M313)&gt;=Input!$Y$7,0,($G259+(SUM($G313:M313)))*N$7)</f>
        <v>0</v>
      </c>
      <c r="O313" s="111">
        <f>IF(COUNT($H313:N313)&gt;=Input!$Y$7,0,($G259+(SUM($G313:N313)))*O$7)</f>
        <v>0</v>
      </c>
      <c r="P313" s="111">
        <f>IF(COUNT($H313:O313)&gt;=Input!$Y$7,0,($G259+(SUM($G313:O313)))*P$7)</f>
        <v>0</v>
      </c>
      <c r="Q313" s="111">
        <f>IF(COUNT($H313:P313)&gt;=Input!$Y$7,0,($G259+(SUM($G313:P313)))*Q$7)</f>
        <v>0</v>
      </c>
      <c r="R313" s="100"/>
      <c r="S313" s="100"/>
      <c r="T313" s="100"/>
      <c r="U313" s="100"/>
      <c r="V313" s="100"/>
      <c r="W313" s="100"/>
      <c r="X313" s="100"/>
      <c r="Y313" s="100"/>
      <c r="Z313" s="100"/>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1"/>
      <c r="BK313" s="221"/>
    </row>
    <row r="314" spans="1:63" hidden="1" outlineLevel="1">
      <c r="A314" s="9"/>
      <c r="B314" s="44"/>
      <c r="C314" s="282" t="s">
        <v>27</v>
      </c>
      <c r="D314" s="9"/>
      <c r="E314" s="9"/>
      <c r="F314" s="139"/>
      <c r="G314" s="203"/>
      <c r="H314" s="111"/>
      <c r="I314" s="111"/>
      <c r="J314" s="111"/>
      <c r="K314" s="111"/>
      <c r="L314" s="111">
        <f>IF(COUNT($H313:L313)=Input!$Y$7,SUM($G313:L313),0)</f>
        <v>0</v>
      </c>
      <c r="M314" s="111">
        <f>IF(COUNT($H313:M313)=Input!$Y$7,SUM($G313:M313),0)</f>
        <v>0</v>
      </c>
      <c r="N314" s="111">
        <f>IF(COUNT($H313:N313)=Input!$Y$7,SUM($G313:N313),0)</f>
        <v>0</v>
      </c>
      <c r="O314" s="111">
        <f>IF(COUNT($H313:O313)=Input!$Y$7,SUM($G313:O313),0)</f>
        <v>0</v>
      </c>
      <c r="P314" s="111">
        <f>IF(COUNT($H313:P313)=Input!$Y$7,SUM($G313:P313),0)</f>
        <v>0</v>
      </c>
      <c r="Q314" s="111">
        <f>IF(COUNT($H313:Q313)=Input!$Y$7,SUM($G313:Q313),0)</f>
        <v>0</v>
      </c>
      <c r="R314" s="100"/>
      <c r="S314" s="100"/>
      <c r="T314" s="100"/>
      <c r="U314" s="100"/>
      <c r="V314" s="100"/>
      <c r="W314" s="100"/>
      <c r="X314" s="100"/>
      <c r="Y314" s="100"/>
      <c r="Z314" s="100"/>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1"/>
      <c r="BK314" s="221"/>
    </row>
    <row r="315" spans="1:63" hidden="1" outlineLevel="1">
      <c r="A315" s="9"/>
      <c r="B315" s="44"/>
      <c r="C315" s="320">
        <f>Asset24</f>
        <v>0</v>
      </c>
      <c r="D315" s="9"/>
      <c r="E315" s="9"/>
      <c r="F315" s="139"/>
      <c r="G315" s="203"/>
      <c r="H315" s="111">
        <f>($G260+(SUM($G315:G315)))*H$7</f>
        <v>0</v>
      </c>
      <c r="I315" s="111">
        <f>($G260+(SUM($G315:H315)))*I$7</f>
        <v>0</v>
      </c>
      <c r="J315" s="111">
        <f>($G260+(SUM($G315:I315)))*J$7</f>
        <v>0</v>
      </c>
      <c r="K315" s="111">
        <f>($G260+(SUM($G315:J315)))*K$7</f>
        <v>0</v>
      </c>
      <c r="L315" s="111">
        <f>($G260+(SUM($G315:K315)))*L$7</f>
        <v>0</v>
      </c>
      <c r="M315" s="111">
        <f>($G260+(SUM($G315:L315)))*M$7</f>
        <v>0</v>
      </c>
      <c r="N315" s="111">
        <f>IF(COUNT($H315:M315)&gt;=Input!$Y$7,0,($G260+(SUM($G315:M315)))*N$7)</f>
        <v>0</v>
      </c>
      <c r="O315" s="111">
        <f>IF(COUNT($H315:N315)&gt;=Input!$Y$7,0,($G260+(SUM($G315:N315)))*O$7)</f>
        <v>0</v>
      </c>
      <c r="P315" s="111">
        <f>IF(COUNT($H315:O315)&gt;=Input!$Y$7,0,($G260+(SUM($G315:O315)))*P$7)</f>
        <v>0</v>
      </c>
      <c r="Q315" s="111">
        <f>IF(COUNT($H315:P315)&gt;=Input!$Y$7,0,($G260+(SUM($G315:P315)))*Q$7)</f>
        <v>0</v>
      </c>
      <c r="R315" s="100"/>
      <c r="S315" s="100"/>
      <c r="T315" s="100"/>
      <c r="U315" s="100"/>
      <c r="V315" s="100"/>
      <c r="W315" s="100"/>
      <c r="X315" s="100"/>
      <c r="Y315" s="100"/>
      <c r="Z315" s="100"/>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1"/>
      <c r="BK315" s="221"/>
    </row>
    <row r="316" spans="1:63" hidden="1" outlineLevel="1">
      <c r="A316" s="9"/>
      <c r="B316" s="44"/>
      <c r="C316" s="282" t="s">
        <v>27</v>
      </c>
      <c r="D316" s="9"/>
      <c r="E316" s="9"/>
      <c r="F316" s="139"/>
      <c r="G316" s="203"/>
      <c r="H316" s="111"/>
      <c r="I316" s="111"/>
      <c r="J316" s="111"/>
      <c r="K316" s="111"/>
      <c r="L316" s="111">
        <f>IF(COUNT($H315:L315)=Input!$Y$7,SUM($G315:L315),0)</f>
        <v>0</v>
      </c>
      <c r="M316" s="111">
        <f>IF(COUNT($H315:M315)=Input!$Y$7,SUM($G315:M315),0)</f>
        <v>0</v>
      </c>
      <c r="N316" s="111">
        <f>IF(COUNT($H315:N315)=Input!$Y$7,SUM($G315:N315),0)</f>
        <v>0</v>
      </c>
      <c r="O316" s="111">
        <f>IF(COUNT($H315:O315)=Input!$Y$7,SUM($G315:O315),0)</f>
        <v>0</v>
      </c>
      <c r="P316" s="111">
        <f>IF(COUNT($H315:P315)=Input!$Y$7,SUM($G315:P315),0)</f>
        <v>0</v>
      </c>
      <c r="Q316" s="111">
        <f>IF(COUNT($H315:Q315)=Input!$Y$7,SUM($G315:Q315),0)</f>
        <v>0</v>
      </c>
      <c r="R316" s="100"/>
      <c r="S316" s="100"/>
      <c r="T316" s="100"/>
      <c r="U316" s="100"/>
      <c r="V316" s="100"/>
      <c r="W316" s="100"/>
      <c r="X316" s="100"/>
      <c r="Y316" s="100"/>
      <c r="Z316" s="100"/>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1"/>
      <c r="BK316" s="221"/>
    </row>
    <row r="317" spans="1:63" hidden="1" outlineLevel="1">
      <c r="A317" s="9"/>
      <c r="B317" s="44"/>
      <c r="C317" s="320">
        <f>Asset25</f>
        <v>0</v>
      </c>
      <c r="D317" s="9"/>
      <c r="E317" s="9"/>
      <c r="F317" s="139"/>
      <c r="G317" s="203"/>
      <c r="H317" s="111">
        <f>($G261+(SUM($G317:G317)))*H$7</f>
        <v>0</v>
      </c>
      <c r="I317" s="111">
        <f>($G261+(SUM($G317:H317)))*I$7</f>
        <v>0</v>
      </c>
      <c r="J317" s="111">
        <f>($G261+(SUM($G317:I317)))*J$7</f>
        <v>0</v>
      </c>
      <c r="K317" s="111">
        <f>($G261+(SUM($G317:J317)))*K$7</f>
        <v>0</v>
      </c>
      <c r="L317" s="111">
        <f>($G261+(SUM($G317:K317)))*L$7</f>
        <v>0</v>
      </c>
      <c r="M317" s="111">
        <f>($G261+(SUM($G317:L317)))*M$7</f>
        <v>0</v>
      </c>
      <c r="N317" s="111">
        <f>IF(COUNT($H317:M317)&gt;=Input!$Y$7,0,($G261+(SUM($G317:M317)))*N$7)</f>
        <v>0</v>
      </c>
      <c r="O317" s="111">
        <f>IF(COUNT($H317:N317)&gt;=Input!$Y$7,0,($G261+(SUM($G317:N317)))*O$7)</f>
        <v>0</v>
      </c>
      <c r="P317" s="111">
        <f>IF(COUNT($H317:O317)&gt;=Input!$Y$7,0,($G261+(SUM($G317:O317)))*P$7)</f>
        <v>0</v>
      </c>
      <c r="Q317" s="111">
        <f>IF(COUNT($H317:P317)&gt;=Input!$Y$7,0,($G261+(SUM($G317:P317)))*Q$7)</f>
        <v>0</v>
      </c>
      <c r="R317" s="100"/>
      <c r="S317" s="100"/>
      <c r="T317" s="100"/>
      <c r="U317" s="100"/>
      <c r="V317" s="100"/>
      <c r="W317" s="100"/>
      <c r="X317" s="100"/>
      <c r="Y317" s="100"/>
      <c r="Z317" s="100"/>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1"/>
      <c r="BK317" s="221"/>
    </row>
    <row r="318" spans="1:63" hidden="1" outlineLevel="1">
      <c r="A318" s="9"/>
      <c r="B318" s="44"/>
      <c r="C318" s="282" t="s">
        <v>27</v>
      </c>
      <c r="D318" s="9"/>
      <c r="E318" s="9"/>
      <c r="F318" s="139"/>
      <c r="G318" s="203"/>
      <c r="H318" s="111"/>
      <c r="I318" s="111"/>
      <c r="J318" s="111"/>
      <c r="K318" s="111"/>
      <c r="L318" s="111">
        <f>IF(COUNT($H317:L317)=Input!$Y$7,SUM($G317:L317),0)</f>
        <v>0</v>
      </c>
      <c r="M318" s="111">
        <f>IF(COUNT($H317:M317)=Input!$Y$7,SUM($G317:M317),0)</f>
        <v>0</v>
      </c>
      <c r="N318" s="111">
        <f>IF(COUNT($H317:N317)=Input!$Y$7,SUM($G317:N317),0)</f>
        <v>0</v>
      </c>
      <c r="O318" s="111">
        <f>IF(COUNT($H317:O317)=Input!$Y$7,SUM($G317:O317),0)</f>
        <v>0</v>
      </c>
      <c r="P318" s="111">
        <f>IF(COUNT($H317:P317)=Input!$Y$7,SUM($G317:P317),0)</f>
        <v>0</v>
      </c>
      <c r="Q318" s="111">
        <f>IF(COUNT($H317:Q317)=Input!$Y$7,SUM($G317:Q317),0)</f>
        <v>0</v>
      </c>
      <c r="R318" s="100"/>
      <c r="S318" s="100"/>
      <c r="T318" s="100"/>
      <c r="U318" s="100"/>
      <c r="V318" s="100"/>
      <c r="W318" s="100"/>
      <c r="X318" s="100"/>
      <c r="Y318" s="100"/>
      <c r="Z318" s="100"/>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1"/>
      <c r="BK318" s="221"/>
    </row>
    <row r="319" spans="1:63" hidden="1" outlineLevel="1">
      <c r="A319" s="9"/>
      <c r="B319" s="44"/>
      <c r="C319" s="320">
        <f>Asset26</f>
        <v>0</v>
      </c>
      <c r="D319" s="9"/>
      <c r="E319" s="9"/>
      <c r="F319" s="139"/>
      <c r="G319" s="203"/>
      <c r="H319" s="111">
        <f>($G262+(SUM($G319:G319)))*H$7</f>
        <v>0</v>
      </c>
      <c r="I319" s="111">
        <f>($G262+(SUM($G319:H319)))*I$7</f>
        <v>0</v>
      </c>
      <c r="J319" s="111">
        <f>($G262+(SUM($G319:I319)))*J$7</f>
        <v>0</v>
      </c>
      <c r="K319" s="111">
        <f>($G262+(SUM($G319:J319)))*K$7</f>
        <v>0</v>
      </c>
      <c r="L319" s="111">
        <f>($G262+(SUM($G319:K319)))*L$7</f>
        <v>0</v>
      </c>
      <c r="M319" s="111">
        <f>($G262+(SUM($G319:L319)))*M$7</f>
        <v>0</v>
      </c>
      <c r="N319" s="111">
        <f>IF(COUNT($H319:M319)&gt;=Input!$Y$7,0,($G262+(SUM($G319:M319)))*N$7)</f>
        <v>0</v>
      </c>
      <c r="O319" s="111">
        <f>IF(COUNT($H319:N319)&gt;=Input!$Y$7,0,($G262+(SUM($G319:N319)))*O$7)</f>
        <v>0</v>
      </c>
      <c r="P319" s="111">
        <f>IF(COUNT($H319:O319)&gt;=Input!$Y$7,0,($G262+(SUM($G319:O319)))*P$7)</f>
        <v>0</v>
      </c>
      <c r="Q319" s="111">
        <f>IF(COUNT($H319:P319)&gt;=Input!$Y$7,0,($G262+(SUM($G319:P319)))*Q$7)</f>
        <v>0</v>
      </c>
      <c r="R319" s="100"/>
      <c r="S319" s="100"/>
      <c r="T319" s="100"/>
      <c r="U319" s="100"/>
      <c r="V319" s="100"/>
      <c r="W319" s="100"/>
      <c r="X319" s="100"/>
      <c r="Y319" s="100"/>
      <c r="Z319" s="100"/>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1"/>
      <c r="BK319" s="221"/>
    </row>
    <row r="320" spans="1:63" hidden="1" outlineLevel="1">
      <c r="A320" s="9"/>
      <c r="B320" s="44"/>
      <c r="C320" s="282" t="s">
        <v>27</v>
      </c>
      <c r="D320" s="9"/>
      <c r="E320" s="9"/>
      <c r="F320" s="139"/>
      <c r="G320" s="203"/>
      <c r="H320" s="111"/>
      <c r="I320" s="111"/>
      <c r="J320" s="111"/>
      <c r="K320" s="111"/>
      <c r="L320" s="111">
        <f>IF(COUNT($H319:L319)=Input!$Y$7,SUM($G319:L319),0)</f>
        <v>0</v>
      </c>
      <c r="M320" s="111">
        <f>IF(COUNT($H319:M319)=Input!$Y$7,SUM($G319:M319),0)</f>
        <v>0</v>
      </c>
      <c r="N320" s="111">
        <f>IF(COUNT($H319:N319)=Input!$Y$7,SUM($G319:N319),0)</f>
        <v>0</v>
      </c>
      <c r="O320" s="111">
        <f>IF(COUNT($H319:O319)=Input!$Y$7,SUM($G319:O319),0)</f>
        <v>0</v>
      </c>
      <c r="P320" s="111">
        <f>IF(COUNT($H319:P319)=Input!$Y$7,SUM($G319:P319),0)</f>
        <v>0</v>
      </c>
      <c r="Q320" s="111">
        <f>IF(COUNT($H319:Q319)=Input!$Y$7,SUM($G319:Q319),0)</f>
        <v>0</v>
      </c>
      <c r="R320" s="100"/>
      <c r="S320" s="100"/>
      <c r="T320" s="100"/>
      <c r="U320" s="100"/>
      <c r="V320" s="100"/>
      <c r="W320" s="100"/>
      <c r="X320" s="100"/>
      <c r="Y320" s="100"/>
      <c r="Z320" s="100"/>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1"/>
      <c r="BK320" s="221"/>
    </row>
    <row r="321" spans="1:63" hidden="1" outlineLevel="1">
      <c r="A321" s="9"/>
      <c r="B321" s="44"/>
      <c r="C321" s="320">
        <f>Asset27</f>
        <v>0</v>
      </c>
      <c r="D321" s="9"/>
      <c r="E321" s="9"/>
      <c r="F321" s="139"/>
      <c r="G321" s="203"/>
      <c r="H321" s="111">
        <f>($G263+(SUM($G321:G321)))*H$7</f>
        <v>0</v>
      </c>
      <c r="I321" s="111">
        <f>($G263+(SUM($G321:H321)))*I$7</f>
        <v>0</v>
      </c>
      <c r="J321" s="111">
        <f>($G263+(SUM($G321:I321)))*J$7</f>
        <v>0</v>
      </c>
      <c r="K321" s="111">
        <f>($G263+(SUM($G321:J321)))*K$7</f>
        <v>0</v>
      </c>
      <c r="L321" s="111">
        <f>($G263+(SUM($G321:K321)))*L$7</f>
        <v>0</v>
      </c>
      <c r="M321" s="111">
        <f>($G263+(SUM($G321:L321)))*M$7</f>
        <v>0</v>
      </c>
      <c r="N321" s="111">
        <f>IF(COUNT($H321:M321)&gt;=Input!$Y$7,0,($G263+(SUM($G321:M321)))*N$7)</f>
        <v>0</v>
      </c>
      <c r="O321" s="111">
        <f>IF(COUNT($H321:N321)&gt;=Input!$Y$7,0,($G263+(SUM($G321:N321)))*O$7)</f>
        <v>0</v>
      </c>
      <c r="P321" s="111">
        <f>IF(COUNT($H321:O321)&gt;=Input!$Y$7,0,($G263+(SUM($G321:O321)))*P$7)</f>
        <v>0</v>
      </c>
      <c r="Q321" s="111">
        <f>IF(COUNT($H321:P321)&gt;=Input!$Y$7,0,($G263+(SUM($G321:P321)))*Q$7)</f>
        <v>0</v>
      </c>
      <c r="R321" s="100"/>
      <c r="S321" s="100"/>
      <c r="T321" s="100"/>
      <c r="U321" s="100"/>
      <c r="V321" s="100"/>
      <c r="W321" s="100"/>
      <c r="X321" s="100"/>
      <c r="Y321" s="100"/>
      <c r="Z321" s="100"/>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1"/>
      <c r="BK321" s="221"/>
    </row>
    <row r="322" spans="1:63" hidden="1" outlineLevel="1">
      <c r="A322" s="9"/>
      <c r="B322" s="44"/>
      <c r="C322" s="282" t="s">
        <v>27</v>
      </c>
      <c r="D322" s="9"/>
      <c r="E322" s="9"/>
      <c r="F322" s="139"/>
      <c r="G322" s="203"/>
      <c r="H322" s="111"/>
      <c r="I322" s="111"/>
      <c r="J322" s="111"/>
      <c r="K322" s="111"/>
      <c r="L322" s="111">
        <f>IF(COUNT($H321:L321)=Input!$Y$7,SUM($G321:L321),0)</f>
        <v>0</v>
      </c>
      <c r="M322" s="111">
        <f>IF(COUNT($H321:M321)=Input!$Y$7,SUM($G321:M321),0)</f>
        <v>0</v>
      </c>
      <c r="N322" s="111">
        <f>IF(COUNT($H321:N321)=Input!$Y$7,SUM($G321:N321),0)</f>
        <v>0</v>
      </c>
      <c r="O322" s="111">
        <f>IF(COUNT($H321:O321)=Input!$Y$7,SUM($G321:O321),0)</f>
        <v>0</v>
      </c>
      <c r="P322" s="111">
        <f>IF(COUNT($H321:P321)=Input!$Y$7,SUM($G321:P321),0)</f>
        <v>0</v>
      </c>
      <c r="Q322" s="111">
        <f>IF(COUNT($H321:Q321)=Input!$Y$7,SUM($G321:Q321),0)</f>
        <v>0</v>
      </c>
      <c r="R322" s="100"/>
      <c r="S322" s="100"/>
      <c r="T322" s="100"/>
      <c r="U322" s="100"/>
      <c r="V322" s="100"/>
      <c r="W322" s="100"/>
      <c r="X322" s="100"/>
      <c r="Y322" s="100"/>
      <c r="Z322" s="100"/>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1"/>
      <c r="BK322" s="221"/>
    </row>
    <row r="323" spans="1:63" hidden="1" outlineLevel="1">
      <c r="A323" s="9"/>
      <c r="B323" s="44"/>
      <c r="C323" s="320">
        <f>Asset28</f>
        <v>0</v>
      </c>
      <c r="D323" s="9"/>
      <c r="E323" s="9"/>
      <c r="F323" s="139"/>
      <c r="G323" s="203"/>
      <c r="H323" s="111">
        <f>($G264+(SUM($G323:G323)))*H$7</f>
        <v>0</v>
      </c>
      <c r="I323" s="111">
        <f>($G264+(SUM($G323:H323)))*I$7</f>
        <v>0</v>
      </c>
      <c r="J323" s="111">
        <f>($G264+(SUM($G323:I323)))*J$7</f>
        <v>0</v>
      </c>
      <c r="K323" s="111">
        <f>($G264+(SUM($G323:J323)))*K$7</f>
        <v>0</v>
      </c>
      <c r="L323" s="111">
        <f>IF(COUNT($H323:K323)&gt;=Input!$Y$7,0,($G264+(SUM($G323:K323)))*L$7)</f>
        <v>0</v>
      </c>
      <c r="M323" s="111">
        <f>IF(COUNT($H323:L323)&gt;=Input!$Y$7,0,($G264+(SUM($G323:L323)))*M$7)</f>
        <v>0</v>
      </c>
      <c r="N323" s="111">
        <f>IF(COUNT($H323:M323)&gt;=Input!$Y$7,0,($G264+(SUM($G323:M323)))*N$7)</f>
        <v>0</v>
      </c>
      <c r="O323" s="111">
        <f>IF(COUNT($H323:N323)&gt;=Input!$Y$7,0,($G264+(SUM($G323:N323)))*O$7)</f>
        <v>0</v>
      </c>
      <c r="P323" s="111">
        <f>IF(COUNT($H323:O323)&gt;=Input!$Y$7,0,($G264+(SUM($G323:O323)))*P$7)</f>
        <v>0</v>
      </c>
      <c r="Q323" s="111">
        <f>IF(COUNT($H323:P323)&gt;=Input!$Y$7,0,($G264+(SUM($G323:P323)))*Q$7)</f>
        <v>0</v>
      </c>
      <c r="R323" s="100"/>
      <c r="S323" s="100"/>
      <c r="T323" s="100"/>
      <c r="U323" s="100"/>
      <c r="V323" s="100"/>
      <c r="W323" s="100"/>
      <c r="X323" s="100"/>
      <c r="Y323" s="100"/>
      <c r="Z323" s="100"/>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1"/>
      <c r="BK323" s="221"/>
    </row>
    <row r="324" spans="1:63" hidden="1" outlineLevel="1">
      <c r="A324" s="9"/>
      <c r="B324" s="44"/>
      <c r="C324" s="282" t="s">
        <v>27</v>
      </c>
      <c r="D324" s="9"/>
      <c r="E324" s="9"/>
      <c r="F324" s="139"/>
      <c r="G324" s="203"/>
      <c r="H324" s="111"/>
      <c r="I324" s="111"/>
      <c r="J324" s="111"/>
      <c r="K324" s="111"/>
      <c r="L324" s="111">
        <f>IF(COUNT($H323:L323)=Input!$Y$7,SUM($G323:L323),0)</f>
        <v>0</v>
      </c>
      <c r="M324" s="111">
        <f>IF(COUNT($H323:M323)=Input!$Y$7,SUM($G323:M323),0)</f>
        <v>0</v>
      </c>
      <c r="N324" s="111">
        <f>IF(COUNT($H323:N323)=Input!$Y$7,SUM($G323:N323),0)</f>
        <v>0</v>
      </c>
      <c r="O324" s="111">
        <f>IF(COUNT($H323:O323)=Input!$Y$7,SUM($G323:O323),0)</f>
        <v>0</v>
      </c>
      <c r="P324" s="111">
        <f>IF(COUNT($H323:P323)=Input!$Y$7,SUM($G323:P323),0)</f>
        <v>0</v>
      </c>
      <c r="Q324" s="111">
        <f>IF(COUNT($H323:Q323)=Input!$Y$7,SUM($G323:Q323),0)</f>
        <v>0</v>
      </c>
      <c r="R324" s="100"/>
      <c r="S324" s="100"/>
      <c r="T324" s="100"/>
      <c r="U324" s="100"/>
      <c r="V324" s="100"/>
      <c r="W324" s="100"/>
      <c r="X324" s="100"/>
      <c r="Y324" s="100"/>
      <c r="Z324" s="100"/>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1"/>
      <c r="BK324" s="221"/>
    </row>
    <row r="325" spans="1:63" hidden="1" outlineLevel="1">
      <c r="A325" s="9"/>
      <c r="B325" s="44"/>
      <c r="C325" s="320">
        <f>Asset29</f>
        <v>0</v>
      </c>
      <c r="D325" s="9"/>
      <c r="E325" s="9"/>
      <c r="F325" s="139"/>
      <c r="G325" s="203"/>
      <c r="H325" s="111">
        <f>($G265+(SUM($G325:G325)))*H$7</f>
        <v>0</v>
      </c>
      <c r="I325" s="111">
        <f>($G265+(SUM($G325:H325)))*I$7</f>
        <v>0</v>
      </c>
      <c r="J325" s="111">
        <f>($G265+(SUM($G325:I325)))*J$7</f>
        <v>0</v>
      </c>
      <c r="K325" s="111">
        <f>($G265+(SUM($G325:J325)))*K$7</f>
        <v>0</v>
      </c>
      <c r="L325" s="111">
        <f>($G265+(SUM($G325:K325)))*L$7</f>
        <v>0</v>
      </c>
      <c r="M325" s="111">
        <f>($G265+(SUM($G325:L325)))*M$7</f>
        <v>0</v>
      </c>
      <c r="N325" s="111">
        <f>IF(COUNT($H325:M325)&gt;=Input!$Y$7,0,($G265+(SUM($G325:M325)))*N$7)</f>
        <v>0</v>
      </c>
      <c r="O325" s="111">
        <f>IF(COUNT($H325:N325)&gt;=Input!$Y$7,0,($G265+(SUM($G325:N325)))*O$7)</f>
        <v>0</v>
      </c>
      <c r="P325" s="111">
        <f>IF(COUNT($H325:O325)&gt;=Input!$Y$7,0,($G265+(SUM($G325:O325)))*P$7)</f>
        <v>0</v>
      </c>
      <c r="Q325" s="111">
        <f>IF(COUNT($H325:P325)&gt;=Input!$Y$7,0,($G265+(SUM($G325:P325)))*Q$7)</f>
        <v>0</v>
      </c>
      <c r="R325" s="100"/>
      <c r="S325" s="100"/>
      <c r="T325" s="100"/>
      <c r="U325" s="100"/>
      <c r="V325" s="100"/>
      <c r="W325" s="100"/>
      <c r="X325" s="100"/>
      <c r="Y325" s="100"/>
      <c r="Z325" s="100"/>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1"/>
      <c r="BK325" s="221"/>
    </row>
    <row r="326" spans="1:63" hidden="1" outlineLevel="1">
      <c r="A326" s="9"/>
      <c r="B326" s="44"/>
      <c r="C326" s="282" t="s">
        <v>27</v>
      </c>
      <c r="D326" s="9"/>
      <c r="E326" s="9"/>
      <c r="F326" s="139"/>
      <c r="G326" s="203"/>
      <c r="H326" s="111"/>
      <c r="I326" s="111"/>
      <c r="J326" s="111"/>
      <c r="K326" s="111"/>
      <c r="L326" s="111">
        <f>IF(COUNT($H325:L325)=Input!$Y$7,SUM($G325:L325),0)</f>
        <v>0</v>
      </c>
      <c r="M326" s="111">
        <f>IF(COUNT($H325:M325)=Input!$Y$7,SUM($G325:M325),0)</f>
        <v>0</v>
      </c>
      <c r="N326" s="111">
        <f>IF(COUNT($H325:N325)=Input!$Y$7,SUM($G325:N325),0)</f>
        <v>0</v>
      </c>
      <c r="O326" s="111">
        <f>IF(COUNT($H325:O325)=Input!$Y$7,SUM($G325:O325),0)</f>
        <v>0</v>
      </c>
      <c r="P326" s="111">
        <f>IF(COUNT($H325:P325)=Input!$Y$7,SUM($G325:P325),0)</f>
        <v>0</v>
      </c>
      <c r="Q326" s="111">
        <f>IF(COUNT($H325:Q325)=Input!$Y$7,SUM($G325:Q325),0)</f>
        <v>0</v>
      </c>
      <c r="R326" s="100"/>
      <c r="S326" s="100"/>
      <c r="T326" s="100"/>
      <c r="U326" s="100"/>
      <c r="V326" s="100"/>
      <c r="W326" s="100"/>
      <c r="X326" s="100"/>
      <c r="Y326" s="100"/>
      <c r="Z326" s="100"/>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1"/>
      <c r="BK326" s="221"/>
    </row>
    <row r="327" spans="1:63" hidden="1" outlineLevel="1">
      <c r="A327" s="9"/>
      <c r="B327" s="44"/>
      <c r="C327" s="320">
        <f>Asset30</f>
        <v>0</v>
      </c>
      <c r="D327" s="9"/>
      <c r="E327" s="9"/>
      <c r="F327" s="139"/>
      <c r="G327" s="203"/>
      <c r="H327" s="111">
        <f>($G266+(SUM($G327:G327)))*H$7</f>
        <v>0</v>
      </c>
      <c r="I327" s="111">
        <f>($G266+(SUM($G327:H327)))*I$7</f>
        <v>0</v>
      </c>
      <c r="J327" s="111">
        <f>($G266+(SUM($G327:I327)))*J$7</f>
        <v>0</v>
      </c>
      <c r="K327" s="111">
        <f>($G266+(SUM($G327:J327)))*K$7</f>
        <v>0</v>
      </c>
      <c r="L327" s="111">
        <f>($G266+(SUM($G327:K327)))*L$7</f>
        <v>0</v>
      </c>
      <c r="M327" s="111">
        <f>($G266+(SUM($G327:L327)))*M$7</f>
        <v>0</v>
      </c>
      <c r="N327" s="111">
        <f>IF(COUNT($H327:M327)&gt;=Input!$Y$7,0,($G266+(SUM($G327:M327)))*N$7)</f>
        <v>0</v>
      </c>
      <c r="O327" s="111">
        <f>IF(COUNT($H327:N327)&gt;=Input!$Y$7,0,($G266+(SUM($G327:N327)))*O$7)</f>
        <v>0</v>
      </c>
      <c r="P327" s="111">
        <f>IF(COUNT($H327:O327)&gt;=Input!$Y$7,0,($G266+(SUM($G327:O327)))*P$7)</f>
        <v>0</v>
      </c>
      <c r="Q327" s="111">
        <f>IF(COUNT($H327:P327)&gt;=Input!$Y$7,0,($G266+(SUM($G327:P327)))*Q$7)</f>
        <v>0</v>
      </c>
      <c r="R327" s="100"/>
      <c r="S327" s="100"/>
      <c r="T327" s="100"/>
      <c r="U327" s="100"/>
      <c r="V327" s="100"/>
      <c r="W327" s="100"/>
      <c r="X327" s="100"/>
      <c r="Y327" s="100"/>
      <c r="Z327" s="100"/>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1"/>
      <c r="BK327" s="221"/>
    </row>
    <row r="328" spans="1:63" hidden="1" outlineLevel="1">
      <c r="A328" s="9"/>
      <c r="B328" s="44"/>
      <c r="C328" s="282" t="s">
        <v>27</v>
      </c>
      <c r="D328" s="9"/>
      <c r="E328" s="9"/>
      <c r="F328" s="139"/>
      <c r="G328" s="203"/>
      <c r="H328" s="111"/>
      <c r="I328" s="111"/>
      <c r="J328" s="111"/>
      <c r="K328" s="111"/>
      <c r="L328" s="111">
        <f>IF(COUNT($H327:L327)=Input!$Y$7,SUM($G327:L327),0)</f>
        <v>0</v>
      </c>
      <c r="M328" s="111">
        <f>IF(COUNT($H327:M327)=Input!$Y$7,SUM($G327:M327),0)</f>
        <v>0</v>
      </c>
      <c r="N328" s="111">
        <f>IF(COUNT($H327:N327)=Input!$Y$7,SUM($G327:N327),0)</f>
        <v>0</v>
      </c>
      <c r="O328" s="111">
        <f>IF(COUNT($H327:O327)=Input!$Y$7,SUM($G327:O327),0)</f>
        <v>0</v>
      </c>
      <c r="P328" s="111">
        <f>IF(COUNT($H327:P327)=Input!$Y$7,SUM($G327:P327),0)</f>
        <v>0</v>
      </c>
      <c r="Q328" s="111">
        <f>IF(COUNT($H327:Q327)=Input!$Y$7,SUM($G327:Q327),0)</f>
        <v>0</v>
      </c>
      <c r="R328" s="100"/>
      <c r="S328" s="100"/>
      <c r="T328" s="100"/>
      <c r="U328" s="100"/>
      <c r="V328" s="100"/>
      <c r="W328" s="100"/>
      <c r="X328" s="100"/>
      <c r="Y328" s="100"/>
      <c r="Z328" s="100"/>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1"/>
      <c r="BK328" s="221"/>
    </row>
    <row r="329" spans="1:63" collapsed="1">
      <c r="A329" s="9"/>
      <c r="B329" s="184" t="s">
        <v>41</v>
      </c>
      <c r="D329" s="9"/>
      <c r="E329" s="9"/>
      <c r="F329" s="139"/>
      <c r="G329" s="203"/>
      <c r="H329" s="115"/>
      <c r="I329" s="115"/>
      <c r="J329" s="115"/>
      <c r="K329" s="115"/>
      <c r="L329" s="115">
        <f>IF(COUNT($H268:L268)=Input!$Y$7, SUM($G268:L268), 0)</f>
        <v>0</v>
      </c>
      <c r="M329" s="115">
        <f>IF(COUNT($H268:M268)=Input!$Y$7, SUM($G268:M268), 0)</f>
        <v>16.907295852420887</v>
      </c>
      <c r="N329" s="115">
        <f>IF(COUNT($H268:N268)=Input!$Y$7, SUM($G268:N268), 0)</f>
        <v>0</v>
      </c>
      <c r="O329" s="115">
        <f>IF(COUNT($H268:O268)=Input!$Y$7, SUM($G268:O268), 0)</f>
        <v>0</v>
      </c>
      <c r="P329" s="115">
        <f>IF(COUNT($H268:P268)=Input!$Y$7, SUM($G268:P268), 0)</f>
        <v>0</v>
      </c>
      <c r="Q329" s="115">
        <f>IF(COUNT($H268:Q268)=Input!$Y$7, SUM($G268:Q268), 0)</f>
        <v>0</v>
      </c>
      <c r="R329" s="100"/>
      <c r="S329" s="100"/>
      <c r="T329" s="100"/>
      <c r="U329" s="100"/>
      <c r="V329" s="100"/>
      <c r="W329" s="100"/>
      <c r="X329" s="100"/>
      <c r="Y329" s="100"/>
      <c r="Z329" s="100"/>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1"/>
      <c r="BK329" s="221"/>
    </row>
    <row r="330" spans="1:63">
      <c r="A330" s="9"/>
      <c r="B330" s="184"/>
      <c r="D330" s="9"/>
      <c r="E330" s="9"/>
      <c r="F330" s="139"/>
      <c r="G330" s="314"/>
      <c r="H330" s="115"/>
      <c r="I330" s="115"/>
      <c r="J330" s="115"/>
      <c r="K330" s="115"/>
      <c r="L330" s="115"/>
      <c r="M330" s="115"/>
      <c r="N330" s="115"/>
      <c r="O330" s="115"/>
      <c r="P330" s="115"/>
      <c r="Q330" s="115"/>
      <c r="R330" s="100"/>
      <c r="S330" s="100"/>
      <c r="T330" s="100"/>
      <c r="U330" s="100"/>
      <c r="V330" s="100"/>
      <c r="W330" s="100"/>
      <c r="X330" s="100"/>
      <c r="Y330" s="100"/>
      <c r="Z330" s="100"/>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1"/>
      <c r="BK330" s="221"/>
    </row>
    <row r="331" spans="1:63">
      <c r="A331" s="74"/>
      <c r="B331" s="178" t="s">
        <v>153</v>
      </c>
      <c r="C331" s="179"/>
      <c r="D331" s="74"/>
      <c r="E331" s="74"/>
      <c r="F331" s="180"/>
      <c r="G331" s="181"/>
      <c r="H331" s="181"/>
      <c r="I331" s="181"/>
      <c r="J331" s="181"/>
      <c r="K331" s="181"/>
      <c r="L331" s="181"/>
      <c r="M331" s="74"/>
      <c r="N331" s="182"/>
      <c r="O331" s="183"/>
      <c r="P331" s="183"/>
      <c r="Q331" s="183"/>
      <c r="R331" s="183"/>
      <c r="S331" s="100"/>
      <c r="T331" s="100"/>
      <c r="U331" s="100"/>
      <c r="V331" s="100"/>
      <c r="W331" s="100"/>
      <c r="X331" s="100"/>
      <c r="Y331" s="100"/>
      <c r="Z331" s="100"/>
      <c r="AA331" s="228"/>
      <c r="AB331" s="228"/>
      <c r="AC331" s="228"/>
      <c r="AD331" s="228"/>
      <c r="AE331" s="228"/>
      <c r="AF331" s="228"/>
      <c r="AG331" s="228"/>
      <c r="AH331" s="228"/>
      <c r="AI331" s="228"/>
      <c r="AJ331" s="228"/>
      <c r="AK331" s="228"/>
      <c r="AL331" s="228"/>
      <c r="AM331" s="228"/>
      <c r="AN331" s="228"/>
      <c r="AO331" s="228"/>
      <c r="AP331" s="228"/>
      <c r="AQ331" s="228"/>
      <c r="AR331" s="228"/>
      <c r="AS331" s="228"/>
      <c r="AT331" s="228"/>
      <c r="AU331" s="228"/>
      <c r="AV331" s="228"/>
      <c r="AW331" s="228"/>
      <c r="AX331" s="228"/>
      <c r="AY331" s="228"/>
      <c r="AZ331" s="228"/>
      <c r="BA331" s="228"/>
      <c r="BB331" s="228"/>
      <c r="BC331" s="228"/>
      <c r="BD331" s="228"/>
      <c r="BE331" s="228"/>
      <c r="BF331" s="228"/>
      <c r="BG331" s="228"/>
      <c r="BH331" s="228"/>
      <c r="BI331" s="228"/>
      <c r="BJ331" s="221"/>
      <c r="BK331" s="221"/>
    </row>
    <row r="332" spans="1:63">
      <c r="A332" s="9"/>
      <c r="B332" s="151"/>
      <c r="C332" s="26"/>
      <c r="D332" s="9"/>
      <c r="E332" s="9"/>
      <c r="F332" s="139"/>
      <c r="G332" s="115"/>
      <c r="H332" s="115"/>
      <c r="I332" s="115"/>
      <c r="J332" s="115"/>
      <c r="K332" s="115"/>
      <c r="L332" s="115"/>
      <c r="M332" s="9"/>
      <c r="N332" s="111"/>
      <c r="O332" s="150"/>
      <c r="P332" s="150"/>
      <c r="Q332" s="150"/>
      <c r="R332" s="100"/>
      <c r="S332" s="100"/>
      <c r="T332" s="100"/>
      <c r="U332" s="100"/>
      <c r="V332" s="100"/>
      <c r="W332" s="100"/>
      <c r="X332" s="100"/>
      <c r="Y332" s="100"/>
      <c r="Z332" s="100"/>
      <c r="AA332" s="228"/>
      <c r="AB332" s="228"/>
      <c r="AC332" s="228"/>
      <c r="AD332" s="228"/>
      <c r="AE332" s="228"/>
      <c r="AF332" s="228"/>
      <c r="AG332" s="228"/>
      <c r="AH332" s="228"/>
      <c r="AI332" s="228"/>
      <c r="AJ332" s="228"/>
      <c r="AK332" s="228"/>
      <c r="AL332" s="228"/>
      <c r="AM332" s="228"/>
      <c r="AN332" s="228"/>
      <c r="AO332" s="228"/>
      <c r="AP332" s="228"/>
      <c r="AQ332" s="228"/>
      <c r="AR332" s="228"/>
      <c r="AS332" s="228"/>
      <c r="AT332" s="228"/>
      <c r="AU332" s="228"/>
      <c r="AV332" s="228"/>
      <c r="AW332" s="228"/>
      <c r="AX332" s="228"/>
      <c r="AY332" s="228"/>
      <c r="AZ332" s="228"/>
      <c r="BA332" s="228"/>
      <c r="BB332" s="228"/>
      <c r="BC332" s="228"/>
      <c r="BD332" s="228"/>
      <c r="BE332" s="228"/>
      <c r="BF332" s="228"/>
      <c r="BG332" s="228"/>
      <c r="BH332" s="228"/>
      <c r="BI332" s="228"/>
      <c r="BJ332" s="221"/>
      <c r="BK332" s="221"/>
    </row>
    <row r="333" spans="1:63">
      <c r="A333" s="9"/>
      <c r="B333" s="44" t="s">
        <v>154</v>
      </c>
      <c r="C333" s="9"/>
      <c r="D333" s="9"/>
      <c r="E333" s="9"/>
      <c r="F333" s="139"/>
      <c r="G333" s="203">
        <f>SUM(G334:G353)</f>
        <v>115.84899999999999</v>
      </c>
      <c r="H333" s="115"/>
      <c r="I333" s="115"/>
      <c r="J333" s="115"/>
      <c r="K333" s="115"/>
      <c r="L333" s="115"/>
      <c r="M333" s="9"/>
      <c r="N333" s="111"/>
      <c r="O333" s="150"/>
      <c r="P333" s="150"/>
      <c r="Q333" s="150"/>
      <c r="R333" s="100"/>
      <c r="S333" s="100"/>
      <c r="T333" s="100"/>
      <c r="U333" s="100"/>
      <c r="V333" s="100"/>
      <c r="W333" s="100"/>
      <c r="X333" s="100"/>
      <c r="Y333" s="100"/>
      <c r="Z333" s="100"/>
      <c r="AA333" s="228"/>
      <c r="AB333" s="228"/>
      <c r="AC333" s="228"/>
      <c r="AD333" s="228"/>
      <c r="AE333" s="228"/>
      <c r="AF333" s="228"/>
      <c r="AG333" s="228"/>
      <c r="AH333" s="228"/>
      <c r="AI333" s="228"/>
      <c r="AJ333" s="228"/>
      <c r="AK333" s="228"/>
      <c r="AL333" s="228"/>
      <c r="AM333" s="228"/>
      <c r="AN333" s="228"/>
      <c r="AO333" s="228"/>
      <c r="AP333" s="228"/>
      <c r="AQ333" s="228"/>
      <c r="AR333" s="228"/>
      <c r="AS333" s="228"/>
      <c r="AT333" s="228"/>
      <c r="AU333" s="228"/>
      <c r="AV333" s="228"/>
      <c r="AW333" s="228"/>
      <c r="AX333" s="228"/>
      <c r="AY333" s="228"/>
      <c r="AZ333" s="228"/>
      <c r="BA333" s="228"/>
      <c r="BB333" s="228"/>
      <c r="BC333" s="228"/>
      <c r="BD333" s="228"/>
      <c r="BE333" s="228"/>
      <c r="BF333" s="228"/>
      <c r="BG333" s="228"/>
      <c r="BH333" s="228"/>
      <c r="BI333" s="228"/>
      <c r="BJ333" s="221"/>
      <c r="BK333" s="221"/>
    </row>
    <row r="334" spans="1:63" hidden="1" outlineLevel="1">
      <c r="A334" s="9"/>
      <c r="B334" s="9"/>
      <c r="C334" s="127" t="str">
        <f>Asset1</f>
        <v>Secondary</v>
      </c>
      <c r="D334" s="9"/>
      <c r="E334" s="9"/>
      <c r="F334" s="139"/>
      <c r="G334" s="201">
        <f>Input!N7</f>
        <v>17.722999999999999</v>
      </c>
      <c r="H334" s="115"/>
      <c r="I334" s="115"/>
      <c r="J334" s="115"/>
      <c r="K334" s="115"/>
      <c r="L334" s="115"/>
      <c r="M334" s="9"/>
      <c r="N334" s="111"/>
      <c r="O334" s="150"/>
      <c r="P334" s="150"/>
      <c r="Q334" s="150"/>
      <c r="R334" s="100"/>
      <c r="S334" s="100"/>
      <c r="T334" s="100"/>
      <c r="U334" s="100"/>
      <c r="V334" s="100"/>
      <c r="W334" s="100"/>
      <c r="X334" s="100"/>
      <c r="Y334" s="100"/>
      <c r="Z334" s="100"/>
      <c r="AA334" s="228"/>
      <c r="AB334" s="228"/>
      <c r="AC334" s="228"/>
      <c r="AD334" s="228"/>
      <c r="AE334" s="228"/>
      <c r="AF334" s="228"/>
      <c r="AG334" s="228"/>
      <c r="AH334" s="228"/>
      <c r="AI334" s="228"/>
      <c r="AJ334" s="228"/>
      <c r="AK334" s="228"/>
      <c r="AL334" s="228"/>
      <c r="AM334" s="228"/>
      <c r="AN334" s="228"/>
      <c r="AO334" s="228"/>
      <c r="AP334" s="228"/>
      <c r="AQ334" s="228"/>
      <c r="AR334" s="228"/>
      <c r="AS334" s="228"/>
      <c r="AT334" s="228"/>
      <c r="AU334" s="228"/>
      <c r="AV334" s="228"/>
      <c r="AW334" s="228"/>
      <c r="AX334" s="228"/>
      <c r="AY334" s="228"/>
      <c r="AZ334" s="228"/>
      <c r="BA334" s="228"/>
      <c r="BB334" s="228"/>
      <c r="BC334" s="228"/>
      <c r="BD334" s="228"/>
      <c r="BE334" s="228"/>
      <c r="BF334" s="228"/>
      <c r="BG334" s="228"/>
      <c r="BH334" s="228"/>
      <c r="BI334" s="228"/>
      <c r="BJ334" s="221"/>
      <c r="BK334" s="221"/>
    </row>
    <row r="335" spans="1:63" hidden="1" outlineLevel="1">
      <c r="A335" s="9"/>
      <c r="B335" s="44"/>
      <c r="C335" s="127" t="str">
        <f>Asset2</f>
        <v>Switchgear</v>
      </c>
      <c r="D335" s="9"/>
      <c r="E335" s="9"/>
      <c r="F335" s="139"/>
      <c r="G335" s="201">
        <f>Input!N8</f>
        <v>59.128999999999998</v>
      </c>
      <c r="H335" s="115"/>
      <c r="I335" s="115"/>
      <c r="J335" s="115"/>
      <c r="K335" s="115"/>
      <c r="L335" s="115"/>
      <c r="M335" s="9"/>
      <c r="N335" s="111"/>
      <c r="O335" s="150"/>
      <c r="P335" s="150"/>
      <c r="Q335" s="150"/>
      <c r="R335" s="100"/>
      <c r="S335" s="100"/>
      <c r="T335" s="100"/>
      <c r="U335" s="100"/>
      <c r="V335" s="100"/>
      <c r="W335" s="100"/>
      <c r="X335" s="100"/>
      <c r="Y335" s="100"/>
      <c r="Z335" s="100"/>
      <c r="AA335" s="228"/>
      <c r="AB335" s="228"/>
      <c r="AC335" s="228"/>
      <c r="AD335" s="228"/>
      <c r="AE335" s="228"/>
      <c r="AF335" s="228"/>
      <c r="AG335" s="228"/>
      <c r="AH335" s="228"/>
      <c r="AI335" s="228"/>
      <c r="AJ335" s="228"/>
      <c r="AK335" s="228"/>
      <c r="AL335" s="228"/>
      <c r="AM335" s="228"/>
      <c r="AN335" s="228"/>
      <c r="AO335" s="228"/>
      <c r="AP335" s="228"/>
      <c r="AQ335" s="228"/>
      <c r="AR335" s="228"/>
      <c r="AS335" s="228"/>
      <c r="AT335" s="228"/>
      <c r="AU335" s="228"/>
      <c r="AV335" s="228"/>
      <c r="AW335" s="228"/>
      <c r="AX335" s="228"/>
      <c r="AY335" s="228"/>
      <c r="AZ335" s="228"/>
      <c r="BA335" s="228"/>
      <c r="BB335" s="228"/>
      <c r="BC335" s="228"/>
      <c r="BD335" s="228"/>
      <c r="BE335" s="228"/>
      <c r="BF335" s="228"/>
      <c r="BG335" s="228"/>
      <c r="BH335" s="228"/>
      <c r="BI335" s="228"/>
      <c r="BJ335" s="221"/>
      <c r="BK335" s="221"/>
    </row>
    <row r="336" spans="1:63" hidden="1" outlineLevel="1">
      <c r="A336" s="9"/>
      <c r="B336" s="44"/>
      <c r="C336" s="127" t="str">
        <f>Asset3</f>
        <v>Transformers</v>
      </c>
      <c r="D336" s="9"/>
      <c r="E336" s="9"/>
      <c r="F336" s="139"/>
      <c r="G336" s="201">
        <f>Input!N9</f>
        <v>15.13</v>
      </c>
      <c r="H336" s="115"/>
      <c r="I336" s="115"/>
      <c r="J336" s="115"/>
      <c r="K336" s="115"/>
      <c r="L336" s="115"/>
      <c r="M336" s="9"/>
      <c r="N336" s="111"/>
      <c r="O336" s="150"/>
      <c r="P336" s="150"/>
      <c r="Q336" s="150"/>
      <c r="R336" s="100"/>
      <c r="S336" s="100"/>
      <c r="T336" s="100"/>
      <c r="U336" s="100"/>
      <c r="V336" s="100"/>
      <c r="W336" s="100"/>
      <c r="X336" s="100"/>
      <c r="Y336" s="100"/>
      <c r="Z336" s="100"/>
      <c r="AA336" s="228"/>
      <c r="AB336" s="228"/>
      <c r="AC336" s="228"/>
      <c r="AD336" s="228"/>
      <c r="AE336" s="228"/>
      <c r="AF336" s="228"/>
      <c r="AG336" s="228"/>
      <c r="AH336" s="228"/>
      <c r="AI336" s="228"/>
      <c r="AJ336" s="228"/>
      <c r="AK336" s="228"/>
      <c r="AL336" s="228"/>
      <c r="AM336" s="228"/>
      <c r="AN336" s="228"/>
      <c r="AO336" s="228"/>
      <c r="AP336" s="228"/>
      <c r="AQ336" s="228"/>
      <c r="AR336" s="228"/>
      <c r="AS336" s="228"/>
      <c r="AT336" s="228"/>
      <c r="AU336" s="228"/>
      <c r="AV336" s="228"/>
      <c r="AW336" s="228"/>
      <c r="AX336" s="228"/>
      <c r="AY336" s="228"/>
      <c r="AZ336" s="228"/>
      <c r="BA336" s="228"/>
      <c r="BB336" s="228"/>
      <c r="BC336" s="228"/>
      <c r="BD336" s="228"/>
      <c r="BE336" s="228"/>
      <c r="BF336" s="228"/>
      <c r="BG336" s="228"/>
      <c r="BH336" s="228"/>
      <c r="BI336" s="228"/>
      <c r="BJ336" s="221"/>
      <c r="BK336" s="221"/>
    </row>
    <row r="337" spans="1:63" hidden="1" outlineLevel="1">
      <c r="A337" s="9"/>
      <c r="B337" s="44"/>
      <c r="C337" s="127" t="str">
        <f>Asset4</f>
        <v>Reactive</v>
      </c>
      <c r="D337" s="9"/>
      <c r="E337" s="9"/>
      <c r="F337" s="139"/>
      <c r="G337" s="201">
        <f>Input!N10</f>
        <v>12.513</v>
      </c>
      <c r="H337" s="115"/>
      <c r="I337" s="115"/>
      <c r="J337" s="115"/>
      <c r="K337" s="115"/>
      <c r="L337" s="115"/>
      <c r="M337" s="9"/>
      <c r="N337" s="111"/>
      <c r="O337" s="150"/>
      <c r="P337" s="150"/>
      <c r="Q337" s="150"/>
      <c r="R337" s="100"/>
      <c r="S337" s="100"/>
      <c r="T337" s="100"/>
      <c r="U337" s="100"/>
      <c r="V337" s="100"/>
      <c r="W337" s="100"/>
      <c r="X337" s="100"/>
      <c r="Y337" s="100"/>
      <c r="Z337" s="100"/>
      <c r="AA337" s="228"/>
      <c r="AB337" s="228"/>
      <c r="AC337" s="228"/>
      <c r="AD337" s="228"/>
      <c r="AE337" s="228"/>
      <c r="AF337" s="228"/>
      <c r="AG337" s="228"/>
      <c r="AH337" s="228"/>
      <c r="AI337" s="228"/>
      <c r="AJ337" s="228"/>
      <c r="AK337" s="228"/>
      <c r="AL337" s="228"/>
      <c r="AM337" s="228"/>
      <c r="AN337" s="228"/>
      <c r="AO337" s="228"/>
      <c r="AP337" s="228"/>
      <c r="AQ337" s="228"/>
      <c r="AR337" s="228"/>
      <c r="AS337" s="228"/>
      <c r="AT337" s="228"/>
      <c r="AU337" s="228"/>
      <c r="AV337" s="228"/>
      <c r="AW337" s="228"/>
      <c r="AX337" s="228"/>
      <c r="AY337" s="228"/>
      <c r="AZ337" s="228"/>
      <c r="BA337" s="228"/>
      <c r="BB337" s="228"/>
      <c r="BC337" s="228"/>
      <c r="BD337" s="228"/>
      <c r="BE337" s="228"/>
      <c r="BF337" s="228"/>
      <c r="BG337" s="228"/>
      <c r="BH337" s="228"/>
      <c r="BI337" s="228"/>
      <c r="BJ337" s="221"/>
      <c r="BK337" s="221"/>
    </row>
    <row r="338" spans="1:63" hidden="1" outlineLevel="1">
      <c r="A338" s="9"/>
      <c r="B338" s="44"/>
      <c r="C338" s="127" t="str">
        <f>Asset5</f>
        <v>Towers and Conductor</v>
      </c>
      <c r="D338" s="9"/>
      <c r="E338" s="9"/>
      <c r="F338" s="139"/>
      <c r="G338" s="201">
        <f>Input!N11</f>
        <v>5.907</v>
      </c>
      <c r="H338" s="115"/>
      <c r="I338" s="115"/>
      <c r="J338" s="115"/>
      <c r="K338" s="115"/>
      <c r="L338" s="115"/>
      <c r="M338" s="9"/>
      <c r="N338" s="111"/>
      <c r="O338" s="150"/>
      <c r="P338" s="150"/>
      <c r="Q338" s="150"/>
      <c r="R338" s="100"/>
      <c r="S338" s="100"/>
      <c r="T338" s="100"/>
      <c r="U338" s="100"/>
      <c r="V338" s="100"/>
      <c r="W338" s="100"/>
      <c r="X338" s="100"/>
      <c r="Y338" s="100"/>
      <c r="Z338" s="100"/>
      <c r="AA338" s="228"/>
      <c r="AB338" s="228"/>
      <c r="AC338" s="228"/>
      <c r="AD338" s="228"/>
      <c r="AE338" s="228"/>
      <c r="AF338" s="228"/>
      <c r="AG338" s="228"/>
      <c r="AH338" s="228"/>
      <c r="AI338" s="228"/>
      <c r="AJ338" s="228"/>
      <c r="AK338" s="228"/>
      <c r="AL338" s="228"/>
      <c r="AM338" s="228"/>
      <c r="AN338" s="228"/>
      <c r="AO338" s="228"/>
      <c r="AP338" s="228"/>
      <c r="AQ338" s="228"/>
      <c r="AR338" s="228"/>
      <c r="AS338" s="228"/>
      <c r="AT338" s="228"/>
      <c r="AU338" s="228"/>
      <c r="AV338" s="228"/>
      <c r="AW338" s="228"/>
      <c r="AX338" s="228"/>
      <c r="AY338" s="228"/>
      <c r="AZ338" s="228"/>
      <c r="BA338" s="228"/>
      <c r="BB338" s="228"/>
      <c r="BC338" s="228"/>
      <c r="BD338" s="228"/>
      <c r="BE338" s="228"/>
      <c r="BF338" s="228"/>
      <c r="BG338" s="228"/>
      <c r="BH338" s="228"/>
      <c r="BI338" s="228"/>
      <c r="BJ338" s="221"/>
      <c r="BK338" s="221"/>
    </row>
    <row r="339" spans="1:63" hidden="1" outlineLevel="1">
      <c r="A339" s="9"/>
      <c r="B339" s="44"/>
      <c r="C339" s="127" t="str">
        <f>Asset6</f>
        <v>Establishment</v>
      </c>
      <c r="D339" s="9"/>
      <c r="E339" s="9"/>
      <c r="F339" s="139"/>
      <c r="G339" s="201">
        <f>Input!N12</f>
        <v>4.085</v>
      </c>
      <c r="H339" s="115"/>
      <c r="I339" s="115"/>
      <c r="J339" s="115"/>
      <c r="K339" s="115"/>
      <c r="L339" s="115"/>
      <c r="M339" s="9"/>
      <c r="N339" s="111"/>
      <c r="O339" s="150"/>
      <c r="P339" s="150"/>
      <c r="Q339" s="150"/>
      <c r="R339" s="100"/>
      <c r="S339" s="100"/>
      <c r="T339" s="100"/>
      <c r="U339" s="100"/>
      <c r="V339" s="100"/>
      <c r="W339" s="100"/>
      <c r="X339" s="100"/>
      <c r="Y339" s="100"/>
      <c r="Z339" s="100"/>
      <c r="AA339" s="228"/>
      <c r="AB339" s="228"/>
      <c r="AC339" s="228"/>
      <c r="AD339" s="228"/>
      <c r="AE339" s="228"/>
      <c r="AF339" s="228"/>
      <c r="AG339" s="228"/>
      <c r="AH339" s="228"/>
      <c r="AI339" s="228"/>
      <c r="AJ339" s="228"/>
      <c r="AK339" s="228"/>
      <c r="AL339" s="228"/>
      <c r="AM339" s="228"/>
      <c r="AN339" s="228"/>
      <c r="AO339" s="228"/>
      <c r="AP339" s="228"/>
      <c r="AQ339" s="228"/>
      <c r="AR339" s="228"/>
      <c r="AS339" s="228"/>
      <c r="AT339" s="228"/>
      <c r="AU339" s="228"/>
      <c r="AV339" s="228"/>
      <c r="AW339" s="228"/>
      <c r="AX339" s="228"/>
      <c r="AY339" s="228"/>
      <c r="AZ339" s="228"/>
      <c r="BA339" s="228"/>
      <c r="BB339" s="228"/>
      <c r="BC339" s="228"/>
      <c r="BD339" s="228"/>
      <c r="BE339" s="228"/>
      <c r="BF339" s="228"/>
      <c r="BG339" s="228"/>
      <c r="BH339" s="228"/>
      <c r="BI339" s="228"/>
      <c r="BJ339" s="221"/>
      <c r="BK339" s="221"/>
    </row>
    <row r="340" spans="1:63" hidden="1" outlineLevel="1">
      <c r="A340" s="9"/>
      <c r="B340" s="44"/>
      <c r="C340" s="127" t="str">
        <f>Asset7</f>
        <v>Communications</v>
      </c>
      <c r="D340" s="9"/>
      <c r="E340" s="9"/>
      <c r="F340" s="139"/>
      <c r="G340" s="201">
        <f>Input!N13</f>
        <v>1.3620000000000001</v>
      </c>
      <c r="H340" s="115"/>
      <c r="I340" s="115"/>
      <c r="J340" s="115"/>
      <c r="K340" s="115"/>
      <c r="L340" s="115"/>
      <c r="M340" s="9"/>
      <c r="N340" s="111"/>
      <c r="O340" s="150"/>
      <c r="P340" s="150"/>
      <c r="Q340" s="150"/>
      <c r="R340" s="100"/>
      <c r="S340" s="100"/>
      <c r="T340" s="100"/>
      <c r="U340" s="100"/>
      <c r="V340" s="100"/>
      <c r="W340" s="100"/>
      <c r="X340" s="100"/>
      <c r="Y340" s="100"/>
      <c r="Z340" s="100"/>
      <c r="AA340" s="228"/>
      <c r="AB340" s="228"/>
      <c r="AC340" s="228"/>
      <c r="AD340" s="228"/>
      <c r="AE340" s="228"/>
      <c r="AF340" s="228"/>
      <c r="AG340" s="228"/>
      <c r="AH340" s="228"/>
      <c r="AI340" s="228"/>
      <c r="AJ340" s="228"/>
      <c r="AK340" s="228"/>
      <c r="AL340" s="228"/>
      <c r="AM340" s="228"/>
      <c r="AN340" s="228"/>
      <c r="AO340" s="228"/>
      <c r="AP340" s="228"/>
      <c r="AQ340" s="228"/>
      <c r="AR340" s="228"/>
      <c r="AS340" s="228"/>
      <c r="AT340" s="228"/>
      <c r="AU340" s="228"/>
      <c r="AV340" s="228"/>
      <c r="AW340" s="228"/>
      <c r="AX340" s="228"/>
      <c r="AY340" s="228"/>
      <c r="AZ340" s="228"/>
      <c r="BA340" s="228"/>
      <c r="BB340" s="228"/>
      <c r="BC340" s="228"/>
      <c r="BD340" s="228"/>
      <c r="BE340" s="228"/>
      <c r="BF340" s="228"/>
      <c r="BG340" s="228"/>
      <c r="BH340" s="228"/>
      <c r="BI340" s="228"/>
      <c r="BJ340" s="221"/>
      <c r="BK340" s="221"/>
    </row>
    <row r="341" spans="1:63" hidden="1" outlineLevel="1">
      <c r="A341" s="9"/>
      <c r="B341" s="44"/>
      <c r="C341" s="127" t="str">
        <f>Asset8</f>
        <v>Inventory</v>
      </c>
      <c r="D341" s="9"/>
      <c r="E341" s="9"/>
      <c r="F341" s="139"/>
      <c r="G341" s="201">
        <f>Input!N14</f>
        <v>0</v>
      </c>
      <c r="H341" s="115"/>
      <c r="I341" s="115"/>
      <c r="J341" s="115"/>
      <c r="K341" s="115"/>
      <c r="L341" s="115"/>
      <c r="M341" s="9"/>
      <c r="N341" s="111"/>
      <c r="O341" s="150"/>
      <c r="P341" s="150"/>
      <c r="Q341" s="150"/>
      <c r="R341" s="100"/>
      <c r="S341" s="100"/>
      <c r="T341" s="100"/>
      <c r="U341" s="100"/>
      <c r="V341" s="100"/>
      <c r="W341" s="100"/>
      <c r="X341" s="100"/>
      <c r="Y341" s="100"/>
      <c r="Z341" s="100"/>
      <c r="AA341" s="228"/>
      <c r="AB341" s="228"/>
      <c r="AC341" s="228"/>
      <c r="AD341" s="228"/>
      <c r="AE341" s="228"/>
      <c r="AF341" s="228"/>
      <c r="AG341" s="228"/>
      <c r="AH341" s="228"/>
      <c r="AI341" s="228"/>
      <c r="AJ341" s="228"/>
      <c r="AK341" s="228"/>
      <c r="AL341" s="228"/>
      <c r="AM341" s="228"/>
      <c r="AN341" s="228"/>
      <c r="AO341" s="228"/>
      <c r="AP341" s="228"/>
      <c r="AQ341" s="228"/>
      <c r="AR341" s="228"/>
      <c r="AS341" s="228"/>
      <c r="AT341" s="228"/>
      <c r="AU341" s="228"/>
      <c r="AV341" s="228"/>
      <c r="AW341" s="228"/>
      <c r="AX341" s="228"/>
      <c r="AY341" s="228"/>
      <c r="AZ341" s="228"/>
      <c r="BA341" s="228"/>
      <c r="BB341" s="228"/>
      <c r="BC341" s="228"/>
      <c r="BD341" s="228"/>
      <c r="BE341" s="228"/>
      <c r="BF341" s="228"/>
      <c r="BG341" s="228"/>
      <c r="BH341" s="228"/>
      <c r="BI341" s="228"/>
      <c r="BJ341" s="221"/>
      <c r="BK341" s="221"/>
    </row>
    <row r="342" spans="1:63" hidden="1" outlineLevel="1">
      <c r="A342" s="9"/>
      <c r="B342" s="44"/>
      <c r="C342" s="127" t="str">
        <f>Asset9</f>
        <v>IT</v>
      </c>
      <c r="D342" s="9"/>
      <c r="E342" s="9"/>
      <c r="F342" s="139"/>
      <c r="G342" s="201">
        <f>Input!N15</f>
        <v>0</v>
      </c>
      <c r="H342" s="115"/>
      <c r="I342" s="115"/>
      <c r="J342" s="115"/>
      <c r="K342" s="115"/>
      <c r="L342" s="115"/>
      <c r="M342" s="9"/>
      <c r="N342" s="111"/>
      <c r="O342" s="150"/>
      <c r="P342" s="150"/>
      <c r="Q342" s="150"/>
      <c r="R342" s="100"/>
      <c r="S342" s="100"/>
      <c r="T342" s="100"/>
      <c r="U342" s="100"/>
      <c r="V342" s="100"/>
      <c r="W342" s="100"/>
      <c r="X342" s="100"/>
      <c r="Y342" s="100"/>
      <c r="Z342" s="100"/>
      <c r="AA342" s="228"/>
      <c r="AB342" s="228"/>
      <c r="AC342" s="228"/>
      <c r="AD342" s="228"/>
      <c r="AE342" s="228"/>
      <c r="AF342" s="228"/>
      <c r="AG342" s="228"/>
      <c r="AH342" s="228"/>
      <c r="AI342" s="228"/>
      <c r="AJ342" s="228"/>
      <c r="AK342" s="228"/>
      <c r="AL342" s="228"/>
      <c r="AM342" s="228"/>
      <c r="AN342" s="228"/>
      <c r="AO342" s="228"/>
      <c r="AP342" s="228"/>
      <c r="AQ342" s="228"/>
      <c r="AR342" s="228"/>
      <c r="AS342" s="228"/>
      <c r="AT342" s="228"/>
      <c r="AU342" s="228"/>
      <c r="AV342" s="228"/>
      <c r="AW342" s="228"/>
      <c r="AX342" s="228"/>
      <c r="AY342" s="228"/>
      <c r="AZ342" s="228"/>
      <c r="BA342" s="228"/>
      <c r="BB342" s="228"/>
      <c r="BC342" s="228"/>
      <c r="BD342" s="228"/>
      <c r="BE342" s="228"/>
      <c r="BF342" s="228"/>
      <c r="BG342" s="228"/>
      <c r="BH342" s="228"/>
      <c r="BI342" s="228"/>
      <c r="BJ342" s="221"/>
      <c r="BK342" s="221"/>
    </row>
    <row r="343" spans="1:63" hidden="1" outlineLevel="1">
      <c r="A343" s="9"/>
      <c r="B343" s="44"/>
      <c r="C343" s="127" t="str">
        <f>Asset10</f>
        <v>Vehicles</v>
      </c>
      <c r="D343" s="9"/>
      <c r="E343" s="9"/>
      <c r="F343" s="139"/>
      <c r="G343" s="201">
        <f>Input!N16</f>
        <v>0</v>
      </c>
      <c r="H343" s="115"/>
      <c r="I343" s="115"/>
      <c r="J343" s="115"/>
      <c r="K343" s="115"/>
      <c r="L343" s="115"/>
      <c r="M343" s="9"/>
      <c r="N343" s="111"/>
      <c r="O343" s="150"/>
      <c r="P343" s="150"/>
      <c r="Q343" s="150"/>
      <c r="R343" s="100"/>
      <c r="S343" s="100"/>
      <c r="T343" s="100"/>
      <c r="U343" s="100"/>
      <c r="V343" s="100"/>
      <c r="W343" s="100"/>
      <c r="X343" s="100"/>
      <c r="Y343" s="100"/>
      <c r="Z343" s="100"/>
      <c r="AA343" s="228"/>
      <c r="AB343" s="228"/>
      <c r="AC343" s="228"/>
      <c r="AD343" s="228"/>
      <c r="AE343" s="228"/>
      <c r="AF343" s="228"/>
      <c r="AG343" s="228"/>
      <c r="AH343" s="228"/>
      <c r="AI343" s="228"/>
      <c r="AJ343" s="228"/>
      <c r="AK343" s="228"/>
      <c r="AL343" s="228"/>
      <c r="AM343" s="228"/>
      <c r="AN343" s="228"/>
      <c r="AO343" s="228"/>
      <c r="AP343" s="228"/>
      <c r="AQ343" s="228"/>
      <c r="AR343" s="228"/>
      <c r="AS343" s="228"/>
      <c r="AT343" s="228"/>
      <c r="AU343" s="228"/>
      <c r="AV343" s="228"/>
      <c r="AW343" s="228"/>
      <c r="AX343" s="228"/>
      <c r="AY343" s="228"/>
      <c r="AZ343" s="228"/>
      <c r="BA343" s="228"/>
      <c r="BB343" s="228"/>
      <c r="BC343" s="228"/>
      <c r="BD343" s="228"/>
      <c r="BE343" s="228"/>
      <c r="BF343" s="228"/>
      <c r="BG343" s="228"/>
      <c r="BH343" s="228"/>
      <c r="BI343" s="228"/>
      <c r="BJ343" s="221"/>
      <c r="BK343" s="221"/>
    </row>
    <row r="344" spans="1:63" hidden="1" outlineLevel="1">
      <c r="A344" s="9"/>
      <c r="B344" s="44"/>
      <c r="C344" s="127" t="str">
        <f>Asset11</f>
        <v>other</v>
      </c>
      <c r="D344" s="9"/>
      <c r="E344" s="9"/>
      <c r="F344" s="139"/>
      <c r="G344" s="201">
        <f>Input!N17</f>
        <v>0</v>
      </c>
      <c r="H344" s="115"/>
      <c r="I344" s="115"/>
      <c r="J344" s="115"/>
      <c r="K344" s="115"/>
      <c r="L344" s="115"/>
      <c r="M344" s="9"/>
      <c r="N344" s="111"/>
      <c r="O344" s="150"/>
      <c r="P344" s="150"/>
      <c r="Q344" s="150"/>
      <c r="R344" s="100"/>
      <c r="S344" s="100"/>
      <c r="T344" s="100"/>
      <c r="U344" s="100"/>
      <c r="V344" s="100"/>
      <c r="W344" s="100"/>
      <c r="X344" s="100"/>
      <c r="Y344" s="100"/>
      <c r="Z344" s="100"/>
      <c r="AA344" s="228"/>
      <c r="AB344" s="228"/>
      <c r="AC344" s="228"/>
      <c r="AD344" s="228"/>
      <c r="AE344" s="228"/>
      <c r="AF344" s="228"/>
      <c r="AG344" s="228"/>
      <c r="AH344" s="228"/>
      <c r="AI344" s="228"/>
      <c r="AJ344" s="228"/>
      <c r="AK344" s="228"/>
      <c r="AL344" s="228"/>
      <c r="AM344" s="228"/>
      <c r="AN344" s="228"/>
      <c r="AO344" s="228"/>
      <c r="AP344" s="228"/>
      <c r="AQ344" s="228"/>
      <c r="AR344" s="228"/>
      <c r="AS344" s="228"/>
      <c r="AT344" s="228"/>
      <c r="AU344" s="228"/>
      <c r="AV344" s="228"/>
      <c r="AW344" s="228"/>
      <c r="AX344" s="228"/>
      <c r="AY344" s="228"/>
      <c r="AZ344" s="228"/>
      <c r="BA344" s="228"/>
      <c r="BB344" s="228"/>
      <c r="BC344" s="228"/>
      <c r="BD344" s="228"/>
      <c r="BE344" s="228"/>
      <c r="BF344" s="228"/>
      <c r="BG344" s="228"/>
      <c r="BH344" s="228"/>
      <c r="BI344" s="228"/>
      <c r="BJ344" s="221"/>
      <c r="BK344" s="221"/>
    </row>
    <row r="345" spans="1:63" hidden="1" outlineLevel="1">
      <c r="A345" s="9"/>
      <c r="B345" s="44"/>
      <c r="C345" s="127" t="str">
        <f>Asset12</f>
        <v>premises</v>
      </c>
      <c r="D345" s="9"/>
      <c r="E345" s="9"/>
      <c r="F345" s="139"/>
      <c r="G345" s="201">
        <f>Input!N18</f>
        <v>0</v>
      </c>
      <c r="H345" s="115"/>
      <c r="I345" s="115"/>
      <c r="J345" s="115"/>
      <c r="K345" s="115"/>
      <c r="L345" s="115"/>
      <c r="M345" s="9"/>
      <c r="N345" s="111"/>
      <c r="O345" s="150"/>
      <c r="P345" s="150"/>
      <c r="Q345" s="150"/>
      <c r="R345" s="100"/>
      <c r="S345" s="100"/>
      <c r="T345" s="100"/>
      <c r="U345" s="100"/>
      <c r="V345" s="100"/>
      <c r="W345" s="100"/>
      <c r="X345" s="100"/>
      <c r="Y345" s="100"/>
      <c r="Z345" s="100"/>
      <c r="AA345" s="228"/>
      <c r="AB345" s="228"/>
      <c r="AC345" s="228"/>
      <c r="AD345" s="228"/>
      <c r="AE345" s="228"/>
      <c r="AF345" s="228"/>
      <c r="AG345" s="228"/>
      <c r="AH345" s="228"/>
      <c r="AI345" s="228"/>
      <c r="AJ345" s="228"/>
      <c r="AK345" s="228"/>
      <c r="AL345" s="228"/>
      <c r="AM345" s="228"/>
      <c r="AN345" s="228"/>
      <c r="AO345" s="228"/>
      <c r="AP345" s="228"/>
      <c r="AQ345" s="228"/>
      <c r="AR345" s="228"/>
      <c r="AS345" s="228"/>
      <c r="AT345" s="228"/>
      <c r="AU345" s="228"/>
      <c r="AV345" s="228"/>
      <c r="AW345" s="228"/>
      <c r="AX345" s="228"/>
      <c r="AY345" s="228"/>
      <c r="AZ345" s="228"/>
      <c r="BA345" s="228"/>
      <c r="BB345" s="228"/>
      <c r="BC345" s="228"/>
      <c r="BD345" s="228"/>
      <c r="BE345" s="228"/>
      <c r="BF345" s="228"/>
      <c r="BG345" s="228"/>
      <c r="BH345" s="228"/>
      <c r="BI345" s="228"/>
      <c r="BJ345" s="221"/>
      <c r="BK345" s="221"/>
    </row>
    <row r="346" spans="1:63" hidden="1" outlineLevel="1">
      <c r="A346" s="9"/>
      <c r="B346" s="44"/>
      <c r="C346" s="127" t="str">
        <f>Asset13</f>
        <v>Land</v>
      </c>
      <c r="D346" s="9"/>
      <c r="E346" s="9"/>
      <c r="F346" s="139"/>
      <c r="G346" s="201">
        <f>Input!N19</f>
        <v>0</v>
      </c>
      <c r="H346" s="115"/>
      <c r="I346" s="115"/>
      <c r="J346" s="115"/>
      <c r="K346" s="115"/>
      <c r="L346" s="115"/>
      <c r="M346" s="9"/>
      <c r="N346" s="111"/>
      <c r="O346" s="150"/>
      <c r="P346" s="150"/>
      <c r="Q346" s="150"/>
      <c r="R346" s="100"/>
      <c r="S346" s="100"/>
      <c r="T346" s="100"/>
      <c r="U346" s="100"/>
      <c r="V346" s="100"/>
      <c r="W346" s="100"/>
      <c r="X346" s="100"/>
      <c r="Y346" s="100"/>
      <c r="Z346" s="100"/>
      <c r="AA346" s="228"/>
      <c r="AB346" s="228"/>
      <c r="AC346" s="228"/>
      <c r="AD346" s="228"/>
      <c r="AE346" s="228"/>
      <c r="AF346" s="228"/>
      <c r="AG346" s="228"/>
      <c r="AH346" s="228"/>
      <c r="AI346" s="228"/>
      <c r="AJ346" s="228"/>
      <c r="AK346" s="228"/>
      <c r="AL346" s="228"/>
      <c r="AM346" s="228"/>
      <c r="AN346" s="228"/>
      <c r="AO346" s="228"/>
      <c r="AP346" s="228"/>
      <c r="AQ346" s="228"/>
      <c r="AR346" s="228"/>
      <c r="AS346" s="228"/>
      <c r="AT346" s="228"/>
      <c r="AU346" s="228"/>
      <c r="AV346" s="228"/>
      <c r="AW346" s="228"/>
      <c r="AX346" s="228"/>
      <c r="AY346" s="228"/>
      <c r="AZ346" s="228"/>
      <c r="BA346" s="228"/>
      <c r="BB346" s="228"/>
      <c r="BC346" s="228"/>
      <c r="BD346" s="228"/>
      <c r="BE346" s="228"/>
      <c r="BF346" s="228"/>
      <c r="BG346" s="228"/>
      <c r="BH346" s="228"/>
      <c r="BI346" s="228"/>
      <c r="BJ346" s="221"/>
      <c r="BK346" s="221"/>
    </row>
    <row r="347" spans="1:63" hidden="1" outlineLevel="1">
      <c r="A347" s="9"/>
      <c r="B347" s="44"/>
      <c r="C347" s="127" t="str">
        <f>Asset14</f>
        <v>Easements</v>
      </c>
      <c r="D347" s="9"/>
      <c r="E347" s="9"/>
      <c r="F347" s="139"/>
      <c r="G347" s="201">
        <f>Input!N20</f>
        <v>0</v>
      </c>
      <c r="H347" s="115"/>
      <c r="I347" s="115"/>
      <c r="J347" s="115"/>
      <c r="K347" s="115"/>
      <c r="L347" s="115"/>
      <c r="M347" s="9"/>
      <c r="N347" s="111"/>
      <c r="O347" s="150"/>
      <c r="P347" s="150"/>
      <c r="Q347" s="150"/>
      <c r="R347" s="100"/>
      <c r="S347" s="100"/>
      <c r="T347" s="100"/>
      <c r="U347" s="100"/>
      <c r="V347" s="100"/>
      <c r="W347" s="100"/>
      <c r="X347" s="100"/>
      <c r="Y347" s="100"/>
      <c r="Z347" s="100"/>
      <c r="AA347" s="228"/>
      <c r="AB347" s="228"/>
      <c r="AC347" s="228"/>
      <c r="AD347" s="228"/>
      <c r="AE347" s="228"/>
      <c r="AF347" s="228"/>
      <c r="AG347" s="228"/>
      <c r="AH347" s="228"/>
      <c r="AI347" s="228"/>
      <c r="AJ347" s="228"/>
      <c r="AK347" s="228"/>
      <c r="AL347" s="228"/>
      <c r="AM347" s="228"/>
      <c r="AN347" s="228"/>
      <c r="AO347" s="228"/>
      <c r="AP347" s="228"/>
      <c r="AQ347" s="228"/>
      <c r="AR347" s="228"/>
      <c r="AS347" s="228"/>
      <c r="AT347" s="228"/>
      <c r="AU347" s="228"/>
      <c r="AV347" s="228"/>
      <c r="AW347" s="228"/>
      <c r="AX347" s="228"/>
      <c r="AY347" s="228"/>
      <c r="AZ347" s="228"/>
      <c r="BA347" s="228"/>
      <c r="BB347" s="228"/>
      <c r="BC347" s="228"/>
      <c r="BD347" s="228"/>
      <c r="BE347" s="228"/>
      <c r="BF347" s="228"/>
      <c r="BG347" s="228"/>
      <c r="BH347" s="228"/>
      <c r="BI347" s="228"/>
      <c r="BJ347" s="221"/>
      <c r="BK347" s="221"/>
    </row>
    <row r="348" spans="1:63" hidden="1" outlineLevel="1">
      <c r="A348" s="9"/>
      <c r="B348" s="44"/>
      <c r="C348" s="127">
        <f>Asset15</f>
        <v>0</v>
      </c>
      <c r="D348" s="9"/>
      <c r="E348" s="9"/>
      <c r="F348" s="139"/>
      <c r="G348" s="201">
        <f>Input!N21</f>
        <v>0</v>
      </c>
      <c r="H348" s="115"/>
      <c r="I348" s="115"/>
      <c r="J348" s="115"/>
      <c r="K348" s="115"/>
      <c r="L348" s="115"/>
      <c r="M348" s="9"/>
      <c r="N348" s="111"/>
      <c r="O348" s="150"/>
      <c r="P348" s="150"/>
      <c r="Q348" s="150"/>
      <c r="R348" s="100"/>
      <c r="S348" s="100"/>
      <c r="T348" s="100"/>
      <c r="U348" s="100"/>
      <c r="V348" s="100"/>
      <c r="W348" s="100"/>
      <c r="X348" s="100"/>
      <c r="Y348" s="100"/>
      <c r="Z348" s="100"/>
      <c r="AA348" s="228"/>
      <c r="AB348" s="228"/>
      <c r="AC348" s="228"/>
      <c r="AD348" s="228"/>
      <c r="AE348" s="228"/>
      <c r="AF348" s="228"/>
      <c r="AG348" s="228"/>
      <c r="AH348" s="228"/>
      <c r="AI348" s="228"/>
      <c r="AJ348" s="228"/>
      <c r="AK348" s="228"/>
      <c r="AL348" s="228"/>
      <c r="AM348" s="228"/>
      <c r="AN348" s="228"/>
      <c r="AO348" s="228"/>
      <c r="AP348" s="228"/>
      <c r="AQ348" s="228"/>
      <c r="AR348" s="228"/>
      <c r="AS348" s="228"/>
      <c r="AT348" s="228"/>
      <c r="AU348" s="228"/>
      <c r="AV348" s="228"/>
      <c r="AW348" s="228"/>
      <c r="AX348" s="228"/>
      <c r="AY348" s="228"/>
      <c r="AZ348" s="228"/>
      <c r="BA348" s="228"/>
      <c r="BB348" s="228"/>
      <c r="BC348" s="228"/>
      <c r="BD348" s="228"/>
      <c r="BE348" s="228"/>
      <c r="BF348" s="228"/>
      <c r="BG348" s="228"/>
      <c r="BH348" s="228"/>
      <c r="BI348" s="228"/>
      <c r="BJ348" s="221"/>
      <c r="BK348" s="221"/>
    </row>
    <row r="349" spans="1:63" hidden="1" outlineLevel="1">
      <c r="A349" s="9"/>
      <c r="B349" s="44"/>
      <c r="C349" s="127">
        <f>Asset16</f>
        <v>0</v>
      </c>
      <c r="D349" s="9"/>
      <c r="E349" s="9"/>
      <c r="F349" s="139"/>
      <c r="G349" s="201">
        <f>Input!N22</f>
        <v>0</v>
      </c>
      <c r="H349" s="115"/>
      <c r="I349" s="115"/>
      <c r="J349" s="115"/>
      <c r="K349" s="115"/>
      <c r="L349" s="115"/>
      <c r="M349" s="9"/>
      <c r="N349" s="111"/>
      <c r="O349" s="150"/>
      <c r="P349" s="150"/>
      <c r="Q349" s="150"/>
      <c r="R349" s="100"/>
      <c r="S349" s="100"/>
      <c r="T349" s="100"/>
      <c r="U349" s="100"/>
      <c r="V349" s="100"/>
      <c r="W349" s="100"/>
      <c r="X349" s="100"/>
      <c r="Y349" s="100"/>
      <c r="Z349" s="100"/>
      <c r="AA349" s="228"/>
      <c r="AB349" s="228"/>
      <c r="AC349" s="228"/>
      <c r="AD349" s="228"/>
      <c r="AE349" s="228"/>
      <c r="AF349" s="228"/>
      <c r="AG349" s="228"/>
      <c r="AH349" s="228"/>
      <c r="AI349" s="228"/>
      <c r="AJ349" s="228"/>
      <c r="AK349" s="228"/>
      <c r="AL349" s="228"/>
      <c r="AM349" s="228"/>
      <c r="AN349" s="228"/>
      <c r="AO349" s="228"/>
      <c r="AP349" s="228"/>
      <c r="AQ349" s="228"/>
      <c r="AR349" s="228"/>
      <c r="AS349" s="228"/>
      <c r="AT349" s="228"/>
      <c r="AU349" s="228"/>
      <c r="AV349" s="228"/>
      <c r="AW349" s="228"/>
      <c r="AX349" s="228"/>
      <c r="AY349" s="228"/>
      <c r="AZ349" s="228"/>
      <c r="BA349" s="228"/>
      <c r="BB349" s="228"/>
      <c r="BC349" s="228"/>
      <c r="BD349" s="228"/>
      <c r="BE349" s="228"/>
      <c r="BF349" s="228"/>
      <c r="BG349" s="228"/>
      <c r="BH349" s="228"/>
      <c r="BI349" s="228"/>
      <c r="BJ349" s="221"/>
      <c r="BK349" s="221"/>
    </row>
    <row r="350" spans="1:63" hidden="1" outlineLevel="1">
      <c r="A350" s="9"/>
      <c r="B350" s="44"/>
      <c r="C350" s="127">
        <f>Asset17</f>
        <v>0</v>
      </c>
      <c r="D350" s="9"/>
      <c r="E350" s="9"/>
      <c r="F350" s="139"/>
      <c r="G350" s="201">
        <f>Input!N23</f>
        <v>0</v>
      </c>
      <c r="H350" s="115"/>
      <c r="I350" s="115"/>
      <c r="J350" s="115"/>
      <c r="K350" s="115"/>
      <c r="L350" s="115"/>
      <c r="M350" s="9"/>
      <c r="N350" s="111"/>
      <c r="O350" s="150"/>
      <c r="P350" s="150"/>
      <c r="Q350" s="150"/>
      <c r="R350" s="100"/>
      <c r="S350" s="100"/>
      <c r="T350" s="100"/>
      <c r="U350" s="100"/>
      <c r="V350" s="100"/>
      <c r="W350" s="100"/>
      <c r="X350" s="100"/>
      <c r="Y350" s="100"/>
      <c r="Z350" s="100"/>
      <c r="AA350" s="228"/>
      <c r="AB350" s="228"/>
      <c r="AC350" s="228"/>
      <c r="AD350" s="228"/>
      <c r="AE350" s="228"/>
      <c r="AF350" s="228"/>
      <c r="AG350" s="228"/>
      <c r="AH350" s="228"/>
      <c r="AI350" s="228"/>
      <c r="AJ350" s="228"/>
      <c r="AK350" s="228"/>
      <c r="AL350" s="228"/>
      <c r="AM350" s="228"/>
      <c r="AN350" s="228"/>
      <c r="AO350" s="228"/>
      <c r="AP350" s="228"/>
      <c r="AQ350" s="228"/>
      <c r="AR350" s="228"/>
      <c r="AS350" s="228"/>
      <c r="AT350" s="228"/>
      <c r="AU350" s="228"/>
      <c r="AV350" s="228"/>
      <c r="AW350" s="228"/>
      <c r="AX350" s="228"/>
      <c r="AY350" s="228"/>
      <c r="AZ350" s="228"/>
      <c r="BA350" s="228"/>
      <c r="BB350" s="228"/>
      <c r="BC350" s="228"/>
      <c r="BD350" s="228"/>
      <c r="BE350" s="228"/>
      <c r="BF350" s="228"/>
      <c r="BG350" s="228"/>
      <c r="BH350" s="228"/>
      <c r="BI350" s="228"/>
      <c r="BJ350" s="221"/>
      <c r="BK350" s="221"/>
    </row>
    <row r="351" spans="1:63" hidden="1" outlineLevel="1">
      <c r="A351" s="9"/>
      <c r="B351" s="44"/>
      <c r="C351" s="127">
        <f>Asset18</f>
        <v>0</v>
      </c>
      <c r="D351" s="9"/>
      <c r="E351" s="9"/>
      <c r="F351" s="139"/>
      <c r="G351" s="201">
        <f>Input!N24</f>
        <v>0</v>
      </c>
      <c r="H351" s="115"/>
      <c r="I351" s="115"/>
      <c r="J351" s="115"/>
      <c r="K351" s="115"/>
      <c r="L351" s="115"/>
      <c r="M351" s="9"/>
      <c r="N351" s="111"/>
      <c r="O351" s="150"/>
      <c r="P351" s="150"/>
      <c r="Q351" s="150"/>
      <c r="R351" s="100"/>
      <c r="S351" s="100"/>
      <c r="T351" s="100"/>
      <c r="U351" s="100"/>
      <c r="V351" s="100"/>
      <c r="W351" s="100"/>
      <c r="X351" s="100"/>
      <c r="Y351" s="100"/>
      <c r="Z351" s="100"/>
      <c r="AA351" s="228"/>
      <c r="AB351" s="228"/>
      <c r="AC351" s="228"/>
      <c r="AD351" s="228"/>
      <c r="AE351" s="228"/>
      <c r="AF351" s="228"/>
      <c r="AG351" s="228"/>
      <c r="AH351" s="228"/>
      <c r="AI351" s="228"/>
      <c r="AJ351" s="228"/>
      <c r="AK351" s="228"/>
      <c r="AL351" s="228"/>
      <c r="AM351" s="228"/>
      <c r="AN351" s="228"/>
      <c r="AO351" s="228"/>
      <c r="AP351" s="228"/>
      <c r="AQ351" s="228"/>
      <c r="AR351" s="228"/>
      <c r="AS351" s="228"/>
      <c r="AT351" s="228"/>
      <c r="AU351" s="228"/>
      <c r="AV351" s="228"/>
      <c r="AW351" s="228"/>
      <c r="AX351" s="228"/>
      <c r="AY351" s="228"/>
      <c r="AZ351" s="228"/>
      <c r="BA351" s="228"/>
      <c r="BB351" s="228"/>
      <c r="BC351" s="228"/>
      <c r="BD351" s="228"/>
      <c r="BE351" s="228"/>
      <c r="BF351" s="228"/>
      <c r="BG351" s="228"/>
      <c r="BH351" s="228"/>
      <c r="BI351" s="228"/>
      <c r="BJ351" s="221"/>
      <c r="BK351" s="221"/>
    </row>
    <row r="352" spans="1:63" hidden="1" outlineLevel="1">
      <c r="A352" s="9"/>
      <c r="B352" s="44"/>
      <c r="C352" s="127">
        <f>Asset19</f>
        <v>0</v>
      </c>
      <c r="D352" s="9"/>
      <c r="E352" s="9"/>
      <c r="F352" s="139"/>
      <c r="G352" s="201">
        <f>Input!N25</f>
        <v>0</v>
      </c>
      <c r="H352" s="115"/>
      <c r="I352" s="115"/>
      <c r="J352" s="115"/>
      <c r="K352" s="115"/>
      <c r="L352" s="115"/>
      <c r="M352" s="9"/>
      <c r="N352" s="111"/>
      <c r="O352" s="150"/>
      <c r="P352" s="150"/>
      <c r="Q352" s="150"/>
      <c r="R352" s="100"/>
      <c r="S352" s="100"/>
      <c r="T352" s="100"/>
      <c r="U352" s="100"/>
      <c r="V352" s="100"/>
      <c r="W352" s="100"/>
      <c r="X352" s="100"/>
      <c r="Y352" s="100"/>
      <c r="Z352" s="100"/>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c r="BD352" s="228"/>
      <c r="BE352" s="228"/>
      <c r="BF352" s="228"/>
      <c r="BG352" s="228"/>
      <c r="BH352" s="228"/>
      <c r="BI352" s="228"/>
      <c r="BJ352" s="221"/>
      <c r="BK352" s="221"/>
    </row>
    <row r="353" spans="1:63" hidden="1" outlineLevel="1">
      <c r="A353" s="9"/>
      <c r="B353" s="44"/>
      <c r="C353" s="127">
        <f>Asset20</f>
        <v>0</v>
      </c>
      <c r="D353" s="9"/>
      <c r="E353" s="9"/>
      <c r="F353" s="139"/>
      <c r="G353" s="201">
        <f>Input!N26</f>
        <v>0</v>
      </c>
      <c r="H353" s="115"/>
      <c r="I353" s="115"/>
      <c r="J353" s="115"/>
      <c r="K353" s="115"/>
      <c r="L353" s="115"/>
      <c r="M353" s="9"/>
      <c r="N353" s="111"/>
      <c r="O353" s="150"/>
      <c r="P353" s="150"/>
      <c r="Q353" s="150"/>
      <c r="R353" s="100"/>
      <c r="S353" s="100"/>
      <c r="T353" s="100"/>
      <c r="U353" s="100"/>
      <c r="V353" s="100"/>
      <c r="W353" s="100"/>
      <c r="X353" s="100"/>
      <c r="Y353" s="100"/>
      <c r="Z353" s="100"/>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1"/>
      <c r="BK353" s="221"/>
    </row>
    <row r="354" spans="1:63" collapsed="1">
      <c r="A354" s="9"/>
      <c r="B354" s="151"/>
      <c r="C354" s="26"/>
      <c r="D354" s="9"/>
      <c r="E354" s="9"/>
      <c r="F354" s="139"/>
      <c r="G354" s="203"/>
      <c r="H354" s="115"/>
      <c r="I354" s="115"/>
      <c r="J354" s="115"/>
      <c r="K354" s="115"/>
      <c r="L354" s="115"/>
      <c r="M354" s="9"/>
      <c r="N354" s="111"/>
      <c r="O354" s="150"/>
      <c r="P354" s="150"/>
      <c r="Q354" s="150"/>
      <c r="R354" s="100"/>
      <c r="S354" s="100"/>
      <c r="T354" s="100"/>
      <c r="U354" s="100"/>
      <c r="V354" s="100"/>
      <c r="W354" s="100"/>
      <c r="X354" s="100"/>
      <c r="Y354" s="100"/>
      <c r="Z354" s="100"/>
      <c r="AA354" s="228"/>
      <c r="AB354" s="228"/>
      <c r="AC354" s="228"/>
      <c r="AD354" s="228"/>
      <c r="AE354" s="228"/>
      <c r="AF354" s="228"/>
      <c r="AG354" s="228"/>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c r="BD354" s="228"/>
      <c r="BE354" s="228"/>
      <c r="BF354" s="228"/>
      <c r="BG354" s="228"/>
      <c r="BH354" s="228"/>
      <c r="BI354" s="228"/>
      <c r="BJ354" s="221"/>
      <c r="BK354" s="221"/>
    </row>
    <row r="355" spans="1:63">
      <c r="A355" s="9"/>
      <c r="B355" s="151" t="s">
        <v>155</v>
      </c>
      <c r="C355" s="26"/>
      <c r="D355" s="9"/>
      <c r="E355" s="9"/>
      <c r="F355" s="139"/>
      <c r="G355" s="203">
        <f>SUM(G356:G375)</f>
        <v>116.51474198763486</v>
      </c>
      <c r="H355" s="115"/>
      <c r="I355" s="115"/>
      <c r="J355" s="115"/>
      <c r="K355" s="115"/>
      <c r="L355" s="115"/>
      <c r="M355" s="9"/>
      <c r="N355" s="111"/>
      <c r="O355" s="150"/>
      <c r="P355" s="150"/>
      <c r="Q355" s="150"/>
      <c r="R355" s="100"/>
      <c r="S355" s="100"/>
      <c r="T355" s="100"/>
      <c r="U355" s="100"/>
      <c r="V355" s="100"/>
      <c r="W355" s="100"/>
      <c r="X355" s="100"/>
      <c r="Y355" s="100"/>
      <c r="Z355" s="100"/>
      <c r="AA355" s="228"/>
      <c r="AB355" s="228"/>
      <c r="AC355" s="228"/>
      <c r="AD355" s="228"/>
      <c r="AE355" s="228"/>
      <c r="AF355" s="228"/>
      <c r="AG355" s="228"/>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c r="BD355" s="228"/>
      <c r="BE355" s="228"/>
      <c r="BF355" s="228"/>
      <c r="BG355" s="228"/>
      <c r="BH355" s="228"/>
      <c r="BI355" s="228"/>
      <c r="BJ355" s="221"/>
      <c r="BK355" s="221"/>
    </row>
    <row r="356" spans="1:63" hidden="1" outlineLevel="1">
      <c r="A356" s="9"/>
      <c r="B356" s="9"/>
      <c r="C356" s="127" t="str">
        <f>Asset1</f>
        <v>Secondary</v>
      </c>
      <c r="D356" s="9"/>
      <c r="E356" s="9"/>
      <c r="F356" s="139"/>
      <c r="G356" s="201">
        <f>Input!O7</f>
        <v>17.805840342812512</v>
      </c>
      <c r="H356" s="115"/>
      <c r="I356" s="115"/>
      <c r="J356" s="115"/>
      <c r="K356" s="115"/>
      <c r="L356" s="115"/>
      <c r="M356" s="9"/>
      <c r="N356" s="111"/>
      <c r="O356" s="150"/>
      <c r="P356" s="150"/>
      <c r="Q356" s="150"/>
      <c r="R356" s="100"/>
      <c r="S356" s="100"/>
      <c r="T356" s="100"/>
      <c r="U356" s="100"/>
      <c r="V356" s="100"/>
      <c r="W356" s="100"/>
      <c r="X356" s="100"/>
      <c r="Y356" s="100"/>
      <c r="Z356" s="100"/>
      <c r="AA356" s="228"/>
      <c r="AB356" s="228"/>
      <c r="AC356" s="228"/>
      <c r="AD356" s="228"/>
      <c r="AE356" s="228"/>
      <c r="AF356" s="228"/>
      <c r="AG356" s="228"/>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c r="BD356" s="228"/>
      <c r="BE356" s="228"/>
      <c r="BF356" s="228"/>
      <c r="BG356" s="228"/>
      <c r="BH356" s="228"/>
      <c r="BI356" s="228"/>
      <c r="BJ356" s="221"/>
      <c r="BK356" s="221"/>
    </row>
    <row r="357" spans="1:63" hidden="1" outlineLevel="1">
      <c r="A357" s="9"/>
      <c r="B357" s="44"/>
      <c r="C357" s="127" t="str">
        <f>Asset2</f>
        <v>Switchgear</v>
      </c>
      <c r="D357" s="9"/>
      <c r="E357" s="9"/>
      <c r="F357" s="139"/>
      <c r="G357" s="201">
        <f>Input!O8</f>
        <v>59.496416651838032</v>
      </c>
      <c r="H357" s="115"/>
      <c r="I357" s="115"/>
      <c r="J357" s="115"/>
      <c r="K357" s="115"/>
      <c r="L357" s="115"/>
      <c r="M357" s="9"/>
      <c r="N357" s="111"/>
      <c r="O357" s="150"/>
      <c r="P357" s="150"/>
      <c r="Q357" s="150"/>
      <c r="R357" s="100"/>
      <c r="S357" s="100"/>
      <c r="T357" s="100"/>
      <c r="U357" s="100"/>
      <c r="V357" s="100"/>
      <c r="W357" s="100"/>
      <c r="X357" s="100"/>
      <c r="Y357" s="100"/>
      <c r="Z357" s="100"/>
      <c r="AA357" s="228"/>
      <c r="AB357" s="228"/>
      <c r="AC357" s="228"/>
      <c r="AD357" s="228"/>
      <c r="AE357" s="228"/>
      <c r="AF357" s="228"/>
      <c r="AG357" s="228"/>
      <c r="AH357" s="228"/>
      <c r="AI357" s="228"/>
      <c r="AJ357" s="228"/>
      <c r="AK357" s="228"/>
      <c r="AL357" s="228"/>
      <c r="AM357" s="228"/>
      <c r="AN357" s="228"/>
      <c r="AO357" s="228"/>
      <c r="AP357" s="228"/>
      <c r="AQ357" s="228"/>
      <c r="AR357" s="228"/>
      <c r="AS357" s="228"/>
      <c r="AT357" s="228"/>
      <c r="AU357" s="228"/>
      <c r="AV357" s="228"/>
      <c r="AW357" s="228"/>
      <c r="AX357" s="228"/>
      <c r="AY357" s="228"/>
      <c r="AZ357" s="228"/>
      <c r="BA357" s="228"/>
      <c r="BB357" s="228"/>
      <c r="BC357" s="228"/>
      <c r="BD357" s="228"/>
      <c r="BE357" s="228"/>
      <c r="BF357" s="228"/>
      <c r="BG357" s="228"/>
      <c r="BH357" s="228"/>
      <c r="BI357" s="228"/>
      <c r="BJ357" s="221"/>
      <c r="BK357" s="221"/>
    </row>
    <row r="358" spans="1:63" hidden="1" outlineLevel="1">
      <c r="A358" s="9"/>
      <c r="B358" s="44"/>
      <c r="C358" s="127" t="str">
        <f>Asset3</f>
        <v>Transformers</v>
      </c>
      <c r="D358" s="9"/>
      <c r="E358" s="9"/>
      <c r="F358" s="139"/>
      <c r="G358" s="201">
        <f>Input!O9</f>
        <v>15.20239041378694</v>
      </c>
      <c r="H358" s="115"/>
      <c r="I358" s="115"/>
      <c r="J358" s="115"/>
      <c r="K358" s="115"/>
      <c r="L358" s="115"/>
      <c r="M358" s="9"/>
      <c r="N358" s="111"/>
      <c r="O358" s="150"/>
      <c r="P358" s="150"/>
      <c r="Q358" s="150"/>
      <c r="R358" s="100"/>
      <c r="S358" s="100"/>
      <c r="T358" s="100"/>
      <c r="U358" s="100"/>
      <c r="V358" s="100"/>
      <c r="W358" s="100"/>
      <c r="X358" s="100"/>
      <c r="Y358" s="100"/>
      <c r="Z358" s="100"/>
      <c r="AA358" s="228"/>
      <c r="AB358" s="228"/>
      <c r="AC358" s="228"/>
      <c r="AD358" s="228"/>
      <c r="AE358" s="228"/>
      <c r="AF358" s="228"/>
      <c r="AG358" s="228"/>
      <c r="AH358" s="228"/>
      <c r="AI358" s="228"/>
      <c r="AJ358" s="228"/>
      <c r="AK358" s="228"/>
      <c r="AL358" s="228"/>
      <c r="AM358" s="228"/>
      <c r="AN358" s="228"/>
      <c r="AO358" s="228"/>
      <c r="AP358" s="228"/>
      <c r="AQ358" s="228"/>
      <c r="AR358" s="228"/>
      <c r="AS358" s="228"/>
      <c r="AT358" s="228"/>
      <c r="AU358" s="228"/>
      <c r="AV358" s="228"/>
      <c r="AW358" s="228"/>
      <c r="AX358" s="228"/>
      <c r="AY358" s="228"/>
      <c r="AZ358" s="228"/>
      <c r="BA358" s="228"/>
      <c r="BB358" s="228"/>
      <c r="BC358" s="228"/>
      <c r="BD358" s="228"/>
      <c r="BE358" s="228"/>
      <c r="BF358" s="228"/>
      <c r="BG358" s="228"/>
      <c r="BH358" s="228"/>
      <c r="BI358" s="228"/>
      <c r="BJ358" s="221"/>
      <c r="BK358" s="221"/>
    </row>
    <row r="359" spans="1:63" hidden="1" outlineLevel="1">
      <c r="A359" s="9"/>
      <c r="B359" s="44"/>
      <c r="C359" s="127" t="str">
        <f>Asset4</f>
        <v>Reactive</v>
      </c>
      <c r="D359" s="9"/>
      <c r="E359" s="9"/>
      <c r="F359" s="139"/>
      <c r="G359" s="201">
        <f>Input!O10</f>
        <v>12.624618775203748</v>
      </c>
      <c r="H359" s="115"/>
      <c r="I359" s="115"/>
      <c r="J359" s="115"/>
      <c r="K359" s="115"/>
      <c r="L359" s="115"/>
      <c r="M359" s="9"/>
      <c r="N359" s="111"/>
      <c r="O359" s="150"/>
      <c r="P359" s="150"/>
      <c r="Q359" s="150"/>
      <c r="R359" s="100"/>
      <c r="S359" s="100"/>
      <c r="T359" s="100"/>
      <c r="U359" s="100"/>
      <c r="V359" s="100"/>
      <c r="W359" s="100"/>
      <c r="X359" s="100"/>
      <c r="Y359" s="100"/>
      <c r="Z359" s="100"/>
      <c r="AA359" s="228"/>
      <c r="AB359" s="228"/>
      <c r="AC359" s="228"/>
      <c r="AD359" s="228"/>
      <c r="AE359" s="228"/>
      <c r="AF359" s="228"/>
      <c r="AG359" s="228"/>
      <c r="AH359" s="228"/>
      <c r="AI359" s="228"/>
      <c r="AJ359" s="228"/>
      <c r="AK359" s="228"/>
      <c r="AL359" s="228"/>
      <c r="AM359" s="228"/>
      <c r="AN359" s="228"/>
      <c r="AO359" s="228"/>
      <c r="AP359" s="228"/>
      <c r="AQ359" s="228"/>
      <c r="AR359" s="228"/>
      <c r="AS359" s="228"/>
      <c r="AT359" s="228"/>
      <c r="AU359" s="228"/>
      <c r="AV359" s="228"/>
      <c r="AW359" s="228"/>
      <c r="AX359" s="228"/>
      <c r="AY359" s="228"/>
      <c r="AZ359" s="228"/>
      <c r="BA359" s="228"/>
      <c r="BB359" s="228"/>
      <c r="BC359" s="228"/>
      <c r="BD359" s="228"/>
      <c r="BE359" s="228"/>
      <c r="BF359" s="228"/>
      <c r="BG359" s="228"/>
      <c r="BH359" s="228"/>
      <c r="BI359" s="228"/>
      <c r="BJ359" s="221"/>
      <c r="BK359" s="221"/>
    </row>
    <row r="360" spans="1:63" hidden="1" outlineLevel="1">
      <c r="A360" s="9"/>
      <c r="B360" s="44"/>
      <c r="C360" s="127" t="str">
        <f>Asset5</f>
        <v>Towers and Conductor</v>
      </c>
      <c r="D360" s="9"/>
      <c r="E360" s="9"/>
      <c r="F360" s="139"/>
      <c r="G360" s="201">
        <f>Input!O11</f>
        <v>5.9110622347904194</v>
      </c>
      <c r="H360" s="115"/>
      <c r="I360" s="115"/>
      <c r="J360" s="115"/>
      <c r="K360" s="115"/>
      <c r="L360" s="115"/>
      <c r="M360" s="9"/>
      <c r="N360" s="111"/>
      <c r="O360" s="150"/>
      <c r="P360" s="150"/>
      <c r="Q360" s="150"/>
      <c r="R360" s="100"/>
      <c r="S360" s="100"/>
      <c r="T360" s="100"/>
      <c r="U360" s="100"/>
      <c r="V360" s="100"/>
      <c r="W360" s="100"/>
      <c r="X360" s="100"/>
      <c r="Y360" s="100"/>
      <c r="Z360" s="100"/>
      <c r="AA360" s="228"/>
      <c r="AB360" s="228"/>
      <c r="AC360" s="228"/>
      <c r="AD360" s="228"/>
      <c r="AE360" s="228"/>
      <c r="AF360" s="228"/>
      <c r="AG360" s="228"/>
      <c r="AH360" s="228"/>
      <c r="AI360" s="228"/>
      <c r="AJ360" s="228"/>
      <c r="AK360" s="228"/>
      <c r="AL360" s="228"/>
      <c r="AM360" s="228"/>
      <c r="AN360" s="228"/>
      <c r="AO360" s="228"/>
      <c r="AP360" s="228"/>
      <c r="AQ360" s="228"/>
      <c r="AR360" s="228"/>
      <c r="AS360" s="228"/>
      <c r="AT360" s="228"/>
      <c r="AU360" s="228"/>
      <c r="AV360" s="228"/>
      <c r="AW360" s="228"/>
      <c r="AX360" s="228"/>
      <c r="AY360" s="228"/>
      <c r="AZ360" s="228"/>
      <c r="BA360" s="228"/>
      <c r="BB360" s="228"/>
      <c r="BC360" s="228"/>
      <c r="BD360" s="228"/>
      <c r="BE360" s="228"/>
      <c r="BF360" s="228"/>
      <c r="BG360" s="228"/>
      <c r="BH360" s="228"/>
      <c r="BI360" s="228"/>
      <c r="BJ360" s="221"/>
      <c r="BK360" s="221"/>
    </row>
    <row r="361" spans="1:63" hidden="1" outlineLevel="1">
      <c r="A361" s="9"/>
      <c r="B361" s="44"/>
      <c r="C361" s="127" t="str">
        <f>Asset6</f>
        <v>Establishment</v>
      </c>
      <c r="D361" s="9"/>
      <c r="E361" s="9"/>
      <c r="F361" s="139"/>
      <c r="G361" s="201">
        <f>Input!O12</f>
        <v>4.1078273309182212</v>
      </c>
      <c r="H361" s="115"/>
      <c r="I361" s="115"/>
      <c r="J361" s="115"/>
      <c r="K361" s="115"/>
      <c r="L361" s="115"/>
      <c r="M361" s="9"/>
      <c r="N361" s="111"/>
      <c r="O361" s="150"/>
      <c r="P361" s="150"/>
      <c r="Q361" s="150"/>
      <c r="R361" s="100"/>
      <c r="S361" s="100"/>
      <c r="T361" s="100"/>
      <c r="U361" s="100"/>
      <c r="V361" s="100"/>
      <c r="W361" s="100"/>
      <c r="X361" s="100"/>
      <c r="Y361" s="100"/>
      <c r="Z361" s="100"/>
      <c r="AA361" s="228"/>
      <c r="AB361" s="228"/>
      <c r="AC361" s="228"/>
      <c r="AD361" s="228"/>
      <c r="AE361" s="228"/>
      <c r="AF361" s="228"/>
      <c r="AG361" s="228"/>
      <c r="AH361" s="228"/>
      <c r="AI361" s="228"/>
      <c r="AJ361" s="228"/>
      <c r="AK361" s="228"/>
      <c r="AL361" s="228"/>
      <c r="AM361" s="228"/>
      <c r="AN361" s="228"/>
      <c r="AO361" s="228"/>
      <c r="AP361" s="228"/>
      <c r="AQ361" s="228"/>
      <c r="AR361" s="228"/>
      <c r="AS361" s="228"/>
      <c r="AT361" s="228"/>
      <c r="AU361" s="228"/>
      <c r="AV361" s="228"/>
      <c r="AW361" s="228"/>
      <c r="AX361" s="228"/>
      <c r="AY361" s="228"/>
      <c r="AZ361" s="228"/>
      <c r="BA361" s="228"/>
      <c r="BB361" s="228"/>
      <c r="BC361" s="228"/>
      <c r="BD361" s="228"/>
      <c r="BE361" s="228"/>
      <c r="BF361" s="228"/>
      <c r="BG361" s="228"/>
      <c r="BH361" s="228"/>
      <c r="BI361" s="228"/>
      <c r="BJ361" s="221"/>
      <c r="BK361" s="221"/>
    </row>
    <row r="362" spans="1:63" hidden="1" outlineLevel="1">
      <c r="A362" s="9"/>
      <c r="B362" s="44"/>
      <c r="C362" s="127" t="str">
        <f>Asset7</f>
        <v>Communications</v>
      </c>
      <c r="D362" s="9"/>
      <c r="E362" s="9"/>
      <c r="F362" s="139"/>
      <c r="G362" s="201">
        <f>Input!O13</f>
        <v>1.3665862382849805</v>
      </c>
      <c r="H362" s="115"/>
      <c r="I362" s="115"/>
      <c r="J362" s="115"/>
      <c r="K362" s="115"/>
      <c r="L362" s="115"/>
      <c r="M362" s="9"/>
      <c r="N362" s="111"/>
      <c r="O362" s="150"/>
      <c r="P362" s="150"/>
      <c r="Q362" s="150"/>
      <c r="R362" s="100"/>
      <c r="S362" s="100"/>
      <c r="T362" s="100"/>
      <c r="U362" s="100"/>
      <c r="V362" s="100"/>
      <c r="W362" s="100"/>
      <c r="X362" s="100"/>
      <c r="Y362" s="100"/>
      <c r="Z362" s="100"/>
      <c r="AA362" s="228"/>
      <c r="AB362" s="228"/>
      <c r="AC362" s="228"/>
      <c r="AD362" s="228"/>
      <c r="AE362" s="228"/>
      <c r="AF362" s="228"/>
      <c r="AG362" s="228"/>
      <c r="AH362" s="228"/>
      <c r="AI362" s="228"/>
      <c r="AJ362" s="228"/>
      <c r="AK362" s="228"/>
      <c r="AL362" s="228"/>
      <c r="AM362" s="228"/>
      <c r="AN362" s="228"/>
      <c r="AO362" s="228"/>
      <c r="AP362" s="228"/>
      <c r="AQ362" s="228"/>
      <c r="AR362" s="228"/>
      <c r="AS362" s="228"/>
      <c r="AT362" s="228"/>
      <c r="AU362" s="228"/>
      <c r="AV362" s="228"/>
      <c r="AW362" s="228"/>
      <c r="AX362" s="228"/>
      <c r="AY362" s="228"/>
      <c r="AZ362" s="228"/>
      <c r="BA362" s="228"/>
      <c r="BB362" s="228"/>
      <c r="BC362" s="228"/>
      <c r="BD362" s="228"/>
      <c r="BE362" s="228"/>
      <c r="BF362" s="228"/>
      <c r="BG362" s="228"/>
      <c r="BH362" s="228"/>
      <c r="BI362" s="228"/>
      <c r="BJ362" s="221"/>
      <c r="BK362" s="221"/>
    </row>
    <row r="363" spans="1:63" hidden="1" outlineLevel="1">
      <c r="A363" s="9"/>
      <c r="B363" s="44"/>
      <c r="C363" s="127" t="str">
        <f>Asset8</f>
        <v>Inventory</v>
      </c>
      <c r="D363" s="9"/>
      <c r="E363" s="9"/>
      <c r="F363" s="139"/>
      <c r="G363" s="201">
        <f>Input!O14</f>
        <v>0</v>
      </c>
      <c r="H363" s="115"/>
      <c r="I363" s="115"/>
      <c r="J363" s="115"/>
      <c r="K363" s="115"/>
      <c r="L363" s="115"/>
      <c r="M363" s="9"/>
      <c r="N363" s="111"/>
      <c r="O363" s="150"/>
      <c r="P363" s="150"/>
      <c r="Q363" s="150"/>
      <c r="R363" s="100"/>
      <c r="S363" s="100"/>
      <c r="T363" s="100"/>
      <c r="U363" s="100"/>
      <c r="V363" s="100"/>
      <c r="W363" s="100"/>
      <c r="X363" s="100"/>
      <c r="Y363" s="100"/>
      <c r="Z363" s="100"/>
      <c r="AA363" s="228"/>
      <c r="AB363" s="228"/>
      <c r="AC363" s="228"/>
      <c r="AD363" s="228"/>
      <c r="AE363" s="228"/>
      <c r="AF363" s="228"/>
      <c r="AG363" s="228"/>
      <c r="AH363" s="228"/>
      <c r="AI363" s="228"/>
      <c r="AJ363" s="228"/>
      <c r="AK363" s="228"/>
      <c r="AL363" s="228"/>
      <c r="AM363" s="228"/>
      <c r="AN363" s="228"/>
      <c r="AO363" s="228"/>
      <c r="AP363" s="228"/>
      <c r="AQ363" s="228"/>
      <c r="AR363" s="228"/>
      <c r="AS363" s="228"/>
      <c r="AT363" s="228"/>
      <c r="AU363" s="228"/>
      <c r="AV363" s="228"/>
      <c r="AW363" s="228"/>
      <c r="AX363" s="228"/>
      <c r="AY363" s="228"/>
      <c r="AZ363" s="228"/>
      <c r="BA363" s="228"/>
      <c r="BB363" s="228"/>
      <c r="BC363" s="228"/>
      <c r="BD363" s="228"/>
      <c r="BE363" s="228"/>
      <c r="BF363" s="228"/>
      <c r="BG363" s="228"/>
      <c r="BH363" s="228"/>
      <c r="BI363" s="228"/>
      <c r="BJ363" s="221"/>
      <c r="BK363" s="221"/>
    </row>
    <row r="364" spans="1:63" hidden="1" outlineLevel="1">
      <c r="A364" s="9"/>
      <c r="B364" s="44"/>
      <c r="C364" s="127" t="str">
        <f>Asset9</f>
        <v>IT</v>
      </c>
      <c r="D364" s="9"/>
      <c r="E364" s="9"/>
      <c r="F364" s="139"/>
      <c r="G364" s="201">
        <f>Input!O15</f>
        <v>0</v>
      </c>
      <c r="H364" s="115"/>
      <c r="I364" s="115"/>
      <c r="J364" s="115"/>
      <c r="K364" s="115"/>
      <c r="L364" s="115"/>
      <c r="M364" s="9"/>
      <c r="N364" s="111"/>
      <c r="O364" s="150"/>
      <c r="P364" s="150"/>
      <c r="Q364" s="150"/>
      <c r="R364" s="100"/>
      <c r="S364" s="100"/>
      <c r="T364" s="100"/>
      <c r="U364" s="100"/>
      <c r="V364" s="100"/>
      <c r="W364" s="100"/>
      <c r="X364" s="100"/>
      <c r="Y364" s="100"/>
      <c r="Z364" s="100"/>
      <c r="AA364" s="228"/>
      <c r="AB364" s="228"/>
      <c r="AC364" s="228"/>
      <c r="AD364" s="228"/>
      <c r="AE364" s="228"/>
      <c r="AF364" s="228"/>
      <c r="AG364" s="228"/>
      <c r="AH364" s="228"/>
      <c r="AI364" s="228"/>
      <c r="AJ364" s="228"/>
      <c r="AK364" s="228"/>
      <c r="AL364" s="228"/>
      <c r="AM364" s="228"/>
      <c r="AN364" s="228"/>
      <c r="AO364" s="228"/>
      <c r="AP364" s="228"/>
      <c r="AQ364" s="228"/>
      <c r="AR364" s="228"/>
      <c r="AS364" s="228"/>
      <c r="AT364" s="228"/>
      <c r="AU364" s="228"/>
      <c r="AV364" s="228"/>
      <c r="AW364" s="228"/>
      <c r="AX364" s="228"/>
      <c r="AY364" s="228"/>
      <c r="AZ364" s="228"/>
      <c r="BA364" s="228"/>
      <c r="BB364" s="228"/>
      <c r="BC364" s="228"/>
      <c r="BD364" s="228"/>
      <c r="BE364" s="228"/>
      <c r="BF364" s="228"/>
      <c r="BG364" s="228"/>
      <c r="BH364" s="228"/>
      <c r="BI364" s="228"/>
      <c r="BJ364" s="221"/>
      <c r="BK364" s="221"/>
    </row>
    <row r="365" spans="1:63" hidden="1" outlineLevel="1">
      <c r="A365" s="9"/>
      <c r="B365" s="44"/>
      <c r="C365" s="127" t="str">
        <f>Asset10</f>
        <v>Vehicles</v>
      </c>
      <c r="D365" s="9"/>
      <c r="E365" s="9"/>
      <c r="F365" s="139"/>
      <c r="G365" s="201">
        <f>Input!O16</f>
        <v>0</v>
      </c>
      <c r="H365" s="115"/>
      <c r="I365" s="115"/>
      <c r="J365" s="115"/>
      <c r="K365" s="115"/>
      <c r="L365" s="115"/>
      <c r="M365" s="9"/>
      <c r="N365" s="111"/>
      <c r="O365" s="150"/>
      <c r="P365" s="150"/>
      <c r="Q365" s="150"/>
      <c r="R365" s="100"/>
      <c r="S365" s="100"/>
      <c r="T365" s="100"/>
      <c r="U365" s="100"/>
      <c r="V365" s="100"/>
      <c r="W365" s="100"/>
      <c r="X365" s="100"/>
      <c r="Y365" s="100"/>
      <c r="Z365" s="100"/>
      <c r="AA365" s="228"/>
      <c r="AB365" s="228"/>
      <c r="AC365" s="228"/>
      <c r="AD365" s="228"/>
      <c r="AE365" s="228"/>
      <c r="AF365" s="228"/>
      <c r="AG365" s="228"/>
      <c r="AH365" s="228"/>
      <c r="AI365" s="228"/>
      <c r="AJ365" s="228"/>
      <c r="AK365" s="228"/>
      <c r="AL365" s="228"/>
      <c r="AM365" s="228"/>
      <c r="AN365" s="228"/>
      <c r="AO365" s="228"/>
      <c r="AP365" s="228"/>
      <c r="AQ365" s="228"/>
      <c r="AR365" s="228"/>
      <c r="AS365" s="228"/>
      <c r="AT365" s="228"/>
      <c r="AU365" s="228"/>
      <c r="AV365" s="228"/>
      <c r="AW365" s="228"/>
      <c r="AX365" s="228"/>
      <c r="AY365" s="228"/>
      <c r="AZ365" s="228"/>
      <c r="BA365" s="228"/>
      <c r="BB365" s="228"/>
      <c r="BC365" s="228"/>
      <c r="BD365" s="228"/>
      <c r="BE365" s="228"/>
      <c r="BF365" s="228"/>
      <c r="BG365" s="228"/>
      <c r="BH365" s="228"/>
      <c r="BI365" s="228"/>
      <c r="BJ365" s="221"/>
      <c r="BK365" s="221"/>
    </row>
    <row r="366" spans="1:63" hidden="1" outlineLevel="1">
      <c r="A366" s="9"/>
      <c r="B366" s="44"/>
      <c r="C366" s="127" t="str">
        <f>Asset11</f>
        <v>other</v>
      </c>
      <c r="D366" s="9"/>
      <c r="E366" s="9"/>
      <c r="F366" s="139"/>
      <c r="G366" s="201">
        <f>Input!O17</f>
        <v>0</v>
      </c>
      <c r="H366" s="115"/>
      <c r="I366" s="115"/>
      <c r="J366" s="115"/>
      <c r="K366" s="115"/>
      <c r="L366" s="115"/>
      <c r="M366" s="9"/>
      <c r="N366" s="111"/>
      <c r="O366" s="150"/>
      <c r="P366" s="150"/>
      <c r="Q366" s="150"/>
      <c r="R366" s="100"/>
      <c r="S366" s="100"/>
      <c r="T366" s="100"/>
      <c r="U366" s="100"/>
      <c r="V366" s="100"/>
      <c r="W366" s="100"/>
      <c r="X366" s="100"/>
      <c r="Y366" s="100"/>
      <c r="Z366" s="100"/>
      <c r="AA366" s="228"/>
      <c r="AB366" s="228"/>
      <c r="AC366" s="228"/>
      <c r="AD366" s="228"/>
      <c r="AE366" s="228"/>
      <c r="AF366" s="228"/>
      <c r="AG366" s="228"/>
      <c r="AH366" s="228"/>
      <c r="AI366" s="228"/>
      <c r="AJ366" s="228"/>
      <c r="AK366" s="228"/>
      <c r="AL366" s="228"/>
      <c r="AM366" s="228"/>
      <c r="AN366" s="228"/>
      <c r="AO366" s="228"/>
      <c r="AP366" s="228"/>
      <c r="AQ366" s="228"/>
      <c r="AR366" s="228"/>
      <c r="AS366" s="228"/>
      <c r="AT366" s="228"/>
      <c r="AU366" s="228"/>
      <c r="AV366" s="228"/>
      <c r="AW366" s="228"/>
      <c r="AX366" s="228"/>
      <c r="AY366" s="228"/>
      <c r="AZ366" s="228"/>
      <c r="BA366" s="228"/>
      <c r="BB366" s="228"/>
      <c r="BC366" s="228"/>
      <c r="BD366" s="228"/>
      <c r="BE366" s="228"/>
      <c r="BF366" s="228"/>
      <c r="BG366" s="228"/>
      <c r="BH366" s="228"/>
      <c r="BI366" s="228"/>
      <c r="BJ366" s="221"/>
      <c r="BK366" s="221"/>
    </row>
    <row r="367" spans="1:63" hidden="1" outlineLevel="1">
      <c r="A367" s="9"/>
      <c r="B367" s="44"/>
      <c r="C367" s="127" t="str">
        <f>Asset12</f>
        <v>premises</v>
      </c>
      <c r="D367" s="9"/>
      <c r="E367" s="9"/>
      <c r="F367" s="139"/>
      <c r="G367" s="201">
        <f>Input!O18</f>
        <v>0</v>
      </c>
      <c r="H367" s="115"/>
      <c r="I367" s="115"/>
      <c r="J367" s="115"/>
      <c r="K367" s="115"/>
      <c r="L367" s="115"/>
      <c r="M367" s="9"/>
      <c r="N367" s="111"/>
      <c r="O367" s="150"/>
      <c r="P367" s="150"/>
      <c r="Q367" s="150"/>
      <c r="R367" s="100"/>
      <c r="S367" s="100"/>
      <c r="T367" s="100"/>
      <c r="U367" s="100"/>
      <c r="V367" s="100"/>
      <c r="W367" s="100"/>
      <c r="X367" s="100"/>
      <c r="Y367" s="100"/>
      <c r="Z367" s="100"/>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8"/>
      <c r="AY367" s="228"/>
      <c r="AZ367" s="228"/>
      <c r="BA367" s="228"/>
      <c r="BB367" s="228"/>
      <c r="BC367" s="228"/>
      <c r="BD367" s="228"/>
      <c r="BE367" s="228"/>
      <c r="BF367" s="228"/>
      <c r="BG367" s="228"/>
      <c r="BH367" s="228"/>
      <c r="BI367" s="228"/>
      <c r="BJ367" s="221"/>
      <c r="BK367" s="221"/>
    </row>
    <row r="368" spans="1:63" hidden="1" outlineLevel="1">
      <c r="A368" s="9"/>
      <c r="B368" s="44"/>
      <c r="C368" s="127" t="str">
        <f>Asset13</f>
        <v>Land</v>
      </c>
      <c r="D368" s="9"/>
      <c r="E368" s="9"/>
      <c r="F368" s="139"/>
      <c r="G368" s="201">
        <f>Input!O19</f>
        <v>0</v>
      </c>
      <c r="H368" s="115"/>
      <c r="I368" s="115"/>
      <c r="J368" s="115"/>
      <c r="K368" s="115"/>
      <c r="L368" s="115"/>
      <c r="M368" s="9"/>
      <c r="N368" s="111"/>
      <c r="O368" s="150"/>
      <c r="P368" s="150"/>
      <c r="Q368" s="150"/>
      <c r="R368" s="100"/>
      <c r="S368" s="100"/>
      <c r="T368" s="100"/>
      <c r="U368" s="100"/>
      <c r="V368" s="100"/>
      <c r="W368" s="100"/>
      <c r="X368" s="100"/>
      <c r="Y368" s="100"/>
      <c r="Z368" s="100"/>
      <c r="AA368" s="228"/>
      <c r="AB368" s="228"/>
      <c r="AC368" s="228"/>
      <c r="AD368" s="228"/>
      <c r="AE368" s="228"/>
      <c r="AF368" s="228"/>
      <c r="AG368" s="228"/>
      <c r="AH368" s="228"/>
      <c r="AI368" s="228"/>
      <c r="AJ368" s="228"/>
      <c r="AK368" s="228"/>
      <c r="AL368" s="228"/>
      <c r="AM368" s="228"/>
      <c r="AN368" s="228"/>
      <c r="AO368" s="228"/>
      <c r="AP368" s="228"/>
      <c r="AQ368" s="228"/>
      <c r="AR368" s="228"/>
      <c r="AS368" s="228"/>
      <c r="AT368" s="228"/>
      <c r="AU368" s="228"/>
      <c r="AV368" s="228"/>
      <c r="AW368" s="228"/>
      <c r="AX368" s="228"/>
      <c r="AY368" s="228"/>
      <c r="AZ368" s="228"/>
      <c r="BA368" s="228"/>
      <c r="BB368" s="228"/>
      <c r="BC368" s="228"/>
      <c r="BD368" s="228"/>
      <c r="BE368" s="228"/>
      <c r="BF368" s="228"/>
      <c r="BG368" s="228"/>
      <c r="BH368" s="228"/>
      <c r="BI368" s="228"/>
      <c r="BJ368" s="221"/>
      <c r="BK368" s="221"/>
    </row>
    <row r="369" spans="1:63" hidden="1" outlineLevel="1">
      <c r="A369" s="9"/>
      <c r="B369" s="44"/>
      <c r="C369" s="127" t="str">
        <f>Asset14</f>
        <v>Easements</v>
      </c>
      <c r="D369" s="9"/>
      <c r="E369" s="9"/>
      <c r="F369" s="139"/>
      <c r="G369" s="201">
        <f>Input!O20</f>
        <v>0</v>
      </c>
      <c r="H369" s="115"/>
      <c r="I369" s="115"/>
      <c r="J369" s="115"/>
      <c r="K369" s="115"/>
      <c r="L369" s="115"/>
      <c r="M369" s="9"/>
      <c r="N369" s="111"/>
      <c r="O369" s="150"/>
      <c r="P369" s="150"/>
      <c r="Q369" s="150"/>
      <c r="R369" s="100"/>
      <c r="S369" s="100"/>
      <c r="T369" s="100"/>
      <c r="U369" s="100"/>
      <c r="V369" s="100"/>
      <c r="W369" s="100"/>
      <c r="X369" s="100"/>
      <c r="Y369" s="100"/>
      <c r="Z369" s="100"/>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228"/>
      <c r="AY369" s="228"/>
      <c r="AZ369" s="228"/>
      <c r="BA369" s="228"/>
      <c r="BB369" s="228"/>
      <c r="BC369" s="228"/>
      <c r="BD369" s="228"/>
      <c r="BE369" s="228"/>
      <c r="BF369" s="228"/>
      <c r="BG369" s="228"/>
      <c r="BH369" s="228"/>
      <c r="BI369" s="228"/>
      <c r="BJ369" s="221"/>
      <c r="BK369" s="221"/>
    </row>
    <row r="370" spans="1:63" hidden="1" outlineLevel="1">
      <c r="A370" s="9"/>
      <c r="B370" s="44"/>
      <c r="C370" s="127">
        <f>Asset15</f>
        <v>0</v>
      </c>
      <c r="D370" s="9"/>
      <c r="E370" s="9"/>
      <c r="F370" s="139"/>
      <c r="G370" s="201">
        <f>Input!O21</f>
        <v>0</v>
      </c>
      <c r="H370" s="115"/>
      <c r="I370" s="115"/>
      <c r="J370" s="115"/>
      <c r="K370" s="115"/>
      <c r="L370" s="115"/>
      <c r="M370" s="9"/>
      <c r="N370" s="111"/>
      <c r="O370" s="150"/>
      <c r="P370" s="150"/>
      <c r="Q370" s="150"/>
      <c r="R370" s="100"/>
      <c r="S370" s="100"/>
      <c r="T370" s="100"/>
      <c r="U370" s="100"/>
      <c r="V370" s="100"/>
      <c r="W370" s="100"/>
      <c r="X370" s="100"/>
      <c r="Y370" s="100"/>
      <c r="Z370" s="100"/>
      <c r="AA370" s="228"/>
      <c r="AB370" s="228"/>
      <c r="AC370" s="228"/>
      <c r="AD370" s="228"/>
      <c r="AE370" s="228"/>
      <c r="AF370" s="228"/>
      <c r="AG370" s="228"/>
      <c r="AH370" s="228"/>
      <c r="AI370" s="228"/>
      <c r="AJ370" s="228"/>
      <c r="AK370" s="228"/>
      <c r="AL370" s="228"/>
      <c r="AM370" s="228"/>
      <c r="AN370" s="228"/>
      <c r="AO370" s="228"/>
      <c r="AP370" s="228"/>
      <c r="AQ370" s="228"/>
      <c r="AR370" s="228"/>
      <c r="AS370" s="228"/>
      <c r="AT370" s="228"/>
      <c r="AU370" s="228"/>
      <c r="AV370" s="228"/>
      <c r="AW370" s="228"/>
      <c r="AX370" s="228"/>
      <c r="AY370" s="228"/>
      <c r="AZ370" s="228"/>
      <c r="BA370" s="228"/>
      <c r="BB370" s="228"/>
      <c r="BC370" s="228"/>
      <c r="BD370" s="228"/>
      <c r="BE370" s="228"/>
      <c r="BF370" s="228"/>
      <c r="BG370" s="228"/>
      <c r="BH370" s="228"/>
      <c r="BI370" s="228"/>
      <c r="BJ370" s="221"/>
      <c r="BK370" s="221"/>
    </row>
    <row r="371" spans="1:63" hidden="1" outlineLevel="1">
      <c r="A371" s="9"/>
      <c r="B371" s="44"/>
      <c r="C371" s="127">
        <f>Asset16</f>
        <v>0</v>
      </c>
      <c r="D371" s="9"/>
      <c r="E371" s="9"/>
      <c r="F371" s="139"/>
      <c r="G371" s="201">
        <f>Input!O22</f>
        <v>0</v>
      </c>
      <c r="H371" s="115"/>
      <c r="I371" s="115"/>
      <c r="J371" s="115"/>
      <c r="K371" s="115"/>
      <c r="L371" s="115"/>
      <c r="M371" s="9"/>
      <c r="N371" s="111"/>
      <c r="O371" s="150"/>
      <c r="P371" s="150"/>
      <c r="Q371" s="150"/>
      <c r="R371" s="100"/>
      <c r="S371" s="100"/>
      <c r="T371" s="100"/>
      <c r="U371" s="100"/>
      <c r="V371" s="100"/>
      <c r="W371" s="100"/>
      <c r="X371" s="100"/>
      <c r="Y371" s="100"/>
      <c r="Z371" s="100"/>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8"/>
      <c r="AY371" s="228"/>
      <c r="AZ371" s="228"/>
      <c r="BA371" s="228"/>
      <c r="BB371" s="228"/>
      <c r="BC371" s="228"/>
      <c r="BD371" s="228"/>
      <c r="BE371" s="228"/>
      <c r="BF371" s="228"/>
      <c r="BG371" s="228"/>
      <c r="BH371" s="228"/>
      <c r="BI371" s="228"/>
      <c r="BJ371" s="221"/>
      <c r="BK371" s="221"/>
    </row>
    <row r="372" spans="1:63" hidden="1" outlineLevel="1">
      <c r="A372" s="9"/>
      <c r="B372" s="44"/>
      <c r="C372" s="127">
        <f>Asset17</f>
        <v>0</v>
      </c>
      <c r="D372" s="9"/>
      <c r="E372" s="9"/>
      <c r="F372" s="139"/>
      <c r="G372" s="201">
        <f>Input!O23</f>
        <v>0</v>
      </c>
      <c r="H372" s="115"/>
      <c r="I372" s="115"/>
      <c r="J372" s="115"/>
      <c r="K372" s="115"/>
      <c r="L372" s="115"/>
      <c r="M372" s="9"/>
      <c r="N372" s="111"/>
      <c r="O372" s="150"/>
      <c r="P372" s="150"/>
      <c r="Q372" s="150"/>
      <c r="R372" s="100"/>
      <c r="S372" s="100"/>
      <c r="T372" s="100"/>
      <c r="U372" s="100"/>
      <c r="V372" s="100"/>
      <c r="W372" s="100"/>
      <c r="X372" s="100"/>
      <c r="Y372" s="100"/>
      <c r="Z372" s="100"/>
      <c r="AA372" s="228"/>
      <c r="AB372" s="228"/>
      <c r="AC372" s="228"/>
      <c r="AD372" s="228"/>
      <c r="AE372" s="228"/>
      <c r="AF372" s="228"/>
      <c r="AG372" s="228"/>
      <c r="AH372" s="228"/>
      <c r="AI372" s="228"/>
      <c r="AJ372" s="228"/>
      <c r="AK372" s="228"/>
      <c r="AL372" s="228"/>
      <c r="AM372" s="228"/>
      <c r="AN372" s="228"/>
      <c r="AO372" s="228"/>
      <c r="AP372" s="228"/>
      <c r="AQ372" s="228"/>
      <c r="AR372" s="228"/>
      <c r="AS372" s="228"/>
      <c r="AT372" s="228"/>
      <c r="AU372" s="228"/>
      <c r="AV372" s="228"/>
      <c r="AW372" s="228"/>
      <c r="AX372" s="228"/>
      <c r="AY372" s="228"/>
      <c r="AZ372" s="228"/>
      <c r="BA372" s="228"/>
      <c r="BB372" s="228"/>
      <c r="BC372" s="228"/>
      <c r="BD372" s="228"/>
      <c r="BE372" s="228"/>
      <c r="BF372" s="228"/>
      <c r="BG372" s="228"/>
      <c r="BH372" s="228"/>
      <c r="BI372" s="228"/>
      <c r="BJ372" s="221"/>
      <c r="BK372" s="221"/>
    </row>
    <row r="373" spans="1:63" hidden="1" outlineLevel="1">
      <c r="A373" s="9"/>
      <c r="B373" s="44"/>
      <c r="C373" s="127">
        <f>Asset18</f>
        <v>0</v>
      </c>
      <c r="D373" s="9"/>
      <c r="E373" s="9"/>
      <c r="F373" s="139"/>
      <c r="G373" s="201">
        <f>Input!O24</f>
        <v>0</v>
      </c>
      <c r="H373" s="115"/>
      <c r="I373" s="115"/>
      <c r="J373" s="115"/>
      <c r="K373" s="115"/>
      <c r="L373" s="115"/>
      <c r="M373" s="9"/>
      <c r="N373" s="111"/>
      <c r="O373" s="150"/>
      <c r="P373" s="150"/>
      <c r="Q373" s="150"/>
      <c r="R373" s="100"/>
      <c r="S373" s="100"/>
      <c r="T373" s="100"/>
      <c r="U373" s="100"/>
      <c r="V373" s="100"/>
      <c r="W373" s="100"/>
      <c r="X373" s="100"/>
      <c r="Y373" s="100"/>
      <c r="Z373" s="100"/>
      <c r="AA373" s="228"/>
      <c r="AB373" s="228"/>
      <c r="AC373" s="228"/>
      <c r="AD373" s="228"/>
      <c r="AE373" s="228"/>
      <c r="AF373" s="228"/>
      <c r="AG373" s="228"/>
      <c r="AH373" s="228"/>
      <c r="AI373" s="228"/>
      <c r="AJ373" s="228"/>
      <c r="AK373" s="228"/>
      <c r="AL373" s="228"/>
      <c r="AM373" s="228"/>
      <c r="AN373" s="228"/>
      <c r="AO373" s="228"/>
      <c r="AP373" s="228"/>
      <c r="AQ373" s="228"/>
      <c r="AR373" s="228"/>
      <c r="AS373" s="228"/>
      <c r="AT373" s="228"/>
      <c r="AU373" s="228"/>
      <c r="AV373" s="228"/>
      <c r="AW373" s="228"/>
      <c r="AX373" s="228"/>
      <c r="AY373" s="228"/>
      <c r="AZ373" s="228"/>
      <c r="BA373" s="228"/>
      <c r="BB373" s="228"/>
      <c r="BC373" s="228"/>
      <c r="BD373" s="228"/>
      <c r="BE373" s="228"/>
      <c r="BF373" s="228"/>
      <c r="BG373" s="228"/>
      <c r="BH373" s="228"/>
      <c r="BI373" s="228"/>
      <c r="BJ373" s="221"/>
      <c r="BK373" s="221"/>
    </row>
    <row r="374" spans="1:63" hidden="1" outlineLevel="1">
      <c r="A374" s="9"/>
      <c r="B374" s="44"/>
      <c r="C374" s="127">
        <f>Asset19</f>
        <v>0</v>
      </c>
      <c r="D374" s="9"/>
      <c r="E374" s="9"/>
      <c r="F374" s="139"/>
      <c r="G374" s="201">
        <f>Input!O25</f>
        <v>0</v>
      </c>
      <c r="H374" s="115"/>
      <c r="I374" s="115"/>
      <c r="J374" s="115"/>
      <c r="K374" s="115"/>
      <c r="L374" s="115"/>
      <c r="M374" s="9"/>
      <c r="N374" s="111"/>
      <c r="O374" s="150"/>
      <c r="P374" s="150"/>
      <c r="Q374" s="150"/>
      <c r="R374" s="100"/>
      <c r="S374" s="100"/>
      <c r="T374" s="100"/>
      <c r="U374" s="100"/>
      <c r="V374" s="100"/>
      <c r="W374" s="100"/>
      <c r="X374" s="100"/>
      <c r="Y374" s="100"/>
      <c r="Z374" s="100"/>
      <c r="AA374" s="228"/>
      <c r="AB374" s="228"/>
      <c r="AC374" s="228"/>
      <c r="AD374" s="228"/>
      <c r="AE374" s="228"/>
      <c r="AF374" s="228"/>
      <c r="AG374" s="228"/>
      <c r="AH374" s="228"/>
      <c r="AI374" s="228"/>
      <c r="AJ374" s="228"/>
      <c r="AK374" s="228"/>
      <c r="AL374" s="228"/>
      <c r="AM374" s="228"/>
      <c r="AN374" s="228"/>
      <c r="AO374" s="228"/>
      <c r="AP374" s="228"/>
      <c r="AQ374" s="228"/>
      <c r="AR374" s="228"/>
      <c r="AS374" s="228"/>
      <c r="AT374" s="228"/>
      <c r="AU374" s="228"/>
      <c r="AV374" s="228"/>
      <c r="AW374" s="228"/>
      <c r="AX374" s="228"/>
      <c r="AY374" s="228"/>
      <c r="AZ374" s="228"/>
      <c r="BA374" s="228"/>
      <c r="BB374" s="228"/>
      <c r="BC374" s="228"/>
      <c r="BD374" s="228"/>
      <c r="BE374" s="228"/>
      <c r="BF374" s="228"/>
      <c r="BG374" s="228"/>
      <c r="BH374" s="228"/>
      <c r="BI374" s="228"/>
      <c r="BJ374" s="221"/>
      <c r="BK374" s="221"/>
    </row>
    <row r="375" spans="1:63" hidden="1" outlineLevel="1">
      <c r="A375" s="9"/>
      <c r="B375" s="44"/>
      <c r="C375" s="127">
        <f>Asset20</f>
        <v>0</v>
      </c>
      <c r="D375" s="9"/>
      <c r="E375" s="9"/>
      <c r="F375" s="139"/>
      <c r="G375" s="201">
        <f>Input!O26</f>
        <v>0</v>
      </c>
      <c r="H375" s="115"/>
      <c r="I375" s="115"/>
      <c r="J375" s="115"/>
      <c r="K375" s="115"/>
      <c r="L375" s="115"/>
      <c r="M375" s="9"/>
      <c r="N375" s="111"/>
      <c r="O375" s="150"/>
      <c r="P375" s="150"/>
      <c r="Q375" s="150"/>
      <c r="R375" s="100"/>
      <c r="S375" s="100"/>
      <c r="T375" s="100"/>
      <c r="U375" s="100"/>
      <c r="V375" s="100"/>
      <c r="W375" s="100"/>
      <c r="X375" s="100"/>
      <c r="Y375" s="100"/>
      <c r="Z375" s="100"/>
      <c r="AA375" s="228"/>
      <c r="AB375" s="228"/>
      <c r="AC375" s="228"/>
      <c r="AD375" s="228"/>
      <c r="AE375" s="228"/>
      <c r="AF375" s="228"/>
      <c r="AG375" s="228"/>
      <c r="AH375" s="228"/>
      <c r="AI375" s="228"/>
      <c r="AJ375" s="228"/>
      <c r="AK375" s="228"/>
      <c r="AL375" s="228"/>
      <c r="AM375" s="228"/>
      <c r="AN375" s="228"/>
      <c r="AO375" s="228"/>
      <c r="AP375" s="228"/>
      <c r="AQ375" s="228"/>
      <c r="AR375" s="228"/>
      <c r="AS375" s="228"/>
      <c r="AT375" s="228"/>
      <c r="AU375" s="228"/>
      <c r="AV375" s="228"/>
      <c r="AW375" s="228"/>
      <c r="AX375" s="228"/>
      <c r="AY375" s="228"/>
      <c r="AZ375" s="228"/>
      <c r="BA375" s="228"/>
      <c r="BB375" s="228"/>
      <c r="BC375" s="228"/>
      <c r="BD375" s="228"/>
      <c r="BE375" s="228"/>
      <c r="BF375" s="228"/>
      <c r="BG375" s="228"/>
      <c r="BH375" s="228"/>
      <c r="BI375" s="228"/>
      <c r="BJ375" s="221"/>
      <c r="BK375" s="221"/>
    </row>
    <row r="376" spans="1:63" collapsed="1">
      <c r="A376" s="9"/>
      <c r="B376" s="151"/>
      <c r="C376" s="26"/>
      <c r="D376" s="9"/>
      <c r="E376" s="9"/>
      <c r="F376" s="139"/>
      <c r="G376" s="203"/>
      <c r="H376" s="115"/>
      <c r="I376" s="115"/>
      <c r="J376" s="115"/>
      <c r="K376" s="115"/>
      <c r="L376" s="115"/>
      <c r="M376" s="9"/>
      <c r="N376" s="111"/>
      <c r="O376" s="150"/>
      <c r="P376" s="150"/>
      <c r="Q376" s="150"/>
      <c r="R376" s="100"/>
      <c r="S376" s="100"/>
      <c r="T376" s="100"/>
      <c r="U376" s="100"/>
      <c r="V376" s="100"/>
      <c r="W376" s="100"/>
      <c r="X376" s="100"/>
      <c r="Y376" s="100"/>
      <c r="Z376" s="100"/>
      <c r="AA376" s="228"/>
      <c r="AB376" s="228"/>
      <c r="AC376" s="228"/>
      <c r="AD376" s="228"/>
      <c r="AE376" s="228"/>
      <c r="AF376" s="228"/>
      <c r="AG376" s="228"/>
      <c r="AH376" s="228"/>
      <c r="AI376" s="228"/>
      <c r="AJ376" s="228"/>
      <c r="AK376" s="228"/>
      <c r="AL376" s="228"/>
      <c r="AM376" s="228"/>
      <c r="AN376" s="228"/>
      <c r="AO376" s="228"/>
      <c r="AP376" s="228"/>
      <c r="AQ376" s="228"/>
      <c r="AR376" s="228"/>
      <c r="AS376" s="228"/>
      <c r="AT376" s="228"/>
      <c r="AU376" s="228"/>
      <c r="AV376" s="228"/>
      <c r="AW376" s="228"/>
      <c r="AX376" s="228"/>
      <c r="AY376" s="228"/>
      <c r="AZ376" s="228"/>
      <c r="BA376" s="228"/>
      <c r="BB376" s="228"/>
      <c r="BC376" s="228"/>
      <c r="BD376" s="228"/>
      <c r="BE376" s="228"/>
      <c r="BF376" s="228"/>
      <c r="BG376" s="228"/>
      <c r="BH376" s="228"/>
      <c r="BI376" s="228"/>
      <c r="BJ376" s="221"/>
      <c r="BK376" s="221"/>
    </row>
    <row r="377" spans="1:63">
      <c r="A377" s="9"/>
      <c r="B377" s="347" t="s">
        <v>156</v>
      </c>
      <c r="C377" s="26"/>
      <c r="D377" s="9"/>
      <c r="E377" s="9"/>
      <c r="F377" s="139"/>
      <c r="G377" s="203">
        <f>SUM(G378:G397)</f>
        <v>0.6657419876348567</v>
      </c>
      <c r="H377" s="115"/>
      <c r="I377" s="115"/>
      <c r="J377" s="115"/>
      <c r="K377" s="115"/>
      <c r="L377" s="115"/>
      <c r="M377" s="9"/>
      <c r="N377" s="111"/>
      <c r="O377" s="150"/>
      <c r="P377" s="150"/>
      <c r="Q377" s="150"/>
      <c r="R377" s="100"/>
      <c r="S377" s="100"/>
      <c r="T377" s="100"/>
      <c r="U377" s="100"/>
      <c r="V377" s="100"/>
      <c r="W377" s="100"/>
      <c r="X377" s="100"/>
      <c r="Y377" s="100"/>
      <c r="Z377" s="100"/>
      <c r="AA377" s="228"/>
      <c r="AB377" s="228"/>
      <c r="AC377" s="228"/>
      <c r="AD377" s="228"/>
      <c r="AE377" s="228"/>
      <c r="AF377" s="228"/>
      <c r="AG377" s="228"/>
      <c r="AH377" s="228"/>
      <c r="AI377" s="228"/>
      <c r="AJ377" s="228"/>
      <c r="AK377" s="228"/>
      <c r="AL377" s="228"/>
      <c r="AM377" s="228"/>
      <c r="AN377" s="228"/>
      <c r="AO377" s="228"/>
      <c r="AP377" s="228"/>
      <c r="AQ377" s="228"/>
      <c r="AR377" s="228"/>
      <c r="AS377" s="228"/>
      <c r="AT377" s="228"/>
      <c r="AU377" s="228"/>
      <c r="AV377" s="228"/>
      <c r="AW377" s="228"/>
      <c r="AX377" s="228"/>
      <c r="AY377" s="228"/>
      <c r="AZ377" s="228"/>
      <c r="BA377" s="228"/>
      <c r="BB377" s="228"/>
      <c r="BC377" s="228"/>
      <c r="BD377" s="228"/>
      <c r="BE377" s="228"/>
      <c r="BF377" s="228"/>
      <c r="BG377" s="228"/>
      <c r="BH377" s="228"/>
      <c r="BI377" s="228"/>
      <c r="BJ377" s="221"/>
      <c r="BK377" s="221"/>
    </row>
    <row r="378" spans="1:63" hidden="1" outlineLevel="1">
      <c r="A378" s="9"/>
      <c r="B378" s="9"/>
      <c r="C378" s="127" t="str">
        <f>Asset1</f>
        <v>Secondary</v>
      </c>
      <c r="D378" s="9"/>
      <c r="E378" s="9"/>
      <c r="F378" s="139"/>
      <c r="G378" s="201">
        <f>G356-G334</f>
        <v>8.2840342812513512E-2</v>
      </c>
      <c r="H378" s="115"/>
      <c r="I378" s="115"/>
      <c r="J378" s="115"/>
      <c r="K378" s="115"/>
      <c r="L378" s="115"/>
      <c r="M378" s="9"/>
      <c r="N378" s="111"/>
      <c r="O378" s="150"/>
      <c r="P378" s="150"/>
      <c r="Q378" s="150"/>
      <c r="R378" s="100"/>
      <c r="S378" s="100"/>
      <c r="T378" s="100"/>
      <c r="U378" s="100"/>
      <c r="V378" s="100"/>
      <c r="W378" s="100"/>
      <c r="X378" s="100"/>
      <c r="Y378" s="100"/>
      <c r="Z378" s="100"/>
      <c r="AA378" s="228"/>
      <c r="AB378" s="228"/>
      <c r="AC378" s="228"/>
      <c r="AD378" s="228"/>
      <c r="AE378" s="228"/>
      <c r="AF378" s="228"/>
      <c r="AG378" s="228"/>
      <c r="AH378" s="228"/>
      <c r="AI378" s="228"/>
      <c r="AJ378" s="228"/>
      <c r="AK378" s="228"/>
      <c r="AL378" s="228"/>
      <c r="AM378" s="228"/>
      <c r="AN378" s="228"/>
      <c r="AO378" s="228"/>
      <c r="AP378" s="228"/>
      <c r="AQ378" s="228"/>
      <c r="AR378" s="228"/>
      <c r="AS378" s="228"/>
      <c r="AT378" s="228"/>
      <c r="AU378" s="228"/>
      <c r="AV378" s="228"/>
      <c r="AW378" s="228"/>
      <c r="AX378" s="228"/>
      <c r="AY378" s="228"/>
      <c r="AZ378" s="228"/>
      <c r="BA378" s="228"/>
      <c r="BB378" s="228"/>
      <c r="BC378" s="228"/>
      <c r="BD378" s="228"/>
      <c r="BE378" s="228"/>
      <c r="BF378" s="228"/>
      <c r="BG378" s="228"/>
      <c r="BH378" s="228"/>
      <c r="BI378" s="228"/>
      <c r="BJ378" s="221"/>
      <c r="BK378" s="221"/>
    </row>
    <row r="379" spans="1:63" hidden="1" outlineLevel="1">
      <c r="A379" s="9"/>
      <c r="B379" s="44"/>
      <c r="C379" s="127" t="str">
        <f>Asset2</f>
        <v>Switchgear</v>
      </c>
      <c r="D379" s="9"/>
      <c r="E379" s="9"/>
      <c r="F379" s="139"/>
      <c r="G379" s="201">
        <f t="shared" ref="G379:G397" si="5">G357-G335</f>
        <v>0.36741665183803462</v>
      </c>
      <c r="H379" s="115"/>
      <c r="I379" s="115"/>
      <c r="J379" s="115"/>
      <c r="K379" s="115"/>
      <c r="L379" s="115"/>
      <c r="M379" s="9"/>
      <c r="N379" s="111"/>
      <c r="O379" s="150"/>
      <c r="P379" s="150"/>
      <c r="Q379" s="150"/>
      <c r="R379" s="100"/>
      <c r="S379" s="100"/>
      <c r="T379" s="100"/>
      <c r="U379" s="100"/>
      <c r="V379" s="100"/>
      <c r="W379" s="100"/>
      <c r="X379" s="100"/>
      <c r="Y379" s="100"/>
      <c r="Z379" s="100"/>
      <c r="AA379" s="228"/>
      <c r="AB379" s="228"/>
      <c r="AC379" s="228"/>
      <c r="AD379" s="228"/>
      <c r="AE379" s="228"/>
      <c r="AF379" s="228"/>
      <c r="AG379" s="228"/>
      <c r="AH379" s="228"/>
      <c r="AI379" s="228"/>
      <c r="AJ379" s="228"/>
      <c r="AK379" s="228"/>
      <c r="AL379" s="228"/>
      <c r="AM379" s="228"/>
      <c r="AN379" s="228"/>
      <c r="AO379" s="228"/>
      <c r="AP379" s="228"/>
      <c r="AQ379" s="228"/>
      <c r="AR379" s="228"/>
      <c r="AS379" s="228"/>
      <c r="AT379" s="228"/>
      <c r="AU379" s="228"/>
      <c r="AV379" s="228"/>
      <c r="AW379" s="228"/>
      <c r="AX379" s="228"/>
      <c r="AY379" s="228"/>
      <c r="AZ379" s="228"/>
      <c r="BA379" s="228"/>
      <c r="BB379" s="228"/>
      <c r="BC379" s="228"/>
      <c r="BD379" s="228"/>
      <c r="BE379" s="228"/>
      <c r="BF379" s="228"/>
      <c r="BG379" s="228"/>
      <c r="BH379" s="228"/>
      <c r="BI379" s="228"/>
      <c r="BJ379" s="221"/>
      <c r="BK379" s="221"/>
    </row>
    <row r="380" spans="1:63" hidden="1" outlineLevel="1">
      <c r="A380" s="9"/>
      <c r="B380" s="44"/>
      <c r="C380" s="127" t="str">
        <f>Asset3</f>
        <v>Transformers</v>
      </c>
      <c r="D380" s="9"/>
      <c r="E380" s="9"/>
      <c r="F380" s="139"/>
      <c r="G380" s="201">
        <f t="shared" si="5"/>
        <v>7.2390413786939334E-2</v>
      </c>
      <c r="H380" s="115"/>
      <c r="I380" s="115"/>
      <c r="J380" s="115"/>
      <c r="K380" s="115"/>
      <c r="L380" s="115"/>
      <c r="M380" s="9"/>
      <c r="N380" s="111"/>
      <c r="O380" s="150"/>
      <c r="P380" s="150"/>
      <c r="Q380" s="150"/>
      <c r="R380" s="100"/>
      <c r="S380" s="100"/>
      <c r="T380" s="100"/>
      <c r="U380" s="100"/>
      <c r="V380" s="100"/>
      <c r="W380" s="100"/>
      <c r="X380" s="100"/>
      <c r="Y380" s="100"/>
      <c r="Z380" s="100"/>
      <c r="AA380" s="228"/>
      <c r="AB380" s="228"/>
      <c r="AC380" s="228"/>
      <c r="AD380" s="228"/>
      <c r="AE380" s="228"/>
      <c r="AF380" s="228"/>
      <c r="AG380" s="228"/>
      <c r="AH380" s="228"/>
      <c r="AI380" s="228"/>
      <c r="AJ380" s="228"/>
      <c r="AK380" s="228"/>
      <c r="AL380" s="228"/>
      <c r="AM380" s="228"/>
      <c r="AN380" s="228"/>
      <c r="AO380" s="228"/>
      <c r="AP380" s="228"/>
      <c r="AQ380" s="228"/>
      <c r="AR380" s="228"/>
      <c r="AS380" s="228"/>
      <c r="AT380" s="228"/>
      <c r="AU380" s="228"/>
      <c r="AV380" s="228"/>
      <c r="AW380" s="228"/>
      <c r="AX380" s="228"/>
      <c r="AY380" s="228"/>
      <c r="AZ380" s="228"/>
      <c r="BA380" s="228"/>
      <c r="BB380" s="228"/>
      <c r="BC380" s="228"/>
      <c r="BD380" s="228"/>
      <c r="BE380" s="228"/>
      <c r="BF380" s="228"/>
      <c r="BG380" s="228"/>
      <c r="BH380" s="228"/>
      <c r="BI380" s="228"/>
      <c r="BJ380" s="221"/>
      <c r="BK380" s="221"/>
    </row>
    <row r="381" spans="1:63" hidden="1" outlineLevel="1">
      <c r="A381" s="9"/>
      <c r="B381" s="44"/>
      <c r="C381" s="127" t="str">
        <f>Asset4</f>
        <v>Reactive</v>
      </c>
      <c r="D381" s="9"/>
      <c r="E381" s="9"/>
      <c r="F381" s="139"/>
      <c r="G381" s="201">
        <f t="shared" si="5"/>
        <v>0.1116187752037483</v>
      </c>
      <c r="H381" s="115"/>
      <c r="I381" s="115"/>
      <c r="J381" s="115"/>
      <c r="K381" s="115"/>
      <c r="L381" s="115"/>
      <c r="M381" s="9"/>
      <c r="N381" s="111"/>
      <c r="O381" s="150"/>
      <c r="P381" s="150"/>
      <c r="Q381" s="150"/>
      <c r="R381" s="100"/>
      <c r="S381" s="100"/>
      <c r="T381" s="100"/>
      <c r="U381" s="100"/>
      <c r="V381" s="100"/>
      <c r="W381" s="100"/>
      <c r="X381" s="100"/>
      <c r="Y381" s="100"/>
      <c r="Z381" s="100"/>
      <c r="AA381" s="228"/>
      <c r="AB381" s="228"/>
      <c r="AC381" s="228"/>
      <c r="AD381" s="228"/>
      <c r="AE381" s="228"/>
      <c r="AF381" s="228"/>
      <c r="AG381" s="228"/>
      <c r="AH381" s="228"/>
      <c r="AI381" s="228"/>
      <c r="AJ381" s="228"/>
      <c r="AK381" s="228"/>
      <c r="AL381" s="228"/>
      <c r="AM381" s="228"/>
      <c r="AN381" s="228"/>
      <c r="AO381" s="228"/>
      <c r="AP381" s="228"/>
      <c r="AQ381" s="228"/>
      <c r="AR381" s="228"/>
      <c r="AS381" s="228"/>
      <c r="AT381" s="228"/>
      <c r="AU381" s="228"/>
      <c r="AV381" s="228"/>
      <c r="AW381" s="228"/>
      <c r="AX381" s="228"/>
      <c r="AY381" s="228"/>
      <c r="AZ381" s="228"/>
      <c r="BA381" s="228"/>
      <c r="BB381" s="228"/>
      <c r="BC381" s="228"/>
      <c r="BD381" s="228"/>
      <c r="BE381" s="228"/>
      <c r="BF381" s="228"/>
      <c r="BG381" s="228"/>
      <c r="BH381" s="228"/>
      <c r="BI381" s="228"/>
      <c r="BJ381" s="221"/>
      <c r="BK381" s="221"/>
    </row>
    <row r="382" spans="1:63" hidden="1" outlineLevel="1">
      <c r="A382" s="9"/>
      <c r="B382" s="44"/>
      <c r="C382" s="127" t="str">
        <f>Asset5</f>
        <v>Towers and Conductor</v>
      </c>
      <c r="D382" s="9"/>
      <c r="E382" s="9"/>
      <c r="F382" s="139"/>
      <c r="G382" s="201">
        <f t="shared" si="5"/>
        <v>4.062234790419339E-3</v>
      </c>
      <c r="H382" s="115"/>
      <c r="I382" s="115"/>
      <c r="J382" s="115"/>
      <c r="K382" s="115"/>
      <c r="L382" s="115"/>
      <c r="M382" s="9"/>
      <c r="N382" s="111"/>
      <c r="O382" s="150"/>
      <c r="P382" s="150"/>
      <c r="Q382" s="150"/>
      <c r="R382" s="100"/>
      <c r="S382" s="100"/>
      <c r="T382" s="100"/>
      <c r="U382" s="100"/>
      <c r="V382" s="100"/>
      <c r="W382" s="100"/>
      <c r="X382" s="100"/>
      <c r="Y382" s="100"/>
      <c r="Z382" s="100"/>
      <c r="AA382" s="228"/>
      <c r="AB382" s="228"/>
      <c r="AC382" s="228"/>
      <c r="AD382" s="228"/>
      <c r="AE382" s="228"/>
      <c r="AF382" s="228"/>
      <c r="AG382" s="228"/>
      <c r="AH382" s="228"/>
      <c r="AI382" s="228"/>
      <c r="AJ382" s="228"/>
      <c r="AK382" s="228"/>
      <c r="AL382" s="228"/>
      <c r="AM382" s="228"/>
      <c r="AN382" s="228"/>
      <c r="AO382" s="228"/>
      <c r="AP382" s="228"/>
      <c r="AQ382" s="228"/>
      <c r="AR382" s="228"/>
      <c r="AS382" s="228"/>
      <c r="AT382" s="228"/>
      <c r="AU382" s="228"/>
      <c r="AV382" s="228"/>
      <c r="AW382" s="228"/>
      <c r="AX382" s="228"/>
      <c r="AY382" s="228"/>
      <c r="AZ382" s="228"/>
      <c r="BA382" s="228"/>
      <c r="BB382" s="228"/>
      <c r="BC382" s="228"/>
      <c r="BD382" s="228"/>
      <c r="BE382" s="228"/>
      <c r="BF382" s="228"/>
      <c r="BG382" s="228"/>
      <c r="BH382" s="228"/>
      <c r="BI382" s="228"/>
      <c r="BJ382" s="221"/>
      <c r="BK382" s="221"/>
    </row>
    <row r="383" spans="1:63" hidden="1" outlineLevel="1">
      <c r="A383" s="9"/>
      <c r="B383" s="44"/>
      <c r="C383" s="127" t="str">
        <f>Asset6</f>
        <v>Establishment</v>
      </c>
      <c r="D383" s="9"/>
      <c r="E383" s="9"/>
      <c r="F383" s="139"/>
      <c r="G383" s="201">
        <f t="shared" si="5"/>
        <v>2.28273309182212E-2</v>
      </c>
      <c r="H383" s="115"/>
      <c r="I383" s="115"/>
      <c r="J383" s="115"/>
      <c r="K383" s="115"/>
      <c r="L383" s="115"/>
      <c r="M383" s="9"/>
      <c r="N383" s="111"/>
      <c r="O383" s="150"/>
      <c r="P383" s="150"/>
      <c r="Q383" s="150"/>
      <c r="R383" s="100"/>
      <c r="S383" s="100"/>
      <c r="T383" s="100"/>
      <c r="U383" s="100"/>
      <c r="V383" s="100"/>
      <c r="W383" s="100"/>
      <c r="X383" s="100"/>
      <c r="Y383" s="100"/>
      <c r="Z383" s="100"/>
      <c r="AA383" s="228"/>
      <c r="AB383" s="228"/>
      <c r="AC383" s="228"/>
      <c r="AD383" s="228"/>
      <c r="AE383" s="228"/>
      <c r="AF383" s="228"/>
      <c r="AG383" s="228"/>
      <c r="AH383" s="228"/>
      <c r="AI383" s="228"/>
      <c r="AJ383" s="228"/>
      <c r="AK383" s="228"/>
      <c r="AL383" s="228"/>
      <c r="AM383" s="228"/>
      <c r="AN383" s="228"/>
      <c r="AO383" s="228"/>
      <c r="AP383" s="228"/>
      <c r="AQ383" s="228"/>
      <c r="AR383" s="228"/>
      <c r="AS383" s="228"/>
      <c r="AT383" s="228"/>
      <c r="AU383" s="228"/>
      <c r="AV383" s="228"/>
      <c r="AW383" s="228"/>
      <c r="AX383" s="228"/>
      <c r="AY383" s="228"/>
      <c r="AZ383" s="228"/>
      <c r="BA383" s="228"/>
      <c r="BB383" s="228"/>
      <c r="BC383" s="228"/>
      <c r="BD383" s="228"/>
      <c r="BE383" s="228"/>
      <c r="BF383" s="228"/>
      <c r="BG383" s="228"/>
      <c r="BH383" s="228"/>
      <c r="BI383" s="228"/>
      <c r="BJ383" s="221"/>
      <c r="BK383" s="221"/>
    </row>
    <row r="384" spans="1:63" hidden="1" outlineLevel="1">
      <c r="A384" s="9"/>
      <c r="B384" s="44"/>
      <c r="C384" s="127" t="str">
        <f>Asset7</f>
        <v>Communications</v>
      </c>
      <c r="D384" s="9"/>
      <c r="E384" s="9"/>
      <c r="F384" s="139"/>
      <c r="G384" s="201">
        <f t="shared" si="5"/>
        <v>4.5862382849803929E-3</v>
      </c>
      <c r="H384" s="115"/>
      <c r="I384" s="115"/>
      <c r="J384" s="115"/>
      <c r="K384" s="115"/>
      <c r="L384" s="115"/>
      <c r="M384" s="9"/>
      <c r="N384" s="111"/>
      <c r="O384" s="150"/>
      <c r="P384" s="150"/>
      <c r="Q384" s="150"/>
      <c r="R384" s="100"/>
      <c r="S384" s="100"/>
      <c r="T384" s="100"/>
      <c r="U384" s="100"/>
      <c r="V384" s="100"/>
      <c r="W384" s="100"/>
      <c r="X384" s="100"/>
      <c r="Y384" s="100"/>
      <c r="Z384" s="100"/>
      <c r="AA384" s="228"/>
      <c r="AB384" s="228"/>
      <c r="AC384" s="228"/>
      <c r="AD384" s="228"/>
      <c r="AE384" s="228"/>
      <c r="AF384" s="228"/>
      <c r="AG384" s="228"/>
      <c r="AH384" s="228"/>
      <c r="AI384" s="228"/>
      <c r="AJ384" s="228"/>
      <c r="AK384" s="228"/>
      <c r="AL384" s="228"/>
      <c r="AM384" s="228"/>
      <c r="AN384" s="228"/>
      <c r="AO384" s="228"/>
      <c r="AP384" s="228"/>
      <c r="AQ384" s="228"/>
      <c r="AR384" s="228"/>
      <c r="AS384" s="228"/>
      <c r="AT384" s="228"/>
      <c r="AU384" s="228"/>
      <c r="AV384" s="228"/>
      <c r="AW384" s="228"/>
      <c r="AX384" s="228"/>
      <c r="AY384" s="228"/>
      <c r="AZ384" s="228"/>
      <c r="BA384" s="228"/>
      <c r="BB384" s="228"/>
      <c r="BC384" s="228"/>
      <c r="BD384" s="228"/>
      <c r="BE384" s="228"/>
      <c r="BF384" s="228"/>
      <c r="BG384" s="228"/>
      <c r="BH384" s="228"/>
      <c r="BI384" s="228"/>
      <c r="BJ384" s="221"/>
      <c r="BK384" s="221"/>
    </row>
    <row r="385" spans="1:63" hidden="1" outlineLevel="1">
      <c r="A385" s="9"/>
      <c r="B385" s="44"/>
      <c r="C385" s="127" t="str">
        <f>Asset8</f>
        <v>Inventory</v>
      </c>
      <c r="D385" s="9"/>
      <c r="E385" s="9"/>
      <c r="F385" s="139"/>
      <c r="G385" s="201">
        <f t="shared" si="5"/>
        <v>0</v>
      </c>
      <c r="H385" s="115"/>
      <c r="I385" s="115"/>
      <c r="J385" s="115"/>
      <c r="K385" s="115"/>
      <c r="L385" s="115"/>
      <c r="M385" s="9"/>
      <c r="N385" s="111"/>
      <c r="O385" s="150"/>
      <c r="P385" s="150"/>
      <c r="Q385" s="150"/>
      <c r="R385" s="100"/>
      <c r="S385" s="100"/>
      <c r="T385" s="100"/>
      <c r="U385" s="100"/>
      <c r="V385" s="100"/>
      <c r="W385" s="100"/>
      <c r="X385" s="100"/>
      <c r="Y385" s="100"/>
      <c r="Z385" s="100"/>
      <c r="AA385" s="228"/>
      <c r="AB385" s="228"/>
      <c r="AC385" s="228"/>
      <c r="AD385" s="228"/>
      <c r="AE385" s="228"/>
      <c r="AF385" s="228"/>
      <c r="AG385" s="228"/>
      <c r="AH385" s="228"/>
      <c r="AI385" s="228"/>
      <c r="AJ385" s="228"/>
      <c r="AK385" s="228"/>
      <c r="AL385" s="228"/>
      <c r="AM385" s="228"/>
      <c r="AN385" s="228"/>
      <c r="AO385" s="228"/>
      <c r="AP385" s="228"/>
      <c r="AQ385" s="228"/>
      <c r="AR385" s="228"/>
      <c r="AS385" s="228"/>
      <c r="AT385" s="228"/>
      <c r="AU385" s="228"/>
      <c r="AV385" s="228"/>
      <c r="AW385" s="228"/>
      <c r="AX385" s="228"/>
      <c r="AY385" s="228"/>
      <c r="AZ385" s="228"/>
      <c r="BA385" s="228"/>
      <c r="BB385" s="228"/>
      <c r="BC385" s="228"/>
      <c r="BD385" s="228"/>
      <c r="BE385" s="228"/>
      <c r="BF385" s="228"/>
      <c r="BG385" s="228"/>
      <c r="BH385" s="228"/>
      <c r="BI385" s="228"/>
      <c r="BJ385" s="221"/>
      <c r="BK385" s="221"/>
    </row>
    <row r="386" spans="1:63" hidden="1" outlineLevel="1">
      <c r="A386" s="9"/>
      <c r="B386" s="44"/>
      <c r="C386" s="127" t="str">
        <f>Asset9</f>
        <v>IT</v>
      </c>
      <c r="D386" s="9"/>
      <c r="E386" s="9"/>
      <c r="F386" s="139"/>
      <c r="G386" s="201">
        <f t="shared" si="5"/>
        <v>0</v>
      </c>
      <c r="H386" s="115"/>
      <c r="I386" s="115"/>
      <c r="J386" s="115"/>
      <c r="K386" s="115"/>
      <c r="L386" s="115"/>
      <c r="M386" s="9"/>
      <c r="N386" s="111"/>
      <c r="O386" s="150"/>
      <c r="P386" s="150"/>
      <c r="Q386" s="150"/>
      <c r="R386" s="100"/>
      <c r="S386" s="100"/>
      <c r="T386" s="100"/>
      <c r="U386" s="100"/>
      <c r="V386" s="100"/>
      <c r="W386" s="100"/>
      <c r="X386" s="100"/>
      <c r="Y386" s="100"/>
      <c r="Z386" s="100"/>
      <c r="AA386" s="228"/>
      <c r="AB386" s="228"/>
      <c r="AC386" s="228"/>
      <c r="AD386" s="228"/>
      <c r="AE386" s="228"/>
      <c r="AF386" s="228"/>
      <c r="AG386" s="228"/>
      <c r="AH386" s="228"/>
      <c r="AI386" s="228"/>
      <c r="AJ386" s="228"/>
      <c r="AK386" s="228"/>
      <c r="AL386" s="228"/>
      <c r="AM386" s="228"/>
      <c r="AN386" s="228"/>
      <c r="AO386" s="228"/>
      <c r="AP386" s="228"/>
      <c r="AQ386" s="228"/>
      <c r="AR386" s="228"/>
      <c r="AS386" s="228"/>
      <c r="AT386" s="228"/>
      <c r="AU386" s="228"/>
      <c r="AV386" s="228"/>
      <c r="AW386" s="228"/>
      <c r="AX386" s="228"/>
      <c r="AY386" s="228"/>
      <c r="AZ386" s="228"/>
      <c r="BA386" s="228"/>
      <c r="BB386" s="228"/>
      <c r="BC386" s="228"/>
      <c r="BD386" s="228"/>
      <c r="BE386" s="228"/>
      <c r="BF386" s="228"/>
      <c r="BG386" s="228"/>
      <c r="BH386" s="228"/>
      <c r="BI386" s="228"/>
      <c r="BJ386" s="221"/>
      <c r="BK386" s="221"/>
    </row>
    <row r="387" spans="1:63" hidden="1" outlineLevel="1">
      <c r="A387" s="9"/>
      <c r="B387" s="44"/>
      <c r="C387" s="127" t="str">
        <f>Asset10</f>
        <v>Vehicles</v>
      </c>
      <c r="D387" s="9"/>
      <c r="E387" s="9"/>
      <c r="F387" s="139"/>
      <c r="G387" s="201">
        <f t="shared" si="5"/>
        <v>0</v>
      </c>
      <c r="H387" s="115"/>
      <c r="I387" s="115"/>
      <c r="J387" s="115"/>
      <c r="K387" s="115"/>
      <c r="L387" s="115"/>
      <c r="M387" s="9"/>
      <c r="N387" s="111"/>
      <c r="O387" s="150"/>
      <c r="P387" s="150"/>
      <c r="Q387" s="150"/>
      <c r="R387" s="100"/>
      <c r="S387" s="100"/>
      <c r="T387" s="100"/>
      <c r="U387" s="100"/>
      <c r="V387" s="100"/>
      <c r="W387" s="100"/>
      <c r="X387" s="100"/>
      <c r="Y387" s="100"/>
      <c r="Z387" s="100"/>
      <c r="AA387" s="228"/>
      <c r="AB387" s="228"/>
      <c r="AC387" s="228"/>
      <c r="AD387" s="228"/>
      <c r="AE387" s="228"/>
      <c r="AF387" s="228"/>
      <c r="AG387" s="228"/>
      <c r="AH387" s="228"/>
      <c r="AI387" s="228"/>
      <c r="AJ387" s="228"/>
      <c r="AK387" s="228"/>
      <c r="AL387" s="228"/>
      <c r="AM387" s="228"/>
      <c r="AN387" s="228"/>
      <c r="AO387" s="228"/>
      <c r="AP387" s="228"/>
      <c r="AQ387" s="228"/>
      <c r="AR387" s="228"/>
      <c r="AS387" s="228"/>
      <c r="AT387" s="228"/>
      <c r="AU387" s="228"/>
      <c r="AV387" s="228"/>
      <c r="AW387" s="228"/>
      <c r="AX387" s="228"/>
      <c r="AY387" s="228"/>
      <c r="AZ387" s="228"/>
      <c r="BA387" s="228"/>
      <c r="BB387" s="228"/>
      <c r="BC387" s="228"/>
      <c r="BD387" s="228"/>
      <c r="BE387" s="228"/>
      <c r="BF387" s="228"/>
      <c r="BG387" s="228"/>
      <c r="BH387" s="228"/>
      <c r="BI387" s="228"/>
      <c r="BJ387" s="221"/>
      <c r="BK387" s="221"/>
    </row>
    <row r="388" spans="1:63" hidden="1" outlineLevel="1">
      <c r="A388" s="9"/>
      <c r="B388" s="44"/>
      <c r="C388" s="127" t="str">
        <f>Asset11</f>
        <v>other</v>
      </c>
      <c r="D388" s="9"/>
      <c r="E388" s="9"/>
      <c r="F388" s="139"/>
      <c r="G388" s="201">
        <f t="shared" si="5"/>
        <v>0</v>
      </c>
      <c r="H388" s="115"/>
      <c r="I388" s="115"/>
      <c r="J388" s="115"/>
      <c r="K388" s="115"/>
      <c r="L388" s="115"/>
      <c r="M388" s="9"/>
      <c r="N388" s="111"/>
      <c r="O388" s="150"/>
      <c r="P388" s="150"/>
      <c r="Q388" s="150"/>
      <c r="R388" s="100"/>
      <c r="S388" s="100"/>
      <c r="T388" s="100"/>
      <c r="U388" s="100"/>
      <c r="V388" s="100"/>
      <c r="W388" s="100"/>
      <c r="X388" s="100"/>
      <c r="Y388" s="100"/>
      <c r="Z388" s="100"/>
      <c r="AA388" s="228"/>
      <c r="AB388" s="228"/>
      <c r="AC388" s="228"/>
      <c r="AD388" s="228"/>
      <c r="AE388" s="228"/>
      <c r="AF388" s="228"/>
      <c r="AG388" s="228"/>
      <c r="AH388" s="228"/>
      <c r="AI388" s="228"/>
      <c r="AJ388" s="228"/>
      <c r="AK388" s="228"/>
      <c r="AL388" s="228"/>
      <c r="AM388" s="228"/>
      <c r="AN388" s="228"/>
      <c r="AO388" s="228"/>
      <c r="AP388" s="228"/>
      <c r="AQ388" s="228"/>
      <c r="AR388" s="228"/>
      <c r="AS388" s="228"/>
      <c r="AT388" s="228"/>
      <c r="AU388" s="228"/>
      <c r="AV388" s="228"/>
      <c r="AW388" s="228"/>
      <c r="AX388" s="228"/>
      <c r="AY388" s="228"/>
      <c r="AZ388" s="228"/>
      <c r="BA388" s="228"/>
      <c r="BB388" s="228"/>
      <c r="BC388" s="228"/>
      <c r="BD388" s="228"/>
      <c r="BE388" s="228"/>
      <c r="BF388" s="228"/>
      <c r="BG388" s="228"/>
      <c r="BH388" s="228"/>
      <c r="BI388" s="228"/>
      <c r="BJ388" s="221"/>
      <c r="BK388" s="221"/>
    </row>
    <row r="389" spans="1:63" hidden="1" outlineLevel="1">
      <c r="A389" s="9"/>
      <c r="B389" s="44"/>
      <c r="C389" s="127" t="str">
        <f>Asset12</f>
        <v>premises</v>
      </c>
      <c r="D389" s="9"/>
      <c r="E389" s="9"/>
      <c r="F389" s="139"/>
      <c r="G389" s="201">
        <f t="shared" si="5"/>
        <v>0</v>
      </c>
      <c r="H389" s="115"/>
      <c r="I389" s="115"/>
      <c r="J389" s="115"/>
      <c r="K389" s="115"/>
      <c r="L389" s="115"/>
      <c r="M389" s="9"/>
      <c r="N389" s="111"/>
      <c r="O389" s="150"/>
      <c r="P389" s="150"/>
      <c r="Q389" s="150"/>
      <c r="R389" s="100"/>
      <c r="S389" s="100"/>
      <c r="T389" s="100"/>
      <c r="U389" s="100"/>
      <c r="V389" s="100"/>
      <c r="W389" s="100"/>
      <c r="X389" s="100"/>
      <c r="Y389" s="100"/>
      <c r="Z389" s="100"/>
      <c r="AA389" s="228"/>
      <c r="AB389" s="228"/>
      <c r="AC389" s="228"/>
      <c r="AD389" s="228"/>
      <c r="AE389" s="228"/>
      <c r="AF389" s="228"/>
      <c r="AG389" s="228"/>
      <c r="AH389" s="228"/>
      <c r="AI389" s="228"/>
      <c r="AJ389" s="228"/>
      <c r="AK389" s="228"/>
      <c r="AL389" s="228"/>
      <c r="AM389" s="228"/>
      <c r="AN389" s="228"/>
      <c r="AO389" s="228"/>
      <c r="AP389" s="228"/>
      <c r="AQ389" s="228"/>
      <c r="AR389" s="228"/>
      <c r="AS389" s="228"/>
      <c r="AT389" s="228"/>
      <c r="AU389" s="228"/>
      <c r="AV389" s="228"/>
      <c r="AW389" s="228"/>
      <c r="AX389" s="228"/>
      <c r="AY389" s="228"/>
      <c r="AZ389" s="228"/>
      <c r="BA389" s="228"/>
      <c r="BB389" s="228"/>
      <c r="BC389" s="228"/>
      <c r="BD389" s="228"/>
      <c r="BE389" s="228"/>
      <c r="BF389" s="228"/>
      <c r="BG389" s="228"/>
      <c r="BH389" s="228"/>
      <c r="BI389" s="228"/>
      <c r="BJ389" s="221"/>
      <c r="BK389" s="221"/>
    </row>
    <row r="390" spans="1:63" hidden="1" outlineLevel="1">
      <c r="A390" s="9"/>
      <c r="B390" s="44"/>
      <c r="C390" s="127" t="str">
        <f>Asset13</f>
        <v>Land</v>
      </c>
      <c r="D390" s="9"/>
      <c r="E390" s="9"/>
      <c r="F390" s="139"/>
      <c r="G390" s="201">
        <f t="shared" si="5"/>
        <v>0</v>
      </c>
      <c r="H390" s="115"/>
      <c r="I390" s="115"/>
      <c r="J390" s="115"/>
      <c r="K390" s="115"/>
      <c r="L390" s="115"/>
      <c r="M390" s="9"/>
      <c r="N390" s="111"/>
      <c r="O390" s="150"/>
      <c r="P390" s="150"/>
      <c r="Q390" s="150"/>
      <c r="R390" s="100"/>
      <c r="S390" s="100"/>
      <c r="T390" s="100"/>
      <c r="U390" s="100"/>
      <c r="V390" s="100"/>
      <c r="W390" s="100"/>
      <c r="X390" s="100"/>
      <c r="Y390" s="100"/>
      <c r="Z390" s="100"/>
      <c r="AA390" s="228"/>
      <c r="AB390" s="228"/>
      <c r="AC390" s="228"/>
      <c r="AD390" s="228"/>
      <c r="AE390" s="228"/>
      <c r="AF390" s="228"/>
      <c r="AG390" s="228"/>
      <c r="AH390" s="228"/>
      <c r="AI390" s="228"/>
      <c r="AJ390" s="228"/>
      <c r="AK390" s="228"/>
      <c r="AL390" s="228"/>
      <c r="AM390" s="228"/>
      <c r="AN390" s="228"/>
      <c r="AO390" s="228"/>
      <c r="AP390" s="228"/>
      <c r="AQ390" s="228"/>
      <c r="AR390" s="228"/>
      <c r="AS390" s="228"/>
      <c r="AT390" s="228"/>
      <c r="AU390" s="228"/>
      <c r="AV390" s="228"/>
      <c r="AW390" s="228"/>
      <c r="AX390" s="228"/>
      <c r="AY390" s="228"/>
      <c r="AZ390" s="228"/>
      <c r="BA390" s="228"/>
      <c r="BB390" s="228"/>
      <c r="BC390" s="228"/>
      <c r="BD390" s="228"/>
      <c r="BE390" s="228"/>
      <c r="BF390" s="228"/>
      <c r="BG390" s="228"/>
      <c r="BH390" s="228"/>
      <c r="BI390" s="228"/>
      <c r="BJ390" s="221"/>
      <c r="BK390" s="221"/>
    </row>
    <row r="391" spans="1:63" hidden="1" outlineLevel="1">
      <c r="A391" s="9"/>
      <c r="B391" s="44"/>
      <c r="C391" s="127" t="str">
        <f>Asset14</f>
        <v>Easements</v>
      </c>
      <c r="D391" s="9"/>
      <c r="E391" s="9"/>
      <c r="F391" s="139"/>
      <c r="G391" s="201">
        <f t="shared" si="5"/>
        <v>0</v>
      </c>
      <c r="H391" s="115"/>
      <c r="I391" s="115"/>
      <c r="J391" s="115"/>
      <c r="K391" s="115"/>
      <c r="L391" s="115"/>
      <c r="M391" s="9"/>
      <c r="N391" s="111"/>
      <c r="O391" s="150"/>
      <c r="P391" s="150"/>
      <c r="Q391" s="150"/>
      <c r="R391" s="100"/>
      <c r="S391" s="100"/>
      <c r="T391" s="100"/>
      <c r="U391" s="100"/>
      <c r="V391" s="100"/>
      <c r="W391" s="100"/>
      <c r="X391" s="100"/>
      <c r="Y391" s="100"/>
      <c r="Z391" s="100"/>
      <c r="AA391" s="228"/>
      <c r="AB391" s="228"/>
      <c r="AC391" s="228"/>
      <c r="AD391" s="228"/>
      <c r="AE391" s="228"/>
      <c r="AF391" s="228"/>
      <c r="AG391" s="228"/>
      <c r="AH391" s="228"/>
      <c r="AI391" s="228"/>
      <c r="AJ391" s="228"/>
      <c r="AK391" s="228"/>
      <c r="AL391" s="228"/>
      <c r="AM391" s="228"/>
      <c r="AN391" s="228"/>
      <c r="AO391" s="228"/>
      <c r="AP391" s="228"/>
      <c r="AQ391" s="228"/>
      <c r="AR391" s="228"/>
      <c r="AS391" s="228"/>
      <c r="AT391" s="228"/>
      <c r="AU391" s="228"/>
      <c r="AV391" s="228"/>
      <c r="AW391" s="228"/>
      <c r="AX391" s="228"/>
      <c r="AY391" s="228"/>
      <c r="AZ391" s="228"/>
      <c r="BA391" s="228"/>
      <c r="BB391" s="228"/>
      <c r="BC391" s="228"/>
      <c r="BD391" s="228"/>
      <c r="BE391" s="228"/>
      <c r="BF391" s="228"/>
      <c r="BG391" s="228"/>
      <c r="BH391" s="228"/>
      <c r="BI391" s="228"/>
      <c r="BJ391" s="221"/>
      <c r="BK391" s="221"/>
    </row>
    <row r="392" spans="1:63" hidden="1" outlineLevel="1">
      <c r="A392" s="9"/>
      <c r="B392" s="44"/>
      <c r="C392" s="127">
        <f>Asset15</f>
        <v>0</v>
      </c>
      <c r="D392" s="9"/>
      <c r="E392" s="9"/>
      <c r="F392" s="139"/>
      <c r="G392" s="201">
        <f t="shared" si="5"/>
        <v>0</v>
      </c>
      <c r="H392" s="115"/>
      <c r="I392" s="115"/>
      <c r="J392" s="115"/>
      <c r="K392" s="115"/>
      <c r="L392" s="115"/>
      <c r="M392" s="9"/>
      <c r="N392" s="111"/>
      <c r="O392" s="150"/>
      <c r="P392" s="150"/>
      <c r="Q392" s="150"/>
      <c r="R392" s="100"/>
      <c r="S392" s="100"/>
      <c r="T392" s="100"/>
      <c r="U392" s="100"/>
      <c r="V392" s="100"/>
      <c r="W392" s="100"/>
      <c r="X392" s="100"/>
      <c r="Y392" s="100"/>
      <c r="Z392" s="100"/>
      <c r="AA392" s="228"/>
      <c r="AB392" s="228"/>
      <c r="AC392" s="228"/>
      <c r="AD392" s="228"/>
      <c r="AE392" s="228"/>
      <c r="AF392" s="228"/>
      <c r="AG392" s="228"/>
      <c r="AH392" s="228"/>
      <c r="AI392" s="228"/>
      <c r="AJ392" s="228"/>
      <c r="AK392" s="228"/>
      <c r="AL392" s="228"/>
      <c r="AM392" s="228"/>
      <c r="AN392" s="228"/>
      <c r="AO392" s="228"/>
      <c r="AP392" s="228"/>
      <c r="AQ392" s="228"/>
      <c r="AR392" s="228"/>
      <c r="AS392" s="228"/>
      <c r="AT392" s="228"/>
      <c r="AU392" s="228"/>
      <c r="AV392" s="228"/>
      <c r="AW392" s="228"/>
      <c r="AX392" s="228"/>
      <c r="AY392" s="228"/>
      <c r="AZ392" s="228"/>
      <c r="BA392" s="228"/>
      <c r="BB392" s="228"/>
      <c r="BC392" s="228"/>
      <c r="BD392" s="228"/>
      <c r="BE392" s="228"/>
      <c r="BF392" s="228"/>
      <c r="BG392" s="228"/>
      <c r="BH392" s="228"/>
      <c r="BI392" s="228"/>
      <c r="BJ392" s="221"/>
      <c r="BK392" s="221"/>
    </row>
    <row r="393" spans="1:63" hidden="1" outlineLevel="1">
      <c r="A393" s="9"/>
      <c r="B393" s="44"/>
      <c r="C393" s="127">
        <f>Asset16</f>
        <v>0</v>
      </c>
      <c r="D393" s="9"/>
      <c r="E393" s="9"/>
      <c r="F393" s="139"/>
      <c r="G393" s="201">
        <f t="shared" si="5"/>
        <v>0</v>
      </c>
      <c r="H393" s="115"/>
      <c r="I393" s="115"/>
      <c r="J393" s="115"/>
      <c r="K393" s="115"/>
      <c r="L393" s="115"/>
      <c r="M393" s="9"/>
      <c r="N393" s="111"/>
      <c r="O393" s="150"/>
      <c r="P393" s="150"/>
      <c r="Q393" s="150"/>
      <c r="R393" s="100"/>
      <c r="S393" s="100"/>
      <c r="T393" s="100"/>
      <c r="U393" s="100"/>
      <c r="V393" s="100"/>
      <c r="W393" s="100"/>
      <c r="X393" s="100"/>
      <c r="Y393" s="100"/>
      <c r="Z393" s="100"/>
      <c r="AA393" s="228"/>
      <c r="AB393" s="228"/>
      <c r="AC393" s="228"/>
      <c r="AD393" s="228"/>
      <c r="AE393" s="228"/>
      <c r="AF393" s="228"/>
      <c r="AG393" s="228"/>
      <c r="AH393" s="228"/>
      <c r="AI393" s="228"/>
      <c r="AJ393" s="228"/>
      <c r="AK393" s="228"/>
      <c r="AL393" s="228"/>
      <c r="AM393" s="228"/>
      <c r="AN393" s="228"/>
      <c r="AO393" s="228"/>
      <c r="AP393" s="228"/>
      <c r="AQ393" s="228"/>
      <c r="AR393" s="228"/>
      <c r="AS393" s="228"/>
      <c r="AT393" s="228"/>
      <c r="AU393" s="228"/>
      <c r="AV393" s="228"/>
      <c r="AW393" s="228"/>
      <c r="AX393" s="228"/>
      <c r="AY393" s="228"/>
      <c r="AZ393" s="228"/>
      <c r="BA393" s="228"/>
      <c r="BB393" s="228"/>
      <c r="BC393" s="228"/>
      <c r="BD393" s="228"/>
      <c r="BE393" s="228"/>
      <c r="BF393" s="228"/>
      <c r="BG393" s="228"/>
      <c r="BH393" s="228"/>
      <c r="BI393" s="228"/>
      <c r="BJ393" s="221"/>
      <c r="BK393" s="221"/>
    </row>
    <row r="394" spans="1:63" hidden="1" outlineLevel="1">
      <c r="A394" s="9"/>
      <c r="B394" s="44"/>
      <c r="C394" s="127">
        <f>Asset17</f>
        <v>0</v>
      </c>
      <c r="D394" s="9"/>
      <c r="E394" s="9"/>
      <c r="F394" s="139"/>
      <c r="G394" s="201">
        <f t="shared" si="5"/>
        <v>0</v>
      </c>
      <c r="H394" s="115"/>
      <c r="I394" s="115"/>
      <c r="J394" s="115"/>
      <c r="K394" s="115"/>
      <c r="L394" s="115"/>
      <c r="M394" s="9"/>
      <c r="N394" s="111"/>
      <c r="O394" s="150"/>
      <c r="P394" s="150"/>
      <c r="Q394" s="150"/>
      <c r="R394" s="100"/>
      <c r="S394" s="100"/>
      <c r="T394" s="100"/>
      <c r="U394" s="100"/>
      <c r="V394" s="100"/>
      <c r="W394" s="100"/>
      <c r="X394" s="100"/>
      <c r="Y394" s="100"/>
      <c r="Z394" s="100"/>
      <c r="AA394" s="228"/>
      <c r="AB394" s="228"/>
      <c r="AC394" s="228"/>
      <c r="AD394" s="228"/>
      <c r="AE394" s="228"/>
      <c r="AF394" s="228"/>
      <c r="AG394" s="228"/>
      <c r="AH394" s="228"/>
      <c r="AI394" s="228"/>
      <c r="AJ394" s="228"/>
      <c r="AK394" s="228"/>
      <c r="AL394" s="228"/>
      <c r="AM394" s="228"/>
      <c r="AN394" s="228"/>
      <c r="AO394" s="228"/>
      <c r="AP394" s="228"/>
      <c r="AQ394" s="228"/>
      <c r="AR394" s="228"/>
      <c r="AS394" s="228"/>
      <c r="AT394" s="228"/>
      <c r="AU394" s="228"/>
      <c r="AV394" s="228"/>
      <c r="AW394" s="228"/>
      <c r="AX394" s="228"/>
      <c r="AY394" s="228"/>
      <c r="AZ394" s="228"/>
      <c r="BA394" s="228"/>
      <c r="BB394" s="228"/>
      <c r="BC394" s="228"/>
      <c r="BD394" s="228"/>
      <c r="BE394" s="228"/>
      <c r="BF394" s="228"/>
      <c r="BG394" s="228"/>
      <c r="BH394" s="228"/>
      <c r="BI394" s="228"/>
      <c r="BJ394" s="221"/>
      <c r="BK394" s="221"/>
    </row>
    <row r="395" spans="1:63" hidden="1" outlineLevel="1">
      <c r="A395" s="9"/>
      <c r="B395" s="44"/>
      <c r="C395" s="127">
        <f>Asset18</f>
        <v>0</v>
      </c>
      <c r="D395" s="9"/>
      <c r="E395" s="9"/>
      <c r="F395" s="139"/>
      <c r="G395" s="201">
        <f t="shared" si="5"/>
        <v>0</v>
      </c>
      <c r="H395" s="115"/>
      <c r="I395" s="115"/>
      <c r="J395" s="115"/>
      <c r="K395" s="115"/>
      <c r="L395" s="115"/>
      <c r="M395" s="9"/>
      <c r="N395" s="111"/>
      <c r="O395" s="150"/>
      <c r="P395" s="150"/>
      <c r="Q395" s="150"/>
      <c r="R395" s="100"/>
      <c r="S395" s="100"/>
      <c r="T395" s="100"/>
      <c r="U395" s="100"/>
      <c r="V395" s="100"/>
      <c r="W395" s="100"/>
      <c r="X395" s="100"/>
      <c r="Y395" s="100"/>
      <c r="Z395" s="100"/>
      <c r="AA395" s="228"/>
      <c r="AB395" s="228"/>
      <c r="AC395" s="228"/>
      <c r="AD395" s="228"/>
      <c r="AE395" s="228"/>
      <c r="AF395" s="228"/>
      <c r="AG395" s="228"/>
      <c r="AH395" s="228"/>
      <c r="AI395" s="228"/>
      <c r="AJ395" s="228"/>
      <c r="AK395" s="228"/>
      <c r="AL395" s="228"/>
      <c r="AM395" s="228"/>
      <c r="AN395" s="228"/>
      <c r="AO395" s="228"/>
      <c r="AP395" s="228"/>
      <c r="AQ395" s="228"/>
      <c r="AR395" s="228"/>
      <c r="AS395" s="228"/>
      <c r="AT395" s="228"/>
      <c r="AU395" s="228"/>
      <c r="AV395" s="228"/>
      <c r="AW395" s="228"/>
      <c r="AX395" s="228"/>
      <c r="AY395" s="228"/>
      <c r="AZ395" s="228"/>
      <c r="BA395" s="228"/>
      <c r="BB395" s="228"/>
      <c r="BC395" s="228"/>
      <c r="BD395" s="228"/>
      <c r="BE395" s="228"/>
      <c r="BF395" s="228"/>
      <c r="BG395" s="228"/>
      <c r="BH395" s="228"/>
      <c r="BI395" s="228"/>
      <c r="BJ395" s="221"/>
      <c r="BK395" s="221"/>
    </row>
    <row r="396" spans="1:63" hidden="1" outlineLevel="1">
      <c r="A396" s="9"/>
      <c r="B396" s="44"/>
      <c r="C396" s="127">
        <f>Asset19</f>
        <v>0</v>
      </c>
      <c r="D396" s="9"/>
      <c r="E396" s="9"/>
      <c r="F396" s="139"/>
      <c r="G396" s="201">
        <f t="shared" si="5"/>
        <v>0</v>
      </c>
      <c r="H396" s="115"/>
      <c r="I396" s="115"/>
      <c r="J396" s="115"/>
      <c r="K396" s="115"/>
      <c r="L396" s="115"/>
      <c r="M396" s="9"/>
      <c r="N396" s="111"/>
      <c r="O396" s="150"/>
      <c r="P396" s="150"/>
      <c r="Q396" s="150"/>
      <c r="R396" s="100"/>
      <c r="S396" s="100"/>
      <c r="T396" s="100"/>
      <c r="U396" s="100"/>
      <c r="V396" s="100"/>
      <c r="W396" s="100"/>
      <c r="X396" s="100"/>
      <c r="Y396" s="100"/>
      <c r="Z396" s="100"/>
      <c r="AA396" s="228"/>
      <c r="AB396" s="228"/>
      <c r="AC396" s="228"/>
      <c r="AD396" s="228"/>
      <c r="AE396" s="228"/>
      <c r="AF396" s="228"/>
      <c r="AG396" s="228"/>
      <c r="AH396" s="228"/>
      <c r="AI396" s="228"/>
      <c r="AJ396" s="228"/>
      <c r="AK396" s="228"/>
      <c r="AL396" s="228"/>
      <c r="AM396" s="228"/>
      <c r="AN396" s="228"/>
      <c r="AO396" s="228"/>
      <c r="AP396" s="228"/>
      <c r="AQ396" s="228"/>
      <c r="AR396" s="228"/>
      <c r="AS396" s="228"/>
      <c r="AT396" s="228"/>
      <c r="AU396" s="228"/>
      <c r="AV396" s="228"/>
      <c r="AW396" s="228"/>
      <c r="AX396" s="228"/>
      <c r="AY396" s="228"/>
      <c r="AZ396" s="228"/>
      <c r="BA396" s="228"/>
      <c r="BB396" s="228"/>
      <c r="BC396" s="228"/>
      <c r="BD396" s="228"/>
      <c r="BE396" s="228"/>
      <c r="BF396" s="228"/>
      <c r="BG396" s="228"/>
      <c r="BH396" s="228"/>
      <c r="BI396" s="228"/>
      <c r="BJ396" s="221"/>
      <c r="BK396" s="221"/>
    </row>
    <row r="397" spans="1:63" hidden="1" outlineLevel="1">
      <c r="A397" s="9"/>
      <c r="B397" s="44"/>
      <c r="C397" s="127">
        <f>Asset20</f>
        <v>0</v>
      </c>
      <c r="D397" s="9"/>
      <c r="E397" s="9"/>
      <c r="F397" s="139"/>
      <c r="G397" s="201">
        <f t="shared" si="5"/>
        <v>0</v>
      </c>
      <c r="H397" s="115"/>
      <c r="I397" s="115"/>
      <c r="J397" s="115"/>
      <c r="K397" s="115"/>
      <c r="L397" s="115"/>
      <c r="M397" s="9"/>
      <c r="N397" s="111"/>
      <c r="O397" s="150"/>
      <c r="P397" s="150"/>
      <c r="Q397" s="150"/>
      <c r="R397" s="100"/>
      <c r="S397" s="100"/>
      <c r="T397" s="100"/>
      <c r="U397" s="100"/>
      <c r="V397" s="100"/>
      <c r="W397" s="100"/>
      <c r="X397" s="100"/>
      <c r="Y397" s="100"/>
      <c r="Z397" s="100"/>
      <c r="AA397" s="228"/>
      <c r="AB397" s="228"/>
      <c r="AC397" s="228"/>
      <c r="AD397" s="228"/>
      <c r="AE397" s="228"/>
      <c r="AF397" s="228"/>
      <c r="AG397" s="228"/>
      <c r="AH397" s="228"/>
      <c r="AI397" s="228"/>
      <c r="AJ397" s="228"/>
      <c r="AK397" s="228"/>
      <c r="AL397" s="228"/>
      <c r="AM397" s="228"/>
      <c r="AN397" s="228"/>
      <c r="AO397" s="228"/>
      <c r="AP397" s="228"/>
      <c r="AQ397" s="228"/>
      <c r="AR397" s="228"/>
      <c r="AS397" s="228"/>
      <c r="AT397" s="228"/>
      <c r="AU397" s="228"/>
      <c r="AV397" s="228"/>
      <c r="AW397" s="228"/>
      <c r="AX397" s="228"/>
      <c r="AY397" s="228"/>
      <c r="AZ397" s="228"/>
      <c r="BA397" s="228"/>
      <c r="BB397" s="228"/>
      <c r="BC397" s="228"/>
      <c r="BD397" s="228"/>
      <c r="BE397" s="228"/>
      <c r="BF397" s="228"/>
      <c r="BG397" s="228"/>
      <c r="BH397" s="228"/>
      <c r="BI397" s="228"/>
      <c r="BJ397" s="221"/>
      <c r="BK397" s="221"/>
    </row>
    <row r="398" spans="1:63" collapsed="1">
      <c r="A398" s="9"/>
      <c r="B398" s="151"/>
      <c r="C398" s="26"/>
      <c r="D398" s="9"/>
      <c r="E398" s="9"/>
      <c r="F398" s="139"/>
      <c r="G398" s="203"/>
      <c r="H398" s="115"/>
      <c r="I398" s="115"/>
      <c r="J398" s="115"/>
      <c r="K398" s="115"/>
      <c r="L398" s="115"/>
      <c r="M398" s="9"/>
      <c r="N398" s="111"/>
      <c r="O398" s="150"/>
      <c r="P398" s="150"/>
      <c r="Q398" s="150"/>
      <c r="R398" s="100"/>
      <c r="S398" s="100"/>
      <c r="T398" s="100"/>
      <c r="U398" s="100"/>
      <c r="V398" s="100"/>
      <c r="W398" s="100"/>
      <c r="X398" s="100"/>
      <c r="Y398" s="100"/>
      <c r="Z398" s="100"/>
      <c r="AA398" s="228"/>
      <c r="AB398" s="228"/>
      <c r="AC398" s="228"/>
      <c r="AD398" s="228"/>
      <c r="AE398" s="228"/>
      <c r="AF398" s="228"/>
      <c r="AG398" s="228"/>
      <c r="AH398" s="228"/>
      <c r="AI398" s="228"/>
      <c r="AJ398" s="228"/>
      <c r="AK398" s="228"/>
      <c r="AL398" s="228"/>
      <c r="AM398" s="228"/>
      <c r="AN398" s="228"/>
      <c r="AO398" s="228"/>
      <c r="AP398" s="228"/>
      <c r="AQ398" s="228"/>
      <c r="AR398" s="228"/>
      <c r="AS398" s="228"/>
      <c r="AT398" s="228"/>
      <c r="AU398" s="228"/>
      <c r="AV398" s="228"/>
      <c r="AW398" s="228"/>
      <c r="AX398" s="228"/>
      <c r="AY398" s="228"/>
      <c r="AZ398" s="228"/>
      <c r="BA398" s="228"/>
      <c r="BB398" s="228"/>
      <c r="BC398" s="228"/>
      <c r="BD398" s="228"/>
      <c r="BE398" s="228"/>
      <c r="BF398" s="228"/>
      <c r="BG398" s="228"/>
      <c r="BH398" s="228"/>
      <c r="BI398" s="228"/>
      <c r="BJ398" s="221"/>
      <c r="BK398" s="221"/>
    </row>
    <row r="399" spans="1:63">
      <c r="A399" s="9"/>
      <c r="B399" s="347" t="s">
        <v>157</v>
      </c>
      <c r="C399" s="26"/>
      <c r="D399" s="9"/>
      <c r="E399" s="9"/>
      <c r="F399" s="139"/>
      <c r="G399" s="203"/>
      <c r="H399" s="115">
        <f t="shared" ref="H399:Q399" si="6">SUM(H400,H402,H404,H406,H408,H410,H412,H414,H416,H418,H420,H422,H424,H426,H428,H430,H432,H434,H436,H438)</f>
        <v>7.2808969788124719E-2</v>
      </c>
      <c r="I399" s="115">
        <f t="shared" si="6"/>
        <v>6.8312117589260701E-2</v>
      </c>
      <c r="J399" s="115">
        <f t="shared" si="6"/>
        <v>7.9347948370365462E-2</v>
      </c>
      <c r="K399" s="115">
        <f t="shared" si="6"/>
        <v>9.1404523098630036E-2</v>
      </c>
      <c r="L399" s="364">
        <f t="shared" si="6"/>
        <v>9.1428233060699221E-2</v>
      </c>
      <c r="M399" s="364">
        <f t="shared" ref="M399" si="7">SUM(M400,M402,M404,M406,M408,M410,M412,M414,M416,M418,M420,M422,M424,M426,M428,M430,M432,M434,M436,M438)</f>
        <v>0.10335975013256776</v>
      </c>
      <c r="N399" s="115">
        <f t="shared" si="6"/>
        <v>0</v>
      </c>
      <c r="O399" s="115">
        <f t="shared" si="6"/>
        <v>0</v>
      </c>
      <c r="P399" s="115">
        <f t="shared" si="6"/>
        <v>0</v>
      </c>
      <c r="Q399" s="115">
        <f t="shared" si="6"/>
        <v>0</v>
      </c>
      <c r="R399" s="100"/>
      <c r="S399" s="100"/>
      <c r="T399" s="100"/>
      <c r="U399" s="100"/>
      <c r="V399" s="100"/>
      <c r="W399" s="100"/>
      <c r="X399" s="100"/>
      <c r="Y399" s="100"/>
      <c r="Z399" s="100"/>
      <c r="AA399" s="228"/>
      <c r="AB399" s="228"/>
      <c r="AC399" s="228"/>
      <c r="AD399" s="228"/>
      <c r="AE399" s="228"/>
      <c r="AF399" s="228"/>
      <c r="AG399" s="228"/>
      <c r="AH399" s="228"/>
      <c r="AI399" s="228"/>
      <c r="AJ399" s="228"/>
      <c r="AK399" s="228"/>
      <c r="AL399" s="228"/>
      <c r="AM399" s="228"/>
      <c r="AN399" s="228"/>
      <c r="AO399" s="228"/>
      <c r="AP399" s="228"/>
      <c r="AQ399" s="228"/>
      <c r="AR399" s="228"/>
      <c r="AS399" s="228"/>
      <c r="AT399" s="228"/>
      <c r="AU399" s="228"/>
      <c r="AV399" s="228"/>
      <c r="AW399" s="228"/>
      <c r="AX399" s="228"/>
      <c r="AY399" s="228"/>
      <c r="AZ399" s="228"/>
      <c r="BA399" s="228"/>
      <c r="BB399" s="228"/>
      <c r="BC399" s="228"/>
      <c r="BD399" s="228"/>
      <c r="BE399" s="228"/>
      <c r="BF399" s="228"/>
      <c r="BG399" s="228"/>
      <c r="BH399" s="228"/>
      <c r="BI399" s="228"/>
      <c r="BJ399" s="221"/>
      <c r="BK399" s="221"/>
    </row>
    <row r="400" spans="1:63" hidden="1" outlineLevel="1">
      <c r="A400" s="9"/>
      <c r="B400" s="44"/>
      <c r="C400" s="127" t="str">
        <f>Asset1</f>
        <v>Secondary</v>
      </c>
      <c r="D400" s="9"/>
      <c r="E400" s="9"/>
      <c r="F400" s="139"/>
      <c r="G400" s="203"/>
      <c r="H400" s="111">
        <f>($G378+(SUM($G400:G400)))*H$7</f>
        <v>9.0598462003305905E-3</v>
      </c>
      <c r="I400" s="111">
        <f>($G378+(SUM($G400:H400)))*I$7</f>
        <v>8.5002889174040121E-3</v>
      </c>
      <c r="J400" s="111">
        <f>($G378+(SUM($G400:I400)))*J$7</f>
        <v>9.8735116104408088E-3</v>
      </c>
      <c r="K400" s="111">
        <f>($G378+(SUM($G400:J400)))*K$7</f>
        <v>1.1373748642481404E-2</v>
      </c>
      <c r="L400" s="365">
        <f>($G378+(SUM($G400:K400)))*L$7</f>
        <v>1.1376698946686879E-2</v>
      </c>
      <c r="M400" s="365">
        <f>($G378+(SUM($G400:L400)))*M$7</f>
        <v>1.286137466620762E-2</v>
      </c>
      <c r="N400" s="111">
        <f>($G378+(SUM($G400:M400)))*N$7</f>
        <v>0</v>
      </c>
      <c r="O400" s="111">
        <f>($G378+(SUM($G400:N400)))*O$7</f>
        <v>0</v>
      </c>
      <c r="P400" s="111">
        <f>($G378+(SUM($G400:O400)))*P$7</f>
        <v>0</v>
      </c>
      <c r="Q400" s="111">
        <f>($G378+(SUM($G400:P400)))*Q$7</f>
        <v>0</v>
      </c>
      <c r="R400" s="100"/>
      <c r="S400" s="100"/>
      <c r="T400" s="100"/>
      <c r="U400" s="100"/>
      <c r="V400" s="100"/>
      <c r="W400" s="100"/>
      <c r="X400" s="100"/>
      <c r="Y400" s="100"/>
      <c r="Z400" s="100"/>
      <c r="AA400" s="228"/>
      <c r="AB400" s="228"/>
      <c r="AC400" s="228"/>
      <c r="AD400" s="228"/>
      <c r="AE400" s="228"/>
      <c r="AF400" s="228"/>
      <c r="AG400" s="228"/>
      <c r="AH400" s="228"/>
      <c r="AI400" s="228"/>
      <c r="AJ400" s="228"/>
      <c r="AK400" s="228"/>
      <c r="AL400" s="228"/>
      <c r="AM400" s="228"/>
      <c r="AN400" s="228"/>
      <c r="AO400" s="228"/>
      <c r="AP400" s="228"/>
      <c r="AQ400" s="228"/>
      <c r="AR400" s="228"/>
      <c r="AS400" s="228"/>
      <c r="AT400" s="228"/>
      <c r="AU400" s="228"/>
      <c r="AV400" s="228"/>
      <c r="AW400" s="228"/>
      <c r="AX400" s="228"/>
      <c r="AY400" s="228"/>
      <c r="AZ400" s="228"/>
      <c r="BA400" s="228"/>
      <c r="BB400" s="228"/>
      <c r="BC400" s="228"/>
      <c r="BD400" s="228"/>
      <c r="BE400" s="228"/>
      <c r="BF400" s="228"/>
      <c r="BG400" s="228"/>
      <c r="BH400" s="228"/>
      <c r="BI400" s="228"/>
      <c r="BJ400" s="221"/>
      <c r="BK400" s="221"/>
    </row>
    <row r="401" spans="1:63" hidden="1" outlineLevel="1">
      <c r="A401" s="9"/>
      <c r="B401" s="44"/>
      <c r="C401" s="329" t="s">
        <v>27</v>
      </c>
      <c r="D401" s="9"/>
      <c r="E401" s="9"/>
      <c r="F401" s="139"/>
      <c r="G401" s="203"/>
      <c r="H401" s="111"/>
      <c r="I401" s="111"/>
      <c r="J401" s="111"/>
      <c r="K401" s="111"/>
      <c r="L401" s="365">
        <f>IF(M400=0, SUM($G400:L400), 0)</f>
        <v>0</v>
      </c>
      <c r="M401" s="111">
        <f>IF(N400=0, SUM($G400:M400), 0)</f>
        <v>6.3045468983551317E-2</v>
      </c>
      <c r="N401" s="111">
        <f>IF(O400=0, IF(N400=0, 0, SUM($G400:N400)), 0)</f>
        <v>0</v>
      </c>
      <c r="O401" s="111">
        <f>IF(P400=0, IF(O400=0, 0, SUM($G400:O400)), 0)</f>
        <v>0</v>
      </c>
      <c r="P401" s="111">
        <f>IF(Q400=0, IF(P400=0, 0, SUM($G400:P400)), 0)</f>
        <v>0</v>
      </c>
      <c r="Q401" s="111">
        <f>IF(R400=0, IF(Q400=0, 0, SUM($G400:Q400)), 0)</f>
        <v>0</v>
      </c>
      <c r="R401" s="100"/>
      <c r="S401" s="100"/>
      <c r="T401" s="100"/>
      <c r="U401" s="100"/>
      <c r="V401" s="100"/>
      <c r="W401" s="100"/>
      <c r="X401" s="100"/>
      <c r="Y401" s="100"/>
      <c r="Z401" s="100"/>
      <c r="AA401" s="228"/>
      <c r="AB401" s="228"/>
      <c r="AC401" s="228"/>
      <c r="AD401" s="228"/>
      <c r="AE401" s="228"/>
      <c r="AF401" s="228"/>
      <c r="AG401" s="228"/>
      <c r="AH401" s="228"/>
      <c r="AI401" s="228"/>
      <c r="AJ401" s="228"/>
      <c r="AK401" s="228"/>
      <c r="AL401" s="228"/>
      <c r="AM401" s="228"/>
      <c r="AN401" s="228"/>
      <c r="AO401" s="228"/>
      <c r="AP401" s="228"/>
      <c r="AQ401" s="228"/>
      <c r="AR401" s="228"/>
      <c r="AS401" s="228"/>
      <c r="AT401" s="228"/>
      <c r="AU401" s="228"/>
      <c r="AV401" s="228"/>
      <c r="AW401" s="228"/>
      <c r="AX401" s="228"/>
      <c r="AY401" s="228"/>
      <c r="AZ401" s="228"/>
      <c r="BA401" s="228"/>
      <c r="BB401" s="228"/>
      <c r="BC401" s="228"/>
      <c r="BD401" s="228"/>
      <c r="BE401" s="228"/>
      <c r="BF401" s="228"/>
      <c r="BG401" s="228"/>
      <c r="BH401" s="228"/>
      <c r="BI401" s="228"/>
      <c r="BJ401" s="221"/>
      <c r="BK401" s="221"/>
    </row>
    <row r="402" spans="1:63" hidden="1" outlineLevel="1">
      <c r="A402" s="9"/>
      <c r="B402" s="44"/>
      <c r="C402" s="127" t="str">
        <f>Asset2</f>
        <v>Switchgear</v>
      </c>
      <c r="D402" s="9"/>
      <c r="E402" s="9"/>
      <c r="F402" s="139"/>
      <c r="G402" s="203"/>
      <c r="H402" s="111">
        <f>($G379+(SUM($G402:G402)))*H$7</f>
        <v>4.01825758329694E-2</v>
      </c>
      <c r="I402" s="111">
        <f>($G379+(SUM($G402:H402)))*I$7</f>
        <v>3.7700806004109924E-2</v>
      </c>
      <c r="J402" s="111">
        <f>($G379+(SUM($G402:I402)))*J$7</f>
        <v>4.3791375731054308E-2</v>
      </c>
      <c r="K402" s="111">
        <f>($G379+(SUM($G402:J402)))*K$7</f>
        <v>5.0445284304601663E-2</v>
      </c>
      <c r="L402" s="365">
        <f>($G379+(SUM($G402:K402)))*L$7</f>
        <v>5.0458369606476053E-2</v>
      </c>
      <c r="M402" s="365">
        <f>($G379+(SUM($G402:L402)))*M$7</f>
        <v>5.7043260052500801E-2</v>
      </c>
      <c r="N402" s="111">
        <f>($G379+(SUM($G402:M402)))*N$7</f>
        <v>0</v>
      </c>
      <c r="O402" s="111">
        <f>($G379+(SUM($G402:N402)))*O$7</f>
        <v>0</v>
      </c>
      <c r="P402" s="111">
        <f>($G379+(SUM($G402:O402)))*P$7</f>
        <v>0</v>
      </c>
      <c r="Q402" s="111">
        <f>($G379+(SUM($G402:P402)))*Q$7</f>
        <v>0</v>
      </c>
      <c r="R402" s="100"/>
      <c r="S402" s="100"/>
      <c r="T402" s="100"/>
      <c r="U402" s="100"/>
      <c r="V402" s="100"/>
      <c r="W402" s="100"/>
      <c r="X402" s="100"/>
      <c r="Y402" s="100"/>
      <c r="Z402" s="100"/>
      <c r="AA402" s="228"/>
      <c r="AB402" s="228"/>
      <c r="AC402" s="228"/>
      <c r="AD402" s="228"/>
      <c r="AE402" s="228"/>
      <c r="AF402" s="228"/>
      <c r="AG402" s="228"/>
      <c r="AH402" s="228"/>
      <c r="AI402" s="228"/>
      <c r="AJ402" s="228"/>
      <c r="AK402" s="228"/>
      <c r="AL402" s="228"/>
      <c r="AM402" s="228"/>
      <c r="AN402" s="228"/>
      <c r="AO402" s="228"/>
      <c r="AP402" s="228"/>
      <c r="AQ402" s="228"/>
      <c r="AR402" s="228"/>
      <c r="AS402" s="228"/>
      <c r="AT402" s="228"/>
      <c r="AU402" s="228"/>
      <c r="AV402" s="228"/>
      <c r="AW402" s="228"/>
      <c r="AX402" s="228"/>
      <c r="AY402" s="228"/>
      <c r="AZ402" s="228"/>
      <c r="BA402" s="228"/>
      <c r="BB402" s="228"/>
      <c r="BC402" s="228"/>
      <c r="BD402" s="228"/>
      <c r="BE402" s="228"/>
      <c r="BF402" s="228"/>
      <c r="BG402" s="228"/>
      <c r="BH402" s="228"/>
      <c r="BI402" s="228"/>
      <c r="BJ402" s="221"/>
      <c r="BK402" s="221"/>
    </row>
    <row r="403" spans="1:63" hidden="1" outlineLevel="1">
      <c r="A403" s="9"/>
      <c r="B403" s="44"/>
      <c r="C403" s="329" t="s">
        <v>27</v>
      </c>
      <c r="D403" s="9"/>
      <c r="E403" s="9"/>
      <c r="F403" s="139"/>
      <c r="G403" s="203"/>
      <c r="H403" s="111"/>
      <c r="I403" s="111"/>
      <c r="J403" s="111"/>
      <c r="K403" s="111"/>
      <c r="L403" s="365">
        <f>IF(M402=0, SUM($G402:L402), 0)</f>
        <v>0</v>
      </c>
      <c r="M403" s="111">
        <f>IF(N402=0, SUM($G402:M402), 0)</f>
        <v>0.27962167153171219</v>
      </c>
      <c r="N403" s="111">
        <f>IF(O402=0, IF(N402=0, 0, SUM($G402:N402)), 0)</f>
        <v>0</v>
      </c>
      <c r="O403" s="111">
        <f>IF(P402=0, IF(O402=0, 0, SUM($G402:O402)), 0)</f>
        <v>0</v>
      </c>
      <c r="P403" s="111">
        <f>IF(Q402=0, IF(P402=0, 0, SUM($G402:P402)), 0)</f>
        <v>0</v>
      </c>
      <c r="Q403" s="111">
        <f>IF(R402=0, IF(Q402=0, 0, SUM($G402:Q402)), 0)</f>
        <v>0</v>
      </c>
      <c r="R403" s="100"/>
      <c r="S403" s="100"/>
      <c r="T403" s="100"/>
      <c r="U403" s="100"/>
      <c r="V403" s="100"/>
      <c r="W403" s="100"/>
      <c r="X403" s="100"/>
      <c r="Y403" s="100"/>
      <c r="Z403" s="100"/>
      <c r="AA403" s="228"/>
      <c r="AB403" s="228"/>
      <c r="AC403" s="228"/>
      <c r="AD403" s="228"/>
      <c r="AE403" s="228"/>
      <c r="AF403" s="228"/>
      <c r="AG403" s="228"/>
      <c r="AH403" s="228"/>
      <c r="AI403" s="228"/>
      <c r="AJ403" s="228"/>
      <c r="AK403" s="228"/>
      <c r="AL403" s="228"/>
      <c r="AM403" s="228"/>
      <c r="AN403" s="228"/>
      <c r="AO403" s="228"/>
      <c r="AP403" s="228"/>
      <c r="AQ403" s="228"/>
      <c r="AR403" s="228"/>
      <c r="AS403" s="228"/>
      <c r="AT403" s="228"/>
      <c r="AU403" s="228"/>
      <c r="AV403" s="228"/>
      <c r="AW403" s="228"/>
      <c r="AX403" s="228"/>
      <c r="AY403" s="228"/>
      <c r="AZ403" s="228"/>
      <c r="BA403" s="228"/>
      <c r="BB403" s="228"/>
      <c r="BC403" s="228"/>
      <c r="BD403" s="228"/>
      <c r="BE403" s="228"/>
      <c r="BF403" s="228"/>
      <c r="BG403" s="228"/>
      <c r="BH403" s="228"/>
      <c r="BI403" s="228"/>
      <c r="BJ403" s="221"/>
      <c r="BK403" s="221"/>
    </row>
    <row r="404" spans="1:63" hidden="1" outlineLevel="1">
      <c r="A404" s="9"/>
      <c r="B404" s="44"/>
      <c r="C404" s="127" t="str">
        <f>Asset3</f>
        <v>Transformers</v>
      </c>
      <c r="D404" s="9"/>
      <c r="E404" s="9"/>
      <c r="F404" s="139"/>
      <c r="G404" s="203"/>
      <c r="H404" s="111">
        <f>($G380+(SUM($G404:G404)))*H$7</f>
        <v>7.9169881849993039E-3</v>
      </c>
      <c r="I404" s="111">
        <f>($G380+(SUM($G404:H404)))*I$7</f>
        <v>7.42801648506047E-3</v>
      </c>
      <c r="J404" s="111">
        <f>($G380+(SUM($G404:I404)))*J$7</f>
        <v>8.6280134381818765E-3</v>
      </c>
      <c r="K404" s="111">
        <f>($G380+(SUM($G404:J404)))*K$7</f>
        <v>9.9390024544115784E-3</v>
      </c>
      <c r="L404" s="365">
        <f>($G380+(SUM($G404:K404)))*L$7</f>
        <v>9.941580591282825E-3</v>
      </c>
      <c r="M404" s="365">
        <f>($G380+(SUM($G404:L404)))*M$7</f>
        <v>1.1238971283143813E-2</v>
      </c>
      <c r="N404" s="111">
        <f>($G380+(SUM($G404:M404)))*N$7</f>
        <v>0</v>
      </c>
      <c r="O404" s="111">
        <f>($G380+(SUM($G404:N404)))*O$7</f>
        <v>0</v>
      </c>
      <c r="P404" s="111">
        <f>($G380+(SUM($G404:O404)))*P$7</f>
        <v>0</v>
      </c>
      <c r="Q404" s="111">
        <f>($G380+(SUM($G404:P404)))*Q$7</f>
        <v>0</v>
      </c>
      <c r="R404" s="100"/>
      <c r="S404" s="100"/>
      <c r="T404" s="100"/>
      <c r="U404" s="100"/>
      <c r="V404" s="100"/>
      <c r="W404" s="100"/>
      <c r="X404" s="100"/>
      <c r="Y404" s="100"/>
      <c r="Z404" s="100"/>
      <c r="AA404" s="228"/>
      <c r="AB404" s="228"/>
      <c r="AC404" s="228"/>
      <c r="AD404" s="228"/>
      <c r="AE404" s="228"/>
      <c r="AF404" s="228"/>
      <c r="AG404" s="228"/>
      <c r="AH404" s="228"/>
      <c r="AI404" s="228"/>
      <c r="AJ404" s="228"/>
      <c r="AK404" s="228"/>
      <c r="AL404" s="228"/>
      <c r="AM404" s="228"/>
      <c r="AN404" s="228"/>
      <c r="AO404" s="228"/>
      <c r="AP404" s="228"/>
      <c r="AQ404" s="228"/>
      <c r="AR404" s="228"/>
      <c r="AS404" s="228"/>
      <c r="AT404" s="228"/>
      <c r="AU404" s="228"/>
      <c r="AV404" s="228"/>
      <c r="AW404" s="228"/>
      <c r="AX404" s="228"/>
      <c r="AY404" s="228"/>
      <c r="AZ404" s="228"/>
      <c r="BA404" s="228"/>
      <c r="BB404" s="228"/>
      <c r="BC404" s="228"/>
      <c r="BD404" s="228"/>
      <c r="BE404" s="228"/>
      <c r="BF404" s="228"/>
      <c r="BG404" s="228"/>
      <c r="BH404" s="228"/>
      <c r="BI404" s="228"/>
      <c r="BJ404" s="221"/>
      <c r="BK404" s="221"/>
    </row>
    <row r="405" spans="1:63" hidden="1" outlineLevel="1">
      <c r="A405" s="9"/>
      <c r="B405" s="44"/>
      <c r="C405" s="329" t="s">
        <v>27</v>
      </c>
      <c r="D405" s="9"/>
      <c r="E405" s="9"/>
      <c r="F405" s="139"/>
      <c r="G405" s="203"/>
      <c r="H405" s="111"/>
      <c r="I405" s="111"/>
      <c r="J405" s="111"/>
      <c r="K405" s="111"/>
      <c r="L405" s="365">
        <f>IF(M404=0, SUM($G404:L404), 0)</f>
        <v>0</v>
      </c>
      <c r="M405" s="343">
        <f>IF(N404=0, SUM($G404:M404), 0)</f>
        <v>5.5092572437079872E-2</v>
      </c>
      <c r="N405" s="111">
        <f>IF(O404=0, IF(N404=0, 0, SUM($G404:N404)), 0)</f>
        <v>0</v>
      </c>
      <c r="O405" s="111">
        <f>IF(P404=0, IF(O404=0, 0, SUM($G404:O404)), 0)</f>
        <v>0</v>
      </c>
      <c r="P405" s="111">
        <f>IF(Q404=0, IF(P404=0, 0, SUM($G404:P404)), 0)</f>
        <v>0</v>
      </c>
      <c r="Q405" s="111">
        <f>IF(R404=0, IF(Q404=0, 0, SUM($G404:Q404)), 0)</f>
        <v>0</v>
      </c>
      <c r="R405" s="100"/>
      <c r="S405" s="100"/>
      <c r="T405" s="100"/>
      <c r="U405" s="100"/>
      <c r="V405" s="100"/>
      <c r="W405" s="100"/>
      <c r="X405" s="100"/>
      <c r="Y405" s="100"/>
      <c r="Z405" s="100"/>
      <c r="AA405" s="228"/>
      <c r="AB405" s="228"/>
      <c r="AC405" s="228"/>
      <c r="AD405" s="228"/>
      <c r="AE405" s="228"/>
      <c r="AF405" s="228"/>
      <c r="AG405" s="228"/>
      <c r="AH405" s="228"/>
      <c r="AI405" s="228"/>
      <c r="AJ405" s="228"/>
      <c r="AK405" s="228"/>
      <c r="AL405" s="228"/>
      <c r="AM405" s="228"/>
      <c r="AN405" s="228"/>
      <c r="AO405" s="228"/>
      <c r="AP405" s="228"/>
      <c r="AQ405" s="228"/>
      <c r="AR405" s="228"/>
      <c r="AS405" s="228"/>
      <c r="AT405" s="228"/>
      <c r="AU405" s="228"/>
      <c r="AV405" s="228"/>
      <c r="AW405" s="228"/>
      <c r="AX405" s="228"/>
      <c r="AY405" s="228"/>
      <c r="AZ405" s="228"/>
      <c r="BA405" s="228"/>
      <c r="BB405" s="228"/>
      <c r="BC405" s="228"/>
      <c r="BD405" s="228"/>
      <c r="BE405" s="228"/>
      <c r="BF405" s="228"/>
      <c r="BG405" s="228"/>
      <c r="BH405" s="228"/>
      <c r="BI405" s="228"/>
      <c r="BJ405" s="221"/>
      <c r="BK405" s="221"/>
    </row>
    <row r="406" spans="1:63" hidden="1" outlineLevel="1">
      <c r="A406" s="9"/>
      <c r="B406" s="44"/>
      <c r="C406" s="127" t="str">
        <f>Asset4</f>
        <v>Reactive</v>
      </c>
      <c r="D406" s="9"/>
      <c r="E406" s="9"/>
      <c r="F406" s="139"/>
      <c r="G406" s="203"/>
      <c r="H406" s="111">
        <f>($G381+(SUM($G406:G406)))*H$7</f>
        <v>1.2207203665295291E-2</v>
      </c>
      <c r="I406" s="111">
        <f>($G381+(SUM($G406:H406)))*I$7</f>
        <v>1.1453258226924078E-2</v>
      </c>
      <c r="J406" s="111">
        <f>($G381+(SUM($G406:I406)))*J$7</f>
        <v>1.3303533465712766E-2</v>
      </c>
      <c r="K406" s="111">
        <f>($G381+(SUM($G406:J406)))*K$7</f>
        <v>1.5324947360759839E-2</v>
      </c>
      <c r="L406" s="365">
        <f>($G381+(SUM($G406:K406)))*L$7</f>
        <v>1.5328922589865769E-2</v>
      </c>
      <c r="M406" s="365">
        <f>($G381+(SUM($G406:L406)))*M$7</f>
        <v>1.732936922928523E-2</v>
      </c>
      <c r="N406" s="111">
        <f>($G381+(SUM($G406:M406)))*N$7</f>
        <v>0</v>
      </c>
      <c r="O406" s="111">
        <f>($G381+(SUM($G406:N406)))*O$7</f>
        <v>0</v>
      </c>
      <c r="P406" s="111">
        <f>($G381+(SUM($G406:O406)))*P$7</f>
        <v>0</v>
      </c>
      <c r="Q406" s="111">
        <f>($G381+(SUM($G406:P406)))*Q$7</f>
        <v>0</v>
      </c>
      <c r="R406" s="100"/>
      <c r="S406" s="100"/>
      <c r="T406" s="100"/>
      <c r="U406" s="100"/>
      <c r="V406" s="100"/>
      <c r="W406" s="100"/>
      <c r="X406" s="100"/>
      <c r="Y406" s="100"/>
      <c r="Z406" s="100"/>
      <c r="AA406" s="228"/>
      <c r="AB406" s="228"/>
      <c r="AC406" s="228"/>
      <c r="AD406" s="228"/>
      <c r="AE406" s="228"/>
      <c r="AF406" s="228"/>
      <c r="AG406" s="228"/>
      <c r="AH406" s="228"/>
      <c r="AI406" s="228"/>
      <c r="AJ406" s="228"/>
      <c r="AK406" s="228"/>
      <c r="AL406" s="228"/>
      <c r="AM406" s="228"/>
      <c r="AN406" s="228"/>
      <c r="AO406" s="228"/>
      <c r="AP406" s="228"/>
      <c r="AQ406" s="228"/>
      <c r="AR406" s="228"/>
      <c r="AS406" s="228"/>
      <c r="AT406" s="228"/>
      <c r="AU406" s="228"/>
      <c r="AV406" s="228"/>
      <c r="AW406" s="228"/>
      <c r="AX406" s="228"/>
      <c r="AY406" s="228"/>
      <c r="AZ406" s="228"/>
      <c r="BA406" s="228"/>
      <c r="BB406" s="228"/>
      <c r="BC406" s="228"/>
      <c r="BD406" s="228"/>
      <c r="BE406" s="228"/>
      <c r="BF406" s="228"/>
      <c r="BG406" s="228"/>
      <c r="BH406" s="228"/>
      <c r="BI406" s="228"/>
      <c r="BJ406" s="221"/>
      <c r="BK406" s="221"/>
    </row>
    <row r="407" spans="1:63" hidden="1" outlineLevel="1">
      <c r="A407" s="9"/>
      <c r="B407" s="44"/>
      <c r="C407" s="329" t="s">
        <v>27</v>
      </c>
      <c r="D407" s="9"/>
      <c r="E407" s="9"/>
      <c r="F407" s="139"/>
      <c r="G407" s="203"/>
      <c r="H407" s="111"/>
      <c r="I407" s="111"/>
      <c r="J407" s="111"/>
      <c r="K407" s="111"/>
      <c r="L407" s="365">
        <f>IF(M406=0, SUM($G406:L406), 0)</f>
        <v>0</v>
      </c>
      <c r="M407" s="111">
        <f>IF(N406=0, SUM($G406:M406), 0)</f>
        <v>8.4947234537842961E-2</v>
      </c>
      <c r="N407" s="111">
        <f>IF(O406=0, IF(N406=0, 0, SUM($G406:N406)), 0)</f>
        <v>0</v>
      </c>
      <c r="O407" s="111">
        <f>IF(P406=0, IF(O406=0, 0, SUM($G406:O406)), 0)</f>
        <v>0</v>
      </c>
      <c r="P407" s="111">
        <f>IF(Q406=0, IF(P406=0, 0, SUM($G406:P406)), 0)</f>
        <v>0</v>
      </c>
      <c r="Q407" s="111">
        <f>IF(R406=0, IF(Q406=0, 0, SUM($G406:Q406)), 0)</f>
        <v>0</v>
      </c>
      <c r="R407" s="100"/>
      <c r="S407" s="100"/>
      <c r="T407" s="100"/>
      <c r="U407" s="100"/>
      <c r="V407" s="100"/>
      <c r="W407" s="100"/>
      <c r="X407" s="100"/>
      <c r="Y407" s="100"/>
      <c r="Z407" s="100"/>
      <c r="AA407" s="228"/>
      <c r="AB407" s="228"/>
      <c r="AC407" s="228"/>
      <c r="AD407" s="228"/>
      <c r="AE407" s="228"/>
      <c r="AF407" s="228"/>
      <c r="AG407" s="228"/>
      <c r="AH407" s="228"/>
      <c r="AI407" s="228"/>
      <c r="AJ407" s="228"/>
      <c r="AK407" s="228"/>
      <c r="AL407" s="228"/>
      <c r="AM407" s="228"/>
      <c r="AN407" s="228"/>
      <c r="AO407" s="228"/>
      <c r="AP407" s="228"/>
      <c r="AQ407" s="228"/>
      <c r="AR407" s="228"/>
      <c r="AS407" s="228"/>
      <c r="AT407" s="228"/>
      <c r="AU407" s="228"/>
      <c r="AV407" s="228"/>
      <c r="AW407" s="228"/>
      <c r="AX407" s="228"/>
      <c r="AY407" s="228"/>
      <c r="AZ407" s="228"/>
      <c r="BA407" s="228"/>
      <c r="BB407" s="228"/>
      <c r="BC407" s="228"/>
      <c r="BD407" s="228"/>
      <c r="BE407" s="228"/>
      <c r="BF407" s="228"/>
      <c r="BG407" s="228"/>
      <c r="BH407" s="228"/>
      <c r="BI407" s="228"/>
      <c r="BJ407" s="221"/>
      <c r="BK407" s="221"/>
    </row>
    <row r="408" spans="1:63" hidden="1" outlineLevel="1">
      <c r="A408" s="9"/>
      <c r="B408" s="44"/>
      <c r="C408" s="127" t="str">
        <f>Asset5</f>
        <v>Towers and Conductor</v>
      </c>
      <c r="D408" s="9"/>
      <c r="E408" s="9"/>
      <c r="F408" s="139"/>
      <c r="G408" s="203"/>
      <c r="H408" s="111">
        <f>($G382+(SUM($G408:G408)))*H$7</f>
        <v>4.4426690162455536E-4</v>
      </c>
      <c r="I408" s="111">
        <f>($G382+(SUM($G408:H408)))*I$7</f>
        <v>4.1682793910020525E-4</v>
      </c>
      <c r="J408" s="111">
        <f>($G382+(SUM($G408:I408)))*J$7</f>
        <v>4.8416654260251691E-4</v>
      </c>
      <c r="K408" s="111">
        <f>($G382+(SUM($G408:J408)))*K$7</f>
        <v>5.5773353736041618E-4</v>
      </c>
      <c r="L408" s="365">
        <f>($G382+(SUM($G408:K408)))*L$7</f>
        <v>5.5787821117487548E-4</v>
      </c>
      <c r="M408" s="365">
        <f>($G382+(SUM($G408:L408)))*M$7</f>
        <v>6.306821271844672E-4</v>
      </c>
      <c r="N408" s="111">
        <f>($G382+(SUM($G408:M408)))*N$7</f>
        <v>0</v>
      </c>
      <c r="O408" s="111">
        <f>($G382+(SUM($G408:N408)))*O$7</f>
        <v>0</v>
      </c>
      <c r="P408" s="111">
        <f>($G382+(SUM($G408:O408)))*P$7</f>
        <v>0</v>
      </c>
      <c r="Q408" s="111">
        <f>($G382+(SUM($G408:P408)))*Q$7</f>
        <v>0</v>
      </c>
      <c r="R408" s="100"/>
      <c r="S408" s="100"/>
      <c r="T408" s="100"/>
      <c r="U408" s="100"/>
      <c r="V408" s="100"/>
      <c r="W408" s="100"/>
      <c r="X408" s="100"/>
      <c r="Y408" s="100"/>
      <c r="Z408" s="100"/>
      <c r="AA408" s="228"/>
      <c r="AB408" s="228"/>
      <c r="AC408" s="228"/>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228"/>
      <c r="BD408" s="228"/>
      <c r="BE408" s="228"/>
      <c r="BF408" s="228"/>
      <c r="BG408" s="228"/>
      <c r="BH408" s="228"/>
      <c r="BI408" s="228"/>
      <c r="BJ408" s="221"/>
      <c r="BK408" s="221"/>
    </row>
    <row r="409" spans="1:63" hidden="1" outlineLevel="1">
      <c r="A409" s="9"/>
      <c r="B409" s="44"/>
      <c r="C409" s="329" t="s">
        <v>27</v>
      </c>
      <c r="D409" s="9"/>
      <c r="E409" s="9"/>
      <c r="F409" s="139"/>
      <c r="G409" s="203"/>
      <c r="H409" s="111"/>
      <c r="I409" s="111"/>
      <c r="J409" s="111"/>
      <c r="K409" s="111"/>
      <c r="L409" s="365">
        <f>IF(M408=0, SUM($G408:L408), 0)</f>
        <v>0</v>
      </c>
      <c r="M409" s="343">
        <f>IF(N408=0, SUM($G408:M408), 0)</f>
        <v>3.0915552590470366E-3</v>
      </c>
      <c r="N409" s="111">
        <f>IF(O408=0, IF(N408=0, 0, SUM($G408:N408)), 0)</f>
        <v>0</v>
      </c>
      <c r="O409" s="111">
        <f>IF(P408=0, IF(O408=0, 0, SUM($G408:O408)), 0)</f>
        <v>0</v>
      </c>
      <c r="P409" s="111">
        <f>IF(Q408=0, IF(P408=0, 0, SUM($G408:P408)), 0)</f>
        <v>0</v>
      </c>
      <c r="Q409" s="111">
        <f>IF(R408=0, IF(Q408=0, 0, SUM($G408:Q408)), 0)</f>
        <v>0</v>
      </c>
      <c r="R409" s="100"/>
      <c r="S409" s="100"/>
      <c r="T409" s="100"/>
      <c r="U409" s="100"/>
      <c r="V409" s="100"/>
      <c r="W409" s="100"/>
      <c r="X409" s="100"/>
      <c r="Y409" s="100"/>
      <c r="Z409" s="100"/>
      <c r="AA409" s="228"/>
      <c r="AB409" s="228"/>
      <c r="AC409" s="228"/>
      <c r="AD409" s="228"/>
      <c r="AE409" s="228"/>
      <c r="AF409" s="228"/>
      <c r="AG409" s="228"/>
      <c r="AH409" s="228"/>
      <c r="AI409" s="228"/>
      <c r="AJ409" s="228"/>
      <c r="AK409" s="228"/>
      <c r="AL409" s="228"/>
      <c r="AM409" s="228"/>
      <c r="AN409" s="228"/>
      <c r="AO409" s="228"/>
      <c r="AP409" s="228"/>
      <c r="AQ409" s="228"/>
      <c r="AR409" s="228"/>
      <c r="AS409" s="228"/>
      <c r="AT409" s="228"/>
      <c r="AU409" s="228"/>
      <c r="AV409" s="228"/>
      <c r="AW409" s="228"/>
      <c r="AX409" s="228"/>
      <c r="AY409" s="228"/>
      <c r="AZ409" s="228"/>
      <c r="BA409" s="228"/>
      <c r="BB409" s="228"/>
      <c r="BC409" s="228"/>
      <c r="BD409" s="228"/>
      <c r="BE409" s="228"/>
      <c r="BF409" s="228"/>
      <c r="BG409" s="228"/>
      <c r="BH409" s="228"/>
      <c r="BI409" s="228"/>
      <c r="BJ409" s="221"/>
      <c r="BK409" s="221"/>
    </row>
    <row r="410" spans="1:63" hidden="1" outlineLevel="1">
      <c r="A410" s="9"/>
      <c r="B410" s="44"/>
      <c r="C410" s="127" t="str">
        <f>Asset6</f>
        <v>Establishment</v>
      </c>
      <c r="D410" s="9"/>
      <c r="E410" s="9"/>
      <c r="F410" s="139"/>
      <c r="G410" s="203"/>
      <c r="H410" s="111">
        <f>($G383+(SUM($G410:G410)))*H$7</f>
        <v>2.4965143825056118E-3</v>
      </c>
      <c r="I410" s="111">
        <f>($G383+(SUM($G410:H410)))*I$7</f>
        <v>2.3423238174813408E-3</v>
      </c>
      <c r="J410" s="111">
        <f>($G383+(SUM($G410:I410)))*J$7</f>
        <v>2.7207265108321792E-3</v>
      </c>
      <c r="K410" s="111">
        <f>($G383+(SUM($G410:J410)))*K$7</f>
        <v>3.1341290394005131E-3</v>
      </c>
      <c r="L410" s="365">
        <f>($G383+(SUM($G410:K410)))*L$7</f>
        <v>3.1349420197446455E-3</v>
      </c>
      <c r="M410" s="365">
        <f>($G383+(SUM($G410:L410)))*M$7</f>
        <v>3.5440565019535324E-3</v>
      </c>
      <c r="N410" s="111">
        <f>($G383+(SUM($G410:M410)))*N$7</f>
        <v>0</v>
      </c>
      <c r="O410" s="111">
        <f>($G383+(SUM($G410:N410)))*O$7</f>
        <v>0</v>
      </c>
      <c r="P410" s="111">
        <f>($G383+(SUM($G410:O410)))*P$7</f>
        <v>0</v>
      </c>
      <c r="Q410" s="111">
        <f>($G383+(SUM($G410:P410)))*Q$7</f>
        <v>0</v>
      </c>
      <c r="R410" s="100"/>
      <c r="S410" s="100"/>
      <c r="T410" s="100"/>
      <c r="U410" s="100"/>
      <c r="V410" s="100"/>
      <c r="W410" s="100"/>
      <c r="X410" s="100"/>
      <c r="Y410" s="100"/>
      <c r="Z410" s="100"/>
      <c r="AA410" s="228"/>
      <c r="AB410" s="228"/>
      <c r="AC410" s="228"/>
      <c r="AD410" s="228"/>
      <c r="AE410" s="228"/>
      <c r="AF410" s="228"/>
      <c r="AG410" s="228"/>
      <c r="AH410" s="228"/>
      <c r="AI410" s="228"/>
      <c r="AJ410" s="228"/>
      <c r="AK410" s="228"/>
      <c r="AL410" s="228"/>
      <c r="AM410" s="228"/>
      <c r="AN410" s="228"/>
      <c r="AO410" s="228"/>
      <c r="AP410" s="228"/>
      <c r="AQ410" s="228"/>
      <c r="AR410" s="228"/>
      <c r="AS410" s="228"/>
      <c r="AT410" s="228"/>
      <c r="AU410" s="228"/>
      <c r="AV410" s="228"/>
      <c r="AW410" s="228"/>
      <c r="AX410" s="228"/>
      <c r="AY410" s="228"/>
      <c r="AZ410" s="228"/>
      <c r="BA410" s="228"/>
      <c r="BB410" s="228"/>
      <c r="BC410" s="228"/>
      <c r="BD410" s="228"/>
      <c r="BE410" s="228"/>
      <c r="BF410" s="228"/>
      <c r="BG410" s="228"/>
      <c r="BH410" s="228"/>
      <c r="BI410" s="228"/>
      <c r="BJ410" s="221"/>
      <c r="BK410" s="221"/>
    </row>
    <row r="411" spans="1:63" hidden="1" outlineLevel="1">
      <c r="A411" s="9"/>
      <c r="B411" s="44"/>
      <c r="C411" s="329" t="s">
        <v>27</v>
      </c>
      <c r="D411" s="9"/>
      <c r="E411" s="9"/>
      <c r="F411" s="139"/>
      <c r="G411" s="203"/>
      <c r="H411" s="111"/>
      <c r="I411" s="111"/>
      <c r="J411" s="111"/>
      <c r="K411" s="111"/>
      <c r="L411" s="365">
        <f>IF(M410=0, SUM($G410:L410), 0)</f>
        <v>0</v>
      </c>
      <c r="M411" s="111">
        <f>IF(N410=0, SUM($G410:M410), 0)</f>
        <v>1.737269227191782E-2</v>
      </c>
      <c r="N411" s="111">
        <f>IF(O410=0, IF(N410=0, 0, SUM($G410:N410)), 0)</f>
        <v>0</v>
      </c>
      <c r="O411" s="111">
        <f>IF(P410=0, IF(O410=0, 0, SUM($G410:O410)), 0)</f>
        <v>0</v>
      </c>
      <c r="P411" s="111">
        <f>IF(Q410=0, IF(P410=0, 0, SUM($G410:P410)), 0)</f>
        <v>0</v>
      </c>
      <c r="Q411" s="111">
        <f>IF(R410=0, IF(Q410=0, 0, SUM($G410:Q410)), 0)</f>
        <v>0</v>
      </c>
      <c r="R411" s="100"/>
      <c r="S411" s="100"/>
      <c r="T411" s="100"/>
      <c r="U411" s="100"/>
      <c r="V411" s="100"/>
      <c r="W411" s="100"/>
      <c r="X411" s="100"/>
      <c r="Y411" s="100"/>
      <c r="Z411" s="100"/>
      <c r="AA411" s="228"/>
      <c r="AB411" s="228"/>
      <c r="AC411" s="228"/>
      <c r="AD411" s="228"/>
      <c r="AE411" s="228"/>
      <c r="AF411" s="228"/>
      <c r="AG411" s="228"/>
      <c r="AH411" s="228"/>
      <c r="AI411" s="228"/>
      <c r="AJ411" s="228"/>
      <c r="AK411" s="228"/>
      <c r="AL411" s="228"/>
      <c r="AM411" s="228"/>
      <c r="AN411" s="228"/>
      <c r="AO411" s="228"/>
      <c r="AP411" s="228"/>
      <c r="AQ411" s="228"/>
      <c r="AR411" s="228"/>
      <c r="AS411" s="228"/>
      <c r="AT411" s="228"/>
      <c r="AU411" s="228"/>
      <c r="AV411" s="228"/>
      <c r="AW411" s="228"/>
      <c r="AX411" s="228"/>
      <c r="AY411" s="228"/>
      <c r="AZ411" s="228"/>
      <c r="BA411" s="228"/>
      <c r="BB411" s="228"/>
      <c r="BC411" s="228"/>
      <c r="BD411" s="228"/>
      <c r="BE411" s="228"/>
      <c r="BF411" s="228"/>
      <c r="BG411" s="228"/>
      <c r="BH411" s="228"/>
      <c r="BI411" s="228"/>
      <c r="BJ411" s="221"/>
      <c r="BK411" s="221"/>
    </row>
    <row r="412" spans="1:63" hidden="1" outlineLevel="1">
      <c r="A412" s="9"/>
      <c r="B412" s="44"/>
      <c r="C412" s="127" t="str">
        <f>Asset7</f>
        <v>Communications</v>
      </c>
      <c r="D412" s="9"/>
      <c r="E412" s="9"/>
      <c r="F412" s="139"/>
      <c r="G412" s="203"/>
      <c r="H412" s="111">
        <f>($G384+(SUM($G412:G412)))*H$7</f>
        <v>5.0157462039997539E-4</v>
      </c>
      <c r="I412" s="111">
        <f>($G384+(SUM($G412:H412)))*I$7</f>
        <v>4.7059619918067265E-4</v>
      </c>
      <c r="J412" s="111">
        <f>($G384+(SUM($G412:I412)))*J$7</f>
        <v>5.4662107154102577E-4</v>
      </c>
      <c r="K412" s="111">
        <f>($G384+(SUM($G412:J412)))*K$7</f>
        <v>6.2967775961463674E-4</v>
      </c>
      <c r="L412" s="365">
        <f>($G384+(SUM($G412:K412)))*L$7</f>
        <v>6.2984109546816052E-4</v>
      </c>
      <c r="M412" s="365">
        <f>($G384+(SUM($G412:L412)))*M$7</f>
        <v>7.1203627229229948E-4</v>
      </c>
      <c r="N412" s="111">
        <f>($G384+(SUM($G412:M412)))*N$7</f>
        <v>0</v>
      </c>
      <c r="O412" s="111">
        <f>($G384+(SUM($G412:N412)))*O$7</f>
        <v>0</v>
      </c>
      <c r="P412" s="111">
        <f>($G384+(SUM($G412:O412)))*P$7</f>
        <v>0</v>
      </c>
      <c r="Q412" s="111">
        <f>($G384+(SUM($G412:P412)))*Q$7</f>
        <v>0</v>
      </c>
      <c r="R412" s="100"/>
      <c r="S412" s="100"/>
      <c r="T412" s="100"/>
      <c r="U412" s="100"/>
      <c r="V412" s="100"/>
      <c r="W412" s="100"/>
      <c r="X412" s="100"/>
      <c r="Y412" s="100"/>
      <c r="Z412" s="100"/>
      <c r="AA412" s="228"/>
      <c r="AB412" s="228"/>
      <c r="AC412" s="228"/>
      <c r="AD412" s="228"/>
      <c r="AE412" s="228"/>
      <c r="AF412" s="228"/>
      <c r="AG412" s="228"/>
      <c r="AH412" s="228"/>
      <c r="AI412" s="228"/>
      <c r="AJ412" s="228"/>
      <c r="AK412" s="228"/>
      <c r="AL412" s="228"/>
      <c r="AM412" s="228"/>
      <c r="AN412" s="228"/>
      <c r="AO412" s="228"/>
      <c r="AP412" s="228"/>
      <c r="AQ412" s="228"/>
      <c r="AR412" s="228"/>
      <c r="AS412" s="228"/>
      <c r="AT412" s="228"/>
      <c r="AU412" s="228"/>
      <c r="AV412" s="228"/>
      <c r="AW412" s="228"/>
      <c r="AX412" s="228"/>
      <c r="AY412" s="228"/>
      <c r="AZ412" s="228"/>
      <c r="BA412" s="228"/>
      <c r="BB412" s="228"/>
      <c r="BC412" s="228"/>
      <c r="BD412" s="228"/>
      <c r="BE412" s="228"/>
      <c r="BF412" s="228"/>
      <c r="BG412" s="228"/>
      <c r="BH412" s="228"/>
      <c r="BI412" s="228"/>
      <c r="BJ412" s="221"/>
      <c r="BK412" s="221"/>
    </row>
    <row r="413" spans="1:63" hidden="1" outlineLevel="1">
      <c r="A413" s="9"/>
      <c r="B413" s="44"/>
      <c r="C413" s="329" t="s">
        <v>27</v>
      </c>
      <c r="D413" s="9"/>
      <c r="E413" s="9"/>
      <c r="F413" s="139"/>
      <c r="G413" s="203"/>
      <c r="H413" s="111"/>
      <c r="I413" s="111"/>
      <c r="J413" s="111"/>
      <c r="K413" s="111"/>
      <c r="L413" s="365">
        <f>IF(M412=0, SUM($G412:L412), 0)</f>
        <v>0</v>
      </c>
      <c r="M413" s="111">
        <f>IF(N412=0, SUM($G412:M412), 0)</f>
        <v>3.4903470184967705E-3</v>
      </c>
      <c r="N413" s="111">
        <f>IF(O412=0, IF(N412=0, 0, SUM($G412:N412)), 0)</f>
        <v>0</v>
      </c>
      <c r="O413" s="111">
        <f>IF(P412=0, IF(O412=0, 0, SUM($G412:O412)), 0)</f>
        <v>0</v>
      </c>
      <c r="P413" s="111">
        <f>IF(Q412=0, IF(P412=0, 0, SUM($G412:P412)), 0)</f>
        <v>0</v>
      </c>
      <c r="Q413" s="111">
        <f>IF(R412=0, IF(Q412=0, 0, SUM($G412:Q412)), 0)</f>
        <v>0</v>
      </c>
      <c r="R413" s="100"/>
      <c r="S413" s="100"/>
      <c r="T413" s="100"/>
      <c r="U413" s="100"/>
      <c r="V413" s="100"/>
      <c r="W413" s="100"/>
      <c r="X413" s="100"/>
      <c r="Y413" s="100"/>
      <c r="Z413" s="100"/>
      <c r="AA413" s="228"/>
      <c r="AB413" s="228"/>
      <c r="AC413" s="228"/>
      <c r="AD413" s="228"/>
      <c r="AE413" s="228"/>
      <c r="AF413" s="228"/>
      <c r="AG413" s="228"/>
      <c r="AH413" s="228"/>
      <c r="AI413" s="228"/>
      <c r="AJ413" s="228"/>
      <c r="AK413" s="228"/>
      <c r="AL413" s="228"/>
      <c r="AM413" s="228"/>
      <c r="AN413" s="228"/>
      <c r="AO413" s="228"/>
      <c r="AP413" s="228"/>
      <c r="AQ413" s="228"/>
      <c r="AR413" s="228"/>
      <c r="AS413" s="228"/>
      <c r="AT413" s="228"/>
      <c r="AU413" s="228"/>
      <c r="AV413" s="228"/>
      <c r="AW413" s="228"/>
      <c r="AX413" s="228"/>
      <c r="AY413" s="228"/>
      <c r="AZ413" s="228"/>
      <c r="BA413" s="228"/>
      <c r="BB413" s="228"/>
      <c r="BC413" s="228"/>
      <c r="BD413" s="228"/>
      <c r="BE413" s="228"/>
      <c r="BF413" s="228"/>
      <c r="BG413" s="228"/>
      <c r="BH413" s="228"/>
      <c r="BI413" s="228"/>
      <c r="BJ413" s="221"/>
      <c r="BK413" s="221"/>
    </row>
    <row r="414" spans="1:63" hidden="1" outlineLevel="1">
      <c r="A414" s="9"/>
      <c r="B414" s="44"/>
      <c r="C414" s="127" t="str">
        <f>Asset8</f>
        <v>Inventory</v>
      </c>
      <c r="D414" s="9"/>
      <c r="E414" s="9"/>
      <c r="F414" s="139"/>
      <c r="G414" s="203"/>
      <c r="H414" s="111">
        <f>($G385+(SUM($G414:G414)))*H$7</f>
        <v>0</v>
      </c>
      <c r="I414" s="111">
        <f>($G385+(SUM($G414:H414)))*I$7</f>
        <v>0</v>
      </c>
      <c r="J414" s="111">
        <f>($G385+(SUM($G414:I414)))*J$7</f>
        <v>0</v>
      </c>
      <c r="K414" s="111">
        <f>($G385+(SUM($G414:J414)))*K$7</f>
        <v>0</v>
      </c>
      <c r="L414" s="365">
        <f>($G385+(SUM($G414:K414)))*L$7</f>
        <v>0</v>
      </c>
      <c r="M414" s="365">
        <f>($G385+(SUM($G414:L414)))*M$7</f>
        <v>0</v>
      </c>
      <c r="N414" s="111">
        <f>($G385+(SUM($G414:M414)))*N$7</f>
        <v>0</v>
      </c>
      <c r="O414" s="111">
        <f>($G385+(SUM($G414:N414)))*O$7</f>
        <v>0</v>
      </c>
      <c r="P414" s="111">
        <f>($G385+(SUM($G414:O414)))*P$7</f>
        <v>0</v>
      </c>
      <c r="Q414" s="111">
        <f>($G385+(SUM($G414:P414)))*Q$7</f>
        <v>0</v>
      </c>
      <c r="R414" s="100"/>
      <c r="S414" s="100"/>
      <c r="T414" s="100"/>
      <c r="U414" s="100"/>
      <c r="V414" s="100"/>
      <c r="W414" s="100"/>
      <c r="X414" s="100"/>
      <c r="Y414" s="100"/>
      <c r="Z414" s="100"/>
      <c r="AA414" s="228"/>
      <c r="AB414" s="228"/>
      <c r="AC414" s="228"/>
      <c r="AD414" s="228"/>
      <c r="AE414" s="228"/>
      <c r="AF414" s="228"/>
      <c r="AG414" s="228"/>
      <c r="AH414" s="228"/>
      <c r="AI414" s="228"/>
      <c r="AJ414" s="228"/>
      <c r="AK414" s="228"/>
      <c r="AL414" s="228"/>
      <c r="AM414" s="228"/>
      <c r="AN414" s="228"/>
      <c r="AO414" s="228"/>
      <c r="AP414" s="228"/>
      <c r="AQ414" s="228"/>
      <c r="AR414" s="228"/>
      <c r="AS414" s="228"/>
      <c r="AT414" s="228"/>
      <c r="AU414" s="228"/>
      <c r="AV414" s="228"/>
      <c r="AW414" s="228"/>
      <c r="AX414" s="228"/>
      <c r="AY414" s="228"/>
      <c r="AZ414" s="228"/>
      <c r="BA414" s="228"/>
      <c r="BB414" s="228"/>
      <c r="BC414" s="228"/>
      <c r="BD414" s="228"/>
      <c r="BE414" s="228"/>
      <c r="BF414" s="228"/>
      <c r="BG414" s="228"/>
      <c r="BH414" s="228"/>
      <c r="BI414" s="228"/>
      <c r="BJ414" s="221"/>
      <c r="BK414" s="221"/>
    </row>
    <row r="415" spans="1:63" hidden="1" outlineLevel="1">
      <c r="A415" s="9"/>
      <c r="B415" s="44"/>
      <c r="C415" s="329" t="s">
        <v>27</v>
      </c>
      <c r="D415" s="9"/>
      <c r="E415" s="9"/>
      <c r="F415" s="139"/>
      <c r="G415" s="203"/>
      <c r="H415" s="111"/>
      <c r="I415" s="111"/>
      <c r="J415" s="111"/>
      <c r="K415" s="111"/>
      <c r="L415" s="365">
        <f>IF(M414=0, SUM($G414:L414), 0)</f>
        <v>0</v>
      </c>
      <c r="M415" s="365">
        <f>IF(N414=0, SUM($G414:M414), 0)</f>
        <v>0</v>
      </c>
      <c r="N415" s="111">
        <f>IF(O414=0, IF(N414=0, 0, SUM($G414:N414)), 0)</f>
        <v>0</v>
      </c>
      <c r="O415" s="111">
        <f>IF(P414=0, IF(O414=0, 0, SUM($G414:O414)), 0)</f>
        <v>0</v>
      </c>
      <c r="P415" s="111">
        <f>IF(Q414=0, IF(P414=0, 0, SUM($G414:P414)), 0)</f>
        <v>0</v>
      </c>
      <c r="Q415" s="111">
        <f>IF(R414=0, IF(Q414=0, 0, SUM($G414:Q414)), 0)</f>
        <v>0</v>
      </c>
      <c r="R415" s="100"/>
      <c r="S415" s="100"/>
      <c r="T415" s="100"/>
      <c r="U415" s="100"/>
      <c r="V415" s="100"/>
      <c r="W415" s="100"/>
      <c r="X415" s="100"/>
      <c r="Y415" s="100"/>
      <c r="Z415" s="100"/>
      <c r="AA415" s="228"/>
      <c r="AB415" s="228"/>
      <c r="AC415" s="228"/>
      <c r="AD415" s="228"/>
      <c r="AE415" s="228"/>
      <c r="AF415" s="228"/>
      <c r="AG415" s="228"/>
      <c r="AH415" s="228"/>
      <c r="AI415" s="228"/>
      <c r="AJ415" s="228"/>
      <c r="AK415" s="228"/>
      <c r="AL415" s="228"/>
      <c r="AM415" s="228"/>
      <c r="AN415" s="228"/>
      <c r="AO415" s="228"/>
      <c r="AP415" s="228"/>
      <c r="AQ415" s="228"/>
      <c r="AR415" s="228"/>
      <c r="AS415" s="228"/>
      <c r="AT415" s="228"/>
      <c r="AU415" s="228"/>
      <c r="AV415" s="228"/>
      <c r="AW415" s="228"/>
      <c r="AX415" s="228"/>
      <c r="AY415" s="228"/>
      <c r="AZ415" s="228"/>
      <c r="BA415" s="228"/>
      <c r="BB415" s="228"/>
      <c r="BC415" s="228"/>
      <c r="BD415" s="228"/>
      <c r="BE415" s="228"/>
      <c r="BF415" s="228"/>
      <c r="BG415" s="228"/>
      <c r="BH415" s="228"/>
      <c r="BI415" s="228"/>
      <c r="BJ415" s="221"/>
      <c r="BK415" s="221"/>
    </row>
    <row r="416" spans="1:63" hidden="1" outlineLevel="1">
      <c r="A416" s="9"/>
      <c r="B416" s="44"/>
      <c r="C416" s="127" t="str">
        <f>Asset9</f>
        <v>IT</v>
      </c>
      <c r="D416" s="9"/>
      <c r="E416" s="9"/>
      <c r="F416" s="139"/>
      <c r="G416" s="203"/>
      <c r="H416" s="111">
        <f>($G386+(SUM($G416:G416)))*H$7</f>
        <v>0</v>
      </c>
      <c r="I416" s="111">
        <f>($G386+(SUM($G416:H416)))*I$7</f>
        <v>0</v>
      </c>
      <c r="J416" s="111">
        <f>($G386+(SUM($G416:I416)))*J$7</f>
        <v>0</v>
      </c>
      <c r="K416" s="111">
        <f>($G386+(SUM($G416:J416)))*K$7</f>
        <v>0</v>
      </c>
      <c r="L416" s="365">
        <f>($G386+(SUM($G416:K416)))*L$7</f>
        <v>0</v>
      </c>
      <c r="M416" s="365">
        <f>($G386+(SUM($G416:L416)))*M$7</f>
        <v>0</v>
      </c>
      <c r="N416" s="111">
        <f>($G386+(SUM($G416:M416)))*N$7</f>
        <v>0</v>
      </c>
      <c r="O416" s="111">
        <f>($G386+(SUM($G416:N416)))*O$7</f>
        <v>0</v>
      </c>
      <c r="P416" s="111">
        <f>($G386+(SUM($G416:O416)))*P$7</f>
        <v>0</v>
      </c>
      <c r="Q416" s="111">
        <f>($G386+(SUM($G416:P416)))*Q$7</f>
        <v>0</v>
      </c>
      <c r="R416" s="100"/>
      <c r="S416" s="100"/>
      <c r="T416" s="100"/>
      <c r="U416" s="100"/>
      <c r="V416" s="100"/>
      <c r="W416" s="100"/>
      <c r="X416" s="100"/>
      <c r="Y416" s="100"/>
      <c r="Z416" s="100"/>
      <c r="AA416" s="228"/>
      <c r="AB416" s="228"/>
      <c r="AC416" s="228"/>
      <c r="AD416" s="228"/>
      <c r="AE416" s="228"/>
      <c r="AF416" s="228"/>
      <c r="AG416" s="228"/>
      <c r="AH416" s="228"/>
      <c r="AI416" s="228"/>
      <c r="AJ416" s="228"/>
      <c r="AK416" s="228"/>
      <c r="AL416" s="228"/>
      <c r="AM416" s="228"/>
      <c r="AN416" s="228"/>
      <c r="AO416" s="228"/>
      <c r="AP416" s="228"/>
      <c r="AQ416" s="228"/>
      <c r="AR416" s="228"/>
      <c r="AS416" s="228"/>
      <c r="AT416" s="228"/>
      <c r="AU416" s="228"/>
      <c r="AV416" s="228"/>
      <c r="AW416" s="228"/>
      <c r="AX416" s="228"/>
      <c r="AY416" s="228"/>
      <c r="AZ416" s="228"/>
      <c r="BA416" s="228"/>
      <c r="BB416" s="228"/>
      <c r="BC416" s="228"/>
      <c r="BD416" s="228"/>
      <c r="BE416" s="228"/>
      <c r="BF416" s="228"/>
      <c r="BG416" s="228"/>
      <c r="BH416" s="228"/>
      <c r="BI416" s="228"/>
      <c r="BJ416" s="221"/>
      <c r="BK416" s="221"/>
    </row>
    <row r="417" spans="1:63" hidden="1" outlineLevel="1">
      <c r="A417" s="9"/>
      <c r="B417" s="44"/>
      <c r="C417" s="329" t="s">
        <v>27</v>
      </c>
      <c r="D417" s="9"/>
      <c r="E417" s="9"/>
      <c r="F417" s="139"/>
      <c r="G417" s="203"/>
      <c r="H417" s="111"/>
      <c r="I417" s="111"/>
      <c r="J417" s="111"/>
      <c r="K417" s="111"/>
      <c r="L417" s="365">
        <f>IF(M416=0, SUM($G416:L416), 0)</f>
        <v>0</v>
      </c>
      <c r="M417" s="365">
        <f>IF(N416=0, SUM($G416:M416), 0)</f>
        <v>0</v>
      </c>
      <c r="N417" s="111">
        <f>IF(O416=0, IF(N416=0, 0, SUM($G416:N416)), 0)</f>
        <v>0</v>
      </c>
      <c r="O417" s="111">
        <f>IF(P416=0, IF(O416=0, 0, SUM($G416:O416)), 0)</f>
        <v>0</v>
      </c>
      <c r="P417" s="111">
        <f>IF(Q416=0, IF(P416=0, 0, SUM($G416:P416)), 0)</f>
        <v>0</v>
      </c>
      <c r="Q417" s="111">
        <f>IF(R416=0, IF(Q416=0, 0, SUM($G416:Q416)), 0)</f>
        <v>0</v>
      </c>
      <c r="R417" s="100"/>
      <c r="S417" s="100"/>
      <c r="T417" s="100"/>
      <c r="U417" s="100"/>
      <c r="V417" s="100"/>
      <c r="W417" s="100"/>
      <c r="X417" s="100"/>
      <c r="Y417" s="100"/>
      <c r="Z417" s="100"/>
      <c r="AA417" s="228"/>
      <c r="AB417" s="228"/>
      <c r="AC417" s="228"/>
      <c r="AD417" s="228"/>
      <c r="AE417" s="228"/>
      <c r="AF417" s="228"/>
      <c r="AG417" s="228"/>
      <c r="AH417" s="228"/>
      <c r="AI417" s="228"/>
      <c r="AJ417" s="228"/>
      <c r="AK417" s="228"/>
      <c r="AL417" s="228"/>
      <c r="AM417" s="228"/>
      <c r="AN417" s="228"/>
      <c r="AO417" s="228"/>
      <c r="AP417" s="228"/>
      <c r="AQ417" s="228"/>
      <c r="AR417" s="228"/>
      <c r="AS417" s="228"/>
      <c r="AT417" s="228"/>
      <c r="AU417" s="228"/>
      <c r="AV417" s="228"/>
      <c r="AW417" s="228"/>
      <c r="AX417" s="228"/>
      <c r="AY417" s="228"/>
      <c r="AZ417" s="228"/>
      <c r="BA417" s="228"/>
      <c r="BB417" s="228"/>
      <c r="BC417" s="228"/>
      <c r="BD417" s="228"/>
      <c r="BE417" s="228"/>
      <c r="BF417" s="228"/>
      <c r="BG417" s="228"/>
      <c r="BH417" s="228"/>
      <c r="BI417" s="228"/>
      <c r="BJ417" s="221"/>
      <c r="BK417" s="221"/>
    </row>
    <row r="418" spans="1:63" hidden="1" outlineLevel="1">
      <c r="A418" s="9"/>
      <c r="B418" s="44"/>
      <c r="C418" s="127" t="str">
        <f>Asset10</f>
        <v>Vehicles</v>
      </c>
      <c r="D418" s="9"/>
      <c r="E418" s="9"/>
      <c r="F418" s="139"/>
      <c r="G418" s="203"/>
      <c r="H418" s="111">
        <f>($G387+(SUM($G418:G418)))*H$7</f>
        <v>0</v>
      </c>
      <c r="I418" s="111">
        <f>($G387+(SUM($G418:H418)))*I$7</f>
        <v>0</v>
      </c>
      <c r="J418" s="111">
        <f>($G387+(SUM($G418:I418)))*J$7</f>
        <v>0</v>
      </c>
      <c r="K418" s="111">
        <f>($G387+(SUM($G418:J418)))*K$7</f>
        <v>0</v>
      </c>
      <c r="L418" s="365">
        <f>($G387+(SUM($G418:K418)))*L$7</f>
        <v>0</v>
      </c>
      <c r="M418" s="365">
        <f>($G387+(SUM($G418:L418)))*M$7</f>
        <v>0</v>
      </c>
      <c r="N418" s="111">
        <f>($G387+(SUM($G418:M418)))*N$7</f>
        <v>0</v>
      </c>
      <c r="O418" s="111">
        <f>($G387+(SUM($G418:N418)))*O$7</f>
        <v>0</v>
      </c>
      <c r="P418" s="111">
        <f>($G387+(SUM($G418:O418)))*P$7</f>
        <v>0</v>
      </c>
      <c r="Q418" s="111">
        <f>($G387+(SUM($G418:P418)))*Q$7</f>
        <v>0</v>
      </c>
      <c r="R418" s="100"/>
      <c r="S418" s="100"/>
      <c r="T418" s="100"/>
      <c r="U418" s="100"/>
      <c r="V418" s="100"/>
      <c r="W418" s="100"/>
      <c r="X418" s="100"/>
      <c r="Y418" s="100"/>
      <c r="Z418" s="100"/>
      <c r="AA418" s="228"/>
      <c r="AB418" s="228"/>
      <c r="AC418" s="228"/>
      <c r="AD418" s="228"/>
      <c r="AE418" s="228"/>
      <c r="AF418" s="228"/>
      <c r="AG418" s="228"/>
      <c r="AH418" s="228"/>
      <c r="AI418" s="228"/>
      <c r="AJ418" s="228"/>
      <c r="AK418" s="228"/>
      <c r="AL418" s="228"/>
      <c r="AM418" s="228"/>
      <c r="AN418" s="228"/>
      <c r="AO418" s="228"/>
      <c r="AP418" s="228"/>
      <c r="AQ418" s="228"/>
      <c r="AR418" s="228"/>
      <c r="AS418" s="228"/>
      <c r="AT418" s="228"/>
      <c r="AU418" s="228"/>
      <c r="AV418" s="228"/>
      <c r="AW418" s="228"/>
      <c r="AX418" s="228"/>
      <c r="AY418" s="228"/>
      <c r="AZ418" s="228"/>
      <c r="BA418" s="228"/>
      <c r="BB418" s="228"/>
      <c r="BC418" s="228"/>
      <c r="BD418" s="228"/>
      <c r="BE418" s="228"/>
      <c r="BF418" s="228"/>
      <c r="BG418" s="228"/>
      <c r="BH418" s="228"/>
      <c r="BI418" s="228"/>
      <c r="BJ418" s="221"/>
      <c r="BK418" s="221"/>
    </row>
    <row r="419" spans="1:63" hidden="1" outlineLevel="1">
      <c r="A419" s="9"/>
      <c r="B419" s="44"/>
      <c r="C419" s="329" t="s">
        <v>27</v>
      </c>
      <c r="D419" s="9"/>
      <c r="E419" s="9"/>
      <c r="F419" s="139"/>
      <c r="G419" s="203"/>
      <c r="H419" s="111"/>
      <c r="I419" s="111"/>
      <c r="J419" s="111"/>
      <c r="K419" s="111"/>
      <c r="L419" s="365">
        <f>IF(M418=0, SUM($G418:L418), 0)</f>
        <v>0</v>
      </c>
      <c r="M419" s="365">
        <f>IF(N418=0, SUM($G418:M418), 0)</f>
        <v>0</v>
      </c>
      <c r="N419" s="111">
        <f>IF(O418=0, IF(N418=0, 0, SUM($G418:N418)), 0)</f>
        <v>0</v>
      </c>
      <c r="O419" s="111">
        <f>IF(P418=0, IF(O418=0, 0, SUM($G418:O418)), 0)</f>
        <v>0</v>
      </c>
      <c r="P419" s="111">
        <f>IF(Q418=0, IF(P418=0, 0, SUM($G418:P418)), 0)</f>
        <v>0</v>
      </c>
      <c r="Q419" s="111">
        <f>IF(R418=0, IF(Q418=0, 0, SUM($G418:Q418)), 0)</f>
        <v>0</v>
      </c>
      <c r="R419" s="100"/>
      <c r="S419" s="100"/>
      <c r="T419" s="100"/>
      <c r="U419" s="100"/>
      <c r="V419" s="100"/>
      <c r="W419" s="100"/>
      <c r="X419" s="100"/>
      <c r="Y419" s="100"/>
      <c r="Z419" s="100"/>
      <c r="AA419" s="228"/>
      <c r="AB419" s="228"/>
      <c r="AC419" s="228"/>
      <c r="AD419" s="228"/>
      <c r="AE419" s="228"/>
      <c r="AF419" s="228"/>
      <c r="AG419" s="228"/>
      <c r="AH419" s="228"/>
      <c r="AI419" s="228"/>
      <c r="AJ419" s="228"/>
      <c r="AK419" s="228"/>
      <c r="AL419" s="228"/>
      <c r="AM419" s="228"/>
      <c r="AN419" s="228"/>
      <c r="AO419" s="228"/>
      <c r="AP419" s="228"/>
      <c r="AQ419" s="228"/>
      <c r="AR419" s="228"/>
      <c r="AS419" s="228"/>
      <c r="AT419" s="228"/>
      <c r="AU419" s="228"/>
      <c r="AV419" s="228"/>
      <c r="AW419" s="228"/>
      <c r="AX419" s="228"/>
      <c r="AY419" s="228"/>
      <c r="AZ419" s="228"/>
      <c r="BA419" s="228"/>
      <c r="BB419" s="228"/>
      <c r="BC419" s="228"/>
      <c r="BD419" s="228"/>
      <c r="BE419" s="228"/>
      <c r="BF419" s="228"/>
      <c r="BG419" s="228"/>
      <c r="BH419" s="228"/>
      <c r="BI419" s="228"/>
      <c r="BJ419" s="221"/>
      <c r="BK419" s="221"/>
    </row>
    <row r="420" spans="1:63" hidden="1" outlineLevel="1">
      <c r="A420" s="9"/>
      <c r="B420" s="44"/>
      <c r="C420" s="127" t="str">
        <f>Asset11</f>
        <v>other</v>
      </c>
      <c r="D420" s="9"/>
      <c r="E420" s="9"/>
      <c r="F420" s="139"/>
      <c r="G420" s="203"/>
      <c r="H420" s="111">
        <f>($G388+(SUM($G420:G420)))*H$7</f>
        <v>0</v>
      </c>
      <c r="I420" s="111">
        <f>($G388+(SUM($G420:H420)))*I$7</f>
        <v>0</v>
      </c>
      <c r="J420" s="111">
        <f>($G388+(SUM($G420:I420)))*J$7</f>
        <v>0</v>
      </c>
      <c r="K420" s="111">
        <f>($G388+(SUM($G420:J420)))*K$7</f>
        <v>0</v>
      </c>
      <c r="L420" s="365">
        <f>($G388+(SUM($G420:K420)))*L$7</f>
        <v>0</v>
      </c>
      <c r="M420" s="365">
        <f>($G388+(SUM($G420:L420)))*M$7</f>
        <v>0</v>
      </c>
      <c r="N420" s="111">
        <f>($G388+(SUM($G420:M420)))*N$7</f>
        <v>0</v>
      </c>
      <c r="O420" s="111">
        <f>($G388+(SUM($G420:N420)))*O$7</f>
        <v>0</v>
      </c>
      <c r="P420" s="111">
        <f>($G388+(SUM($G420:O420)))*P$7</f>
        <v>0</v>
      </c>
      <c r="Q420" s="111">
        <f>($G388+(SUM($G420:P420)))*Q$7</f>
        <v>0</v>
      </c>
      <c r="R420" s="100"/>
      <c r="S420" s="100"/>
      <c r="T420" s="100"/>
      <c r="U420" s="100"/>
      <c r="V420" s="100"/>
      <c r="W420" s="100"/>
      <c r="X420" s="100"/>
      <c r="Y420" s="100"/>
      <c r="Z420" s="100"/>
      <c r="AA420" s="228"/>
      <c r="AB420" s="228"/>
      <c r="AC420" s="228"/>
      <c r="AD420" s="228"/>
      <c r="AE420" s="228"/>
      <c r="AF420" s="228"/>
      <c r="AG420" s="228"/>
      <c r="AH420" s="228"/>
      <c r="AI420" s="228"/>
      <c r="AJ420" s="228"/>
      <c r="AK420" s="228"/>
      <c r="AL420" s="228"/>
      <c r="AM420" s="228"/>
      <c r="AN420" s="228"/>
      <c r="AO420" s="228"/>
      <c r="AP420" s="228"/>
      <c r="AQ420" s="228"/>
      <c r="AR420" s="228"/>
      <c r="AS420" s="228"/>
      <c r="AT420" s="228"/>
      <c r="AU420" s="228"/>
      <c r="AV420" s="228"/>
      <c r="AW420" s="228"/>
      <c r="AX420" s="228"/>
      <c r="AY420" s="228"/>
      <c r="AZ420" s="228"/>
      <c r="BA420" s="228"/>
      <c r="BB420" s="228"/>
      <c r="BC420" s="228"/>
      <c r="BD420" s="228"/>
      <c r="BE420" s="228"/>
      <c r="BF420" s="228"/>
      <c r="BG420" s="228"/>
      <c r="BH420" s="228"/>
      <c r="BI420" s="228"/>
      <c r="BJ420" s="221"/>
      <c r="BK420" s="221"/>
    </row>
    <row r="421" spans="1:63" hidden="1" outlineLevel="1">
      <c r="A421" s="9"/>
      <c r="B421" s="44"/>
      <c r="C421" s="329" t="s">
        <v>27</v>
      </c>
      <c r="D421" s="9"/>
      <c r="E421" s="9"/>
      <c r="F421" s="139"/>
      <c r="G421" s="203"/>
      <c r="H421" s="111"/>
      <c r="I421" s="111"/>
      <c r="J421" s="111"/>
      <c r="K421" s="111"/>
      <c r="L421" s="365">
        <f>IF(M420=0, SUM($G420:L420), 0)</f>
        <v>0</v>
      </c>
      <c r="M421" s="365">
        <f>IF(N420=0, SUM($G420:M420), 0)</f>
        <v>0</v>
      </c>
      <c r="N421" s="111">
        <f>IF(O420=0, IF(N420=0, 0, SUM($G420:N420)), 0)</f>
        <v>0</v>
      </c>
      <c r="O421" s="111">
        <f>IF(P420=0, IF(O420=0, 0, SUM($G420:O420)), 0)</f>
        <v>0</v>
      </c>
      <c r="P421" s="111">
        <f>IF(Q420=0, IF(P420=0, 0, SUM($G420:P420)), 0)</f>
        <v>0</v>
      </c>
      <c r="Q421" s="111">
        <f>IF(R420=0, IF(Q420=0, 0, SUM($G420:Q420)), 0)</f>
        <v>0</v>
      </c>
      <c r="R421" s="100"/>
      <c r="S421" s="100"/>
      <c r="T421" s="100"/>
      <c r="U421" s="100"/>
      <c r="V421" s="100"/>
      <c r="W421" s="100"/>
      <c r="X421" s="100"/>
      <c r="Y421" s="100"/>
      <c r="Z421" s="100"/>
      <c r="AA421" s="228"/>
      <c r="AB421" s="228"/>
      <c r="AC421" s="228"/>
      <c r="AD421" s="228"/>
      <c r="AE421" s="228"/>
      <c r="AF421" s="228"/>
      <c r="AG421" s="228"/>
      <c r="AH421" s="228"/>
      <c r="AI421" s="228"/>
      <c r="AJ421" s="228"/>
      <c r="AK421" s="228"/>
      <c r="AL421" s="228"/>
      <c r="AM421" s="228"/>
      <c r="AN421" s="228"/>
      <c r="AO421" s="228"/>
      <c r="AP421" s="228"/>
      <c r="AQ421" s="228"/>
      <c r="AR421" s="228"/>
      <c r="AS421" s="228"/>
      <c r="AT421" s="228"/>
      <c r="AU421" s="228"/>
      <c r="AV421" s="228"/>
      <c r="AW421" s="228"/>
      <c r="AX421" s="228"/>
      <c r="AY421" s="228"/>
      <c r="AZ421" s="228"/>
      <c r="BA421" s="228"/>
      <c r="BB421" s="228"/>
      <c r="BC421" s="228"/>
      <c r="BD421" s="228"/>
      <c r="BE421" s="228"/>
      <c r="BF421" s="228"/>
      <c r="BG421" s="228"/>
      <c r="BH421" s="228"/>
      <c r="BI421" s="228"/>
      <c r="BJ421" s="221"/>
      <c r="BK421" s="221"/>
    </row>
    <row r="422" spans="1:63" hidden="1" outlineLevel="1">
      <c r="A422" s="9"/>
      <c r="B422" s="44"/>
      <c r="C422" s="127" t="str">
        <f>Asset12</f>
        <v>premises</v>
      </c>
      <c r="D422" s="9"/>
      <c r="E422" s="9"/>
      <c r="F422" s="139"/>
      <c r="G422" s="203"/>
      <c r="H422" s="111">
        <f>($G389+(SUM($G422:G422)))*H$7</f>
        <v>0</v>
      </c>
      <c r="I422" s="111">
        <f>($G389+(SUM($G422:H422)))*I$7</f>
        <v>0</v>
      </c>
      <c r="J422" s="111">
        <f>($G389+(SUM($G422:I422)))*J$7</f>
        <v>0</v>
      </c>
      <c r="K422" s="111">
        <f>($G389+(SUM($G422:J422)))*K$7</f>
        <v>0</v>
      </c>
      <c r="L422" s="365">
        <f>($G389+(SUM($G422:K422)))*L$7</f>
        <v>0</v>
      </c>
      <c r="M422" s="365">
        <f>($G389+(SUM($G422:L422)))*M$7</f>
        <v>0</v>
      </c>
      <c r="N422" s="111">
        <f>($G389+(SUM($G422:M422)))*N$7</f>
        <v>0</v>
      </c>
      <c r="O422" s="111">
        <f>($G389+(SUM($G422:N422)))*O$7</f>
        <v>0</v>
      </c>
      <c r="P422" s="111">
        <f>($G389+(SUM($G422:O422)))*P$7</f>
        <v>0</v>
      </c>
      <c r="Q422" s="111">
        <f>($G389+(SUM($G422:P422)))*Q$7</f>
        <v>0</v>
      </c>
      <c r="R422" s="100"/>
      <c r="S422" s="100"/>
      <c r="T422" s="100"/>
      <c r="U422" s="100"/>
      <c r="V422" s="100"/>
      <c r="W422" s="100"/>
      <c r="X422" s="100"/>
      <c r="Y422" s="100"/>
      <c r="Z422" s="100"/>
      <c r="AA422" s="228"/>
      <c r="AB422" s="228"/>
      <c r="AC422" s="228"/>
      <c r="AD422" s="228"/>
      <c r="AE422" s="228"/>
      <c r="AF422" s="228"/>
      <c r="AG422" s="228"/>
      <c r="AH422" s="228"/>
      <c r="AI422" s="228"/>
      <c r="AJ422" s="228"/>
      <c r="AK422" s="228"/>
      <c r="AL422" s="228"/>
      <c r="AM422" s="228"/>
      <c r="AN422" s="228"/>
      <c r="AO422" s="228"/>
      <c r="AP422" s="228"/>
      <c r="AQ422" s="228"/>
      <c r="AR422" s="228"/>
      <c r="AS422" s="228"/>
      <c r="AT422" s="228"/>
      <c r="AU422" s="228"/>
      <c r="AV422" s="228"/>
      <c r="AW422" s="228"/>
      <c r="AX422" s="228"/>
      <c r="AY422" s="228"/>
      <c r="AZ422" s="228"/>
      <c r="BA422" s="228"/>
      <c r="BB422" s="228"/>
      <c r="BC422" s="228"/>
      <c r="BD422" s="228"/>
      <c r="BE422" s="228"/>
      <c r="BF422" s="228"/>
      <c r="BG422" s="228"/>
      <c r="BH422" s="228"/>
      <c r="BI422" s="228"/>
      <c r="BJ422" s="221"/>
      <c r="BK422" s="221"/>
    </row>
    <row r="423" spans="1:63" hidden="1" outlineLevel="1">
      <c r="A423" s="9"/>
      <c r="B423" s="44"/>
      <c r="C423" s="329" t="s">
        <v>27</v>
      </c>
      <c r="D423" s="9"/>
      <c r="E423" s="9"/>
      <c r="F423" s="139"/>
      <c r="G423" s="203"/>
      <c r="H423" s="111"/>
      <c r="I423" s="111"/>
      <c r="J423" s="111"/>
      <c r="K423" s="111"/>
      <c r="L423" s="365">
        <f>IF(M422=0, SUM($G422:L422), 0)</f>
        <v>0</v>
      </c>
      <c r="M423" s="365">
        <f>IF(N422=0, SUM($G422:M422), 0)</f>
        <v>0</v>
      </c>
      <c r="N423" s="111">
        <f>IF(O422=0, IF(N422=0, 0, SUM($G422:N422)), 0)</f>
        <v>0</v>
      </c>
      <c r="O423" s="111">
        <f>IF(P422=0, IF(O422=0, 0, SUM($G422:O422)), 0)</f>
        <v>0</v>
      </c>
      <c r="P423" s="111">
        <f>IF(Q422=0, IF(P422=0, 0, SUM($G422:P422)), 0)</f>
        <v>0</v>
      </c>
      <c r="Q423" s="111">
        <f>IF(R422=0, IF(Q422=0, 0, SUM($G422:Q422)), 0)</f>
        <v>0</v>
      </c>
      <c r="R423" s="100"/>
      <c r="S423" s="100"/>
      <c r="T423" s="100"/>
      <c r="U423" s="100"/>
      <c r="V423" s="100"/>
      <c r="W423" s="100"/>
      <c r="X423" s="100"/>
      <c r="Y423" s="100"/>
      <c r="Z423" s="100"/>
      <c r="AA423" s="228"/>
      <c r="AB423" s="228"/>
      <c r="AC423" s="228"/>
      <c r="AD423" s="228"/>
      <c r="AE423" s="228"/>
      <c r="AF423" s="228"/>
      <c r="AG423" s="228"/>
      <c r="AH423" s="228"/>
      <c r="AI423" s="228"/>
      <c r="AJ423" s="228"/>
      <c r="AK423" s="228"/>
      <c r="AL423" s="228"/>
      <c r="AM423" s="228"/>
      <c r="AN423" s="228"/>
      <c r="AO423" s="228"/>
      <c r="AP423" s="228"/>
      <c r="AQ423" s="228"/>
      <c r="AR423" s="228"/>
      <c r="AS423" s="228"/>
      <c r="AT423" s="228"/>
      <c r="AU423" s="228"/>
      <c r="AV423" s="228"/>
      <c r="AW423" s="228"/>
      <c r="AX423" s="228"/>
      <c r="AY423" s="228"/>
      <c r="AZ423" s="228"/>
      <c r="BA423" s="228"/>
      <c r="BB423" s="228"/>
      <c r="BC423" s="228"/>
      <c r="BD423" s="228"/>
      <c r="BE423" s="228"/>
      <c r="BF423" s="228"/>
      <c r="BG423" s="228"/>
      <c r="BH423" s="228"/>
      <c r="BI423" s="228"/>
      <c r="BJ423" s="221"/>
      <c r="BK423" s="221"/>
    </row>
    <row r="424" spans="1:63" hidden="1" outlineLevel="1">
      <c r="A424" s="9"/>
      <c r="B424" s="44"/>
      <c r="C424" s="127" t="str">
        <f>Asset13</f>
        <v>Land</v>
      </c>
      <c r="D424" s="9"/>
      <c r="E424" s="9"/>
      <c r="F424" s="139"/>
      <c r="G424" s="203"/>
      <c r="H424" s="111">
        <f>($G390+(SUM($G424:G424)))*H$7</f>
        <v>0</v>
      </c>
      <c r="I424" s="111">
        <f>($G390+(SUM($G424:H424)))*I$7</f>
        <v>0</v>
      </c>
      <c r="J424" s="111">
        <f>($G390+(SUM($G424:I424)))*J$7</f>
        <v>0</v>
      </c>
      <c r="K424" s="111">
        <f>($G390+(SUM($G424:J424)))*K$7</f>
        <v>0</v>
      </c>
      <c r="L424" s="365">
        <f>($G390+(SUM($G424:K424)))*L$7</f>
        <v>0</v>
      </c>
      <c r="M424" s="365">
        <f>($G390+(SUM($G424:L424)))*M$7</f>
        <v>0</v>
      </c>
      <c r="N424" s="111">
        <f>($G390+(SUM($G424:M424)))*N$7</f>
        <v>0</v>
      </c>
      <c r="O424" s="111">
        <f>($G390+(SUM($G424:N424)))*O$7</f>
        <v>0</v>
      </c>
      <c r="P424" s="111">
        <f>($G390+(SUM($G424:O424)))*P$7</f>
        <v>0</v>
      </c>
      <c r="Q424" s="111">
        <f>($G390+(SUM($G424:P424)))*Q$7</f>
        <v>0</v>
      </c>
      <c r="R424" s="100"/>
      <c r="S424" s="100"/>
      <c r="T424" s="100"/>
      <c r="U424" s="100"/>
      <c r="V424" s="100"/>
      <c r="W424" s="100"/>
      <c r="X424" s="100"/>
      <c r="Y424" s="100"/>
      <c r="Z424" s="100"/>
      <c r="AA424" s="228"/>
      <c r="AB424" s="228"/>
      <c r="AC424" s="228"/>
      <c r="AD424" s="228"/>
      <c r="AE424" s="228"/>
      <c r="AF424" s="228"/>
      <c r="AG424" s="228"/>
      <c r="AH424" s="228"/>
      <c r="AI424" s="228"/>
      <c r="AJ424" s="228"/>
      <c r="AK424" s="228"/>
      <c r="AL424" s="228"/>
      <c r="AM424" s="228"/>
      <c r="AN424" s="228"/>
      <c r="AO424" s="228"/>
      <c r="AP424" s="228"/>
      <c r="AQ424" s="228"/>
      <c r="AR424" s="228"/>
      <c r="AS424" s="228"/>
      <c r="AT424" s="228"/>
      <c r="AU424" s="228"/>
      <c r="AV424" s="228"/>
      <c r="AW424" s="228"/>
      <c r="AX424" s="228"/>
      <c r="AY424" s="228"/>
      <c r="AZ424" s="228"/>
      <c r="BA424" s="228"/>
      <c r="BB424" s="228"/>
      <c r="BC424" s="228"/>
      <c r="BD424" s="228"/>
      <c r="BE424" s="228"/>
      <c r="BF424" s="228"/>
      <c r="BG424" s="228"/>
      <c r="BH424" s="228"/>
      <c r="BI424" s="228"/>
      <c r="BJ424" s="221"/>
      <c r="BK424" s="221"/>
    </row>
    <row r="425" spans="1:63" hidden="1" outlineLevel="1">
      <c r="A425" s="9"/>
      <c r="B425" s="44"/>
      <c r="C425" s="329" t="s">
        <v>27</v>
      </c>
      <c r="D425" s="9"/>
      <c r="E425" s="9"/>
      <c r="F425" s="139"/>
      <c r="G425" s="203"/>
      <c r="H425" s="111"/>
      <c r="I425" s="111"/>
      <c r="J425" s="111"/>
      <c r="K425" s="111"/>
      <c r="L425" s="365">
        <f>IF(M424=0, SUM($G424:L424), 0)</f>
        <v>0</v>
      </c>
      <c r="M425" s="365">
        <f>IF(N424=0, SUM($G424:M424), 0)</f>
        <v>0</v>
      </c>
      <c r="N425" s="111">
        <f>IF(O424=0, IF(N424=0, 0, SUM($G424:N424)), 0)</f>
        <v>0</v>
      </c>
      <c r="O425" s="111">
        <f>IF(P424=0, IF(O424=0, 0, SUM($G424:O424)), 0)</f>
        <v>0</v>
      </c>
      <c r="P425" s="111">
        <f>IF(Q424=0, IF(P424=0, 0, SUM($G424:P424)), 0)</f>
        <v>0</v>
      </c>
      <c r="Q425" s="111">
        <f>IF(R424=0, IF(Q424=0, 0, SUM($G424:Q424)), 0)</f>
        <v>0</v>
      </c>
      <c r="R425" s="100"/>
      <c r="S425" s="100"/>
      <c r="T425" s="100"/>
      <c r="U425" s="100"/>
      <c r="V425" s="100"/>
      <c r="W425" s="100"/>
      <c r="X425" s="100"/>
      <c r="Y425" s="100"/>
      <c r="Z425" s="100"/>
      <c r="AA425" s="228"/>
      <c r="AB425" s="228"/>
      <c r="AC425" s="228"/>
      <c r="AD425" s="228"/>
      <c r="AE425" s="228"/>
      <c r="AF425" s="228"/>
      <c r="AG425" s="228"/>
      <c r="AH425" s="228"/>
      <c r="AI425" s="228"/>
      <c r="AJ425" s="228"/>
      <c r="AK425" s="228"/>
      <c r="AL425" s="228"/>
      <c r="AM425" s="228"/>
      <c r="AN425" s="228"/>
      <c r="AO425" s="228"/>
      <c r="AP425" s="228"/>
      <c r="AQ425" s="228"/>
      <c r="AR425" s="228"/>
      <c r="AS425" s="228"/>
      <c r="AT425" s="228"/>
      <c r="AU425" s="228"/>
      <c r="AV425" s="228"/>
      <c r="AW425" s="228"/>
      <c r="AX425" s="228"/>
      <c r="AY425" s="228"/>
      <c r="AZ425" s="228"/>
      <c r="BA425" s="228"/>
      <c r="BB425" s="228"/>
      <c r="BC425" s="228"/>
      <c r="BD425" s="228"/>
      <c r="BE425" s="228"/>
      <c r="BF425" s="228"/>
      <c r="BG425" s="228"/>
      <c r="BH425" s="228"/>
      <c r="BI425" s="228"/>
      <c r="BJ425" s="221"/>
      <c r="BK425" s="221"/>
    </row>
    <row r="426" spans="1:63" hidden="1" outlineLevel="1">
      <c r="A426" s="9"/>
      <c r="B426" s="44"/>
      <c r="C426" s="127" t="str">
        <f>Asset14</f>
        <v>Easements</v>
      </c>
      <c r="D426" s="9"/>
      <c r="E426" s="9"/>
      <c r="F426" s="139"/>
      <c r="G426" s="203"/>
      <c r="H426" s="111">
        <f>($G391+(SUM($G426:G426)))*H$7</f>
        <v>0</v>
      </c>
      <c r="I426" s="111">
        <f>($G391+(SUM($G426:H426)))*I$7</f>
        <v>0</v>
      </c>
      <c r="J426" s="111">
        <f>($G391+(SUM($G426:I426)))*J$7</f>
        <v>0</v>
      </c>
      <c r="K426" s="111">
        <f>($G391+(SUM($G426:J426)))*K$7</f>
        <v>0</v>
      </c>
      <c r="L426" s="365">
        <f>($G391+(SUM($G426:K426)))*L$7</f>
        <v>0</v>
      </c>
      <c r="M426" s="365">
        <f>($G391+(SUM($G426:L426)))*M$7</f>
        <v>0</v>
      </c>
      <c r="N426" s="111">
        <f>($G391+(SUM($G426:M426)))*N$7</f>
        <v>0</v>
      </c>
      <c r="O426" s="111">
        <f>($G391+(SUM($G426:N426)))*O$7</f>
        <v>0</v>
      </c>
      <c r="P426" s="111">
        <f>($G391+(SUM($G426:O426)))*P$7</f>
        <v>0</v>
      </c>
      <c r="Q426" s="111">
        <f>($G391+(SUM($G426:P426)))*Q$7</f>
        <v>0</v>
      </c>
      <c r="R426" s="100"/>
      <c r="S426" s="100"/>
      <c r="T426" s="100"/>
      <c r="U426" s="100"/>
      <c r="V426" s="100"/>
      <c r="W426" s="100"/>
      <c r="X426" s="100"/>
      <c r="Y426" s="100"/>
      <c r="Z426" s="100"/>
      <c r="AA426" s="228"/>
      <c r="AB426" s="228"/>
      <c r="AC426" s="228"/>
      <c r="AD426" s="228"/>
      <c r="AE426" s="228"/>
      <c r="AF426" s="228"/>
      <c r="AG426" s="228"/>
      <c r="AH426" s="228"/>
      <c r="AI426" s="228"/>
      <c r="AJ426" s="228"/>
      <c r="AK426" s="228"/>
      <c r="AL426" s="228"/>
      <c r="AM426" s="228"/>
      <c r="AN426" s="228"/>
      <c r="AO426" s="228"/>
      <c r="AP426" s="228"/>
      <c r="AQ426" s="228"/>
      <c r="AR426" s="228"/>
      <c r="AS426" s="228"/>
      <c r="AT426" s="228"/>
      <c r="AU426" s="228"/>
      <c r="AV426" s="228"/>
      <c r="AW426" s="228"/>
      <c r="AX426" s="228"/>
      <c r="AY426" s="228"/>
      <c r="AZ426" s="228"/>
      <c r="BA426" s="228"/>
      <c r="BB426" s="228"/>
      <c r="BC426" s="228"/>
      <c r="BD426" s="228"/>
      <c r="BE426" s="228"/>
      <c r="BF426" s="228"/>
      <c r="BG426" s="228"/>
      <c r="BH426" s="228"/>
      <c r="BI426" s="228"/>
      <c r="BJ426" s="221"/>
      <c r="BK426" s="221"/>
    </row>
    <row r="427" spans="1:63" hidden="1" outlineLevel="1">
      <c r="A427" s="9"/>
      <c r="B427" s="44"/>
      <c r="C427" s="329" t="s">
        <v>27</v>
      </c>
      <c r="D427" s="9"/>
      <c r="E427" s="9"/>
      <c r="F427" s="139"/>
      <c r="G427" s="203"/>
      <c r="H427" s="111"/>
      <c r="I427" s="111"/>
      <c r="J427" s="111"/>
      <c r="K427" s="111"/>
      <c r="L427" s="365">
        <f>IF(M426=0, SUM($G426:L426), 0)</f>
        <v>0</v>
      </c>
      <c r="M427" s="365">
        <f>IF(N426=0, SUM($G426:M426), 0)</f>
        <v>0</v>
      </c>
      <c r="N427" s="111">
        <f>IF(O426=0, IF(N426=0, 0, SUM($G426:N426)), 0)</f>
        <v>0</v>
      </c>
      <c r="O427" s="111">
        <f>IF(P426=0, IF(O426=0, 0, SUM($G426:O426)), 0)</f>
        <v>0</v>
      </c>
      <c r="P427" s="111">
        <f>IF(Q426=0, IF(P426=0, 0, SUM($G426:P426)), 0)</f>
        <v>0</v>
      </c>
      <c r="Q427" s="111">
        <f>IF(R426=0, IF(Q426=0, 0, SUM($G426:Q426)), 0)</f>
        <v>0</v>
      </c>
      <c r="R427" s="100"/>
      <c r="S427" s="100"/>
      <c r="T427" s="100"/>
      <c r="U427" s="100"/>
      <c r="V427" s="100"/>
      <c r="W427" s="100"/>
      <c r="X427" s="100"/>
      <c r="Y427" s="100"/>
      <c r="Z427" s="100"/>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8"/>
      <c r="AY427" s="228"/>
      <c r="AZ427" s="228"/>
      <c r="BA427" s="228"/>
      <c r="BB427" s="228"/>
      <c r="BC427" s="228"/>
      <c r="BD427" s="228"/>
      <c r="BE427" s="228"/>
      <c r="BF427" s="228"/>
      <c r="BG427" s="228"/>
      <c r="BH427" s="228"/>
      <c r="BI427" s="228"/>
      <c r="BJ427" s="221"/>
      <c r="BK427" s="221"/>
    </row>
    <row r="428" spans="1:63" hidden="1" outlineLevel="1">
      <c r="A428" s="9"/>
      <c r="B428" s="44"/>
      <c r="C428" s="127">
        <f>Asset15</f>
        <v>0</v>
      </c>
      <c r="D428" s="9"/>
      <c r="E428" s="9"/>
      <c r="F428" s="139"/>
      <c r="G428" s="203"/>
      <c r="H428" s="111">
        <f>($G392+(SUM($G428:G428)))*H$7</f>
        <v>0</v>
      </c>
      <c r="I428" s="111">
        <f>($G392+(SUM($G428:H428)))*I$7</f>
        <v>0</v>
      </c>
      <c r="J428" s="111">
        <f>($G392+(SUM($G428:I428)))*J$7</f>
        <v>0</v>
      </c>
      <c r="K428" s="111">
        <f>($G392+(SUM($G428:J428)))*K$7</f>
        <v>0</v>
      </c>
      <c r="L428" s="365">
        <f>($G392+(SUM($G428:K428)))*L$7</f>
        <v>0</v>
      </c>
      <c r="M428" s="365">
        <f>($G392+(SUM($G428:L428)))*M$7</f>
        <v>0</v>
      </c>
      <c r="N428" s="111">
        <f>($G392+(SUM($G428:M428)))*N$7</f>
        <v>0</v>
      </c>
      <c r="O428" s="111">
        <f>($G392+(SUM($G428:N428)))*O$7</f>
        <v>0</v>
      </c>
      <c r="P428" s="111">
        <f>($G392+(SUM($G428:O428)))*P$7</f>
        <v>0</v>
      </c>
      <c r="Q428" s="111">
        <f>($G392+(SUM($G428:P428)))*Q$7</f>
        <v>0</v>
      </c>
      <c r="R428" s="100"/>
      <c r="S428" s="100"/>
      <c r="T428" s="100"/>
      <c r="U428" s="100"/>
      <c r="V428" s="100"/>
      <c r="W428" s="100"/>
      <c r="X428" s="100"/>
      <c r="Y428" s="100"/>
      <c r="Z428" s="100"/>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c r="AU428" s="228"/>
      <c r="AV428" s="228"/>
      <c r="AW428" s="228"/>
      <c r="AX428" s="228"/>
      <c r="AY428" s="228"/>
      <c r="AZ428" s="228"/>
      <c r="BA428" s="228"/>
      <c r="BB428" s="228"/>
      <c r="BC428" s="228"/>
      <c r="BD428" s="228"/>
      <c r="BE428" s="228"/>
      <c r="BF428" s="228"/>
      <c r="BG428" s="228"/>
      <c r="BH428" s="228"/>
      <c r="BI428" s="228"/>
      <c r="BJ428" s="221"/>
      <c r="BK428" s="221"/>
    </row>
    <row r="429" spans="1:63" hidden="1" outlineLevel="1">
      <c r="A429" s="9"/>
      <c r="B429" s="44"/>
      <c r="C429" s="329" t="s">
        <v>27</v>
      </c>
      <c r="D429" s="9"/>
      <c r="E429" s="9"/>
      <c r="F429" s="139"/>
      <c r="G429" s="203"/>
      <c r="H429" s="111"/>
      <c r="I429" s="111"/>
      <c r="J429" s="111"/>
      <c r="K429" s="111"/>
      <c r="L429" s="365">
        <f>IF(M428=0, SUM($G428:L428), 0)</f>
        <v>0</v>
      </c>
      <c r="M429" s="365">
        <f>IF(N428=0, SUM($G428:M428), 0)</f>
        <v>0</v>
      </c>
      <c r="N429" s="111">
        <f>IF(O428=0, IF(N428=0, 0, SUM($G428:N428)), 0)</f>
        <v>0</v>
      </c>
      <c r="O429" s="111">
        <f>IF(P428=0, IF(O428=0, 0, SUM($G428:O428)), 0)</f>
        <v>0</v>
      </c>
      <c r="P429" s="111">
        <f>IF(Q428=0, IF(P428=0, 0, SUM($G428:P428)), 0)</f>
        <v>0</v>
      </c>
      <c r="Q429" s="111">
        <f>IF(R428=0, IF(Q428=0, 0, SUM($G428:Q428)), 0)</f>
        <v>0</v>
      </c>
      <c r="R429" s="100"/>
      <c r="S429" s="100"/>
      <c r="T429" s="100"/>
      <c r="U429" s="100"/>
      <c r="V429" s="100"/>
      <c r="W429" s="100"/>
      <c r="X429" s="100"/>
      <c r="Y429" s="100"/>
      <c r="Z429" s="100"/>
      <c r="AA429" s="228"/>
      <c r="AB429" s="228"/>
      <c r="AC429" s="228"/>
      <c r="AD429" s="228"/>
      <c r="AE429" s="228"/>
      <c r="AF429" s="228"/>
      <c r="AG429" s="228"/>
      <c r="AH429" s="228"/>
      <c r="AI429" s="228"/>
      <c r="AJ429" s="228"/>
      <c r="AK429" s="228"/>
      <c r="AL429" s="228"/>
      <c r="AM429" s="228"/>
      <c r="AN429" s="228"/>
      <c r="AO429" s="228"/>
      <c r="AP429" s="228"/>
      <c r="AQ429" s="228"/>
      <c r="AR429" s="228"/>
      <c r="AS429" s="228"/>
      <c r="AT429" s="228"/>
      <c r="AU429" s="228"/>
      <c r="AV429" s="228"/>
      <c r="AW429" s="228"/>
      <c r="AX429" s="228"/>
      <c r="AY429" s="228"/>
      <c r="AZ429" s="228"/>
      <c r="BA429" s="228"/>
      <c r="BB429" s="228"/>
      <c r="BC429" s="228"/>
      <c r="BD429" s="228"/>
      <c r="BE429" s="228"/>
      <c r="BF429" s="228"/>
      <c r="BG429" s="228"/>
      <c r="BH429" s="228"/>
      <c r="BI429" s="228"/>
      <c r="BJ429" s="221"/>
      <c r="BK429" s="221"/>
    </row>
    <row r="430" spans="1:63" hidden="1" outlineLevel="1">
      <c r="A430" s="9"/>
      <c r="B430" s="44"/>
      <c r="C430" s="127">
        <f>Asset16</f>
        <v>0</v>
      </c>
      <c r="D430" s="9"/>
      <c r="E430" s="9"/>
      <c r="F430" s="139"/>
      <c r="G430" s="203"/>
      <c r="H430" s="111">
        <f>($G393+(SUM($G430:G430)))*H$7</f>
        <v>0</v>
      </c>
      <c r="I430" s="111">
        <f>($G393+(SUM($G430:H430)))*I$7</f>
        <v>0</v>
      </c>
      <c r="J430" s="111">
        <f>($G393+(SUM($G430:I430)))*J$7</f>
        <v>0</v>
      </c>
      <c r="K430" s="111">
        <f>($G393+(SUM($G430:J430)))*K$7</f>
        <v>0</v>
      </c>
      <c r="L430" s="365">
        <f>($G393+(SUM($G430:K430)))*L$7</f>
        <v>0</v>
      </c>
      <c r="M430" s="365">
        <f>($G393+(SUM($G430:L430)))*M$7</f>
        <v>0</v>
      </c>
      <c r="N430" s="111">
        <f>($G393+(SUM($G430:M430)))*N$7</f>
        <v>0</v>
      </c>
      <c r="O430" s="111">
        <f>($G393+(SUM($G430:N430)))*O$7</f>
        <v>0</v>
      </c>
      <c r="P430" s="111">
        <f>($G393+(SUM($G430:O430)))*P$7</f>
        <v>0</v>
      </c>
      <c r="Q430" s="111">
        <f>($G393+(SUM($G430:P430)))*Q$7</f>
        <v>0</v>
      </c>
      <c r="R430" s="100"/>
      <c r="S430" s="100"/>
      <c r="T430" s="100"/>
      <c r="U430" s="100"/>
      <c r="V430" s="100"/>
      <c r="W430" s="100"/>
      <c r="X430" s="100"/>
      <c r="Y430" s="100"/>
      <c r="Z430" s="100"/>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8"/>
      <c r="AY430" s="228"/>
      <c r="AZ430" s="228"/>
      <c r="BA430" s="228"/>
      <c r="BB430" s="228"/>
      <c r="BC430" s="228"/>
      <c r="BD430" s="228"/>
      <c r="BE430" s="228"/>
      <c r="BF430" s="228"/>
      <c r="BG430" s="228"/>
      <c r="BH430" s="228"/>
      <c r="BI430" s="228"/>
      <c r="BJ430" s="221"/>
      <c r="BK430" s="221"/>
    </row>
    <row r="431" spans="1:63" hidden="1" outlineLevel="1">
      <c r="A431" s="9"/>
      <c r="B431" s="44"/>
      <c r="C431" s="329" t="s">
        <v>27</v>
      </c>
      <c r="D431" s="9"/>
      <c r="E431" s="9"/>
      <c r="F431" s="139"/>
      <c r="G431" s="203"/>
      <c r="H431" s="111"/>
      <c r="I431" s="111"/>
      <c r="J431" s="111"/>
      <c r="K431" s="111"/>
      <c r="L431" s="365">
        <f>IF(M430=0, SUM($G430:L430), 0)</f>
        <v>0</v>
      </c>
      <c r="M431" s="365">
        <f>IF(N430=0, SUM($G430:M430), 0)</f>
        <v>0</v>
      </c>
      <c r="N431" s="111">
        <f>IF(O430=0, IF(N430=0, 0, SUM($G430:N430)), 0)</f>
        <v>0</v>
      </c>
      <c r="O431" s="111">
        <f>IF(P430=0, IF(O430=0, 0, SUM($G430:O430)), 0)</f>
        <v>0</v>
      </c>
      <c r="P431" s="111">
        <f>IF(Q430=0, IF(P430=0, 0, SUM($G430:P430)), 0)</f>
        <v>0</v>
      </c>
      <c r="Q431" s="111">
        <f>IF(R430=0, IF(Q430=0, 0, SUM($G430:Q430)), 0)</f>
        <v>0</v>
      </c>
      <c r="R431" s="100"/>
      <c r="S431" s="100"/>
      <c r="T431" s="100"/>
      <c r="U431" s="100"/>
      <c r="V431" s="100"/>
      <c r="W431" s="100"/>
      <c r="X431" s="100"/>
      <c r="Y431" s="100"/>
      <c r="Z431" s="100"/>
      <c r="AA431" s="228"/>
      <c r="AB431" s="228"/>
      <c r="AC431" s="228"/>
      <c r="AD431" s="228"/>
      <c r="AE431" s="228"/>
      <c r="AF431" s="228"/>
      <c r="AG431" s="228"/>
      <c r="AH431" s="228"/>
      <c r="AI431" s="228"/>
      <c r="AJ431" s="228"/>
      <c r="AK431" s="228"/>
      <c r="AL431" s="228"/>
      <c r="AM431" s="228"/>
      <c r="AN431" s="228"/>
      <c r="AO431" s="228"/>
      <c r="AP431" s="228"/>
      <c r="AQ431" s="228"/>
      <c r="AR431" s="228"/>
      <c r="AS431" s="228"/>
      <c r="AT431" s="228"/>
      <c r="AU431" s="228"/>
      <c r="AV431" s="228"/>
      <c r="AW431" s="228"/>
      <c r="AX431" s="228"/>
      <c r="AY431" s="228"/>
      <c r="AZ431" s="228"/>
      <c r="BA431" s="228"/>
      <c r="BB431" s="228"/>
      <c r="BC431" s="228"/>
      <c r="BD431" s="228"/>
      <c r="BE431" s="228"/>
      <c r="BF431" s="228"/>
      <c r="BG431" s="228"/>
      <c r="BH431" s="228"/>
      <c r="BI431" s="228"/>
      <c r="BJ431" s="221"/>
      <c r="BK431" s="221"/>
    </row>
    <row r="432" spans="1:63" hidden="1" outlineLevel="1">
      <c r="A432" s="9"/>
      <c r="B432" s="44"/>
      <c r="C432" s="127">
        <f>Asset17</f>
        <v>0</v>
      </c>
      <c r="D432" s="9"/>
      <c r="E432" s="9"/>
      <c r="F432" s="139"/>
      <c r="G432" s="203"/>
      <c r="H432" s="111">
        <f>($G394+(SUM($G432:G432)))*H$7</f>
        <v>0</v>
      </c>
      <c r="I432" s="111">
        <f>($G394+(SUM($G432:H432)))*I$7</f>
        <v>0</v>
      </c>
      <c r="J432" s="111">
        <f>($G394+(SUM($G432:I432)))*J$7</f>
        <v>0</v>
      </c>
      <c r="K432" s="111">
        <f>($G394+(SUM($G432:J432)))*K$7</f>
        <v>0</v>
      </c>
      <c r="L432" s="365">
        <f>($G394+(SUM($G432:K432)))*L$7</f>
        <v>0</v>
      </c>
      <c r="M432" s="365">
        <f>($G394+(SUM($G432:L432)))*M$7</f>
        <v>0</v>
      </c>
      <c r="N432" s="111">
        <f>($G394+(SUM($G432:M432)))*N$7</f>
        <v>0</v>
      </c>
      <c r="O432" s="111">
        <f>($G394+(SUM($G432:N432)))*O$7</f>
        <v>0</v>
      </c>
      <c r="P432" s="111">
        <f>($G394+(SUM($G432:O432)))*P$7</f>
        <v>0</v>
      </c>
      <c r="Q432" s="111">
        <f>($G394+(SUM($G432:P432)))*Q$7</f>
        <v>0</v>
      </c>
      <c r="R432" s="100"/>
      <c r="S432" s="100"/>
      <c r="T432" s="100"/>
      <c r="U432" s="100"/>
      <c r="V432" s="100"/>
      <c r="W432" s="100"/>
      <c r="X432" s="100"/>
      <c r="Y432" s="100"/>
      <c r="Z432" s="100"/>
      <c r="AA432" s="228"/>
      <c r="AB432" s="228"/>
      <c r="AC432" s="228"/>
      <c r="AD432" s="228"/>
      <c r="AE432" s="228"/>
      <c r="AF432" s="228"/>
      <c r="AG432" s="228"/>
      <c r="AH432" s="228"/>
      <c r="AI432" s="228"/>
      <c r="AJ432" s="228"/>
      <c r="AK432" s="228"/>
      <c r="AL432" s="228"/>
      <c r="AM432" s="228"/>
      <c r="AN432" s="228"/>
      <c r="AO432" s="228"/>
      <c r="AP432" s="228"/>
      <c r="AQ432" s="228"/>
      <c r="AR432" s="228"/>
      <c r="AS432" s="228"/>
      <c r="AT432" s="228"/>
      <c r="AU432" s="228"/>
      <c r="AV432" s="228"/>
      <c r="AW432" s="228"/>
      <c r="AX432" s="228"/>
      <c r="AY432" s="228"/>
      <c r="AZ432" s="228"/>
      <c r="BA432" s="228"/>
      <c r="BB432" s="228"/>
      <c r="BC432" s="228"/>
      <c r="BD432" s="228"/>
      <c r="BE432" s="228"/>
      <c r="BF432" s="228"/>
      <c r="BG432" s="228"/>
      <c r="BH432" s="228"/>
      <c r="BI432" s="228"/>
      <c r="BJ432" s="221"/>
      <c r="BK432" s="221"/>
    </row>
    <row r="433" spans="1:63" hidden="1" outlineLevel="1">
      <c r="A433" s="9"/>
      <c r="B433" s="44"/>
      <c r="C433" s="329" t="s">
        <v>27</v>
      </c>
      <c r="D433" s="9"/>
      <c r="E433" s="9"/>
      <c r="F433" s="139"/>
      <c r="G433" s="203"/>
      <c r="H433" s="111"/>
      <c r="I433" s="111"/>
      <c r="J433" s="111"/>
      <c r="K433" s="111"/>
      <c r="L433" s="365">
        <f>IF(M432=0, SUM($G432:L432), 0)</f>
        <v>0</v>
      </c>
      <c r="M433" s="365">
        <f>IF(N432=0, SUM($G432:M432), 0)</f>
        <v>0</v>
      </c>
      <c r="N433" s="111">
        <f>IF(O432=0, IF(N432=0, 0, SUM($G432:N432)), 0)</f>
        <v>0</v>
      </c>
      <c r="O433" s="111">
        <f>IF(P432=0, IF(O432=0, 0, SUM($G432:O432)), 0)</f>
        <v>0</v>
      </c>
      <c r="P433" s="111">
        <f>IF(Q432=0, IF(P432=0, 0, SUM($G432:P432)), 0)</f>
        <v>0</v>
      </c>
      <c r="Q433" s="111">
        <f>IF(R432=0, IF(Q432=0, 0, SUM($G432:Q432)), 0)</f>
        <v>0</v>
      </c>
      <c r="R433" s="100"/>
      <c r="S433" s="100"/>
      <c r="T433" s="100"/>
      <c r="U433" s="100"/>
      <c r="V433" s="100"/>
      <c r="W433" s="100"/>
      <c r="X433" s="100"/>
      <c r="Y433" s="100"/>
      <c r="Z433" s="100"/>
      <c r="AA433" s="228"/>
      <c r="AB433" s="228"/>
      <c r="AC433" s="228"/>
      <c r="AD433" s="228"/>
      <c r="AE433" s="228"/>
      <c r="AF433" s="228"/>
      <c r="AG433" s="228"/>
      <c r="AH433" s="228"/>
      <c r="AI433" s="228"/>
      <c r="AJ433" s="228"/>
      <c r="AK433" s="228"/>
      <c r="AL433" s="228"/>
      <c r="AM433" s="228"/>
      <c r="AN433" s="228"/>
      <c r="AO433" s="228"/>
      <c r="AP433" s="228"/>
      <c r="AQ433" s="228"/>
      <c r="AR433" s="228"/>
      <c r="AS433" s="228"/>
      <c r="AT433" s="228"/>
      <c r="AU433" s="228"/>
      <c r="AV433" s="228"/>
      <c r="AW433" s="228"/>
      <c r="AX433" s="228"/>
      <c r="AY433" s="228"/>
      <c r="AZ433" s="228"/>
      <c r="BA433" s="228"/>
      <c r="BB433" s="228"/>
      <c r="BC433" s="228"/>
      <c r="BD433" s="228"/>
      <c r="BE433" s="228"/>
      <c r="BF433" s="228"/>
      <c r="BG433" s="228"/>
      <c r="BH433" s="228"/>
      <c r="BI433" s="228"/>
      <c r="BJ433" s="221"/>
      <c r="BK433" s="221"/>
    </row>
    <row r="434" spans="1:63" hidden="1" outlineLevel="1">
      <c r="A434" s="9"/>
      <c r="B434" s="44"/>
      <c r="C434" s="127">
        <f>Asset18</f>
        <v>0</v>
      </c>
      <c r="D434" s="9"/>
      <c r="E434" s="9"/>
      <c r="F434" s="139"/>
      <c r="G434" s="203"/>
      <c r="H434" s="111">
        <f>($G395+(SUM($G434:G434)))*H$7</f>
        <v>0</v>
      </c>
      <c r="I434" s="111">
        <f>($G395+(SUM($G434:H434)))*I$7</f>
        <v>0</v>
      </c>
      <c r="J434" s="111">
        <f>($G395+(SUM($G434:I434)))*J$7</f>
        <v>0</v>
      </c>
      <c r="K434" s="111">
        <f>($G395+(SUM($G434:J434)))*K$7</f>
        <v>0</v>
      </c>
      <c r="L434" s="365">
        <f>($G395+(SUM($G434:K434)))*L$7</f>
        <v>0</v>
      </c>
      <c r="M434" s="365">
        <f>($G395+(SUM($G434:L434)))*M$7</f>
        <v>0</v>
      </c>
      <c r="N434" s="111">
        <f>($G395+(SUM($G434:M434)))*N$7</f>
        <v>0</v>
      </c>
      <c r="O434" s="111">
        <f>($G395+(SUM($G434:N434)))*O$7</f>
        <v>0</v>
      </c>
      <c r="P434" s="111">
        <f>($G395+(SUM($G434:O434)))*P$7</f>
        <v>0</v>
      </c>
      <c r="Q434" s="111">
        <f>($G395+(SUM($G434:P434)))*Q$7</f>
        <v>0</v>
      </c>
      <c r="R434" s="100"/>
      <c r="S434" s="100"/>
      <c r="T434" s="100"/>
      <c r="U434" s="100"/>
      <c r="V434" s="100"/>
      <c r="W434" s="100"/>
      <c r="X434" s="100"/>
      <c r="Y434" s="100"/>
      <c r="Z434" s="100"/>
      <c r="AA434" s="228"/>
      <c r="AB434" s="228"/>
      <c r="AC434" s="228"/>
      <c r="AD434" s="228"/>
      <c r="AE434" s="228"/>
      <c r="AF434" s="228"/>
      <c r="AG434" s="228"/>
      <c r="AH434" s="228"/>
      <c r="AI434" s="228"/>
      <c r="AJ434" s="228"/>
      <c r="AK434" s="228"/>
      <c r="AL434" s="228"/>
      <c r="AM434" s="228"/>
      <c r="AN434" s="228"/>
      <c r="AO434" s="228"/>
      <c r="AP434" s="228"/>
      <c r="AQ434" s="228"/>
      <c r="AR434" s="228"/>
      <c r="AS434" s="228"/>
      <c r="AT434" s="228"/>
      <c r="AU434" s="228"/>
      <c r="AV434" s="228"/>
      <c r="AW434" s="228"/>
      <c r="AX434" s="228"/>
      <c r="AY434" s="228"/>
      <c r="AZ434" s="228"/>
      <c r="BA434" s="228"/>
      <c r="BB434" s="228"/>
      <c r="BC434" s="228"/>
      <c r="BD434" s="228"/>
      <c r="BE434" s="228"/>
      <c r="BF434" s="228"/>
      <c r="BG434" s="228"/>
      <c r="BH434" s="228"/>
      <c r="BI434" s="228"/>
      <c r="BJ434" s="221"/>
      <c r="BK434" s="221"/>
    </row>
    <row r="435" spans="1:63" hidden="1" outlineLevel="1">
      <c r="A435" s="9"/>
      <c r="B435" s="44"/>
      <c r="C435" s="329" t="s">
        <v>27</v>
      </c>
      <c r="D435" s="9"/>
      <c r="E435" s="9"/>
      <c r="F435" s="139"/>
      <c r="G435" s="203"/>
      <c r="H435" s="111"/>
      <c r="I435" s="111"/>
      <c r="J435" s="111"/>
      <c r="K435" s="111"/>
      <c r="L435" s="365">
        <f>IF(M434=0, SUM($G434:L434), 0)</f>
        <v>0</v>
      </c>
      <c r="M435" s="365">
        <f>IF(N434=0, SUM($G434:M434), 0)</f>
        <v>0</v>
      </c>
      <c r="N435" s="111">
        <f>IF(O434=0, IF(N434=0, 0, SUM($G434:N434)), 0)</f>
        <v>0</v>
      </c>
      <c r="O435" s="111">
        <f>IF(P434=0, IF(O434=0, 0, SUM($G434:O434)), 0)</f>
        <v>0</v>
      </c>
      <c r="P435" s="111">
        <f>IF(Q434=0, IF(P434=0, 0, SUM($G434:P434)), 0)</f>
        <v>0</v>
      </c>
      <c r="Q435" s="111">
        <f>IF(R434=0, IF(Q434=0, 0, SUM($G434:Q434)), 0)</f>
        <v>0</v>
      </c>
      <c r="R435" s="100"/>
      <c r="S435" s="100"/>
      <c r="T435" s="100"/>
      <c r="U435" s="100"/>
      <c r="V435" s="100"/>
      <c r="W435" s="100"/>
      <c r="X435" s="100"/>
      <c r="Y435" s="100"/>
      <c r="Z435" s="100"/>
      <c r="AA435" s="228"/>
      <c r="AB435" s="228"/>
      <c r="AC435" s="228"/>
      <c r="AD435" s="228"/>
      <c r="AE435" s="228"/>
      <c r="AF435" s="228"/>
      <c r="AG435" s="228"/>
      <c r="AH435" s="228"/>
      <c r="AI435" s="228"/>
      <c r="AJ435" s="228"/>
      <c r="AK435" s="228"/>
      <c r="AL435" s="228"/>
      <c r="AM435" s="228"/>
      <c r="AN435" s="228"/>
      <c r="AO435" s="228"/>
      <c r="AP435" s="228"/>
      <c r="AQ435" s="228"/>
      <c r="AR435" s="228"/>
      <c r="AS435" s="228"/>
      <c r="AT435" s="228"/>
      <c r="AU435" s="228"/>
      <c r="AV435" s="228"/>
      <c r="AW435" s="228"/>
      <c r="AX435" s="228"/>
      <c r="AY435" s="228"/>
      <c r="AZ435" s="228"/>
      <c r="BA435" s="228"/>
      <c r="BB435" s="228"/>
      <c r="BC435" s="228"/>
      <c r="BD435" s="228"/>
      <c r="BE435" s="228"/>
      <c r="BF435" s="228"/>
      <c r="BG435" s="228"/>
      <c r="BH435" s="228"/>
      <c r="BI435" s="228"/>
      <c r="BJ435" s="221"/>
      <c r="BK435" s="221"/>
    </row>
    <row r="436" spans="1:63" hidden="1" outlineLevel="1">
      <c r="A436" s="9"/>
      <c r="B436" s="44"/>
      <c r="C436" s="127">
        <f>Asset19</f>
        <v>0</v>
      </c>
      <c r="D436" s="9"/>
      <c r="E436" s="9"/>
      <c r="F436" s="139"/>
      <c r="G436" s="203"/>
      <c r="H436" s="111">
        <f>($G395+(SUM($G436:G436)))*H$7</f>
        <v>0</v>
      </c>
      <c r="I436" s="111">
        <f>($G395+(SUM($G436:H436)))*I$7</f>
        <v>0</v>
      </c>
      <c r="J436" s="111">
        <f>($G395+(SUM($G436:I436)))*J$7</f>
        <v>0</v>
      </c>
      <c r="K436" s="111">
        <f>($G395+(SUM($G436:J436)))*K$7</f>
        <v>0</v>
      </c>
      <c r="L436" s="365">
        <f>($G395+(SUM($G436:K436)))*L$7</f>
        <v>0</v>
      </c>
      <c r="M436" s="365">
        <f>($G395+(SUM($G436:L436)))*M$7</f>
        <v>0</v>
      </c>
      <c r="N436" s="111">
        <f>($G395+(SUM($G436:M436)))*N$7</f>
        <v>0</v>
      </c>
      <c r="O436" s="111">
        <f>($G395+(SUM($G436:N436)))*O$7</f>
        <v>0</v>
      </c>
      <c r="P436" s="111">
        <f>($G395+(SUM($G436:O436)))*P$7</f>
        <v>0</v>
      </c>
      <c r="Q436" s="111">
        <f>($G395+(SUM($G436:P436)))*Q$7</f>
        <v>0</v>
      </c>
      <c r="R436" s="100"/>
      <c r="S436" s="100"/>
      <c r="T436" s="100"/>
      <c r="U436" s="100"/>
      <c r="V436" s="100"/>
      <c r="W436" s="100"/>
      <c r="X436" s="100"/>
      <c r="Y436" s="100"/>
      <c r="Z436" s="100"/>
      <c r="AA436" s="228"/>
      <c r="AB436" s="228"/>
      <c r="AC436" s="228"/>
      <c r="AD436" s="228"/>
      <c r="AE436" s="228"/>
      <c r="AF436" s="228"/>
      <c r="AG436" s="228"/>
      <c r="AH436" s="228"/>
      <c r="AI436" s="228"/>
      <c r="AJ436" s="228"/>
      <c r="AK436" s="228"/>
      <c r="AL436" s="228"/>
      <c r="AM436" s="228"/>
      <c r="AN436" s="228"/>
      <c r="AO436" s="228"/>
      <c r="AP436" s="228"/>
      <c r="AQ436" s="228"/>
      <c r="AR436" s="228"/>
      <c r="AS436" s="228"/>
      <c r="AT436" s="228"/>
      <c r="AU436" s="228"/>
      <c r="AV436" s="228"/>
      <c r="AW436" s="228"/>
      <c r="AX436" s="228"/>
      <c r="AY436" s="228"/>
      <c r="AZ436" s="228"/>
      <c r="BA436" s="228"/>
      <c r="BB436" s="228"/>
      <c r="BC436" s="228"/>
      <c r="BD436" s="228"/>
      <c r="BE436" s="228"/>
      <c r="BF436" s="228"/>
      <c r="BG436" s="228"/>
      <c r="BH436" s="228"/>
      <c r="BI436" s="228"/>
      <c r="BJ436" s="221"/>
      <c r="BK436" s="221"/>
    </row>
    <row r="437" spans="1:63" hidden="1" outlineLevel="1">
      <c r="A437" s="9"/>
      <c r="B437" s="44"/>
      <c r="C437" s="329" t="s">
        <v>27</v>
      </c>
      <c r="D437" s="9"/>
      <c r="E437" s="9"/>
      <c r="F437" s="139"/>
      <c r="G437" s="203"/>
      <c r="H437" s="111"/>
      <c r="I437" s="111"/>
      <c r="J437" s="111"/>
      <c r="K437" s="111"/>
      <c r="L437" s="365">
        <f>IF(M436=0, SUM($G436:L436), 0)</f>
        <v>0</v>
      </c>
      <c r="M437" s="365">
        <f>IF(N436=0, SUM($G436:M436), 0)</f>
        <v>0</v>
      </c>
      <c r="N437" s="111">
        <f>IF(O436=0, IF(N436=0, 0, SUM($G436:N436)), 0)</f>
        <v>0</v>
      </c>
      <c r="O437" s="111">
        <f>IF(P436=0, IF(O436=0, 0, SUM($G436:O436)), 0)</f>
        <v>0</v>
      </c>
      <c r="P437" s="111">
        <f>IF(Q436=0, IF(P436=0, 0, SUM($G436:P436)), 0)</f>
        <v>0</v>
      </c>
      <c r="Q437" s="111">
        <f>IF(R436=0, IF(Q436=0, 0, SUM($G436:Q436)), 0)</f>
        <v>0</v>
      </c>
      <c r="R437" s="100"/>
      <c r="S437" s="100"/>
      <c r="T437" s="100"/>
      <c r="U437" s="100"/>
      <c r="V437" s="100"/>
      <c r="W437" s="100"/>
      <c r="X437" s="100"/>
      <c r="Y437" s="100"/>
      <c r="Z437" s="100"/>
      <c r="AA437" s="228"/>
      <c r="AB437" s="228"/>
      <c r="AC437" s="228"/>
      <c r="AD437" s="228"/>
      <c r="AE437" s="228"/>
      <c r="AF437" s="228"/>
      <c r="AG437" s="228"/>
      <c r="AH437" s="228"/>
      <c r="AI437" s="228"/>
      <c r="AJ437" s="228"/>
      <c r="AK437" s="228"/>
      <c r="AL437" s="228"/>
      <c r="AM437" s="228"/>
      <c r="AN437" s="228"/>
      <c r="AO437" s="228"/>
      <c r="AP437" s="228"/>
      <c r="AQ437" s="228"/>
      <c r="AR437" s="228"/>
      <c r="AS437" s="228"/>
      <c r="AT437" s="228"/>
      <c r="AU437" s="228"/>
      <c r="AV437" s="228"/>
      <c r="AW437" s="228"/>
      <c r="AX437" s="228"/>
      <c r="AY437" s="228"/>
      <c r="AZ437" s="228"/>
      <c r="BA437" s="228"/>
      <c r="BB437" s="228"/>
      <c r="BC437" s="228"/>
      <c r="BD437" s="228"/>
      <c r="BE437" s="228"/>
      <c r="BF437" s="228"/>
      <c r="BG437" s="228"/>
      <c r="BH437" s="228"/>
      <c r="BI437" s="228"/>
      <c r="BJ437" s="221"/>
      <c r="BK437" s="221"/>
    </row>
    <row r="438" spans="1:63" hidden="1" outlineLevel="1">
      <c r="A438" s="9"/>
      <c r="B438" s="44"/>
      <c r="C438" s="127">
        <f>Asset20</f>
        <v>0</v>
      </c>
      <c r="D438" s="9"/>
      <c r="E438" s="9"/>
      <c r="F438" s="139"/>
      <c r="G438" s="203"/>
      <c r="H438" s="111">
        <f>($G396+(SUM($G438:G438)))*H$7</f>
        <v>0</v>
      </c>
      <c r="I438" s="111">
        <f>($G396+(SUM($G438:H438)))*I$7</f>
        <v>0</v>
      </c>
      <c r="J438" s="111">
        <f>($G396+(SUM($G438:I438)))*J$7</f>
        <v>0</v>
      </c>
      <c r="K438" s="111">
        <f>($G396+(SUM($G438:J438)))*K$7</f>
        <v>0</v>
      </c>
      <c r="L438" s="365">
        <f>($G396+(SUM($G438:K438)))*L$7</f>
        <v>0</v>
      </c>
      <c r="M438" s="365">
        <f>($G396+(SUM($G438:L438)))*M$7</f>
        <v>0</v>
      </c>
      <c r="N438" s="111">
        <f>($G396+(SUM($G438:M438)))*N$7</f>
        <v>0</v>
      </c>
      <c r="O438" s="111">
        <f>($G396+(SUM($G438:N438)))*O$7</f>
        <v>0</v>
      </c>
      <c r="P438" s="111">
        <f>($G396+(SUM($G438:O438)))*P$7</f>
        <v>0</v>
      </c>
      <c r="Q438" s="111">
        <f>($G396+(SUM($G438:P438)))*Q$7</f>
        <v>0</v>
      </c>
      <c r="R438" s="100"/>
      <c r="S438" s="100"/>
      <c r="T438" s="100"/>
      <c r="U438" s="100"/>
      <c r="V438" s="100"/>
      <c r="W438" s="100"/>
      <c r="X438" s="100"/>
      <c r="Y438" s="100"/>
      <c r="Z438" s="100"/>
      <c r="AA438" s="228"/>
      <c r="AB438" s="228"/>
      <c r="AC438" s="228"/>
      <c r="AD438" s="228"/>
      <c r="AE438" s="228"/>
      <c r="AF438" s="228"/>
      <c r="AG438" s="228"/>
      <c r="AH438" s="228"/>
      <c r="AI438" s="228"/>
      <c r="AJ438" s="228"/>
      <c r="AK438" s="228"/>
      <c r="AL438" s="228"/>
      <c r="AM438" s="228"/>
      <c r="AN438" s="228"/>
      <c r="AO438" s="228"/>
      <c r="AP438" s="228"/>
      <c r="AQ438" s="228"/>
      <c r="AR438" s="228"/>
      <c r="AS438" s="228"/>
      <c r="AT438" s="228"/>
      <c r="AU438" s="228"/>
      <c r="AV438" s="228"/>
      <c r="AW438" s="228"/>
      <c r="AX438" s="228"/>
      <c r="AY438" s="228"/>
      <c r="AZ438" s="228"/>
      <c r="BA438" s="228"/>
      <c r="BB438" s="228"/>
      <c r="BC438" s="228"/>
      <c r="BD438" s="228"/>
      <c r="BE438" s="228"/>
      <c r="BF438" s="228"/>
      <c r="BG438" s="228"/>
      <c r="BH438" s="228"/>
      <c r="BI438" s="228"/>
      <c r="BJ438" s="221"/>
      <c r="BK438" s="221"/>
    </row>
    <row r="439" spans="1:63" hidden="1" outlineLevel="1">
      <c r="A439" s="9"/>
      <c r="B439" s="44"/>
      <c r="C439" s="329" t="s">
        <v>27</v>
      </c>
      <c r="D439" s="9"/>
      <c r="E439" s="9"/>
      <c r="F439" s="139"/>
      <c r="G439" s="203"/>
      <c r="H439" s="111"/>
      <c r="I439" s="111"/>
      <c r="J439" s="111"/>
      <c r="K439" s="111"/>
      <c r="L439" s="365">
        <f>IF(M438=0, SUM($G438:L438), 0)</f>
        <v>0</v>
      </c>
      <c r="M439" s="365">
        <f>IF(N438=0, SUM($G438:M438), 0)</f>
        <v>0</v>
      </c>
      <c r="N439" s="111">
        <f>IF(O438=0, IF(N438=0, 0, SUM($G438:N438)), 0)</f>
        <v>0</v>
      </c>
      <c r="O439" s="111">
        <f>IF(P438=0, IF(O438=0, 0, SUM($G438:O438)), 0)</f>
        <v>0</v>
      </c>
      <c r="P439" s="111">
        <f>IF(Q438=0, IF(P438=0, 0, SUM($G438:P438)), 0)</f>
        <v>0</v>
      </c>
      <c r="Q439" s="111">
        <f>IF(R438=0, IF(Q438=0, 0, SUM($G438:Q438)), 0)</f>
        <v>0</v>
      </c>
      <c r="R439" s="100"/>
      <c r="S439" s="100"/>
      <c r="T439" s="100"/>
      <c r="U439" s="100"/>
      <c r="V439" s="100"/>
      <c r="W439" s="100"/>
      <c r="X439" s="100"/>
      <c r="Y439" s="100"/>
      <c r="Z439" s="100"/>
      <c r="AA439" s="228"/>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228"/>
      <c r="BE439" s="228"/>
      <c r="BF439" s="228"/>
      <c r="BG439" s="228"/>
      <c r="BH439" s="228"/>
      <c r="BI439" s="228"/>
      <c r="BJ439" s="221"/>
      <c r="BK439" s="221"/>
    </row>
    <row r="440" spans="1:63" collapsed="1">
      <c r="A440" s="9"/>
      <c r="B440" s="184" t="s">
        <v>41</v>
      </c>
      <c r="D440" s="9"/>
      <c r="E440" s="9"/>
      <c r="F440" s="139"/>
      <c r="G440" s="203"/>
      <c r="H440" s="115"/>
      <c r="I440" s="115"/>
      <c r="J440" s="115"/>
      <c r="K440" s="115"/>
      <c r="L440" s="115">
        <f>IF(M399=0, SUM($G399:L399), 0)</f>
        <v>0</v>
      </c>
      <c r="M440" s="115">
        <f>IF(N399=0, IF(M399=0, 0, SUM($G399:M399)), 0)</f>
        <v>0.50666154203964786</v>
      </c>
      <c r="N440" s="115">
        <f>IF(O399=0, IF(N399=0, 0, SUM($G399:N399)), 0)</f>
        <v>0</v>
      </c>
      <c r="O440" s="115">
        <f>IF(P399=0, IF(O399=0, 0, SUM($G399:O399)), 0)</f>
        <v>0</v>
      </c>
      <c r="P440" s="115">
        <f>IF(Q399=0, IF(P399=0, 0, SUM($G399:P399)), 0)</f>
        <v>0</v>
      </c>
      <c r="Q440" s="115">
        <f>IF(R399=0, IF(Q399=0, 0, SUM($G399:Q399)), 0)</f>
        <v>0</v>
      </c>
      <c r="R440" s="100"/>
      <c r="S440" s="100"/>
      <c r="T440" s="100"/>
      <c r="U440" s="100"/>
      <c r="V440" s="100"/>
      <c r="W440" s="100"/>
      <c r="X440" s="100"/>
      <c r="Y440" s="100"/>
      <c r="Z440" s="100"/>
      <c r="AA440" s="228"/>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228"/>
      <c r="BE440" s="228"/>
      <c r="BF440" s="228"/>
      <c r="BG440" s="228"/>
      <c r="BH440" s="228"/>
      <c r="BI440" s="228"/>
      <c r="BJ440" s="221"/>
      <c r="BK440" s="221"/>
    </row>
    <row r="441" spans="1:63">
      <c r="A441" s="9"/>
      <c r="B441" s="151"/>
      <c r="C441" s="26"/>
      <c r="D441" s="9"/>
      <c r="E441" s="9"/>
      <c r="F441" s="139"/>
      <c r="G441" s="115"/>
      <c r="H441" s="115"/>
      <c r="I441" s="115"/>
      <c r="J441" s="115"/>
      <c r="K441" s="115"/>
      <c r="L441" s="115"/>
      <c r="M441" s="9"/>
      <c r="N441" s="111"/>
      <c r="O441" s="150"/>
      <c r="P441" s="150"/>
      <c r="Q441" s="150"/>
      <c r="R441" s="100"/>
      <c r="S441" s="100"/>
      <c r="T441" s="100"/>
      <c r="U441" s="100"/>
      <c r="V441" s="100"/>
      <c r="W441" s="100"/>
      <c r="X441" s="100"/>
      <c r="Y441" s="100"/>
      <c r="Z441" s="100"/>
      <c r="AA441" s="228"/>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228"/>
      <c r="BE441" s="228"/>
      <c r="BF441" s="228"/>
      <c r="BG441" s="228"/>
      <c r="BH441" s="228"/>
      <c r="BI441" s="228"/>
      <c r="BJ441" s="221"/>
      <c r="BK441" s="221"/>
    </row>
    <row r="442" spans="1:63">
      <c r="A442" s="9"/>
      <c r="B442" s="151"/>
      <c r="C442" s="26"/>
      <c r="D442" s="9"/>
      <c r="E442" s="9"/>
      <c r="F442" s="139"/>
      <c r="G442" s="115"/>
      <c r="H442" s="115"/>
      <c r="I442" s="115"/>
      <c r="J442" s="115"/>
      <c r="K442" s="115"/>
      <c r="L442" s="115"/>
      <c r="M442" s="9"/>
      <c r="N442" s="111"/>
      <c r="O442" s="150"/>
      <c r="P442" s="150"/>
      <c r="Q442" s="150"/>
      <c r="R442" s="100"/>
      <c r="S442" s="100"/>
      <c r="T442" s="100"/>
      <c r="U442" s="100"/>
      <c r="V442" s="100"/>
      <c r="W442" s="100"/>
      <c r="X442" s="100"/>
      <c r="Y442" s="100"/>
      <c r="Z442" s="100"/>
      <c r="AA442" s="228"/>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228"/>
      <c r="BE442" s="228"/>
      <c r="BF442" s="228"/>
      <c r="BG442" s="228"/>
      <c r="BH442" s="228"/>
      <c r="BI442" s="228"/>
      <c r="BJ442" s="221"/>
      <c r="BK442" s="221"/>
    </row>
    <row r="443" spans="1:63">
      <c r="A443" s="81"/>
      <c r="B443" s="81" t="s">
        <v>78</v>
      </c>
      <c r="C443" s="109"/>
      <c r="D443" s="109"/>
      <c r="E443" s="109"/>
      <c r="F443" s="109"/>
      <c r="G443" s="109"/>
      <c r="H443" s="109"/>
      <c r="I443" s="109"/>
      <c r="J443" s="109"/>
      <c r="K443" s="109"/>
      <c r="L443" s="109"/>
      <c r="M443" s="109"/>
      <c r="N443" s="109"/>
      <c r="O443" s="109"/>
      <c r="P443" s="109"/>
      <c r="Q443" s="109"/>
      <c r="R443" s="109"/>
      <c r="S443" s="100"/>
      <c r="T443" s="106"/>
      <c r="U443" s="106"/>
      <c r="V443" s="106"/>
      <c r="W443" s="106"/>
      <c r="X443" s="106"/>
      <c r="Y443" s="106"/>
      <c r="Z443" s="106"/>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1"/>
      <c r="BK443" s="221"/>
    </row>
    <row r="444" spans="1:63">
      <c r="A444" s="17"/>
      <c r="B444" s="17"/>
      <c r="C444" s="120"/>
      <c r="D444" s="120"/>
      <c r="E444" s="120"/>
      <c r="F444" s="120"/>
      <c r="G444" s="120"/>
      <c r="H444" s="111"/>
      <c r="I444" s="111"/>
      <c r="J444" s="111"/>
      <c r="K444" s="111"/>
      <c r="L444" s="111"/>
      <c r="M444" s="111"/>
      <c r="N444" s="111"/>
      <c r="O444" s="106"/>
      <c r="P444" s="106"/>
      <c r="Q444" s="106"/>
      <c r="R444" s="106"/>
      <c r="S444" s="100"/>
      <c r="T444" s="106"/>
      <c r="U444" s="106"/>
      <c r="V444" s="106"/>
      <c r="W444" s="106"/>
      <c r="X444" s="106"/>
      <c r="Y444" s="106"/>
      <c r="Z444" s="106"/>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1"/>
      <c r="BK444" s="221"/>
    </row>
    <row r="445" spans="1:63">
      <c r="A445" s="9"/>
      <c r="B445" s="44" t="s">
        <v>86</v>
      </c>
      <c r="C445" s="9"/>
      <c r="D445" s="9"/>
      <c r="E445" s="9"/>
      <c r="F445" s="9"/>
      <c r="G445" s="309">
        <f>SUM(G446:G475)</f>
        <v>1956.232102585243</v>
      </c>
      <c r="H445" s="330">
        <f>SUM(H446:H475)</f>
        <v>2191.2022382795412</v>
      </c>
      <c r="I445" s="111"/>
      <c r="J445" s="111"/>
      <c r="K445" s="111"/>
      <c r="L445" s="111"/>
      <c r="M445" s="111"/>
      <c r="N445" s="111"/>
      <c r="O445" s="106"/>
      <c r="P445" s="106"/>
      <c r="Q445" s="106"/>
      <c r="R445" s="106"/>
      <c r="S445" s="100"/>
      <c r="T445" s="106"/>
      <c r="U445" s="106"/>
      <c r="V445" s="106"/>
      <c r="W445" s="106"/>
      <c r="X445" s="106"/>
      <c r="Y445" s="106"/>
      <c r="Z445" s="106"/>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1"/>
      <c r="BK445" s="221"/>
    </row>
    <row r="446" spans="1:63" hidden="1" outlineLevel="1">
      <c r="A446" s="9"/>
      <c r="B446" s="9"/>
      <c r="C446" s="270" t="str">
        <f>Asset1</f>
        <v>Secondary</v>
      </c>
      <c r="D446" s="9"/>
      <c r="E446" s="9"/>
      <c r="F446" s="9"/>
      <c r="G446" s="201">
        <f>Input!J7</f>
        <v>132.02570901226696</v>
      </c>
      <c r="H446" s="331">
        <f>G446+G478+G510+G542+G574+G606+G638</f>
        <v>149.09855703295875</v>
      </c>
      <c r="I446" s="111"/>
      <c r="J446" s="111"/>
      <c r="K446" s="111"/>
      <c r="L446" s="111"/>
      <c r="M446" s="111"/>
      <c r="N446" s="111"/>
      <c r="O446" s="106"/>
      <c r="P446" s="106"/>
      <c r="Q446" s="106"/>
      <c r="R446" s="106"/>
      <c r="S446" s="100"/>
      <c r="T446" s="106"/>
      <c r="U446" s="106"/>
      <c r="V446" s="106"/>
      <c r="W446" s="106"/>
      <c r="X446" s="106"/>
      <c r="Y446" s="106"/>
      <c r="Z446" s="106"/>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1"/>
      <c r="BK446" s="221"/>
    </row>
    <row r="447" spans="1:63" hidden="1" outlineLevel="1">
      <c r="A447" s="9"/>
      <c r="B447" s="44"/>
      <c r="C447" s="270" t="str">
        <f>Asset2</f>
        <v>Switchgear</v>
      </c>
      <c r="D447" s="9"/>
      <c r="E447" s="9"/>
      <c r="F447" s="139"/>
      <c r="G447" s="201">
        <f>Input!J8</f>
        <v>248.91247950836242</v>
      </c>
      <c r="H447" s="331">
        <f t="shared" ref="H447:H475" si="8">G447+G479+G511+G543+G575+G607+G639</f>
        <v>354.76480248198641</v>
      </c>
      <c r="I447" s="111"/>
      <c r="J447" s="111"/>
      <c r="K447" s="111"/>
      <c r="L447" s="111"/>
      <c r="M447" s="111"/>
      <c r="N447" s="111"/>
      <c r="O447" s="106"/>
      <c r="P447" s="106"/>
      <c r="Q447" s="106"/>
      <c r="R447" s="106"/>
      <c r="S447" s="100"/>
      <c r="T447" s="106"/>
      <c r="U447" s="106"/>
      <c r="V447" s="106"/>
      <c r="W447" s="106"/>
      <c r="X447" s="106"/>
      <c r="Y447" s="106"/>
      <c r="Z447" s="106"/>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1"/>
      <c r="BK447" s="221"/>
    </row>
    <row r="448" spans="1:63" hidden="1" outlineLevel="1">
      <c r="A448" s="9"/>
      <c r="B448" s="44"/>
      <c r="C448" s="270" t="str">
        <f>Asset3</f>
        <v>Transformers</v>
      </c>
      <c r="D448" s="9"/>
      <c r="E448" s="9"/>
      <c r="F448" s="139"/>
      <c r="G448" s="201">
        <f>Input!J9</f>
        <v>154.11914424024289</v>
      </c>
      <c r="H448" s="331">
        <f t="shared" si="8"/>
        <v>167.05795975892104</v>
      </c>
      <c r="I448" s="111"/>
      <c r="J448" s="111"/>
      <c r="K448" s="111"/>
      <c r="L448" s="111"/>
      <c r="M448" s="111"/>
      <c r="N448" s="111"/>
      <c r="O448" s="106"/>
      <c r="P448" s="106"/>
      <c r="Q448" s="106"/>
      <c r="R448" s="106"/>
      <c r="S448" s="100"/>
      <c r="T448" s="106"/>
      <c r="U448" s="106"/>
      <c r="V448" s="106"/>
      <c r="W448" s="106"/>
      <c r="X448" s="106"/>
      <c r="Y448" s="106"/>
      <c r="Z448" s="106"/>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1"/>
      <c r="BK448" s="221"/>
    </row>
    <row r="449" spans="1:63" hidden="1" outlineLevel="1">
      <c r="A449" s="9"/>
      <c r="B449" s="44"/>
      <c r="C449" s="270" t="str">
        <f>Asset4</f>
        <v>Reactive</v>
      </c>
      <c r="D449" s="9"/>
      <c r="E449" s="9"/>
      <c r="F449" s="139"/>
      <c r="G449" s="201">
        <f>Input!J10</f>
        <v>83.253732687574384</v>
      </c>
      <c r="H449" s="331">
        <f t="shared" si="8"/>
        <v>87.678038523711535</v>
      </c>
      <c r="I449" s="111"/>
      <c r="J449" s="111"/>
      <c r="K449" s="111"/>
      <c r="L449" s="111"/>
      <c r="M449" s="111"/>
      <c r="N449" s="111"/>
      <c r="O449" s="106"/>
      <c r="P449" s="106"/>
      <c r="Q449" s="106"/>
      <c r="R449" s="106"/>
      <c r="S449" s="100"/>
      <c r="T449" s="106"/>
      <c r="U449" s="106"/>
      <c r="V449" s="106"/>
      <c r="W449" s="106"/>
      <c r="X449" s="106"/>
      <c r="Y449" s="106"/>
      <c r="Z449" s="106"/>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1"/>
      <c r="BK449" s="221"/>
    </row>
    <row r="450" spans="1:63" hidden="1" outlineLevel="1">
      <c r="A450" s="9"/>
      <c r="B450" s="44"/>
      <c r="C450" s="270" t="str">
        <f>Asset5</f>
        <v>Towers and Conductor</v>
      </c>
      <c r="D450" s="9"/>
      <c r="E450" s="9"/>
      <c r="F450" s="139"/>
      <c r="G450" s="201">
        <f>Input!J11</f>
        <v>984.93801110802451</v>
      </c>
      <c r="H450" s="331">
        <f t="shared" si="8"/>
        <v>1044.452748092953</v>
      </c>
      <c r="I450" s="111"/>
      <c r="J450" s="111"/>
      <c r="K450" s="111"/>
      <c r="L450" s="111"/>
      <c r="M450" s="111"/>
      <c r="N450" s="111"/>
      <c r="O450" s="106"/>
      <c r="P450" s="106"/>
      <c r="Q450" s="106"/>
      <c r="R450" s="106"/>
      <c r="S450" s="100"/>
      <c r="T450" s="106"/>
      <c r="U450" s="106"/>
      <c r="V450" s="106"/>
      <c r="W450" s="106"/>
      <c r="X450" s="106"/>
      <c r="Y450" s="106"/>
      <c r="Z450" s="106"/>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1"/>
      <c r="BK450" s="221"/>
    </row>
    <row r="451" spans="1:63" hidden="1" outlineLevel="1">
      <c r="A451" s="9"/>
      <c r="B451" s="44"/>
      <c r="C451" s="270" t="str">
        <f>Asset6</f>
        <v>Establishment</v>
      </c>
      <c r="D451" s="9"/>
      <c r="E451" s="9"/>
      <c r="F451" s="139"/>
      <c r="G451" s="201">
        <f>Input!J12</f>
        <v>79.839482548432514</v>
      </c>
      <c r="H451" s="331">
        <f t="shared" si="8"/>
        <v>99.813803729564498</v>
      </c>
      <c r="I451" s="111"/>
      <c r="J451" s="111"/>
      <c r="K451" s="111"/>
      <c r="L451" s="111"/>
      <c r="M451" s="111"/>
      <c r="N451" s="111"/>
      <c r="O451" s="106"/>
      <c r="P451" s="106"/>
      <c r="Q451" s="106"/>
      <c r="R451" s="106"/>
      <c r="S451" s="100"/>
      <c r="T451" s="106"/>
      <c r="U451" s="106"/>
      <c r="V451" s="106"/>
      <c r="W451" s="106"/>
      <c r="X451" s="106"/>
      <c r="Y451" s="106"/>
      <c r="Z451" s="106"/>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1"/>
      <c r="BK451" s="221"/>
    </row>
    <row r="452" spans="1:63" hidden="1" outlineLevel="1">
      <c r="A452" s="9"/>
      <c r="B452" s="44"/>
      <c r="C452" s="270" t="str">
        <f>Asset7</f>
        <v>Communications</v>
      </c>
      <c r="D452" s="9"/>
      <c r="E452" s="9"/>
      <c r="F452" s="139"/>
      <c r="G452" s="201">
        <f>Input!J13</f>
        <v>36.743106530439206</v>
      </c>
      <c r="H452" s="331">
        <f t="shared" si="8"/>
        <v>8.1938315503739449</v>
      </c>
      <c r="I452" s="111"/>
      <c r="J452" s="111"/>
      <c r="K452" s="111"/>
      <c r="L452" s="111"/>
      <c r="M452" s="111"/>
      <c r="N452" s="111"/>
      <c r="O452" s="106"/>
      <c r="P452" s="106"/>
      <c r="Q452" s="106"/>
      <c r="R452" s="106"/>
      <c r="S452" s="100"/>
      <c r="T452" s="106"/>
      <c r="U452" s="106"/>
      <c r="V452" s="106"/>
      <c r="W452" s="106"/>
      <c r="X452" s="106"/>
      <c r="Y452" s="106"/>
      <c r="Z452" s="106"/>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1"/>
      <c r="BK452" s="221"/>
    </row>
    <row r="453" spans="1:63" hidden="1" outlineLevel="1">
      <c r="A453" s="9"/>
      <c r="B453" s="44"/>
      <c r="C453" s="270" t="str">
        <f>Asset8</f>
        <v>Inventory</v>
      </c>
      <c r="D453" s="9"/>
      <c r="E453" s="9"/>
      <c r="F453" s="139"/>
      <c r="G453" s="201">
        <f>Input!J14</f>
        <v>4.7007864066062357</v>
      </c>
      <c r="H453" s="331">
        <f t="shared" si="8"/>
        <v>7.3396858953920949</v>
      </c>
      <c r="I453" s="111"/>
      <c r="J453" s="111"/>
      <c r="K453" s="111"/>
      <c r="L453" s="111"/>
      <c r="M453" s="111"/>
      <c r="N453" s="111"/>
      <c r="O453" s="106"/>
      <c r="P453" s="106"/>
      <c r="Q453" s="106"/>
      <c r="R453" s="106"/>
      <c r="S453" s="100"/>
      <c r="T453" s="106"/>
      <c r="U453" s="106"/>
      <c r="V453" s="106"/>
      <c r="W453" s="106"/>
      <c r="X453" s="106"/>
      <c r="Y453" s="106"/>
      <c r="Z453" s="106"/>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1"/>
      <c r="BK453" s="221"/>
    </row>
    <row r="454" spans="1:63" hidden="1" outlineLevel="1">
      <c r="A454" s="9"/>
      <c r="B454" s="44"/>
      <c r="C454" s="270" t="str">
        <f>Asset9</f>
        <v>IT</v>
      </c>
      <c r="D454" s="9"/>
      <c r="E454" s="9"/>
      <c r="F454" s="139"/>
      <c r="G454" s="201">
        <f>Input!J15</f>
        <v>16.14271263150075</v>
      </c>
      <c r="H454" s="331">
        <f t="shared" si="8"/>
        <v>42.630945805012978</v>
      </c>
      <c r="I454" s="111"/>
      <c r="J454" s="111"/>
      <c r="K454" s="111"/>
      <c r="L454" s="111"/>
      <c r="M454" s="111"/>
      <c r="N454" s="111"/>
      <c r="O454" s="106"/>
      <c r="P454" s="106"/>
      <c r="Q454" s="106"/>
      <c r="R454" s="106"/>
      <c r="S454" s="100"/>
      <c r="T454" s="106"/>
      <c r="U454" s="106"/>
      <c r="V454" s="106"/>
      <c r="W454" s="106"/>
      <c r="X454" s="106"/>
      <c r="Y454" s="106"/>
      <c r="Z454" s="106"/>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1"/>
      <c r="BK454" s="221"/>
    </row>
    <row r="455" spans="1:63" hidden="1" outlineLevel="1">
      <c r="A455" s="9"/>
      <c r="B455" s="44"/>
      <c r="C455" s="270" t="str">
        <f>Asset10</f>
        <v>Vehicles</v>
      </c>
      <c r="D455" s="9"/>
      <c r="E455" s="9"/>
      <c r="F455" s="139"/>
      <c r="G455" s="201">
        <f>Input!J16</f>
        <v>3.8998256791301116</v>
      </c>
      <c r="H455" s="331">
        <f t="shared" si="8"/>
        <v>4.1948540252504873</v>
      </c>
      <c r="I455" s="111"/>
      <c r="J455" s="111"/>
      <c r="K455" s="111"/>
      <c r="L455" s="111"/>
      <c r="M455" s="111"/>
      <c r="N455" s="111"/>
      <c r="O455" s="106"/>
      <c r="P455" s="106"/>
      <c r="Q455" s="106"/>
      <c r="R455" s="106"/>
      <c r="S455" s="100"/>
      <c r="T455" s="106"/>
      <c r="U455" s="106"/>
      <c r="V455" s="106"/>
      <c r="W455" s="106"/>
      <c r="X455" s="106"/>
      <c r="Y455" s="106"/>
      <c r="Z455" s="106"/>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1"/>
      <c r="BK455" s="221"/>
    </row>
    <row r="456" spans="1:63" hidden="1" outlineLevel="1">
      <c r="A456" s="9"/>
      <c r="B456" s="44"/>
      <c r="C456" s="270" t="str">
        <f>Asset11</f>
        <v>other</v>
      </c>
      <c r="D456" s="9"/>
      <c r="E456" s="9"/>
      <c r="F456" s="139"/>
      <c r="G456" s="201">
        <f>Input!J17</f>
        <v>3.8757526879064059</v>
      </c>
      <c r="H456" s="331">
        <f t="shared" si="8"/>
        <v>12.83862977015842</v>
      </c>
      <c r="I456" s="111"/>
      <c r="J456" s="111"/>
      <c r="K456" s="111"/>
      <c r="L456" s="111"/>
      <c r="M456" s="111"/>
      <c r="N456" s="111"/>
      <c r="O456" s="106"/>
      <c r="P456" s="106"/>
      <c r="Q456" s="106"/>
      <c r="R456" s="106"/>
      <c r="S456" s="100"/>
      <c r="T456" s="106"/>
      <c r="U456" s="106"/>
      <c r="V456" s="106"/>
      <c r="W456" s="106"/>
      <c r="X456" s="106"/>
      <c r="Y456" s="106"/>
      <c r="Z456" s="106"/>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1"/>
      <c r="BK456" s="221"/>
    </row>
    <row r="457" spans="1:63" hidden="1" outlineLevel="1">
      <c r="A457" s="9"/>
      <c r="B457" s="44"/>
      <c r="C457" s="270" t="str">
        <f>Asset12</f>
        <v>premises</v>
      </c>
      <c r="D457" s="9"/>
      <c r="E457" s="9"/>
      <c r="F457" s="139"/>
      <c r="G457" s="201">
        <f>Input!J18</f>
        <v>5.2657279599188227</v>
      </c>
      <c r="H457" s="331">
        <f t="shared" si="8"/>
        <v>8.4078322708407711</v>
      </c>
      <c r="I457" s="111"/>
      <c r="J457" s="111"/>
      <c r="K457" s="111"/>
      <c r="L457" s="111"/>
      <c r="M457" s="111"/>
      <c r="N457" s="111"/>
      <c r="O457" s="106"/>
      <c r="P457" s="106"/>
      <c r="Q457" s="106"/>
      <c r="R457" s="106"/>
      <c r="S457" s="100"/>
      <c r="T457" s="106"/>
      <c r="U457" s="106"/>
      <c r="V457" s="106"/>
      <c r="W457" s="106"/>
      <c r="X457" s="106"/>
      <c r="Y457" s="106"/>
      <c r="Z457" s="106"/>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1"/>
      <c r="BK457" s="221"/>
    </row>
    <row r="458" spans="1:63" hidden="1" outlineLevel="1">
      <c r="A458" s="9"/>
      <c r="B458" s="44"/>
      <c r="C458" s="270" t="str">
        <f>Asset13</f>
        <v>Land</v>
      </c>
      <c r="D458" s="9"/>
      <c r="E458" s="9"/>
      <c r="F458" s="139"/>
      <c r="G458" s="201">
        <f>Input!J19</f>
        <v>96.385254729241879</v>
      </c>
      <c r="H458" s="331">
        <f t="shared" si="8"/>
        <v>95.756770018212507</v>
      </c>
      <c r="I458" s="111"/>
      <c r="J458" s="111"/>
      <c r="K458" s="111"/>
      <c r="L458" s="111"/>
      <c r="M458" s="111"/>
      <c r="N458" s="111"/>
      <c r="O458" s="106"/>
      <c r="P458" s="106"/>
      <c r="Q458" s="106"/>
      <c r="R458" s="106"/>
      <c r="S458" s="100"/>
      <c r="T458" s="106"/>
      <c r="U458" s="106"/>
      <c r="V458" s="106"/>
      <c r="W458" s="106"/>
      <c r="X458" s="106"/>
      <c r="Y458" s="106"/>
      <c r="Z458" s="106"/>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1"/>
      <c r="BK458" s="221"/>
    </row>
    <row r="459" spans="1:63" hidden="1" outlineLevel="1">
      <c r="A459" s="9"/>
      <c r="B459" s="44"/>
      <c r="C459" s="270" t="str">
        <f>Asset14</f>
        <v>Easements</v>
      </c>
      <c r="D459" s="9"/>
      <c r="E459" s="9"/>
      <c r="F459" s="139"/>
      <c r="G459" s="201">
        <f>Input!J20</f>
        <v>106.13037685559563</v>
      </c>
      <c r="H459" s="331">
        <f t="shared" si="8"/>
        <v>108.97377932420517</v>
      </c>
      <c r="I459" s="111"/>
      <c r="J459" s="111"/>
      <c r="K459" s="111"/>
      <c r="L459" s="111"/>
      <c r="M459" s="111"/>
      <c r="N459" s="111"/>
      <c r="O459" s="106"/>
      <c r="P459" s="106"/>
      <c r="Q459" s="106"/>
      <c r="R459" s="106"/>
      <c r="S459" s="100"/>
      <c r="T459" s="106"/>
      <c r="U459" s="106"/>
      <c r="V459" s="106"/>
      <c r="W459" s="106"/>
      <c r="X459" s="106"/>
      <c r="Y459" s="106"/>
      <c r="Z459" s="106"/>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1"/>
      <c r="BK459" s="221"/>
    </row>
    <row r="460" spans="1:63" hidden="1" outlineLevel="1">
      <c r="A460" s="9"/>
      <c r="B460" s="44"/>
      <c r="C460" s="270">
        <f>Asset15</f>
        <v>0</v>
      </c>
      <c r="D460" s="9"/>
      <c r="E460" s="9"/>
      <c r="F460" s="139"/>
      <c r="G460" s="201">
        <f>Input!J21</f>
        <v>0</v>
      </c>
      <c r="H460" s="331">
        <f t="shared" si="8"/>
        <v>0</v>
      </c>
      <c r="I460" s="111"/>
      <c r="J460" s="111"/>
      <c r="K460" s="111"/>
      <c r="L460" s="111"/>
      <c r="M460" s="111"/>
      <c r="N460" s="111"/>
      <c r="O460" s="106"/>
      <c r="P460" s="106"/>
      <c r="Q460" s="106"/>
      <c r="R460" s="106"/>
      <c r="S460" s="100"/>
      <c r="T460" s="106"/>
      <c r="U460" s="106"/>
      <c r="V460" s="106"/>
      <c r="W460" s="106"/>
      <c r="X460" s="106"/>
      <c r="Y460" s="106"/>
      <c r="Z460" s="106"/>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1"/>
      <c r="BK460" s="221"/>
    </row>
    <row r="461" spans="1:63" hidden="1" outlineLevel="1">
      <c r="A461" s="9"/>
      <c r="B461" s="44"/>
      <c r="C461" s="270">
        <f>Asset16</f>
        <v>0</v>
      </c>
      <c r="D461" s="9"/>
      <c r="E461" s="9"/>
      <c r="F461" s="139"/>
      <c r="G461" s="201">
        <f>Input!J22</f>
        <v>0</v>
      </c>
      <c r="H461" s="331">
        <f t="shared" si="8"/>
        <v>0</v>
      </c>
      <c r="I461" s="111"/>
      <c r="J461" s="111"/>
      <c r="K461" s="111"/>
      <c r="L461" s="111"/>
      <c r="M461" s="111"/>
      <c r="N461" s="111"/>
      <c r="O461" s="106"/>
      <c r="P461" s="106"/>
      <c r="Q461" s="106"/>
      <c r="R461" s="106"/>
      <c r="S461" s="100"/>
      <c r="T461" s="106"/>
      <c r="U461" s="106"/>
      <c r="V461" s="106"/>
      <c r="W461" s="106"/>
      <c r="X461" s="106"/>
      <c r="Y461" s="106"/>
      <c r="Z461" s="106"/>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1"/>
      <c r="BK461" s="221"/>
    </row>
    <row r="462" spans="1:63" hidden="1" outlineLevel="1">
      <c r="A462" s="9"/>
      <c r="B462" s="44"/>
      <c r="C462" s="270">
        <f>Asset17</f>
        <v>0</v>
      </c>
      <c r="D462" s="9"/>
      <c r="E462" s="9"/>
      <c r="F462" s="139"/>
      <c r="G462" s="201">
        <f>Input!J23</f>
        <v>0</v>
      </c>
      <c r="H462" s="331">
        <f t="shared" si="8"/>
        <v>0</v>
      </c>
      <c r="I462" s="111"/>
      <c r="J462" s="111"/>
      <c r="K462" s="111"/>
      <c r="L462" s="111"/>
      <c r="M462" s="111"/>
      <c r="N462" s="111"/>
      <c r="O462" s="106"/>
      <c r="P462" s="106"/>
      <c r="Q462" s="106"/>
      <c r="R462" s="106"/>
      <c r="S462" s="100"/>
      <c r="T462" s="106"/>
      <c r="U462" s="106"/>
      <c r="V462" s="106"/>
      <c r="W462" s="106"/>
      <c r="X462" s="106"/>
      <c r="Y462" s="106"/>
      <c r="Z462" s="106"/>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1"/>
      <c r="BK462" s="221"/>
    </row>
    <row r="463" spans="1:63" hidden="1" outlineLevel="1">
      <c r="A463" s="9"/>
      <c r="B463" s="44"/>
      <c r="C463" s="270">
        <f>Asset18</f>
        <v>0</v>
      </c>
      <c r="D463" s="9"/>
      <c r="E463" s="9"/>
      <c r="F463" s="139"/>
      <c r="G463" s="201">
        <f>Input!J24</f>
        <v>0</v>
      </c>
      <c r="H463" s="331">
        <f t="shared" si="8"/>
        <v>0</v>
      </c>
      <c r="I463" s="111"/>
      <c r="J463" s="111"/>
      <c r="K463" s="111"/>
      <c r="L463" s="111"/>
      <c r="M463" s="111"/>
      <c r="N463" s="111"/>
      <c r="O463" s="106"/>
      <c r="P463" s="106"/>
      <c r="Q463" s="106"/>
      <c r="R463" s="106"/>
      <c r="S463" s="100"/>
      <c r="T463" s="106"/>
      <c r="U463" s="106"/>
      <c r="V463" s="106"/>
      <c r="W463" s="106"/>
      <c r="X463" s="106"/>
      <c r="Y463" s="106"/>
      <c r="Z463" s="106"/>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1"/>
      <c r="BK463" s="221"/>
    </row>
    <row r="464" spans="1:63" hidden="1" outlineLevel="1">
      <c r="A464" s="9"/>
      <c r="B464" s="44"/>
      <c r="C464" s="270">
        <f>Asset19</f>
        <v>0</v>
      </c>
      <c r="D464" s="9"/>
      <c r="E464" s="9"/>
      <c r="F464" s="139"/>
      <c r="G464" s="201">
        <f>Input!J25</f>
        <v>0</v>
      </c>
      <c r="H464" s="331">
        <f t="shared" si="8"/>
        <v>0</v>
      </c>
      <c r="I464" s="118"/>
      <c r="J464" s="118"/>
      <c r="K464" s="118"/>
      <c r="L464" s="118"/>
      <c r="M464" s="106"/>
      <c r="N464" s="106"/>
      <c r="O464" s="106"/>
      <c r="P464" s="106"/>
      <c r="Q464" s="106"/>
      <c r="R464" s="106"/>
      <c r="S464" s="100"/>
      <c r="T464" s="106"/>
      <c r="U464" s="106"/>
      <c r="V464" s="106"/>
      <c r="W464" s="106"/>
      <c r="X464" s="106"/>
      <c r="Y464" s="106"/>
      <c r="Z464" s="106"/>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1"/>
      <c r="BK464" s="221"/>
    </row>
    <row r="465" spans="1:63" hidden="1" outlineLevel="1">
      <c r="A465" s="9"/>
      <c r="B465" s="44"/>
      <c r="C465" s="270">
        <f>Asset20</f>
        <v>0</v>
      </c>
      <c r="D465" s="9"/>
      <c r="E465" s="9"/>
      <c r="F465" s="139"/>
      <c r="G465" s="201">
        <f>Input!J26</f>
        <v>0</v>
      </c>
      <c r="H465" s="331">
        <f t="shared" si="8"/>
        <v>0</v>
      </c>
      <c r="I465" s="118"/>
      <c r="J465" s="118"/>
      <c r="K465" s="118"/>
      <c r="L465" s="118"/>
      <c r="M465" s="106"/>
      <c r="N465" s="106"/>
      <c r="O465" s="106"/>
      <c r="P465" s="106"/>
      <c r="Q465" s="106"/>
      <c r="R465" s="106"/>
      <c r="S465" s="100"/>
      <c r="T465" s="106"/>
      <c r="U465" s="106"/>
      <c r="V465" s="106"/>
      <c r="W465" s="106"/>
      <c r="X465" s="106"/>
      <c r="Y465" s="106"/>
      <c r="Z465" s="106"/>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1"/>
      <c r="BK465" s="221"/>
    </row>
    <row r="466" spans="1:63" hidden="1" outlineLevel="1">
      <c r="A466" s="9"/>
      <c r="B466" s="44"/>
      <c r="C466" s="270">
        <f>Asset21</f>
        <v>0</v>
      </c>
      <c r="D466" s="9"/>
      <c r="E466" s="9"/>
      <c r="F466" s="139"/>
      <c r="G466" s="201">
        <f>Input!J27</f>
        <v>0</v>
      </c>
      <c r="H466" s="331">
        <f t="shared" si="8"/>
        <v>0</v>
      </c>
      <c r="I466" s="118"/>
      <c r="J466" s="118"/>
      <c r="K466" s="118"/>
      <c r="L466" s="118"/>
      <c r="M466" s="106"/>
      <c r="N466" s="106"/>
      <c r="O466" s="106"/>
      <c r="P466" s="106"/>
      <c r="Q466" s="106"/>
      <c r="R466" s="106"/>
      <c r="S466" s="100"/>
      <c r="T466" s="106"/>
      <c r="U466" s="106"/>
      <c r="V466" s="106"/>
      <c r="W466" s="106"/>
      <c r="X466" s="106"/>
      <c r="Y466" s="106"/>
      <c r="Z466" s="106"/>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1"/>
      <c r="BK466" s="221"/>
    </row>
    <row r="467" spans="1:63" hidden="1" outlineLevel="1">
      <c r="A467" s="9"/>
      <c r="B467" s="44"/>
      <c r="C467" s="270">
        <f>Asset22</f>
        <v>0</v>
      </c>
      <c r="D467" s="9"/>
      <c r="E467" s="9"/>
      <c r="F467" s="139"/>
      <c r="G467" s="201">
        <f>Input!J28</f>
        <v>0</v>
      </c>
      <c r="H467" s="331">
        <f t="shared" si="8"/>
        <v>0</v>
      </c>
      <c r="I467" s="118"/>
      <c r="J467" s="118"/>
      <c r="K467" s="118"/>
      <c r="L467" s="118"/>
      <c r="M467" s="106"/>
      <c r="N467" s="106"/>
      <c r="O467" s="106"/>
      <c r="P467" s="106"/>
      <c r="Q467" s="106"/>
      <c r="R467" s="106"/>
      <c r="S467" s="100"/>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1"/>
      <c r="BK467" s="221"/>
    </row>
    <row r="468" spans="1:63" hidden="1" outlineLevel="1">
      <c r="A468" s="9"/>
      <c r="B468" s="44"/>
      <c r="C468" s="270">
        <f>Asset23</f>
        <v>0</v>
      </c>
      <c r="D468" s="9"/>
      <c r="E468" s="9"/>
      <c r="F468" s="139"/>
      <c r="G468" s="201">
        <f>Input!J29</f>
        <v>0</v>
      </c>
      <c r="H468" s="331">
        <f t="shared" si="8"/>
        <v>0</v>
      </c>
      <c r="I468" s="118"/>
      <c r="J468" s="118"/>
      <c r="K468" s="118"/>
      <c r="L468" s="118"/>
      <c r="M468" s="106"/>
      <c r="N468" s="106"/>
      <c r="O468" s="106"/>
      <c r="P468" s="106"/>
      <c r="Q468" s="106"/>
      <c r="R468" s="106"/>
      <c r="S468" s="100"/>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1"/>
      <c r="BK468" s="221"/>
    </row>
    <row r="469" spans="1:63" hidden="1" outlineLevel="1">
      <c r="A469" s="9"/>
      <c r="B469" s="44"/>
      <c r="C469" s="270">
        <f>Asset24</f>
        <v>0</v>
      </c>
      <c r="D469" s="9"/>
      <c r="E469" s="9"/>
      <c r="F469" s="139"/>
      <c r="G469" s="201">
        <f>Input!J30</f>
        <v>0</v>
      </c>
      <c r="H469" s="331">
        <f t="shared" si="8"/>
        <v>0</v>
      </c>
      <c r="I469" s="118"/>
      <c r="J469" s="118"/>
      <c r="K469" s="118"/>
      <c r="L469" s="118"/>
      <c r="M469" s="106"/>
      <c r="N469" s="106"/>
      <c r="O469" s="106"/>
      <c r="P469" s="106"/>
      <c r="Q469" s="106"/>
      <c r="R469" s="106"/>
      <c r="S469" s="100"/>
      <c r="T469" s="106"/>
      <c r="U469" s="106"/>
      <c r="V469" s="106"/>
      <c r="W469" s="106"/>
      <c r="X469" s="106"/>
      <c r="Y469" s="106"/>
      <c r="Z469" s="106"/>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1"/>
      <c r="BK469" s="221"/>
    </row>
    <row r="470" spans="1:63" hidden="1" outlineLevel="1">
      <c r="A470" s="9"/>
      <c r="B470" s="44"/>
      <c r="C470" s="270">
        <f>Asset25</f>
        <v>0</v>
      </c>
      <c r="D470" s="9"/>
      <c r="E470" s="9"/>
      <c r="F470" s="139"/>
      <c r="G470" s="201">
        <f>Input!J31</f>
        <v>0</v>
      </c>
      <c r="H470" s="331">
        <f t="shared" si="8"/>
        <v>0</v>
      </c>
      <c r="I470" s="118"/>
      <c r="J470" s="118"/>
      <c r="K470" s="118"/>
      <c r="L470" s="118"/>
      <c r="M470" s="106"/>
      <c r="N470" s="106"/>
      <c r="O470" s="106"/>
      <c r="P470" s="106"/>
      <c r="Q470" s="106"/>
      <c r="R470" s="106"/>
      <c r="S470" s="100"/>
      <c r="T470" s="106"/>
      <c r="U470" s="106"/>
      <c r="V470" s="106"/>
      <c r="W470" s="106"/>
      <c r="X470" s="106"/>
      <c r="Y470" s="106"/>
      <c r="Z470" s="106"/>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1"/>
      <c r="BK470" s="221"/>
    </row>
    <row r="471" spans="1:63" hidden="1" outlineLevel="1">
      <c r="A471" s="9"/>
      <c r="B471" s="44"/>
      <c r="C471" s="270">
        <f>Asset26</f>
        <v>0</v>
      </c>
      <c r="D471" s="9"/>
      <c r="E471" s="9"/>
      <c r="F471" s="139"/>
      <c r="G471" s="201">
        <f>Input!J32</f>
        <v>0</v>
      </c>
      <c r="H471" s="331">
        <f t="shared" si="8"/>
        <v>0</v>
      </c>
      <c r="I471" s="118"/>
      <c r="J471" s="118"/>
      <c r="K471" s="118"/>
      <c r="L471" s="118"/>
      <c r="M471" s="106"/>
      <c r="N471" s="106"/>
      <c r="O471" s="106"/>
      <c r="P471" s="106"/>
      <c r="Q471" s="106"/>
      <c r="R471" s="106"/>
      <c r="S471" s="100"/>
      <c r="T471" s="106"/>
      <c r="U471" s="106"/>
      <c r="V471" s="106"/>
      <c r="W471" s="106"/>
      <c r="X471" s="106"/>
      <c r="Y471" s="106"/>
      <c r="Z471" s="106"/>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1"/>
      <c r="BK471" s="221"/>
    </row>
    <row r="472" spans="1:63" hidden="1" outlineLevel="1">
      <c r="A472" s="9"/>
      <c r="B472" s="44"/>
      <c r="C472" s="270">
        <f>Asset27</f>
        <v>0</v>
      </c>
      <c r="D472" s="9"/>
      <c r="E472" s="9"/>
      <c r="F472" s="139"/>
      <c r="G472" s="201">
        <f>Input!J33</f>
        <v>0</v>
      </c>
      <c r="H472" s="331">
        <f t="shared" si="8"/>
        <v>0</v>
      </c>
      <c r="I472" s="118"/>
      <c r="J472" s="118"/>
      <c r="K472" s="118"/>
      <c r="L472" s="118"/>
      <c r="M472" s="106"/>
      <c r="N472" s="106"/>
      <c r="O472" s="106"/>
      <c r="P472" s="106"/>
      <c r="Q472" s="106"/>
      <c r="R472" s="106"/>
      <c r="S472" s="100"/>
      <c r="T472" s="106"/>
      <c r="U472" s="106"/>
      <c r="V472" s="106"/>
      <c r="W472" s="106"/>
      <c r="X472" s="106"/>
      <c r="Y472" s="106"/>
      <c r="Z472" s="106"/>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1"/>
      <c r="BK472" s="221"/>
    </row>
    <row r="473" spans="1:63" hidden="1" outlineLevel="1">
      <c r="A473" s="9"/>
      <c r="B473" s="44"/>
      <c r="C473" s="270">
        <f>Asset28</f>
        <v>0</v>
      </c>
      <c r="D473" s="9"/>
      <c r="E473" s="9"/>
      <c r="F473" s="139"/>
      <c r="G473" s="201">
        <f>Input!J34</f>
        <v>0</v>
      </c>
      <c r="H473" s="331">
        <f t="shared" si="8"/>
        <v>0</v>
      </c>
      <c r="I473" s="118"/>
      <c r="J473" s="118"/>
      <c r="K473" s="118"/>
      <c r="L473" s="118"/>
      <c r="M473" s="106"/>
      <c r="N473" s="106"/>
      <c r="O473" s="106"/>
      <c r="P473" s="106"/>
      <c r="Q473" s="106"/>
      <c r="R473" s="106"/>
      <c r="S473" s="100"/>
      <c r="T473" s="106"/>
      <c r="U473" s="106"/>
      <c r="V473" s="106"/>
      <c r="W473" s="106"/>
      <c r="X473" s="106"/>
      <c r="Y473" s="106"/>
      <c r="Z473" s="106"/>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1"/>
      <c r="BK473" s="221"/>
    </row>
    <row r="474" spans="1:63" hidden="1" outlineLevel="1">
      <c r="A474" s="9"/>
      <c r="B474" s="44"/>
      <c r="C474" s="270">
        <f>Asset29</f>
        <v>0</v>
      </c>
      <c r="D474" s="9"/>
      <c r="E474" s="9"/>
      <c r="F474" s="139"/>
      <c r="G474" s="201">
        <f>Input!J35</f>
        <v>0</v>
      </c>
      <c r="H474" s="331">
        <f t="shared" si="8"/>
        <v>0</v>
      </c>
      <c r="I474" s="118"/>
      <c r="J474" s="118"/>
      <c r="K474" s="118"/>
      <c r="L474" s="118"/>
      <c r="M474" s="106"/>
      <c r="N474" s="106"/>
      <c r="O474" s="106"/>
      <c r="P474" s="106"/>
      <c r="Q474" s="106"/>
      <c r="R474" s="106"/>
      <c r="S474" s="100"/>
      <c r="T474" s="106"/>
      <c r="U474" s="106"/>
      <c r="V474" s="106"/>
      <c r="W474" s="106"/>
      <c r="X474" s="106"/>
      <c r="Y474" s="106"/>
      <c r="Z474" s="106"/>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1"/>
      <c r="BK474" s="221"/>
    </row>
    <row r="475" spans="1:63" hidden="1" outlineLevel="1">
      <c r="A475" s="9"/>
      <c r="B475" s="44"/>
      <c r="C475" s="270">
        <f>Asset30</f>
        <v>0</v>
      </c>
      <c r="D475" s="9"/>
      <c r="E475" s="9"/>
      <c r="F475" s="139"/>
      <c r="G475" s="201">
        <f>Input!J36</f>
        <v>0</v>
      </c>
      <c r="H475" s="331">
        <f t="shared" si="8"/>
        <v>0</v>
      </c>
      <c r="I475" s="118"/>
      <c r="J475" s="118"/>
      <c r="K475" s="118"/>
      <c r="L475" s="118"/>
      <c r="M475" s="106"/>
      <c r="N475" s="106"/>
      <c r="O475" s="106"/>
      <c r="P475" s="106"/>
      <c r="Q475" s="106"/>
      <c r="R475" s="106"/>
      <c r="S475" s="100"/>
      <c r="T475" s="106"/>
      <c r="U475" s="106"/>
      <c r="V475" s="106"/>
      <c r="W475" s="106"/>
      <c r="X475" s="106"/>
      <c r="Y475" s="106"/>
      <c r="Z475" s="106"/>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1"/>
      <c r="BK475" s="221"/>
    </row>
    <row r="476" spans="1:63" collapsed="1">
      <c r="A476" s="9"/>
      <c r="B476" s="44"/>
      <c r="C476" s="127"/>
      <c r="D476" s="9"/>
      <c r="E476" s="9"/>
      <c r="F476" s="139"/>
      <c r="G476" s="201"/>
      <c r="H476" s="118"/>
      <c r="I476" s="118"/>
      <c r="J476" s="118"/>
      <c r="K476" s="118"/>
      <c r="L476" s="118"/>
      <c r="M476" s="106"/>
      <c r="N476" s="106"/>
      <c r="O476" s="106"/>
      <c r="P476" s="106"/>
      <c r="Q476" s="106"/>
      <c r="R476" s="106"/>
      <c r="S476" s="100"/>
      <c r="T476" s="106"/>
      <c r="U476" s="106"/>
      <c r="V476" s="106"/>
      <c r="W476" s="106"/>
      <c r="X476" s="106"/>
      <c r="Y476" s="106"/>
      <c r="Z476" s="106"/>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1"/>
      <c r="BK476" s="221"/>
    </row>
    <row r="477" spans="1:63">
      <c r="A477" s="9"/>
      <c r="B477" s="44" t="s">
        <v>42</v>
      </c>
      <c r="C477" s="9"/>
      <c r="D477" s="9"/>
      <c r="E477" s="9"/>
      <c r="F477" s="9"/>
      <c r="G477" s="202">
        <f>SUM(G478:G507)</f>
        <v>85.232652528569361</v>
      </c>
      <c r="H477" s="118"/>
      <c r="I477" s="118"/>
      <c r="J477" s="118"/>
      <c r="K477" s="118"/>
      <c r="L477" s="118"/>
      <c r="M477" s="106"/>
      <c r="N477" s="106"/>
      <c r="O477" s="106"/>
      <c r="P477" s="106"/>
      <c r="Q477" s="106"/>
      <c r="R477" s="106"/>
      <c r="S477" s="100"/>
      <c r="T477" s="106"/>
      <c r="U477" s="106"/>
      <c r="V477" s="106"/>
      <c r="W477" s="106"/>
      <c r="X477" s="106"/>
      <c r="Y477" s="106"/>
      <c r="Z477" s="106"/>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1"/>
      <c r="BK477" s="221"/>
    </row>
    <row r="478" spans="1:63" hidden="1" outlineLevel="1">
      <c r="A478" s="9"/>
      <c r="B478" s="44"/>
      <c r="C478" s="270" t="str">
        <f>Asset1</f>
        <v>Secondary</v>
      </c>
      <c r="D478" s="9"/>
      <c r="E478" s="9"/>
      <c r="F478" s="9"/>
      <c r="G478" s="204">
        <f>Input!M7</f>
        <v>14.463151023717792</v>
      </c>
      <c r="H478" s="118"/>
      <c r="I478" s="118"/>
      <c r="J478" s="118"/>
      <c r="K478" s="118"/>
      <c r="L478" s="118"/>
      <c r="M478" s="106"/>
      <c r="N478" s="106"/>
      <c r="O478" s="106"/>
      <c r="P478" s="106"/>
      <c r="Q478" s="106"/>
      <c r="R478" s="106"/>
      <c r="S478" s="100"/>
      <c r="T478" s="106"/>
      <c r="U478" s="106"/>
      <c r="V478" s="106"/>
      <c r="W478" s="106"/>
      <c r="X478" s="106"/>
      <c r="Y478" s="106"/>
      <c r="Z478" s="106"/>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1"/>
      <c r="BK478" s="221"/>
    </row>
    <row r="479" spans="1:63" hidden="1" outlineLevel="1">
      <c r="A479" s="9"/>
      <c r="B479" s="44"/>
      <c r="C479" s="270" t="str">
        <f>Asset2</f>
        <v>Switchgear</v>
      </c>
      <c r="D479" s="9"/>
      <c r="E479" s="9"/>
      <c r="F479" s="9"/>
      <c r="G479" s="204">
        <f>Input!M8</f>
        <v>40.012027975872329</v>
      </c>
      <c r="H479" s="118"/>
      <c r="I479" s="118"/>
      <c r="J479" s="118"/>
      <c r="K479" s="118"/>
      <c r="L479" s="118"/>
      <c r="M479" s="106"/>
      <c r="N479" s="106"/>
      <c r="O479" s="106"/>
      <c r="P479" s="106"/>
      <c r="Q479" s="106"/>
      <c r="R479" s="106"/>
      <c r="S479" s="100"/>
      <c r="T479" s="106"/>
      <c r="U479" s="106"/>
      <c r="V479" s="106"/>
      <c r="W479" s="106"/>
      <c r="X479" s="106"/>
      <c r="Y479" s="106"/>
      <c r="Z479" s="106"/>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1"/>
      <c r="BK479" s="221"/>
    </row>
    <row r="480" spans="1:63" hidden="1" outlineLevel="1">
      <c r="A480" s="9"/>
      <c r="B480" s="44"/>
      <c r="C480" s="270" t="str">
        <f>Asset3</f>
        <v>Transformers</v>
      </c>
      <c r="D480" s="9"/>
      <c r="E480" s="9"/>
      <c r="F480" s="9"/>
      <c r="G480" s="204">
        <f>Input!M9</f>
        <v>7.479869950034308</v>
      </c>
      <c r="H480" s="118"/>
      <c r="I480" s="118"/>
      <c r="J480" s="118"/>
      <c r="K480" s="118"/>
      <c r="L480" s="118"/>
      <c r="M480" s="106"/>
      <c r="N480" s="106"/>
      <c r="O480" s="106"/>
      <c r="P480" s="106"/>
      <c r="Q480" s="106"/>
      <c r="R480" s="106"/>
      <c r="S480" s="100"/>
      <c r="T480" s="106"/>
      <c r="U480" s="106"/>
      <c r="V480" s="106"/>
      <c r="W480" s="106"/>
      <c r="X480" s="106"/>
      <c r="Y480" s="106"/>
      <c r="Z480" s="106"/>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1"/>
      <c r="BK480" s="221"/>
    </row>
    <row r="481" spans="1:63" hidden="1" outlineLevel="1">
      <c r="A481" s="9"/>
      <c r="B481" s="44"/>
      <c r="C481" s="270" t="str">
        <f>Asset4</f>
        <v>Reactive</v>
      </c>
      <c r="D481" s="9"/>
      <c r="E481" s="9"/>
      <c r="F481" s="9"/>
      <c r="G481" s="204">
        <f>Input!M10</f>
        <v>0.62073609543853181</v>
      </c>
      <c r="H481" s="118"/>
      <c r="I481" s="118"/>
      <c r="J481" s="118"/>
      <c r="K481" s="118"/>
      <c r="L481" s="118"/>
      <c r="M481" s="106"/>
      <c r="N481" s="106"/>
      <c r="O481" s="106"/>
      <c r="P481" s="106"/>
      <c r="Q481" s="106"/>
      <c r="R481" s="106"/>
      <c r="S481" s="100"/>
      <c r="T481" s="106"/>
      <c r="U481" s="106"/>
      <c r="V481" s="106"/>
      <c r="W481" s="106"/>
      <c r="X481" s="106"/>
      <c r="Y481" s="106"/>
      <c r="Z481" s="106"/>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1"/>
      <c r="BK481" s="221"/>
    </row>
    <row r="482" spans="1:63" hidden="1" outlineLevel="1">
      <c r="A482" s="9"/>
      <c r="B482" s="44"/>
      <c r="C482" s="270" t="str">
        <f>Asset5</f>
        <v>Towers and Conductor</v>
      </c>
      <c r="D482" s="9"/>
      <c r="E482" s="9"/>
      <c r="F482" s="9"/>
      <c r="G482" s="204">
        <f>Input!M11</f>
        <v>1.7484066688185314</v>
      </c>
      <c r="H482" s="118"/>
      <c r="I482" s="118"/>
      <c r="J482" s="118"/>
      <c r="K482" s="118"/>
      <c r="L482" s="118"/>
      <c r="M482" s="106"/>
      <c r="N482" s="106"/>
      <c r="O482" s="106"/>
      <c r="P482" s="106"/>
      <c r="Q482" s="106"/>
      <c r="R482" s="106"/>
      <c r="S482" s="100"/>
      <c r="T482" s="106"/>
      <c r="U482" s="106"/>
      <c r="V482" s="106"/>
      <c r="W482" s="106"/>
      <c r="X482" s="106"/>
      <c r="Y482" s="106"/>
      <c r="Z482" s="106"/>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1"/>
      <c r="BK482" s="221"/>
    </row>
    <row r="483" spans="1:63" hidden="1" outlineLevel="1">
      <c r="A483" s="9"/>
      <c r="B483" s="44"/>
      <c r="C483" s="270" t="str">
        <f>Asset6</f>
        <v>Establishment</v>
      </c>
      <c r="D483" s="9"/>
      <c r="E483" s="9"/>
      <c r="F483" s="9"/>
      <c r="G483" s="204">
        <f>Input!M12</f>
        <v>13.314789247156508</v>
      </c>
      <c r="H483" s="118"/>
      <c r="I483" s="118"/>
      <c r="J483" s="118"/>
      <c r="K483" s="118"/>
      <c r="L483" s="118"/>
      <c r="M483" s="106"/>
      <c r="N483" s="106"/>
      <c r="O483" s="106"/>
      <c r="P483" s="106"/>
      <c r="Q483" s="106"/>
      <c r="R483" s="106"/>
      <c r="S483" s="100"/>
      <c r="T483" s="106"/>
      <c r="U483" s="106"/>
      <c r="V483" s="106"/>
      <c r="W483" s="106"/>
      <c r="X483" s="106"/>
      <c r="Y483" s="106"/>
      <c r="Z483" s="106"/>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1"/>
      <c r="BK483" s="221"/>
    </row>
    <row r="484" spans="1:63" hidden="1" outlineLevel="1">
      <c r="A484" s="9"/>
      <c r="B484" s="44"/>
      <c r="C484" s="270" t="str">
        <f>Asset7</f>
        <v>Communications</v>
      </c>
      <c r="D484" s="9"/>
      <c r="E484" s="9"/>
      <c r="F484" s="9"/>
      <c r="G484" s="204">
        <f>Input!M13</f>
        <v>3.465776532865136</v>
      </c>
      <c r="H484" s="118"/>
      <c r="I484" s="118"/>
      <c r="J484" s="118"/>
      <c r="K484" s="118"/>
      <c r="L484" s="118"/>
      <c r="M484" s="106"/>
      <c r="N484" s="106"/>
      <c r="O484" s="106"/>
      <c r="P484" s="106"/>
      <c r="Q484" s="106"/>
      <c r="R484" s="106"/>
      <c r="S484" s="100"/>
      <c r="T484" s="106"/>
      <c r="U484" s="106"/>
      <c r="V484" s="106"/>
      <c r="W484" s="106"/>
      <c r="X484" s="106"/>
      <c r="Y484" s="106"/>
      <c r="Z484" s="106"/>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1"/>
      <c r="BK484" s="221"/>
    </row>
    <row r="485" spans="1:63" hidden="1" outlineLevel="1">
      <c r="A485" s="9"/>
      <c r="B485" s="44"/>
      <c r="C485" s="270" t="str">
        <f>Asset8</f>
        <v>Inventory</v>
      </c>
      <c r="D485" s="9"/>
      <c r="E485" s="9"/>
      <c r="F485" s="9"/>
      <c r="G485" s="204">
        <f>Input!M14</f>
        <v>0.29219122749760001</v>
      </c>
      <c r="H485" s="118"/>
      <c r="I485" s="118"/>
      <c r="J485" s="118"/>
      <c r="K485" s="118"/>
      <c r="L485" s="118"/>
      <c r="M485" s="106"/>
      <c r="N485" s="106"/>
      <c r="O485" s="106"/>
      <c r="P485" s="106"/>
      <c r="Q485" s="106"/>
      <c r="R485" s="106"/>
      <c r="S485" s="100"/>
      <c r="T485" s="106"/>
      <c r="U485" s="106"/>
      <c r="V485" s="106"/>
      <c r="W485" s="106"/>
      <c r="X485" s="106"/>
      <c r="Y485" s="106"/>
      <c r="Z485" s="106"/>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1"/>
      <c r="BK485" s="221"/>
    </row>
    <row r="486" spans="1:63" hidden="1" outlineLevel="1">
      <c r="A486" s="9"/>
      <c r="B486" s="44"/>
      <c r="C486" s="270" t="str">
        <f>Asset9</f>
        <v>IT</v>
      </c>
      <c r="D486" s="9"/>
      <c r="E486" s="9"/>
      <c r="F486" s="9"/>
      <c r="G486" s="204">
        <f>Input!M15</f>
        <v>2.3183776984613531</v>
      </c>
      <c r="H486" s="118"/>
      <c r="I486" s="118"/>
      <c r="J486" s="118"/>
      <c r="K486" s="118"/>
      <c r="L486" s="118"/>
      <c r="M486" s="106"/>
      <c r="N486" s="106"/>
      <c r="O486" s="106"/>
      <c r="P486" s="106"/>
      <c r="Q486" s="106"/>
      <c r="R486" s="106"/>
      <c r="S486" s="100"/>
      <c r="T486" s="106"/>
      <c r="U486" s="106"/>
      <c r="V486" s="106"/>
      <c r="W486" s="106"/>
      <c r="X486" s="106"/>
      <c r="Y486" s="106"/>
      <c r="Z486" s="106"/>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1"/>
      <c r="BK486" s="221"/>
    </row>
    <row r="487" spans="1:63" hidden="1" outlineLevel="1">
      <c r="A487" s="9"/>
      <c r="B487" s="44"/>
      <c r="C487" s="270" t="str">
        <f>Asset10</f>
        <v>Vehicles</v>
      </c>
      <c r="D487" s="9"/>
      <c r="E487" s="9"/>
      <c r="F487" s="9"/>
      <c r="G487" s="204">
        <f>Input!M16</f>
        <v>0.31500994680163003</v>
      </c>
      <c r="H487" s="118"/>
      <c r="I487" s="118"/>
      <c r="J487" s="118"/>
      <c r="K487" s="118"/>
      <c r="L487" s="118"/>
      <c r="M487" s="106"/>
      <c r="N487" s="106"/>
      <c r="O487" s="106"/>
      <c r="P487" s="106"/>
      <c r="Q487" s="106"/>
      <c r="R487" s="106"/>
      <c r="S487" s="100"/>
      <c r="T487" s="106"/>
      <c r="U487" s="106"/>
      <c r="V487" s="106"/>
      <c r="W487" s="106"/>
      <c r="X487" s="106"/>
      <c r="Y487" s="106"/>
      <c r="Z487" s="106"/>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1"/>
      <c r="BK487" s="221"/>
    </row>
    <row r="488" spans="1:63" hidden="1" outlineLevel="1">
      <c r="A488" s="9"/>
      <c r="B488" s="44"/>
      <c r="C488" s="270" t="str">
        <f>Asset11</f>
        <v>other</v>
      </c>
      <c r="D488" s="9"/>
      <c r="E488" s="9"/>
      <c r="F488" s="9"/>
      <c r="G488" s="204">
        <f>Input!M17</f>
        <v>0.56364122439537223</v>
      </c>
      <c r="H488" s="118"/>
      <c r="I488" s="118"/>
      <c r="J488" s="118"/>
      <c r="K488" s="118"/>
      <c r="L488" s="118"/>
      <c r="M488" s="106"/>
      <c r="N488" s="106"/>
      <c r="O488" s="106"/>
      <c r="P488" s="106"/>
      <c r="Q488" s="106"/>
      <c r="R488" s="106"/>
      <c r="S488" s="100"/>
      <c r="T488" s="106"/>
      <c r="U488" s="106"/>
      <c r="V488" s="106"/>
      <c r="W488" s="106"/>
      <c r="X488" s="106"/>
      <c r="Y488" s="106"/>
      <c r="Z488" s="106"/>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1"/>
      <c r="BK488" s="221"/>
    </row>
    <row r="489" spans="1:63" hidden="1" outlineLevel="1">
      <c r="A489" s="9"/>
      <c r="B489" s="44"/>
      <c r="C489" s="270" t="str">
        <f>Asset12</f>
        <v>premises</v>
      </c>
      <c r="D489" s="9"/>
      <c r="E489" s="9"/>
      <c r="F489" s="9"/>
      <c r="G489" s="204">
        <f>Input!M18</f>
        <v>0.63867493751028093</v>
      </c>
      <c r="H489" s="118"/>
      <c r="I489" s="118"/>
      <c r="J489" s="118"/>
      <c r="K489" s="118"/>
      <c r="L489" s="118"/>
      <c r="M489" s="106"/>
      <c r="N489" s="106"/>
      <c r="O489" s="106"/>
      <c r="P489" s="106"/>
      <c r="Q489" s="106"/>
      <c r="R489" s="106"/>
      <c r="S489" s="100"/>
      <c r="T489" s="106"/>
      <c r="U489" s="106"/>
      <c r="V489" s="106"/>
      <c r="W489" s="106"/>
      <c r="X489" s="106"/>
      <c r="Y489" s="106"/>
      <c r="Z489" s="106"/>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1"/>
      <c r="BK489" s="221"/>
    </row>
    <row r="490" spans="1:63" hidden="1" outlineLevel="1">
      <c r="A490" s="9"/>
      <c r="B490" s="44"/>
      <c r="C490" s="270" t="str">
        <f>Asset13</f>
        <v>Land</v>
      </c>
      <c r="D490" s="9"/>
      <c r="E490" s="9"/>
      <c r="F490" s="9"/>
      <c r="G490" s="204">
        <f>Input!M19</f>
        <v>0</v>
      </c>
      <c r="H490" s="118"/>
      <c r="I490" s="118"/>
      <c r="J490" s="118"/>
      <c r="K490" s="118"/>
      <c r="L490" s="118"/>
      <c r="M490" s="106"/>
      <c r="N490" s="106"/>
      <c r="O490" s="106"/>
      <c r="P490" s="106"/>
      <c r="Q490" s="106"/>
      <c r="R490" s="106"/>
      <c r="S490" s="100"/>
      <c r="T490" s="106"/>
      <c r="U490" s="106"/>
      <c r="V490" s="106"/>
      <c r="W490" s="106"/>
      <c r="X490" s="106"/>
      <c r="Y490" s="106"/>
      <c r="Z490" s="106"/>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1"/>
      <c r="BK490" s="221"/>
    </row>
    <row r="491" spans="1:63" hidden="1" outlineLevel="1">
      <c r="A491" s="9"/>
      <c r="B491" s="44"/>
      <c r="C491" s="270" t="str">
        <f>Asset14</f>
        <v>Easements</v>
      </c>
      <c r="D491" s="9"/>
      <c r="E491" s="9"/>
      <c r="F491" s="9"/>
      <c r="G491" s="204">
        <f>Input!M20</f>
        <v>0</v>
      </c>
      <c r="H491" s="118"/>
      <c r="I491" s="118"/>
      <c r="J491" s="118"/>
      <c r="K491" s="118"/>
      <c r="L491" s="118"/>
      <c r="M491" s="106"/>
      <c r="N491" s="106"/>
      <c r="O491" s="106"/>
      <c r="P491" s="106"/>
      <c r="Q491" s="106"/>
      <c r="R491" s="106"/>
      <c r="S491" s="100"/>
      <c r="T491" s="106"/>
      <c r="U491" s="106"/>
      <c r="V491" s="106"/>
      <c r="W491" s="106"/>
      <c r="X491" s="106"/>
      <c r="Y491" s="106"/>
      <c r="Z491" s="106"/>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1"/>
      <c r="BK491" s="221"/>
    </row>
    <row r="492" spans="1:63" hidden="1" outlineLevel="1">
      <c r="A492" s="9"/>
      <c r="B492" s="44"/>
      <c r="C492" s="270">
        <f>Asset15</f>
        <v>0</v>
      </c>
      <c r="D492" s="9"/>
      <c r="E492" s="9"/>
      <c r="F492" s="9"/>
      <c r="G492" s="204">
        <f>Input!M21</f>
        <v>0</v>
      </c>
      <c r="H492" s="118"/>
      <c r="I492" s="118"/>
      <c r="J492" s="118"/>
      <c r="K492" s="118"/>
      <c r="L492" s="118"/>
      <c r="M492" s="106"/>
      <c r="N492" s="106"/>
      <c r="O492" s="106"/>
      <c r="P492" s="106"/>
      <c r="Q492" s="106"/>
      <c r="R492" s="106"/>
      <c r="S492" s="100"/>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1"/>
      <c r="BK492" s="221"/>
    </row>
    <row r="493" spans="1:63" hidden="1" outlineLevel="1">
      <c r="A493" s="9"/>
      <c r="B493" s="44"/>
      <c r="C493" s="270">
        <f>Asset16</f>
        <v>0</v>
      </c>
      <c r="D493" s="9"/>
      <c r="E493" s="9"/>
      <c r="F493" s="9"/>
      <c r="G493" s="204">
        <f>Input!M22</f>
        <v>0</v>
      </c>
      <c r="H493" s="118"/>
      <c r="I493" s="118"/>
      <c r="J493" s="118"/>
      <c r="K493" s="118"/>
      <c r="L493" s="118"/>
      <c r="M493" s="106"/>
      <c r="N493" s="106"/>
      <c r="O493" s="106"/>
      <c r="P493" s="106"/>
      <c r="Q493" s="106"/>
      <c r="R493" s="106"/>
      <c r="S493" s="100"/>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1"/>
      <c r="BK493" s="221"/>
    </row>
    <row r="494" spans="1:63" hidden="1" outlineLevel="1">
      <c r="A494" s="9"/>
      <c r="B494" s="44"/>
      <c r="C494" s="270">
        <f>Asset17</f>
        <v>0</v>
      </c>
      <c r="D494" s="9"/>
      <c r="E494" s="9"/>
      <c r="F494" s="9"/>
      <c r="G494" s="204">
        <f>Input!M23</f>
        <v>0</v>
      </c>
      <c r="H494" s="118"/>
      <c r="I494" s="118"/>
      <c r="J494" s="118"/>
      <c r="K494" s="118"/>
      <c r="L494" s="118"/>
      <c r="M494" s="106"/>
      <c r="N494" s="106"/>
      <c r="O494" s="106"/>
      <c r="P494" s="106"/>
      <c r="Q494" s="106"/>
      <c r="R494" s="106"/>
      <c r="S494" s="100"/>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1"/>
      <c r="BK494" s="221"/>
    </row>
    <row r="495" spans="1:63" hidden="1" outlineLevel="1">
      <c r="A495" s="9"/>
      <c r="B495" s="44"/>
      <c r="C495" s="270">
        <f>Asset18</f>
        <v>0</v>
      </c>
      <c r="D495" s="9"/>
      <c r="E495" s="9"/>
      <c r="F495" s="9"/>
      <c r="G495" s="204">
        <f>Input!M24</f>
        <v>0</v>
      </c>
      <c r="H495" s="118"/>
      <c r="I495" s="118"/>
      <c r="J495" s="118"/>
      <c r="K495" s="118"/>
      <c r="L495" s="118"/>
      <c r="M495" s="106"/>
      <c r="N495" s="106"/>
      <c r="O495" s="106"/>
      <c r="P495" s="106"/>
      <c r="Q495" s="106"/>
      <c r="R495" s="106"/>
      <c r="S495" s="100"/>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1"/>
      <c r="BK495" s="221"/>
    </row>
    <row r="496" spans="1:63" hidden="1" outlineLevel="1">
      <c r="A496" s="9"/>
      <c r="B496" s="44"/>
      <c r="C496" s="270">
        <f>Asset19</f>
        <v>0</v>
      </c>
      <c r="D496" s="9"/>
      <c r="E496" s="9"/>
      <c r="F496" s="9"/>
      <c r="G496" s="204">
        <f>Input!M25</f>
        <v>0</v>
      </c>
      <c r="H496" s="118"/>
      <c r="I496" s="118"/>
      <c r="J496" s="118"/>
      <c r="K496" s="118"/>
      <c r="L496" s="118"/>
      <c r="M496" s="106"/>
      <c r="N496" s="106"/>
      <c r="O496" s="106"/>
      <c r="P496" s="106"/>
      <c r="Q496" s="106"/>
      <c r="R496" s="106"/>
      <c r="S496" s="100"/>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1"/>
      <c r="BK496" s="221"/>
    </row>
    <row r="497" spans="1:63" hidden="1" outlineLevel="1">
      <c r="A497" s="9"/>
      <c r="B497" s="44"/>
      <c r="C497" s="270">
        <f>Asset20</f>
        <v>0</v>
      </c>
      <c r="D497" s="9"/>
      <c r="E497" s="9"/>
      <c r="F497" s="9"/>
      <c r="G497" s="204">
        <f>Input!M26</f>
        <v>0</v>
      </c>
      <c r="H497" s="118"/>
      <c r="I497" s="118"/>
      <c r="J497" s="118"/>
      <c r="K497" s="118"/>
      <c r="L497" s="118"/>
      <c r="M497" s="106"/>
      <c r="N497" s="106"/>
      <c r="O497" s="106"/>
      <c r="P497" s="106"/>
      <c r="Q497" s="106"/>
      <c r="R497" s="106"/>
      <c r="S497" s="100"/>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1"/>
      <c r="BK497" s="221"/>
    </row>
    <row r="498" spans="1:63" hidden="1" outlineLevel="1">
      <c r="A498" s="9"/>
      <c r="B498" s="44"/>
      <c r="C498" s="270">
        <f>Asset21</f>
        <v>0</v>
      </c>
      <c r="D498" s="9"/>
      <c r="E498" s="9"/>
      <c r="F498" s="9"/>
      <c r="G498" s="204">
        <f>Input!M27</f>
        <v>0</v>
      </c>
      <c r="H498" s="118"/>
      <c r="I498" s="118"/>
      <c r="J498" s="118"/>
      <c r="K498" s="118"/>
      <c r="L498" s="118"/>
      <c r="M498" s="106"/>
      <c r="N498" s="106"/>
      <c r="O498" s="106"/>
      <c r="P498" s="106"/>
      <c r="Q498" s="106"/>
      <c r="R498" s="106"/>
      <c r="S498" s="100"/>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1"/>
      <c r="BK498" s="221"/>
    </row>
    <row r="499" spans="1:63" hidden="1" outlineLevel="1">
      <c r="A499" s="9"/>
      <c r="B499" s="44"/>
      <c r="C499" s="270">
        <f>Asset22</f>
        <v>0</v>
      </c>
      <c r="D499" s="9"/>
      <c r="E499" s="9"/>
      <c r="F499" s="9"/>
      <c r="G499" s="204">
        <f>Input!M28</f>
        <v>0</v>
      </c>
      <c r="H499" s="118"/>
      <c r="I499" s="118"/>
      <c r="J499" s="118"/>
      <c r="K499" s="118"/>
      <c r="L499" s="118"/>
      <c r="M499" s="106"/>
      <c r="N499" s="106"/>
      <c r="O499" s="106"/>
      <c r="P499" s="106"/>
      <c r="Q499" s="106"/>
      <c r="R499" s="106"/>
      <c r="S499" s="100"/>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1"/>
      <c r="BK499" s="221"/>
    </row>
    <row r="500" spans="1:63" hidden="1" outlineLevel="1">
      <c r="A500" s="9"/>
      <c r="B500" s="44"/>
      <c r="C500" s="270">
        <f>Asset23</f>
        <v>0</v>
      </c>
      <c r="D500" s="9"/>
      <c r="E500" s="9"/>
      <c r="F500" s="9"/>
      <c r="G500" s="204">
        <f>Input!M29</f>
        <v>0</v>
      </c>
      <c r="H500" s="118"/>
      <c r="I500" s="118"/>
      <c r="J500" s="118"/>
      <c r="K500" s="118"/>
      <c r="L500" s="118"/>
      <c r="M500" s="106"/>
      <c r="N500" s="106"/>
      <c r="O500" s="106"/>
      <c r="P500" s="106"/>
      <c r="Q500" s="106"/>
      <c r="R500" s="106"/>
      <c r="S500" s="100"/>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1"/>
      <c r="BK500" s="221"/>
    </row>
    <row r="501" spans="1:63" hidden="1" outlineLevel="1">
      <c r="A501" s="9"/>
      <c r="B501" s="44"/>
      <c r="C501" s="270">
        <f>Asset24</f>
        <v>0</v>
      </c>
      <c r="D501" s="9"/>
      <c r="E501" s="9"/>
      <c r="F501" s="9"/>
      <c r="G501" s="204">
        <f>Input!M30</f>
        <v>0</v>
      </c>
      <c r="H501" s="118"/>
      <c r="I501" s="118"/>
      <c r="J501" s="118"/>
      <c r="K501" s="118"/>
      <c r="L501" s="118"/>
      <c r="M501" s="106"/>
      <c r="N501" s="106"/>
      <c r="O501" s="106"/>
      <c r="P501" s="106"/>
      <c r="Q501" s="106"/>
      <c r="R501" s="106"/>
      <c r="S501" s="100"/>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1"/>
      <c r="BK501" s="221"/>
    </row>
    <row r="502" spans="1:63" hidden="1" outlineLevel="1">
      <c r="A502" s="9"/>
      <c r="B502" s="44"/>
      <c r="C502" s="270">
        <f>Asset25</f>
        <v>0</v>
      </c>
      <c r="D502" s="9"/>
      <c r="E502" s="9"/>
      <c r="F502" s="9"/>
      <c r="G502" s="204">
        <f>Input!M31</f>
        <v>0</v>
      </c>
      <c r="H502" s="118"/>
      <c r="I502" s="118"/>
      <c r="J502" s="118"/>
      <c r="K502" s="118"/>
      <c r="L502" s="118"/>
      <c r="M502" s="106"/>
      <c r="N502" s="106"/>
      <c r="O502" s="106"/>
      <c r="P502" s="106"/>
      <c r="Q502" s="106"/>
      <c r="R502" s="106"/>
      <c r="S502" s="100"/>
      <c r="T502" s="106"/>
      <c r="U502" s="106"/>
      <c r="V502" s="106"/>
      <c r="W502" s="106"/>
      <c r="X502" s="106"/>
      <c r="Y502" s="106"/>
      <c r="Z502" s="106"/>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1"/>
      <c r="BK502" s="221"/>
    </row>
    <row r="503" spans="1:63" hidden="1" outlineLevel="1">
      <c r="A503" s="9"/>
      <c r="B503" s="44"/>
      <c r="C503" s="270">
        <f>Asset26</f>
        <v>0</v>
      </c>
      <c r="D503" s="9"/>
      <c r="E503" s="9"/>
      <c r="F503" s="9"/>
      <c r="G503" s="204">
        <f>Input!M32</f>
        <v>0</v>
      </c>
      <c r="H503" s="118"/>
      <c r="I503" s="118"/>
      <c r="J503" s="118"/>
      <c r="K503" s="118"/>
      <c r="L503" s="118"/>
      <c r="M503" s="106"/>
      <c r="N503" s="106"/>
      <c r="O503" s="106"/>
      <c r="P503" s="106"/>
      <c r="Q503" s="106"/>
      <c r="R503" s="106"/>
      <c r="S503" s="100"/>
      <c r="T503" s="106"/>
      <c r="U503" s="106"/>
      <c r="V503" s="106"/>
      <c r="W503" s="106"/>
      <c r="X503" s="106"/>
      <c r="Y503" s="106"/>
      <c r="Z503" s="106"/>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1"/>
      <c r="BK503" s="221"/>
    </row>
    <row r="504" spans="1:63" hidden="1" outlineLevel="1">
      <c r="A504" s="9"/>
      <c r="B504" s="44"/>
      <c r="C504" s="270">
        <f>Asset27</f>
        <v>0</v>
      </c>
      <c r="D504" s="9"/>
      <c r="E504" s="9"/>
      <c r="F504" s="9"/>
      <c r="G504" s="204">
        <f>Input!M33</f>
        <v>0</v>
      </c>
      <c r="H504" s="118"/>
      <c r="I504" s="118"/>
      <c r="J504" s="118"/>
      <c r="K504" s="118"/>
      <c r="L504" s="118"/>
      <c r="M504" s="106"/>
      <c r="N504" s="106"/>
      <c r="O504" s="106"/>
      <c r="P504" s="106"/>
      <c r="Q504" s="106"/>
      <c r="R504" s="106"/>
      <c r="S504" s="100"/>
      <c r="T504" s="106"/>
      <c r="U504" s="106"/>
      <c r="V504" s="106"/>
      <c r="W504" s="106"/>
      <c r="X504" s="106"/>
      <c r="Y504" s="106"/>
      <c r="Z504" s="106"/>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1"/>
      <c r="BK504" s="221"/>
    </row>
    <row r="505" spans="1:63" hidden="1" outlineLevel="1">
      <c r="A505" s="9"/>
      <c r="B505" s="44"/>
      <c r="C505" s="270">
        <f>Asset28</f>
        <v>0</v>
      </c>
      <c r="D505" s="9"/>
      <c r="E505" s="9"/>
      <c r="F505" s="9"/>
      <c r="G505" s="204">
        <f>Input!M34</f>
        <v>0</v>
      </c>
      <c r="H505" s="118"/>
      <c r="I505" s="118"/>
      <c r="J505" s="118"/>
      <c r="K505" s="118"/>
      <c r="L505" s="118"/>
      <c r="M505" s="106"/>
      <c r="N505" s="106"/>
      <c r="O505" s="106"/>
      <c r="P505" s="106"/>
      <c r="Q505" s="106"/>
      <c r="R505" s="106"/>
      <c r="S505" s="100"/>
      <c r="T505" s="106"/>
      <c r="U505" s="106"/>
      <c r="V505" s="106"/>
      <c r="W505" s="106"/>
      <c r="X505" s="106"/>
      <c r="Y505" s="106"/>
      <c r="Z505" s="106"/>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1"/>
      <c r="BK505" s="221"/>
    </row>
    <row r="506" spans="1:63" hidden="1" outlineLevel="1">
      <c r="A506" s="9"/>
      <c r="B506" s="44"/>
      <c r="C506" s="270">
        <f>Asset29</f>
        <v>0</v>
      </c>
      <c r="D506" s="9"/>
      <c r="E506" s="9"/>
      <c r="F506" s="9"/>
      <c r="G506" s="204">
        <f>Input!M35</f>
        <v>0</v>
      </c>
      <c r="H506" s="118"/>
      <c r="I506" s="118"/>
      <c r="J506" s="118"/>
      <c r="K506" s="118"/>
      <c r="L506" s="118"/>
      <c r="M506" s="106"/>
      <c r="N506" s="106"/>
      <c r="O506" s="106"/>
      <c r="P506" s="106"/>
      <c r="Q506" s="106"/>
      <c r="R506" s="106"/>
      <c r="S506" s="100"/>
      <c r="T506" s="106"/>
      <c r="U506" s="106"/>
      <c r="V506" s="106"/>
      <c r="W506" s="106"/>
      <c r="X506" s="106"/>
      <c r="Y506" s="106"/>
      <c r="Z506" s="106"/>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1"/>
      <c r="BK506" s="221"/>
    </row>
    <row r="507" spans="1:63" hidden="1" outlineLevel="1">
      <c r="A507" s="9"/>
      <c r="B507" s="44"/>
      <c r="C507" s="270">
        <f>Asset30</f>
        <v>0</v>
      </c>
      <c r="D507" s="9"/>
      <c r="E507" s="9"/>
      <c r="F507" s="9"/>
      <c r="G507" s="204">
        <f>Input!M36</f>
        <v>0</v>
      </c>
      <c r="H507" s="118"/>
      <c r="I507" s="118"/>
      <c r="J507" s="118"/>
      <c r="K507" s="118"/>
      <c r="L507" s="118"/>
      <c r="M507" s="106"/>
      <c r="N507" s="106"/>
      <c r="O507" s="106"/>
      <c r="P507" s="106"/>
      <c r="Q507" s="106"/>
      <c r="R507" s="106"/>
      <c r="S507" s="100"/>
      <c r="T507" s="106"/>
      <c r="U507" s="106"/>
      <c r="V507" s="106"/>
      <c r="W507" s="106"/>
      <c r="X507" s="106"/>
      <c r="Y507" s="106"/>
      <c r="Z507" s="106"/>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1"/>
      <c r="BK507" s="221"/>
    </row>
    <row r="508" spans="1:63" collapsed="1">
      <c r="A508" s="9"/>
      <c r="B508" s="44"/>
      <c r="C508" s="113"/>
      <c r="D508" s="9"/>
      <c r="E508" s="9"/>
      <c r="F508" s="28"/>
      <c r="G508" s="205"/>
      <c r="H508" s="118"/>
      <c r="I508" s="118"/>
      <c r="J508" s="118"/>
      <c r="K508" s="118"/>
      <c r="L508" s="118"/>
      <c r="M508" s="106"/>
      <c r="N508" s="106"/>
      <c r="O508" s="106"/>
      <c r="P508" s="106"/>
      <c r="Q508" s="106"/>
      <c r="R508" s="106"/>
      <c r="S508" s="106"/>
      <c r="T508" s="106"/>
      <c r="U508" s="106"/>
      <c r="V508" s="106"/>
      <c r="W508" s="106"/>
      <c r="X508" s="106"/>
      <c r="Y508" s="106"/>
      <c r="Z508" s="106"/>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1"/>
      <c r="BK508" s="221"/>
    </row>
    <row r="509" spans="1:63">
      <c r="A509" s="9"/>
      <c r="B509" s="90" t="s">
        <v>70</v>
      </c>
      <c r="C509" s="12"/>
      <c r="D509" s="9"/>
      <c r="E509" s="9"/>
      <c r="F509" s="9"/>
      <c r="G509" s="202">
        <f>SUM(G510:G539)</f>
        <v>-45.523352281960584</v>
      </c>
      <c r="H509" s="118"/>
      <c r="I509" s="118"/>
      <c r="J509" s="118"/>
      <c r="K509" s="118"/>
      <c r="L509" s="118"/>
      <c r="M509" s="106"/>
      <c r="N509" s="106"/>
      <c r="O509" s="106"/>
      <c r="P509" s="106"/>
      <c r="Q509" s="106"/>
      <c r="R509" s="106"/>
      <c r="S509" s="106"/>
      <c r="T509" s="106"/>
      <c r="U509" s="106"/>
      <c r="V509" s="106"/>
      <c r="W509" s="106"/>
      <c r="X509" s="106"/>
      <c r="Y509" s="106"/>
      <c r="Z509" s="106"/>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1"/>
      <c r="BK509" s="221"/>
    </row>
    <row r="510" spans="1:63" hidden="1" outlineLevel="1">
      <c r="A510" s="9"/>
      <c r="B510" s="44"/>
      <c r="C510" s="270" t="str">
        <f>Asset1</f>
        <v>Secondary</v>
      </c>
      <c r="D510" s="9"/>
      <c r="E510" s="9"/>
      <c r="F510" s="28"/>
      <c r="G510" s="204">
        <f>-Input!P7</f>
        <v>-5.009896309442194</v>
      </c>
      <c r="H510" s="118"/>
      <c r="I510" s="118"/>
      <c r="J510" s="118"/>
      <c r="K510" s="118"/>
      <c r="L510" s="118"/>
      <c r="M510" s="106"/>
      <c r="N510" s="106"/>
      <c r="O510" s="106"/>
      <c r="P510" s="106"/>
      <c r="Q510" s="106"/>
      <c r="R510" s="106"/>
      <c r="S510" s="106"/>
      <c r="T510" s="106"/>
      <c r="U510" s="106"/>
      <c r="V510" s="106"/>
      <c r="W510" s="106"/>
      <c r="X510" s="106"/>
      <c r="Y510" s="106"/>
      <c r="Z510" s="106"/>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1"/>
      <c r="BK510" s="221"/>
    </row>
    <row r="511" spans="1:63" hidden="1" outlineLevel="1">
      <c r="A511" s="9"/>
      <c r="B511" s="44"/>
      <c r="C511" s="270" t="str">
        <f>Asset2</f>
        <v>Switchgear</v>
      </c>
      <c r="D511" s="9"/>
      <c r="E511" s="9"/>
      <c r="F511" s="28"/>
      <c r="G511" s="204">
        <f>-Input!P8</f>
        <v>-9.9700462083033674</v>
      </c>
      <c r="H511" s="118"/>
      <c r="I511" s="118"/>
      <c r="J511" s="118"/>
      <c r="K511" s="118"/>
      <c r="L511" s="118"/>
      <c r="M511" s="106"/>
      <c r="N511" s="106"/>
      <c r="O511" s="106"/>
      <c r="P511" s="106"/>
      <c r="Q511" s="106"/>
      <c r="R511" s="106"/>
      <c r="S511" s="106"/>
      <c r="T511" s="106"/>
      <c r="U511" s="106"/>
      <c r="V511" s="106"/>
      <c r="W511" s="106"/>
      <c r="X511" s="106"/>
      <c r="Y511" s="106"/>
      <c r="Z511" s="106"/>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1"/>
      <c r="BK511" s="221"/>
    </row>
    <row r="512" spans="1:63" hidden="1" outlineLevel="1">
      <c r="A512" s="9"/>
      <c r="B512" s="44"/>
      <c r="C512" s="270" t="str">
        <f>Asset3</f>
        <v>Transformers</v>
      </c>
      <c r="D512" s="9"/>
      <c r="E512" s="9"/>
      <c r="F512" s="28"/>
      <c r="G512" s="204">
        <f>-Input!P9</f>
        <v>-9.0020269407922626</v>
      </c>
      <c r="H512" s="118"/>
      <c r="I512" s="118"/>
      <c r="J512" s="118"/>
      <c r="K512" s="118"/>
      <c r="L512" s="118"/>
      <c r="M512" s="106"/>
      <c r="N512" s="106"/>
      <c r="O512" s="106"/>
      <c r="P512" s="106"/>
      <c r="Q512" s="106"/>
      <c r="R512" s="106"/>
      <c r="S512" s="106"/>
      <c r="T512" s="106"/>
      <c r="U512" s="106"/>
      <c r="V512" s="106"/>
      <c r="W512" s="106"/>
      <c r="X512" s="106"/>
      <c r="Y512" s="106"/>
      <c r="Z512" s="106"/>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1"/>
      <c r="BK512" s="221"/>
    </row>
    <row r="513" spans="1:63" hidden="1" outlineLevel="1">
      <c r="A513" s="9"/>
      <c r="B513" s="44"/>
      <c r="C513" s="270" t="str">
        <f>Asset4</f>
        <v>Reactive</v>
      </c>
      <c r="D513" s="9"/>
      <c r="E513" s="9"/>
      <c r="F513" s="28"/>
      <c r="G513" s="204">
        <f>-Input!P10</f>
        <v>-1.9565416146037446</v>
      </c>
      <c r="H513" s="118"/>
      <c r="I513" s="118"/>
      <c r="J513" s="118"/>
      <c r="K513" s="118"/>
      <c r="L513" s="118"/>
      <c r="M513" s="106"/>
      <c r="N513" s="106"/>
      <c r="O513" s="106"/>
      <c r="P513" s="106"/>
      <c r="Q513" s="106"/>
      <c r="R513" s="106"/>
      <c r="S513" s="106"/>
      <c r="T513" s="106"/>
      <c r="U513" s="106"/>
      <c r="V513" s="106"/>
      <c r="W513" s="106"/>
      <c r="X513" s="106"/>
      <c r="Y513" s="106"/>
      <c r="Z513" s="106"/>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1"/>
      <c r="BK513" s="221"/>
    </row>
    <row r="514" spans="1:63" hidden="1" outlineLevel="1">
      <c r="A514" s="9"/>
      <c r="B514" s="44"/>
      <c r="C514" s="270" t="str">
        <f>Asset5</f>
        <v>Towers and Conductor</v>
      </c>
      <c r="D514" s="9"/>
      <c r="E514" s="9"/>
      <c r="F514" s="28"/>
      <c r="G514" s="204">
        <f>-Input!P11</f>
        <v>-9.3974643039723151</v>
      </c>
      <c r="H514" s="118"/>
      <c r="I514" s="118"/>
      <c r="J514" s="118"/>
      <c r="K514" s="118"/>
      <c r="L514" s="118"/>
      <c r="M514" s="106"/>
      <c r="N514" s="106"/>
      <c r="O514" s="106"/>
      <c r="P514" s="106"/>
      <c r="Q514" s="106"/>
      <c r="R514" s="106"/>
      <c r="S514" s="106"/>
      <c r="T514" s="106"/>
      <c r="U514" s="106"/>
      <c r="V514" s="106"/>
      <c r="W514" s="106"/>
      <c r="X514" s="106"/>
      <c r="Y514" s="106"/>
      <c r="Z514" s="106"/>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1"/>
      <c r="BK514" s="221"/>
    </row>
    <row r="515" spans="1:63" hidden="1" outlineLevel="1">
      <c r="A515" s="9"/>
      <c r="B515" s="44"/>
      <c r="C515" s="270" t="str">
        <f>Asset6</f>
        <v>Establishment</v>
      </c>
      <c r="D515" s="9"/>
      <c r="E515" s="9"/>
      <c r="F515" s="28"/>
      <c r="G515" s="204">
        <f>-Input!P12</f>
        <v>-1.9292989819905269</v>
      </c>
      <c r="H515" s="118"/>
      <c r="I515" s="118"/>
      <c r="J515" s="118"/>
      <c r="K515" s="118"/>
      <c r="L515" s="118"/>
      <c r="M515" s="106"/>
      <c r="N515" s="106"/>
      <c r="O515" s="106"/>
      <c r="P515" s="106"/>
      <c r="Q515" s="106"/>
      <c r="R515" s="106"/>
      <c r="S515" s="106"/>
      <c r="T515" s="106"/>
      <c r="U515" s="106"/>
      <c r="V515" s="106"/>
      <c r="W515" s="106"/>
      <c r="X515" s="106"/>
      <c r="Y515" s="106"/>
      <c r="Z515" s="106"/>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1"/>
      <c r="BK515" s="221"/>
    </row>
    <row r="516" spans="1:63" hidden="1" outlineLevel="1">
      <c r="A516" s="9"/>
      <c r="B516" s="44"/>
      <c r="C516" s="270" t="str">
        <f>Asset7</f>
        <v>Communications</v>
      </c>
      <c r="D516" s="9"/>
      <c r="E516" s="9"/>
      <c r="F516" s="28"/>
      <c r="G516" s="204">
        <f>-Input!P13</f>
        <v>-6.3024287901060712</v>
      </c>
      <c r="H516" s="118"/>
      <c r="I516" s="118"/>
      <c r="J516" s="118"/>
      <c r="K516" s="118"/>
      <c r="L516" s="118"/>
      <c r="M516" s="106"/>
      <c r="N516" s="106"/>
      <c r="O516" s="106"/>
      <c r="P516" s="106"/>
      <c r="Q516" s="106"/>
      <c r="R516" s="106"/>
      <c r="S516" s="106"/>
      <c r="T516" s="106"/>
      <c r="U516" s="106"/>
      <c r="V516" s="106"/>
      <c r="W516" s="106"/>
      <c r="X516" s="106"/>
      <c r="Y516" s="106"/>
      <c r="Z516" s="106"/>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1"/>
      <c r="BK516" s="221"/>
    </row>
    <row r="517" spans="1:63" hidden="1" outlineLevel="1">
      <c r="A517" s="9"/>
      <c r="B517" s="44"/>
      <c r="C517" s="270" t="str">
        <f>Asset8</f>
        <v>Inventory</v>
      </c>
      <c r="D517" s="9"/>
      <c r="E517" s="9"/>
      <c r="F517" s="28"/>
      <c r="G517" s="204">
        <f>-Input!P14</f>
        <v>0.1190149191478946</v>
      </c>
      <c r="H517" s="118"/>
      <c r="I517" s="118"/>
      <c r="J517" s="118"/>
      <c r="K517" s="118"/>
      <c r="L517" s="118"/>
      <c r="M517" s="106"/>
      <c r="N517" s="106"/>
      <c r="O517" s="106"/>
      <c r="P517" s="106"/>
      <c r="Q517" s="106"/>
      <c r="R517" s="106"/>
      <c r="S517" s="106"/>
      <c r="T517" s="106"/>
      <c r="U517" s="106"/>
      <c r="V517" s="106"/>
      <c r="W517" s="106"/>
      <c r="X517" s="106"/>
      <c r="Y517" s="106"/>
      <c r="Z517" s="106"/>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1"/>
      <c r="BK517" s="221"/>
    </row>
    <row r="518" spans="1:63" hidden="1" outlineLevel="1">
      <c r="A518" s="9"/>
      <c r="B518" s="44"/>
      <c r="C518" s="270" t="str">
        <f>Asset9</f>
        <v>IT</v>
      </c>
      <c r="D518" s="9"/>
      <c r="E518" s="9"/>
      <c r="F518" s="28"/>
      <c r="G518" s="204">
        <f>-Input!P15</f>
        <v>-3.9008862920846168</v>
      </c>
      <c r="H518" s="118"/>
      <c r="I518" s="118"/>
      <c r="J518" s="118"/>
      <c r="K518" s="118"/>
      <c r="L518" s="118"/>
      <c r="M518" s="106"/>
      <c r="N518" s="106"/>
      <c r="O518" s="106"/>
      <c r="P518" s="106"/>
      <c r="Q518" s="106"/>
      <c r="R518" s="106"/>
      <c r="S518" s="106"/>
      <c r="T518" s="106"/>
      <c r="U518" s="106"/>
      <c r="V518" s="106"/>
      <c r="W518" s="106"/>
      <c r="X518" s="106"/>
      <c r="Y518" s="106"/>
      <c r="Z518" s="106"/>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1"/>
      <c r="BK518" s="221"/>
    </row>
    <row r="519" spans="1:63" hidden="1" outlineLevel="1">
      <c r="A519" s="9"/>
      <c r="B519" s="44"/>
      <c r="C519" s="270" t="str">
        <f>Asset10</f>
        <v>Vehicles</v>
      </c>
      <c r="D519" s="9"/>
      <c r="E519" s="9"/>
      <c r="F519" s="28"/>
      <c r="G519" s="204">
        <f>-Input!P16</f>
        <v>-0.14566511533793916</v>
      </c>
      <c r="H519" s="118"/>
      <c r="I519" s="118"/>
      <c r="J519" s="118"/>
      <c r="K519" s="118"/>
      <c r="L519" s="118"/>
      <c r="M519" s="106"/>
      <c r="N519" s="106"/>
      <c r="O519" s="106"/>
      <c r="P519" s="106"/>
      <c r="Q519" s="106"/>
      <c r="R519" s="106"/>
      <c r="S519" s="106"/>
      <c r="T519" s="106"/>
      <c r="U519" s="106"/>
      <c r="V519" s="106"/>
      <c r="W519" s="106"/>
      <c r="X519" s="106"/>
      <c r="Y519" s="106"/>
      <c r="Z519" s="106"/>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1"/>
      <c r="BK519" s="221"/>
    </row>
    <row r="520" spans="1:63" hidden="1" outlineLevel="1">
      <c r="A520" s="9"/>
      <c r="B520" s="44"/>
      <c r="C520" s="270" t="str">
        <f>Asset11</f>
        <v>other</v>
      </c>
      <c r="D520" s="9"/>
      <c r="E520" s="9"/>
      <c r="F520" s="28"/>
      <c r="G520" s="204">
        <f>-Input!P17</f>
        <v>-1.5380787381567749</v>
      </c>
      <c r="H520" s="118"/>
      <c r="I520" s="118"/>
      <c r="J520" s="118"/>
      <c r="K520" s="118"/>
      <c r="L520" s="118"/>
      <c r="M520" s="106"/>
      <c r="N520" s="106"/>
      <c r="O520" s="106"/>
      <c r="P520" s="106"/>
      <c r="Q520" s="106"/>
      <c r="R520" s="106"/>
      <c r="S520" s="106"/>
      <c r="T520" s="106"/>
      <c r="U520" s="106"/>
      <c r="V520" s="106"/>
      <c r="W520" s="106"/>
      <c r="X520" s="106"/>
      <c r="Y520" s="106"/>
      <c r="Z520" s="106"/>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1"/>
      <c r="BK520" s="221"/>
    </row>
    <row r="521" spans="1:63" hidden="1" outlineLevel="1">
      <c r="A521" s="9"/>
      <c r="B521" s="44"/>
      <c r="C521" s="270" t="str">
        <f>Asset12</f>
        <v>premises</v>
      </c>
      <c r="D521" s="9"/>
      <c r="E521" s="9"/>
      <c r="F521" s="28"/>
      <c r="G521" s="204">
        <f>-Input!P18</f>
        <v>-1.7554403275244403</v>
      </c>
      <c r="H521" s="118"/>
      <c r="I521" s="118"/>
      <c r="J521" s="118"/>
      <c r="K521" s="118"/>
      <c r="L521" s="118"/>
      <c r="M521" s="106"/>
      <c r="N521" s="106"/>
      <c r="O521" s="106"/>
      <c r="P521" s="106"/>
      <c r="Q521" s="106"/>
      <c r="R521" s="106"/>
      <c r="S521" s="106"/>
      <c r="T521" s="106"/>
      <c r="U521" s="106"/>
      <c r="V521" s="106"/>
      <c r="W521" s="106"/>
      <c r="X521" s="106"/>
      <c r="Y521" s="106"/>
      <c r="Z521" s="106"/>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1"/>
      <c r="BK521" s="221"/>
    </row>
    <row r="522" spans="1:63" hidden="1" outlineLevel="1">
      <c r="A522" s="9"/>
      <c r="B522" s="44"/>
      <c r="C522" s="270" t="str">
        <f>Asset13</f>
        <v>Land</v>
      </c>
      <c r="D522" s="9"/>
      <c r="E522" s="9"/>
      <c r="F522" s="28"/>
      <c r="G522" s="204">
        <f>-Input!P19</f>
        <v>2.5060166229602889</v>
      </c>
      <c r="H522" s="118"/>
      <c r="I522" s="118"/>
      <c r="J522" s="118"/>
      <c r="K522" s="118"/>
      <c r="L522" s="118"/>
      <c r="M522" s="106"/>
      <c r="N522" s="106"/>
      <c r="O522" s="106"/>
      <c r="P522" s="106"/>
      <c r="Q522" s="106"/>
      <c r="R522" s="106"/>
      <c r="S522" s="106"/>
      <c r="T522" s="106"/>
      <c r="U522" s="106"/>
      <c r="V522" s="106"/>
      <c r="W522" s="106"/>
      <c r="X522" s="106"/>
      <c r="Y522" s="106"/>
      <c r="Z522" s="106"/>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1"/>
      <c r="BK522" s="221"/>
    </row>
    <row r="523" spans="1:63" hidden="1" outlineLevel="1">
      <c r="A523" s="9"/>
      <c r="B523" s="44"/>
      <c r="C523" s="270" t="str">
        <f>Asset14</f>
        <v>Easements</v>
      </c>
      <c r="D523" s="9"/>
      <c r="E523" s="9"/>
      <c r="F523" s="28"/>
      <c r="G523" s="204">
        <f>-Input!P20</f>
        <v>2.7593897982454862</v>
      </c>
      <c r="H523" s="118"/>
      <c r="I523" s="118"/>
      <c r="J523" s="118"/>
      <c r="K523" s="118"/>
      <c r="L523" s="118"/>
      <c r="M523" s="106"/>
      <c r="N523" s="106"/>
      <c r="O523" s="106"/>
      <c r="P523" s="106"/>
      <c r="Q523" s="106"/>
      <c r="R523" s="106"/>
      <c r="S523" s="106"/>
      <c r="T523" s="106"/>
      <c r="U523" s="106"/>
      <c r="V523" s="106"/>
      <c r="W523" s="106"/>
      <c r="X523" s="106"/>
      <c r="Y523" s="106"/>
      <c r="Z523" s="106"/>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1"/>
      <c r="BK523" s="221"/>
    </row>
    <row r="524" spans="1:63" hidden="1" outlineLevel="1">
      <c r="A524" s="9"/>
      <c r="B524" s="44"/>
      <c r="C524" s="270">
        <f>Asset15</f>
        <v>0</v>
      </c>
      <c r="D524" s="9"/>
      <c r="E524" s="9"/>
      <c r="F524" s="28"/>
      <c r="G524" s="204">
        <f>-Input!P21</f>
        <v>0</v>
      </c>
      <c r="H524" s="118"/>
      <c r="I524" s="118"/>
      <c r="J524" s="118"/>
      <c r="K524" s="118"/>
      <c r="L524" s="118"/>
      <c r="M524" s="106"/>
      <c r="N524" s="106"/>
      <c r="O524" s="106"/>
      <c r="P524" s="106"/>
      <c r="Q524" s="106"/>
      <c r="R524" s="106"/>
      <c r="S524" s="106"/>
      <c r="T524" s="106"/>
      <c r="U524" s="106"/>
      <c r="V524" s="106"/>
      <c r="W524" s="106"/>
      <c r="X524" s="106"/>
      <c r="Y524" s="106"/>
      <c r="Z524" s="106"/>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1"/>
      <c r="BK524" s="221"/>
    </row>
    <row r="525" spans="1:63" hidden="1" outlineLevel="1">
      <c r="A525" s="9"/>
      <c r="B525" s="44"/>
      <c r="C525" s="270">
        <f>Asset16</f>
        <v>0</v>
      </c>
      <c r="D525" s="9"/>
      <c r="E525" s="9"/>
      <c r="F525" s="28"/>
      <c r="G525" s="204">
        <f>-Input!P22</f>
        <v>0</v>
      </c>
      <c r="H525" s="118"/>
      <c r="I525" s="118"/>
      <c r="J525" s="118"/>
      <c r="K525" s="118"/>
      <c r="L525" s="118"/>
      <c r="M525" s="106"/>
      <c r="N525" s="106"/>
      <c r="O525" s="106"/>
      <c r="P525" s="106"/>
      <c r="Q525" s="106"/>
      <c r="R525" s="106"/>
      <c r="S525" s="106"/>
      <c r="T525" s="106"/>
      <c r="U525" s="106"/>
      <c r="V525" s="106"/>
      <c r="W525" s="106"/>
      <c r="X525" s="106"/>
      <c r="Y525" s="106"/>
      <c r="Z525" s="106"/>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c r="BI525" s="215"/>
      <c r="BJ525" s="221"/>
      <c r="BK525" s="221"/>
    </row>
    <row r="526" spans="1:63" hidden="1" outlineLevel="1">
      <c r="A526" s="9"/>
      <c r="B526" s="44"/>
      <c r="C526" s="270">
        <f>Asset17</f>
        <v>0</v>
      </c>
      <c r="D526" s="9"/>
      <c r="E526" s="9"/>
      <c r="F526" s="28"/>
      <c r="G526" s="204">
        <f>-Input!P23</f>
        <v>0</v>
      </c>
      <c r="H526" s="118"/>
      <c r="I526" s="118"/>
      <c r="J526" s="118"/>
      <c r="K526" s="118"/>
      <c r="L526" s="118"/>
      <c r="M526" s="106"/>
      <c r="N526" s="106"/>
      <c r="O526" s="106"/>
      <c r="P526" s="106"/>
      <c r="Q526" s="106"/>
      <c r="R526" s="106"/>
      <c r="S526" s="106"/>
      <c r="T526" s="106"/>
      <c r="U526" s="106"/>
      <c r="V526" s="106"/>
      <c r="W526" s="106"/>
      <c r="X526" s="106"/>
      <c r="Y526" s="106"/>
      <c r="Z526" s="106"/>
      <c r="AA526" s="215"/>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c r="BI526" s="215"/>
      <c r="BJ526" s="221"/>
      <c r="BK526" s="221"/>
    </row>
    <row r="527" spans="1:63" hidden="1" outlineLevel="1">
      <c r="A527" s="9"/>
      <c r="B527" s="44"/>
      <c r="C527" s="270">
        <f>Asset18</f>
        <v>0</v>
      </c>
      <c r="D527" s="9"/>
      <c r="E527" s="9"/>
      <c r="F527" s="28"/>
      <c r="G527" s="204">
        <f>-Input!P24</f>
        <v>0</v>
      </c>
      <c r="H527" s="118"/>
      <c r="I527" s="118"/>
      <c r="J527" s="118"/>
      <c r="K527" s="118"/>
      <c r="L527" s="118"/>
      <c r="M527" s="106"/>
      <c r="N527" s="106"/>
      <c r="O527" s="106"/>
      <c r="P527" s="106"/>
      <c r="Q527" s="106"/>
      <c r="R527" s="106"/>
      <c r="S527" s="106"/>
      <c r="T527" s="106"/>
      <c r="U527" s="106"/>
      <c r="V527" s="106"/>
      <c r="W527" s="106"/>
      <c r="X527" s="106"/>
      <c r="Y527" s="106"/>
      <c r="Z527" s="106"/>
      <c r="AA527" s="215"/>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c r="BI527" s="215"/>
      <c r="BJ527" s="221"/>
      <c r="BK527" s="221"/>
    </row>
    <row r="528" spans="1:63" hidden="1" outlineLevel="1">
      <c r="A528" s="9"/>
      <c r="B528" s="44"/>
      <c r="C528" s="270">
        <f>Asset19</f>
        <v>0</v>
      </c>
      <c r="D528" s="9"/>
      <c r="E528" s="9"/>
      <c r="F528" s="28"/>
      <c r="G528" s="204">
        <f>-Input!P25</f>
        <v>0</v>
      </c>
      <c r="H528" s="118"/>
      <c r="I528" s="118"/>
      <c r="J528" s="118"/>
      <c r="K528" s="118"/>
      <c r="L528" s="118"/>
      <c r="M528" s="106"/>
      <c r="N528" s="106"/>
      <c r="O528" s="106"/>
      <c r="P528" s="106"/>
      <c r="Q528" s="106"/>
      <c r="R528" s="106"/>
      <c r="S528" s="106"/>
      <c r="T528" s="106"/>
      <c r="U528" s="106"/>
      <c r="V528" s="106"/>
      <c r="W528" s="106"/>
      <c r="X528" s="106"/>
      <c r="Y528" s="106"/>
      <c r="Z528" s="106"/>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21"/>
      <c r="BK528" s="221"/>
    </row>
    <row r="529" spans="1:63" hidden="1" outlineLevel="1">
      <c r="A529" s="9"/>
      <c r="B529" s="44"/>
      <c r="C529" s="270">
        <f>Asset20</f>
        <v>0</v>
      </c>
      <c r="D529" s="9"/>
      <c r="E529" s="9"/>
      <c r="F529" s="28"/>
      <c r="G529" s="204">
        <f>-Input!P26</f>
        <v>0</v>
      </c>
      <c r="H529" s="118"/>
      <c r="I529" s="118"/>
      <c r="J529" s="118"/>
      <c r="K529" s="118"/>
      <c r="L529" s="118"/>
      <c r="M529" s="106"/>
      <c r="N529" s="106"/>
      <c r="O529" s="106"/>
      <c r="P529" s="106"/>
      <c r="Q529" s="106"/>
      <c r="R529" s="106"/>
      <c r="S529" s="106"/>
      <c r="T529" s="106"/>
      <c r="U529" s="106"/>
      <c r="V529" s="106"/>
      <c r="W529" s="106"/>
      <c r="X529" s="106"/>
      <c r="Y529" s="106"/>
      <c r="Z529" s="106"/>
      <c r="AA529" s="215"/>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c r="BI529" s="215"/>
      <c r="BJ529" s="221"/>
      <c r="BK529" s="221"/>
    </row>
    <row r="530" spans="1:63" hidden="1" outlineLevel="1">
      <c r="A530" s="9"/>
      <c r="B530" s="44"/>
      <c r="C530" s="270">
        <f>Asset21</f>
        <v>0</v>
      </c>
      <c r="D530" s="9"/>
      <c r="E530" s="9"/>
      <c r="F530" s="28"/>
      <c r="G530" s="204">
        <f>-Input!P27</f>
        <v>0</v>
      </c>
      <c r="H530" s="118"/>
      <c r="I530" s="118"/>
      <c r="J530" s="118"/>
      <c r="K530" s="118"/>
      <c r="L530" s="118"/>
      <c r="M530" s="106"/>
      <c r="N530" s="106"/>
      <c r="O530" s="106"/>
      <c r="P530" s="106"/>
      <c r="Q530" s="106"/>
      <c r="R530" s="106"/>
      <c r="S530" s="106"/>
      <c r="T530" s="106"/>
      <c r="U530" s="106"/>
      <c r="V530" s="106"/>
      <c r="W530" s="106"/>
      <c r="X530" s="106"/>
      <c r="Y530" s="106"/>
      <c r="Z530" s="106"/>
      <c r="AA530" s="215"/>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c r="BI530" s="215"/>
      <c r="BJ530" s="221"/>
      <c r="BK530" s="221"/>
    </row>
    <row r="531" spans="1:63" hidden="1" outlineLevel="1">
      <c r="A531" s="9"/>
      <c r="B531" s="44"/>
      <c r="C531" s="270">
        <f>Asset22</f>
        <v>0</v>
      </c>
      <c r="D531" s="9"/>
      <c r="E531" s="9"/>
      <c r="F531" s="28"/>
      <c r="G531" s="204">
        <f>-Input!P28</f>
        <v>0</v>
      </c>
      <c r="H531" s="118"/>
      <c r="I531" s="118"/>
      <c r="J531" s="118"/>
      <c r="K531" s="118"/>
      <c r="L531" s="118"/>
      <c r="M531" s="106"/>
      <c r="N531" s="106"/>
      <c r="O531" s="106"/>
      <c r="P531" s="106"/>
      <c r="Q531" s="106"/>
      <c r="R531" s="106"/>
      <c r="S531" s="106"/>
      <c r="T531" s="106"/>
      <c r="U531" s="106"/>
      <c r="V531" s="106"/>
      <c r="W531" s="106"/>
      <c r="X531" s="106"/>
      <c r="Y531" s="106"/>
      <c r="Z531" s="106"/>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21"/>
      <c r="BK531" s="221"/>
    </row>
    <row r="532" spans="1:63" hidden="1" outlineLevel="1">
      <c r="A532" s="9"/>
      <c r="B532" s="44"/>
      <c r="C532" s="270">
        <f>Asset23</f>
        <v>0</v>
      </c>
      <c r="D532" s="9"/>
      <c r="E532" s="9"/>
      <c r="F532" s="28"/>
      <c r="G532" s="204">
        <f>-Input!P29</f>
        <v>0</v>
      </c>
      <c r="H532" s="118"/>
      <c r="I532" s="118"/>
      <c r="J532" s="118"/>
      <c r="K532" s="118"/>
      <c r="L532" s="118"/>
      <c r="M532" s="106"/>
      <c r="N532" s="106"/>
      <c r="O532" s="106"/>
      <c r="P532" s="106"/>
      <c r="Q532" s="106"/>
      <c r="R532" s="106"/>
      <c r="S532" s="106"/>
      <c r="T532" s="106"/>
      <c r="U532" s="106"/>
      <c r="V532" s="106"/>
      <c r="W532" s="106"/>
      <c r="X532" s="106"/>
      <c r="Y532" s="106"/>
      <c r="Z532" s="106"/>
      <c r="AA532" s="215"/>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c r="BI532" s="215"/>
      <c r="BJ532" s="221"/>
      <c r="BK532" s="221"/>
    </row>
    <row r="533" spans="1:63" hidden="1" outlineLevel="1">
      <c r="A533" s="9"/>
      <c r="B533" s="44"/>
      <c r="C533" s="270">
        <f>Asset24</f>
        <v>0</v>
      </c>
      <c r="D533" s="9"/>
      <c r="E533" s="9"/>
      <c r="F533" s="28"/>
      <c r="G533" s="204">
        <f>-Input!P30</f>
        <v>0</v>
      </c>
      <c r="H533" s="118"/>
      <c r="I533" s="118"/>
      <c r="J533" s="118"/>
      <c r="K533" s="118"/>
      <c r="L533" s="118"/>
      <c r="M533" s="106"/>
      <c r="N533" s="106"/>
      <c r="O533" s="106"/>
      <c r="P533" s="106"/>
      <c r="Q533" s="106"/>
      <c r="R533" s="106"/>
      <c r="S533" s="106"/>
      <c r="T533" s="106"/>
      <c r="U533" s="106"/>
      <c r="V533" s="106"/>
      <c r="W533" s="106"/>
      <c r="X533" s="106"/>
      <c r="Y533" s="106"/>
      <c r="Z533" s="106"/>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21"/>
      <c r="BK533" s="221"/>
    </row>
    <row r="534" spans="1:63" hidden="1" outlineLevel="1">
      <c r="A534" s="9"/>
      <c r="B534" s="44"/>
      <c r="C534" s="270">
        <f>Asset25</f>
        <v>0</v>
      </c>
      <c r="D534" s="9"/>
      <c r="E534" s="9"/>
      <c r="F534" s="28"/>
      <c r="G534" s="204">
        <f>-Input!P31</f>
        <v>0</v>
      </c>
      <c r="H534" s="118"/>
      <c r="I534" s="118"/>
      <c r="J534" s="118"/>
      <c r="K534" s="118"/>
      <c r="L534" s="118"/>
      <c r="M534" s="106"/>
      <c r="N534" s="106"/>
      <c r="O534" s="106"/>
      <c r="P534" s="106"/>
      <c r="Q534" s="106"/>
      <c r="R534" s="106"/>
      <c r="S534" s="106"/>
      <c r="T534" s="106"/>
      <c r="U534" s="106"/>
      <c r="V534" s="106"/>
      <c r="W534" s="106"/>
      <c r="X534" s="106"/>
      <c r="Y534" s="106"/>
      <c r="Z534" s="106"/>
      <c r="AA534" s="215"/>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c r="BI534" s="215"/>
      <c r="BJ534" s="221"/>
      <c r="BK534" s="221"/>
    </row>
    <row r="535" spans="1:63" hidden="1" outlineLevel="1">
      <c r="A535" s="9"/>
      <c r="B535" s="44"/>
      <c r="C535" s="270">
        <f>Asset26</f>
        <v>0</v>
      </c>
      <c r="D535" s="9"/>
      <c r="E535" s="9"/>
      <c r="F535" s="28"/>
      <c r="G535" s="204">
        <f>-Input!P32</f>
        <v>0</v>
      </c>
      <c r="H535" s="118"/>
      <c r="I535" s="118"/>
      <c r="J535" s="118"/>
      <c r="K535" s="118"/>
      <c r="L535" s="118"/>
      <c r="M535" s="106"/>
      <c r="N535" s="106"/>
      <c r="O535" s="106"/>
      <c r="P535" s="106"/>
      <c r="Q535" s="106"/>
      <c r="R535" s="106"/>
      <c r="S535" s="106"/>
      <c r="T535" s="106"/>
      <c r="U535" s="106"/>
      <c r="V535" s="106"/>
      <c r="W535" s="106"/>
      <c r="X535" s="106"/>
      <c r="Y535" s="106"/>
      <c r="Z535" s="106"/>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c r="BI535" s="215"/>
      <c r="BJ535" s="221"/>
      <c r="BK535" s="221"/>
    </row>
    <row r="536" spans="1:63" hidden="1" outlineLevel="1">
      <c r="A536" s="9"/>
      <c r="B536" s="44"/>
      <c r="C536" s="270">
        <f>Asset27</f>
        <v>0</v>
      </c>
      <c r="D536" s="9"/>
      <c r="E536" s="9"/>
      <c r="F536" s="28"/>
      <c r="G536" s="204">
        <f>-Input!P33</f>
        <v>0</v>
      </c>
      <c r="H536" s="118"/>
      <c r="I536" s="118"/>
      <c r="J536" s="118"/>
      <c r="K536" s="118"/>
      <c r="L536" s="118"/>
      <c r="M536" s="106"/>
      <c r="N536" s="106"/>
      <c r="O536" s="106"/>
      <c r="P536" s="106"/>
      <c r="Q536" s="106"/>
      <c r="R536" s="106"/>
      <c r="S536" s="106"/>
      <c r="T536" s="106"/>
      <c r="U536" s="106"/>
      <c r="V536" s="106"/>
      <c r="W536" s="106"/>
      <c r="X536" s="106"/>
      <c r="Y536" s="106"/>
      <c r="Z536" s="106"/>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c r="BI536" s="215"/>
      <c r="BJ536" s="221"/>
      <c r="BK536" s="221"/>
    </row>
    <row r="537" spans="1:63" hidden="1" outlineLevel="1">
      <c r="A537" s="9"/>
      <c r="B537" s="44"/>
      <c r="C537" s="270">
        <f>Asset28</f>
        <v>0</v>
      </c>
      <c r="D537" s="9"/>
      <c r="E537" s="9"/>
      <c r="F537" s="28"/>
      <c r="G537" s="204">
        <f>-Input!P34</f>
        <v>0</v>
      </c>
      <c r="H537" s="118"/>
      <c r="I537" s="118"/>
      <c r="J537" s="118"/>
      <c r="K537" s="118"/>
      <c r="L537" s="118"/>
      <c r="M537" s="106"/>
      <c r="N537" s="106"/>
      <c r="O537" s="106"/>
      <c r="P537" s="106"/>
      <c r="Q537" s="106"/>
      <c r="R537" s="106"/>
      <c r="S537" s="106"/>
      <c r="T537" s="106"/>
      <c r="U537" s="106"/>
      <c r="V537" s="106"/>
      <c r="W537" s="106"/>
      <c r="X537" s="106"/>
      <c r="Y537" s="106"/>
      <c r="Z537" s="106"/>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c r="BI537" s="215"/>
      <c r="BJ537" s="221"/>
      <c r="BK537" s="221"/>
    </row>
    <row r="538" spans="1:63" hidden="1" outlineLevel="1">
      <c r="A538" s="9"/>
      <c r="B538" s="44"/>
      <c r="C538" s="270">
        <f>Asset29</f>
        <v>0</v>
      </c>
      <c r="D538" s="9"/>
      <c r="E538" s="9"/>
      <c r="F538" s="28"/>
      <c r="G538" s="204">
        <f>-Input!P35</f>
        <v>0</v>
      </c>
      <c r="H538" s="118"/>
      <c r="I538" s="118"/>
      <c r="J538" s="118"/>
      <c r="K538" s="118"/>
      <c r="L538" s="118"/>
      <c r="M538" s="106"/>
      <c r="N538" s="106"/>
      <c r="O538" s="106"/>
      <c r="P538" s="106"/>
      <c r="Q538" s="106"/>
      <c r="R538" s="106"/>
      <c r="S538" s="106"/>
      <c r="T538" s="106"/>
      <c r="U538" s="106"/>
      <c r="V538" s="106"/>
      <c r="W538" s="106"/>
      <c r="X538" s="106"/>
      <c r="Y538" s="106"/>
      <c r="Z538" s="106"/>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21"/>
      <c r="BK538" s="221"/>
    </row>
    <row r="539" spans="1:63" hidden="1" outlineLevel="1">
      <c r="A539" s="9"/>
      <c r="B539" s="44"/>
      <c r="C539" s="270">
        <f>Asset30</f>
        <v>0</v>
      </c>
      <c r="D539" s="9"/>
      <c r="E539" s="9"/>
      <c r="F539" s="28"/>
      <c r="G539" s="204">
        <f>-Input!P36</f>
        <v>0</v>
      </c>
      <c r="H539" s="118"/>
      <c r="I539" s="118"/>
      <c r="J539" s="118"/>
      <c r="K539" s="118"/>
      <c r="L539" s="118"/>
      <c r="M539" s="106"/>
      <c r="N539" s="106"/>
      <c r="O539" s="106"/>
      <c r="P539" s="106"/>
      <c r="Q539" s="106"/>
      <c r="R539" s="106"/>
      <c r="S539" s="106"/>
      <c r="T539" s="106"/>
      <c r="U539" s="106"/>
      <c r="V539" s="106"/>
      <c r="W539" s="106"/>
      <c r="X539" s="106"/>
      <c r="Y539" s="106"/>
      <c r="Z539" s="106"/>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21"/>
      <c r="BK539" s="221"/>
    </row>
    <row r="540" spans="1:63" collapsed="1">
      <c r="A540" s="9"/>
      <c r="B540" s="44"/>
      <c r="C540" s="127"/>
      <c r="D540" s="9"/>
      <c r="E540" s="9"/>
      <c r="F540" s="28"/>
      <c r="G540" s="205"/>
      <c r="H540" s="118"/>
      <c r="I540" s="118"/>
      <c r="J540" s="118"/>
      <c r="K540" s="118"/>
      <c r="L540" s="118"/>
      <c r="M540" s="106"/>
      <c r="N540" s="106"/>
      <c r="O540" s="106"/>
      <c r="P540" s="106"/>
      <c r="Q540" s="106"/>
      <c r="R540" s="106"/>
      <c r="S540" s="106"/>
      <c r="T540" s="106"/>
      <c r="U540" s="106"/>
      <c r="V540" s="106"/>
      <c r="W540" s="106"/>
      <c r="X540" s="106"/>
      <c r="Y540" s="106"/>
      <c r="Z540" s="106"/>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21"/>
      <c r="BK540" s="221"/>
    </row>
    <row r="541" spans="1:63">
      <c r="A541" s="9"/>
      <c r="B541" s="44" t="s">
        <v>49</v>
      </c>
      <c r="C541" s="127"/>
      <c r="D541" s="9"/>
      <c r="E541" s="9"/>
      <c r="F541" s="139"/>
      <c r="G541" s="203">
        <f>SUM(G542:G571)</f>
        <v>81.395520835936082</v>
      </c>
      <c r="H541" s="383"/>
      <c r="I541" s="118"/>
      <c r="J541" s="118"/>
      <c r="K541" s="118"/>
      <c r="L541" s="118"/>
      <c r="M541" s="106"/>
      <c r="N541" s="106"/>
      <c r="O541" s="106"/>
      <c r="P541" s="106"/>
      <c r="Q541" s="106"/>
      <c r="R541" s="106"/>
      <c r="S541" s="106"/>
      <c r="T541" s="106"/>
      <c r="U541" s="106"/>
      <c r="V541" s="106"/>
      <c r="W541" s="106"/>
      <c r="X541" s="106"/>
      <c r="Y541" s="106"/>
      <c r="Z541" s="106"/>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21"/>
      <c r="BK541" s="221"/>
    </row>
    <row r="542" spans="1:63" hidden="1" outlineLevel="1">
      <c r="A542" s="9"/>
      <c r="B542" s="9"/>
      <c r="C542" s="270" t="str">
        <f>Asset1</f>
        <v>Secondary</v>
      </c>
      <c r="D542" s="9"/>
      <c r="E542" s="9"/>
      <c r="F542" s="139"/>
      <c r="G542" s="201">
        <f>Input!Q7</f>
        <v>-4.1510932628817514</v>
      </c>
      <c r="H542" s="118"/>
      <c r="I542" s="118"/>
      <c r="J542" s="118"/>
      <c r="K542" s="118"/>
      <c r="L542" s="118"/>
      <c r="M542" s="106"/>
      <c r="N542" s="106"/>
      <c r="O542" s="106"/>
      <c r="P542" s="106"/>
      <c r="Q542" s="106"/>
      <c r="R542" s="106"/>
      <c r="S542" s="106"/>
      <c r="T542" s="106"/>
      <c r="U542" s="106"/>
      <c r="V542" s="106"/>
      <c r="W542" s="106"/>
      <c r="X542" s="106"/>
      <c r="Y542" s="106"/>
      <c r="Z542" s="106"/>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21"/>
      <c r="BK542" s="221"/>
    </row>
    <row r="543" spans="1:63" hidden="1" outlineLevel="1">
      <c r="A543" s="9"/>
      <c r="B543" s="44"/>
      <c r="C543" s="270" t="str">
        <f>Asset2</f>
        <v>Switchgear</v>
      </c>
      <c r="D543" s="9"/>
      <c r="E543" s="9"/>
      <c r="F543" s="139"/>
      <c r="G543" s="201">
        <f>Input!Q8</f>
        <v>13.423609217639783</v>
      </c>
      <c r="H543" s="118"/>
      <c r="I543" s="118"/>
      <c r="J543" s="118"/>
      <c r="K543" s="118"/>
      <c r="L543" s="118"/>
      <c r="M543" s="106"/>
      <c r="N543" s="106"/>
      <c r="O543" s="106"/>
      <c r="P543" s="106"/>
      <c r="Q543" s="106"/>
      <c r="R543" s="106"/>
      <c r="S543" s="106"/>
      <c r="T543" s="106"/>
      <c r="U543" s="106"/>
      <c r="V543" s="106"/>
      <c r="W543" s="106"/>
      <c r="X543" s="106"/>
      <c r="Y543" s="106"/>
      <c r="Z543" s="106"/>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21"/>
      <c r="BK543" s="221"/>
    </row>
    <row r="544" spans="1:63" hidden="1" outlineLevel="1">
      <c r="A544" s="9"/>
      <c r="B544" s="44"/>
      <c r="C544" s="270" t="str">
        <f>Asset3</f>
        <v>Transformers</v>
      </c>
      <c r="D544" s="9"/>
      <c r="E544" s="9"/>
      <c r="F544" s="139"/>
      <c r="G544" s="201">
        <f>Input!Q9</f>
        <v>4.4844492725845431</v>
      </c>
      <c r="H544" s="118"/>
      <c r="I544" s="118"/>
      <c r="J544" s="118"/>
      <c r="K544" s="118"/>
      <c r="L544" s="118"/>
      <c r="M544" s="106"/>
      <c r="N544" s="106"/>
      <c r="O544" s="106"/>
      <c r="P544" s="106"/>
      <c r="Q544" s="106"/>
      <c r="R544" s="106"/>
      <c r="S544" s="106"/>
      <c r="T544" s="106"/>
      <c r="U544" s="106"/>
      <c r="V544" s="106"/>
      <c r="W544" s="106"/>
      <c r="X544" s="106"/>
      <c r="Y544" s="106"/>
      <c r="Z544" s="106"/>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21"/>
      <c r="BK544" s="221"/>
    </row>
    <row r="545" spans="1:63" hidden="1" outlineLevel="1">
      <c r="A545" s="9"/>
      <c r="B545" s="44"/>
      <c r="C545" s="270" t="str">
        <f>Asset4</f>
        <v>Reactive</v>
      </c>
      <c r="D545" s="9"/>
      <c r="E545" s="9"/>
      <c r="F545" s="139"/>
      <c r="G545" s="201">
        <f>Input!Q10</f>
        <v>-5.2786908582716139</v>
      </c>
      <c r="H545" s="118"/>
      <c r="I545" s="118"/>
      <c r="J545" s="118"/>
      <c r="K545" s="118"/>
      <c r="L545" s="118"/>
      <c r="M545" s="106"/>
      <c r="N545" s="106"/>
      <c r="O545" s="106"/>
      <c r="P545" s="106"/>
      <c r="Q545" s="106"/>
      <c r="R545" s="106"/>
      <c r="S545" s="106"/>
      <c r="T545" s="106"/>
      <c r="U545" s="106"/>
      <c r="V545" s="106"/>
      <c r="W545" s="106"/>
      <c r="X545" s="106"/>
      <c r="Y545" s="106"/>
      <c r="Z545" s="106"/>
      <c r="AA545" s="215"/>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c r="BI545" s="215"/>
      <c r="BJ545" s="221"/>
      <c r="BK545" s="221"/>
    </row>
    <row r="546" spans="1:63" hidden="1" outlineLevel="1">
      <c r="A546" s="9"/>
      <c r="B546" s="44"/>
      <c r="C546" s="270" t="str">
        <f>Asset5</f>
        <v>Towers and Conductor</v>
      </c>
      <c r="D546" s="9"/>
      <c r="E546" s="9"/>
      <c r="F546" s="139"/>
      <c r="G546" s="201">
        <f>Input!Q11</f>
        <v>43.78033030015623</v>
      </c>
      <c r="H546" s="118"/>
      <c r="I546" s="118"/>
      <c r="J546" s="118"/>
      <c r="K546" s="118"/>
      <c r="L546" s="118"/>
      <c r="M546" s="106"/>
      <c r="N546" s="106"/>
      <c r="O546" s="106"/>
      <c r="P546" s="106"/>
      <c r="Q546" s="106"/>
      <c r="R546" s="106"/>
      <c r="S546" s="106"/>
      <c r="T546" s="106"/>
      <c r="U546" s="106"/>
      <c r="V546" s="106"/>
      <c r="W546" s="106"/>
      <c r="X546" s="106"/>
      <c r="Y546" s="106"/>
      <c r="Z546" s="106"/>
      <c r="AA546" s="215"/>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c r="BI546" s="215"/>
      <c r="BJ546" s="221"/>
      <c r="BK546" s="221"/>
    </row>
    <row r="547" spans="1:63" hidden="1" outlineLevel="1">
      <c r="A547" s="9"/>
      <c r="B547" s="44"/>
      <c r="C547" s="270" t="str">
        <f>Asset6</f>
        <v>Establishment</v>
      </c>
      <c r="D547" s="9"/>
      <c r="E547" s="9"/>
      <c r="F547" s="139"/>
      <c r="G547" s="201">
        <f>Input!Q12</f>
        <v>8.3654138145799326</v>
      </c>
      <c r="H547" s="118"/>
      <c r="I547" s="118"/>
      <c r="J547" s="118"/>
      <c r="K547" s="118"/>
      <c r="L547" s="118"/>
      <c r="M547" s="106"/>
      <c r="N547" s="106"/>
      <c r="O547" s="106"/>
      <c r="P547" s="106"/>
      <c r="Q547" s="106"/>
      <c r="R547" s="106"/>
      <c r="S547" s="106"/>
      <c r="T547" s="106"/>
      <c r="U547" s="106"/>
      <c r="V547" s="106"/>
      <c r="W547" s="106"/>
      <c r="X547" s="106"/>
      <c r="Y547" s="106"/>
      <c r="Z547" s="106"/>
      <c r="AA547" s="215"/>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c r="BI547" s="215"/>
      <c r="BJ547" s="221"/>
      <c r="BK547" s="221"/>
    </row>
    <row r="548" spans="1:63" hidden="1" outlineLevel="1">
      <c r="A548" s="9"/>
      <c r="B548" s="44"/>
      <c r="C548" s="270" t="str">
        <f>Asset7</f>
        <v>Communications</v>
      </c>
      <c r="D548" s="9"/>
      <c r="E548" s="9"/>
      <c r="F548" s="139"/>
      <c r="G548" s="201">
        <f>Input!Q13</f>
        <v>-15.18343373681337</v>
      </c>
      <c r="H548" s="118"/>
      <c r="I548" s="118"/>
      <c r="J548" s="118"/>
      <c r="K548" s="118"/>
      <c r="L548" s="118"/>
      <c r="M548" s="106"/>
      <c r="N548" s="106"/>
      <c r="O548" s="106"/>
      <c r="P548" s="106"/>
      <c r="Q548" s="106"/>
      <c r="R548" s="106"/>
      <c r="S548" s="106"/>
      <c r="T548" s="106"/>
      <c r="U548" s="106"/>
      <c r="V548" s="106"/>
      <c r="W548" s="106"/>
      <c r="X548" s="106"/>
      <c r="Y548" s="106"/>
      <c r="Z548" s="106"/>
      <c r="AA548" s="215"/>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c r="BI548" s="215"/>
      <c r="BJ548" s="221"/>
      <c r="BK548" s="221"/>
    </row>
    <row r="549" spans="1:63" hidden="1" outlineLevel="1">
      <c r="A549" s="9"/>
      <c r="B549" s="44"/>
      <c r="C549" s="270" t="str">
        <f>Asset8</f>
        <v>Inventory</v>
      </c>
      <c r="D549" s="9"/>
      <c r="E549" s="9"/>
      <c r="F549" s="139"/>
      <c r="G549" s="201">
        <f>Input!Q14</f>
        <v>1.5261711059192087</v>
      </c>
      <c r="H549" s="118"/>
      <c r="I549" s="118"/>
      <c r="J549" s="118"/>
      <c r="K549" s="118"/>
      <c r="L549" s="118"/>
      <c r="M549" s="106"/>
      <c r="N549" s="106"/>
      <c r="O549" s="106"/>
      <c r="P549" s="106"/>
      <c r="Q549" s="106"/>
      <c r="R549" s="106"/>
      <c r="S549" s="106"/>
      <c r="T549" s="106"/>
      <c r="U549" s="106"/>
      <c r="V549" s="106"/>
      <c r="W549" s="106"/>
      <c r="X549" s="106"/>
      <c r="Y549" s="106"/>
      <c r="Z549" s="106"/>
      <c r="AA549" s="215"/>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c r="BI549" s="215"/>
      <c r="BJ549" s="221"/>
      <c r="BK549" s="221"/>
    </row>
    <row r="550" spans="1:63" hidden="1" outlineLevel="1">
      <c r="A550" s="9"/>
      <c r="B550" s="44"/>
      <c r="C550" s="270" t="str">
        <f>Asset9</f>
        <v>IT</v>
      </c>
      <c r="D550" s="9"/>
      <c r="E550" s="9"/>
      <c r="F550" s="139"/>
      <c r="G550" s="201">
        <f>Input!Q15</f>
        <v>24.968912459906932</v>
      </c>
      <c r="H550" s="118"/>
      <c r="I550" s="118"/>
      <c r="J550" s="118"/>
      <c r="K550" s="118"/>
      <c r="L550" s="118"/>
      <c r="M550" s="106"/>
      <c r="N550" s="106"/>
      <c r="O550" s="106"/>
      <c r="P550" s="106"/>
      <c r="Q550" s="106"/>
      <c r="R550" s="106"/>
      <c r="S550" s="106"/>
      <c r="T550" s="106"/>
      <c r="U550" s="106"/>
      <c r="V550" s="106"/>
      <c r="W550" s="106"/>
      <c r="X550" s="106"/>
      <c r="Y550" s="106"/>
      <c r="Z550" s="106"/>
      <c r="AA550" s="215"/>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c r="BI550" s="215"/>
      <c r="BJ550" s="221"/>
      <c r="BK550" s="221"/>
    </row>
    <row r="551" spans="1:63" hidden="1" outlineLevel="1">
      <c r="A551" s="9"/>
      <c r="B551" s="44"/>
      <c r="C551" s="270" t="str">
        <f>Asset10</f>
        <v>Vehicles</v>
      </c>
      <c r="D551" s="9"/>
      <c r="E551" s="9"/>
      <c r="F551" s="139"/>
      <c r="G551" s="201">
        <f>Input!Q16</f>
        <v>0.47844527194667513</v>
      </c>
      <c r="H551" s="118"/>
      <c r="I551" s="118"/>
      <c r="J551" s="118"/>
      <c r="K551" s="118"/>
      <c r="L551" s="118"/>
      <c r="M551" s="106"/>
      <c r="N551" s="106"/>
      <c r="O551" s="106"/>
      <c r="P551" s="106"/>
      <c r="Q551" s="106"/>
      <c r="R551" s="106"/>
      <c r="S551" s="106"/>
      <c r="T551" s="106"/>
      <c r="U551" s="106"/>
      <c r="V551" s="106"/>
      <c r="W551" s="106"/>
      <c r="X551" s="106"/>
      <c r="Y551" s="106"/>
      <c r="Z551" s="106"/>
      <c r="AA551" s="215"/>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c r="BI551" s="215"/>
      <c r="BJ551" s="221"/>
      <c r="BK551" s="221"/>
    </row>
    <row r="552" spans="1:63" hidden="1" outlineLevel="1">
      <c r="A552" s="9"/>
      <c r="B552" s="44"/>
      <c r="C552" s="270" t="str">
        <f>Asset11</f>
        <v>other</v>
      </c>
      <c r="D552" s="9"/>
      <c r="E552" s="9"/>
      <c r="F552" s="139"/>
      <c r="G552" s="201">
        <f>Input!Q17</f>
        <v>7.8062479102810922</v>
      </c>
      <c r="H552" s="118"/>
      <c r="I552" s="118"/>
      <c r="J552" s="118"/>
      <c r="K552" s="118"/>
      <c r="L552" s="118"/>
      <c r="M552" s="106"/>
      <c r="N552" s="106"/>
      <c r="O552" s="106"/>
      <c r="P552" s="106"/>
      <c r="Q552" s="106"/>
      <c r="R552" s="106"/>
      <c r="S552" s="106"/>
      <c r="T552" s="106"/>
      <c r="U552" s="106"/>
      <c r="V552" s="106"/>
      <c r="W552" s="106"/>
      <c r="X552" s="106"/>
      <c r="Y552" s="106"/>
      <c r="Z552" s="106"/>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21"/>
      <c r="BK552" s="221"/>
    </row>
    <row r="553" spans="1:63" hidden="1" outlineLevel="1">
      <c r="A553" s="9"/>
      <c r="B553" s="44"/>
      <c r="C553" s="270" t="str">
        <f>Asset12</f>
        <v>premises</v>
      </c>
      <c r="D553" s="9"/>
      <c r="E553" s="9"/>
      <c r="F553" s="139"/>
      <c r="G553" s="201">
        <f>Input!Q18</f>
        <v>3.5830352175562075</v>
      </c>
      <c r="H553" s="118"/>
      <c r="I553" s="118"/>
      <c r="J553" s="118"/>
      <c r="K553" s="118"/>
      <c r="L553" s="118"/>
      <c r="M553" s="106"/>
      <c r="N553" s="106"/>
      <c r="O553" s="106"/>
      <c r="P553" s="106"/>
      <c r="Q553" s="106"/>
      <c r="R553" s="106"/>
      <c r="S553" s="106"/>
      <c r="T553" s="106"/>
      <c r="U553" s="106"/>
      <c r="V553" s="106"/>
      <c r="W553" s="106"/>
      <c r="X553" s="106"/>
      <c r="Y553" s="106"/>
      <c r="Z553" s="106"/>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21"/>
      <c r="BK553" s="221"/>
    </row>
    <row r="554" spans="1:63" hidden="1" outlineLevel="1">
      <c r="A554" s="9"/>
      <c r="B554" s="44"/>
      <c r="C554" s="270" t="str">
        <f>Asset13</f>
        <v>Land</v>
      </c>
      <c r="D554" s="9"/>
      <c r="E554" s="9"/>
      <c r="F554" s="139"/>
      <c r="G554" s="201">
        <f>Input!Q19</f>
        <v>-2.4674295714323651</v>
      </c>
      <c r="H554" s="118"/>
      <c r="I554" s="118"/>
      <c r="J554" s="118"/>
      <c r="K554" s="118"/>
      <c r="L554" s="118"/>
      <c r="M554" s="106"/>
      <c r="N554" s="106"/>
      <c r="O554" s="106"/>
      <c r="P554" s="106"/>
      <c r="Q554" s="106"/>
      <c r="R554" s="106"/>
      <c r="S554" s="106"/>
      <c r="T554" s="106"/>
      <c r="U554" s="106"/>
      <c r="V554" s="106"/>
      <c r="W554" s="106"/>
      <c r="X554" s="106"/>
      <c r="Y554" s="106"/>
      <c r="Z554" s="106"/>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21"/>
      <c r="BK554" s="221"/>
    </row>
    <row r="555" spans="1:63" hidden="1" outlineLevel="1">
      <c r="A555" s="9"/>
      <c r="B555" s="44"/>
      <c r="C555" s="270" t="str">
        <f>Asset14</f>
        <v>Easements</v>
      </c>
      <c r="D555" s="9"/>
      <c r="E555" s="9"/>
      <c r="F555" s="139"/>
      <c r="G555" s="201">
        <f>Input!Q20</f>
        <v>5.9553694764592276E-2</v>
      </c>
      <c r="H555" s="118"/>
      <c r="I555" s="118"/>
      <c r="J555" s="118"/>
      <c r="K555" s="118"/>
      <c r="L555" s="118"/>
      <c r="M555" s="106"/>
      <c r="N555" s="106"/>
      <c r="O555" s="106"/>
      <c r="P555" s="106"/>
      <c r="Q555" s="106"/>
      <c r="R555" s="106"/>
      <c r="S555" s="106"/>
      <c r="T555" s="106"/>
      <c r="U555" s="106"/>
      <c r="V555" s="106"/>
      <c r="W555" s="106"/>
      <c r="X555" s="106"/>
      <c r="Y555" s="106"/>
      <c r="Z555" s="106"/>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21"/>
      <c r="BK555" s="221"/>
    </row>
    <row r="556" spans="1:63" hidden="1" outlineLevel="1">
      <c r="A556" s="9"/>
      <c r="B556" s="44"/>
      <c r="C556" s="270">
        <f>Asset15</f>
        <v>0</v>
      </c>
      <c r="D556" s="9"/>
      <c r="E556" s="9"/>
      <c r="F556" s="139"/>
      <c r="G556" s="201">
        <f>Input!Q21</f>
        <v>0</v>
      </c>
      <c r="H556" s="118"/>
      <c r="I556" s="118"/>
      <c r="J556" s="118"/>
      <c r="K556" s="118"/>
      <c r="L556" s="118"/>
      <c r="M556" s="106"/>
      <c r="N556" s="106"/>
      <c r="O556" s="106"/>
      <c r="P556" s="106"/>
      <c r="Q556" s="106"/>
      <c r="R556" s="106"/>
      <c r="S556" s="106"/>
      <c r="T556" s="106"/>
      <c r="U556" s="106"/>
      <c r="V556" s="106"/>
      <c r="W556" s="106"/>
      <c r="X556" s="106"/>
      <c r="Y556" s="106"/>
      <c r="Z556" s="106"/>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21"/>
      <c r="BK556" s="221"/>
    </row>
    <row r="557" spans="1:63" hidden="1" outlineLevel="1">
      <c r="A557" s="9"/>
      <c r="B557" s="44"/>
      <c r="C557" s="270">
        <f>Asset16</f>
        <v>0</v>
      </c>
      <c r="D557" s="9"/>
      <c r="E557" s="9"/>
      <c r="F557" s="139"/>
      <c r="G557" s="201">
        <f>Input!Q22</f>
        <v>0</v>
      </c>
      <c r="H557" s="118"/>
      <c r="I557" s="118"/>
      <c r="J557" s="118"/>
      <c r="K557" s="118"/>
      <c r="L557" s="118"/>
      <c r="M557" s="106"/>
      <c r="N557" s="106"/>
      <c r="O557" s="106"/>
      <c r="P557" s="106"/>
      <c r="Q557" s="106"/>
      <c r="R557" s="106"/>
      <c r="S557" s="106"/>
      <c r="T557" s="106"/>
      <c r="U557" s="106"/>
      <c r="V557" s="106"/>
      <c r="W557" s="106"/>
      <c r="X557" s="106"/>
      <c r="Y557" s="106"/>
      <c r="Z557" s="106"/>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21"/>
      <c r="BK557" s="221"/>
    </row>
    <row r="558" spans="1:63" hidden="1" outlineLevel="1">
      <c r="A558" s="9"/>
      <c r="B558" s="44"/>
      <c r="C558" s="270">
        <f>Asset17</f>
        <v>0</v>
      </c>
      <c r="D558" s="9"/>
      <c r="E558" s="9"/>
      <c r="F558" s="139"/>
      <c r="G558" s="201">
        <f>Input!Q23</f>
        <v>0</v>
      </c>
      <c r="H558" s="118"/>
      <c r="I558" s="118"/>
      <c r="J558" s="118"/>
      <c r="K558" s="118"/>
      <c r="L558" s="118"/>
      <c r="M558" s="106"/>
      <c r="N558" s="106"/>
      <c r="O558" s="106"/>
      <c r="P558" s="106"/>
      <c r="Q558" s="106"/>
      <c r="R558" s="106"/>
      <c r="S558" s="106"/>
      <c r="T558" s="106"/>
      <c r="U558" s="106"/>
      <c r="V558" s="106"/>
      <c r="W558" s="106"/>
      <c r="X558" s="106"/>
      <c r="Y558" s="106"/>
      <c r="Z558" s="106"/>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21"/>
      <c r="BK558" s="221"/>
    </row>
    <row r="559" spans="1:63" hidden="1" outlineLevel="1">
      <c r="A559" s="9"/>
      <c r="B559" s="44"/>
      <c r="C559" s="270">
        <f>Asset18</f>
        <v>0</v>
      </c>
      <c r="D559" s="9"/>
      <c r="E559" s="9"/>
      <c r="F559" s="139"/>
      <c r="G559" s="201">
        <f>Input!Q24</f>
        <v>0</v>
      </c>
      <c r="H559" s="118"/>
      <c r="I559" s="118"/>
      <c r="J559" s="118"/>
      <c r="K559" s="118"/>
      <c r="L559" s="118"/>
      <c r="M559" s="106"/>
      <c r="N559" s="106"/>
      <c r="O559" s="106"/>
      <c r="P559" s="106"/>
      <c r="Q559" s="106"/>
      <c r="R559" s="106"/>
      <c r="S559" s="106"/>
      <c r="T559" s="106"/>
      <c r="U559" s="106"/>
      <c r="V559" s="106"/>
      <c r="W559" s="106"/>
      <c r="X559" s="106"/>
      <c r="Y559" s="106"/>
      <c r="Z559" s="106"/>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21"/>
      <c r="BK559" s="221"/>
    </row>
    <row r="560" spans="1:63" hidden="1" outlineLevel="1">
      <c r="A560" s="9"/>
      <c r="B560" s="44"/>
      <c r="C560" s="270">
        <f>Asset19</f>
        <v>0</v>
      </c>
      <c r="D560" s="9"/>
      <c r="E560" s="9"/>
      <c r="F560" s="139"/>
      <c r="G560" s="201">
        <f>Input!Q25</f>
        <v>0</v>
      </c>
      <c r="H560" s="118"/>
      <c r="I560" s="118"/>
      <c r="J560" s="118"/>
      <c r="K560" s="118"/>
      <c r="L560" s="118"/>
      <c r="M560" s="106"/>
      <c r="N560" s="106"/>
      <c r="O560" s="106"/>
      <c r="P560" s="106"/>
      <c r="Q560" s="106"/>
      <c r="R560" s="106"/>
      <c r="S560" s="106"/>
      <c r="T560" s="106"/>
      <c r="U560" s="106"/>
      <c r="V560" s="106"/>
      <c r="W560" s="106"/>
      <c r="X560" s="106"/>
      <c r="Y560" s="106"/>
      <c r="Z560" s="106"/>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21"/>
      <c r="BK560" s="221"/>
    </row>
    <row r="561" spans="1:63" hidden="1" outlineLevel="1">
      <c r="A561" s="9"/>
      <c r="B561" s="44"/>
      <c r="C561" s="270">
        <f>Asset20</f>
        <v>0</v>
      </c>
      <c r="D561" s="9"/>
      <c r="E561" s="9"/>
      <c r="F561" s="139"/>
      <c r="G561" s="201">
        <f>Input!Q26</f>
        <v>0</v>
      </c>
      <c r="H561" s="118"/>
      <c r="I561" s="118"/>
      <c r="J561" s="118"/>
      <c r="K561" s="118"/>
      <c r="L561" s="118"/>
      <c r="M561" s="106"/>
      <c r="N561" s="106"/>
      <c r="O561" s="106"/>
      <c r="P561" s="106"/>
      <c r="Q561" s="106"/>
      <c r="R561" s="106"/>
      <c r="S561" s="106"/>
      <c r="T561" s="106"/>
      <c r="U561" s="106"/>
      <c r="V561" s="106"/>
      <c r="W561" s="106"/>
      <c r="X561" s="106"/>
      <c r="Y561" s="106"/>
      <c r="Z561" s="106"/>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21"/>
      <c r="BK561" s="221"/>
    </row>
    <row r="562" spans="1:63" hidden="1" outlineLevel="1">
      <c r="A562" s="9"/>
      <c r="B562" s="44"/>
      <c r="C562" s="270">
        <f>Asset21</f>
        <v>0</v>
      </c>
      <c r="D562" s="9"/>
      <c r="E562" s="9"/>
      <c r="F562" s="139"/>
      <c r="G562" s="201">
        <f>Input!Q27</f>
        <v>0</v>
      </c>
      <c r="H562" s="118"/>
      <c r="I562" s="118"/>
      <c r="J562" s="118"/>
      <c r="K562" s="118"/>
      <c r="L562" s="118"/>
      <c r="M562" s="106"/>
      <c r="N562" s="106"/>
      <c r="O562" s="106"/>
      <c r="P562" s="106"/>
      <c r="Q562" s="106"/>
      <c r="R562" s="106"/>
      <c r="S562" s="106"/>
      <c r="T562" s="106"/>
      <c r="U562" s="106"/>
      <c r="V562" s="106"/>
      <c r="W562" s="106"/>
      <c r="X562" s="106"/>
      <c r="Y562" s="106"/>
      <c r="Z562" s="106"/>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21"/>
      <c r="BK562" s="221"/>
    </row>
    <row r="563" spans="1:63" hidden="1" outlineLevel="1">
      <c r="A563" s="9"/>
      <c r="B563" s="44"/>
      <c r="C563" s="270">
        <f>Asset22</f>
        <v>0</v>
      </c>
      <c r="D563" s="9"/>
      <c r="E563" s="9"/>
      <c r="F563" s="139"/>
      <c r="G563" s="201">
        <f>Input!Q28</f>
        <v>0</v>
      </c>
      <c r="H563" s="118"/>
      <c r="I563" s="118"/>
      <c r="J563" s="118"/>
      <c r="K563" s="118"/>
      <c r="L563" s="118"/>
      <c r="M563" s="106"/>
      <c r="N563" s="106"/>
      <c r="O563" s="106"/>
      <c r="P563" s="106"/>
      <c r="Q563" s="106"/>
      <c r="R563" s="106"/>
      <c r="S563" s="106"/>
      <c r="T563" s="106"/>
      <c r="U563" s="106"/>
      <c r="V563" s="106"/>
      <c r="W563" s="106"/>
      <c r="X563" s="106"/>
      <c r="Y563" s="106"/>
      <c r="Z563" s="106"/>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21"/>
      <c r="BK563" s="221"/>
    </row>
    <row r="564" spans="1:63" hidden="1" outlineLevel="1">
      <c r="A564" s="9"/>
      <c r="B564" s="44"/>
      <c r="C564" s="270">
        <f>Asset23</f>
        <v>0</v>
      </c>
      <c r="D564" s="9"/>
      <c r="E564" s="9"/>
      <c r="F564" s="139"/>
      <c r="G564" s="201">
        <f>Input!Q29</f>
        <v>0</v>
      </c>
      <c r="H564" s="118"/>
      <c r="I564" s="118"/>
      <c r="J564" s="118"/>
      <c r="K564" s="118"/>
      <c r="L564" s="118"/>
      <c r="M564" s="106"/>
      <c r="N564" s="106"/>
      <c r="O564" s="106"/>
      <c r="P564" s="106"/>
      <c r="Q564" s="106"/>
      <c r="R564" s="106"/>
      <c r="S564" s="106"/>
      <c r="T564" s="106"/>
      <c r="U564" s="106"/>
      <c r="V564" s="106"/>
      <c r="W564" s="106"/>
      <c r="X564" s="106"/>
      <c r="Y564" s="106"/>
      <c r="Z564" s="106"/>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21"/>
      <c r="BK564" s="221"/>
    </row>
    <row r="565" spans="1:63" hidden="1" outlineLevel="1">
      <c r="A565" s="9"/>
      <c r="B565" s="44"/>
      <c r="C565" s="270">
        <f>Asset24</f>
        <v>0</v>
      </c>
      <c r="D565" s="9"/>
      <c r="E565" s="9"/>
      <c r="F565" s="139"/>
      <c r="G565" s="201">
        <f>Input!Q30</f>
        <v>0</v>
      </c>
      <c r="H565" s="118"/>
      <c r="I565" s="118"/>
      <c r="J565" s="118"/>
      <c r="K565" s="118"/>
      <c r="L565" s="118"/>
      <c r="M565" s="106"/>
      <c r="N565" s="106"/>
      <c r="O565" s="106"/>
      <c r="P565" s="106"/>
      <c r="Q565" s="106"/>
      <c r="R565" s="106"/>
      <c r="S565" s="106"/>
      <c r="T565" s="106"/>
      <c r="U565" s="106"/>
      <c r="V565" s="106"/>
      <c r="W565" s="106"/>
      <c r="X565" s="106"/>
      <c r="Y565" s="106"/>
      <c r="Z565" s="106"/>
      <c r="AA565" s="215"/>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c r="BI565" s="215"/>
      <c r="BJ565" s="221"/>
      <c r="BK565" s="221"/>
    </row>
    <row r="566" spans="1:63" hidden="1" outlineLevel="1">
      <c r="A566" s="9"/>
      <c r="B566" s="44"/>
      <c r="C566" s="270">
        <f>Asset25</f>
        <v>0</v>
      </c>
      <c r="D566" s="9"/>
      <c r="E566" s="9"/>
      <c r="F566" s="139"/>
      <c r="G566" s="201">
        <f>Input!Q31</f>
        <v>0</v>
      </c>
      <c r="H566" s="118"/>
      <c r="I566" s="118"/>
      <c r="J566" s="118"/>
      <c r="K566" s="118"/>
      <c r="L566" s="118"/>
      <c r="M566" s="106"/>
      <c r="N566" s="106"/>
      <c r="O566" s="106"/>
      <c r="P566" s="106"/>
      <c r="Q566" s="106"/>
      <c r="R566" s="106"/>
      <c r="S566" s="106"/>
      <c r="T566" s="106"/>
      <c r="U566" s="106"/>
      <c r="V566" s="106"/>
      <c r="W566" s="106"/>
      <c r="X566" s="106"/>
      <c r="Y566" s="106"/>
      <c r="Z566" s="106"/>
      <c r="AA566" s="215"/>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c r="BI566" s="215"/>
      <c r="BJ566" s="221"/>
      <c r="BK566" s="221"/>
    </row>
    <row r="567" spans="1:63" hidden="1" outlineLevel="1">
      <c r="A567" s="9"/>
      <c r="B567" s="44"/>
      <c r="C567" s="270">
        <f>Asset26</f>
        <v>0</v>
      </c>
      <c r="D567" s="9"/>
      <c r="E567" s="9"/>
      <c r="F567" s="139"/>
      <c r="G567" s="201">
        <f>Input!Q32</f>
        <v>0</v>
      </c>
      <c r="H567" s="118"/>
      <c r="I567" s="118"/>
      <c r="J567" s="118"/>
      <c r="K567" s="118"/>
      <c r="L567" s="118"/>
      <c r="M567" s="106"/>
      <c r="N567" s="106"/>
      <c r="O567" s="106"/>
      <c r="P567" s="106"/>
      <c r="Q567" s="106"/>
      <c r="R567" s="106"/>
      <c r="S567" s="106"/>
      <c r="T567" s="106"/>
      <c r="U567" s="106"/>
      <c r="V567" s="106"/>
      <c r="W567" s="106"/>
      <c r="X567" s="106"/>
      <c r="Y567" s="106"/>
      <c r="Z567" s="106"/>
      <c r="AA567" s="215"/>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c r="BI567" s="215"/>
      <c r="BJ567" s="221"/>
      <c r="BK567" s="221"/>
    </row>
    <row r="568" spans="1:63" hidden="1" outlineLevel="1">
      <c r="A568" s="9"/>
      <c r="B568" s="44"/>
      <c r="C568" s="270">
        <f>Asset27</f>
        <v>0</v>
      </c>
      <c r="D568" s="9"/>
      <c r="E568" s="9"/>
      <c r="F568" s="139"/>
      <c r="G568" s="201">
        <f>Input!Q33</f>
        <v>0</v>
      </c>
      <c r="H568" s="118"/>
      <c r="I568" s="118"/>
      <c r="J568" s="118"/>
      <c r="K568" s="118"/>
      <c r="L568" s="118"/>
      <c r="M568" s="106"/>
      <c r="N568" s="106"/>
      <c r="O568" s="106"/>
      <c r="P568" s="106"/>
      <c r="Q568" s="106"/>
      <c r="R568" s="106"/>
      <c r="S568" s="106"/>
      <c r="T568" s="106"/>
      <c r="U568" s="106"/>
      <c r="V568" s="106"/>
      <c r="W568" s="106"/>
      <c r="X568" s="106"/>
      <c r="Y568" s="106"/>
      <c r="Z568" s="106"/>
      <c r="AA568" s="215"/>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c r="BI568" s="215"/>
      <c r="BJ568" s="221"/>
      <c r="BK568" s="221"/>
    </row>
    <row r="569" spans="1:63" hidden="1" outlineLevel="1">
      <c r="A569" s="9"/>
      <c r="B569" s="44"/>
      <c r="C569" s="270">
        <f>Asset28</f>
        <v>0</v>
      </c>
      <c r="D569" s="9"/>
      <c r="E569" s="9"/>
      <c r="F569" s="139"/>
      <c r="G569" s="201">
        <f>Input!Q34</f>
        <v>0</v>
      </c>
      <c r="H569" s="118"/>
      <c r="I569" s="118"/>
      <c r="J569" s="118"/>
      <c r="K569" s="118"/>
      <c r="L569" s="118"/>
      <c r="M569" s="106"/>
      <c r="N569" s="106"/>
      <c r="O569" s="106"/>
      <c r="P569" s="106"/>
      <c r="Q569" s="106"/>
      <c r="R569" s="106"/>
      <c r="S569" s="106"/>
      <c r="T569" s="106"/>
      <c r="U569" s="106"/>
      <c r="V569" s="106"/>
      <c r="W569" s="106"/>
      <c r="X569" s="106"/>
      <c r="Y569" s="106"/>
      <c r="Z569" s="106"/>
      <c r="AA569" s="215"/>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c r="BI569" s="215"/>
      <c r="BJ569" s="221"/>
      <c r="BK569" s="221"/>
    </row>
    <row r="570" spans="1:63" hidden="1" outlineLevel="1">
      <c r="A570" s="9"/>
      <c r="B570" s="44"/>
      <c r="C570" s="270">
        <f>Asset29</f>
        <v>0</v>
      </c>
      <c r="D570" s="9"/>
      <c r="E570" s="9"/>
      <c r="F570" s="139"/>
      <c r="G570" s="201">
        <f>Input!Q35</f>
        <v>0</v>
      </c>
      <c r="H570" s="118"/>
      <c r="I570" s="118"/>
      <c r="J570" s="118"/>
      <c r="K570" s="118"/>
      <c r="L570" s="118"/>
      <c r="M570" s="106"/>
      <c r="N570" s="106"/>
      <c r="O570" s="106"/>
      <c r="P570" s="106"/>
      <c r="Q570" s="106"/>
      <c r="R570" s="106"/>
      <c r="S570" s="106"/>
      <c r="T570" s="106"/>
      <c r="U570" s="106"/>
      <c r="V570" s="106"/>
      <c r="W570" s="106"/>
      <c r="X570" s="106"/>
      <c r="Y570" s="106"/>
      <c r="Z570" s="106"/>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c r="BI570" s="215"/>
      <c r="BJ570" s="221"/>
      <c r="BK570" s="221"/>
    </row>
    <row r="571" spans="1:63" hidden="1" outlineLevel="1">
      <c r="A571" s="9"/>
      <c r="B571" s="44"/>
      <c r="C571" s="270">
        <f>Asset30</f>
        <v>0</v>
      </c>
      <c r="D571" s="9"/>
      <c r="E571" s="9"/>
      <c r="F571" s="139"/>
      <c r="G571" s="201">
        <f>Input!Q36</f>
        <v>0</v>
      </c>
      <c r="H571" s="118"/>
      <c r="I571" s="118"/>
      <c r="J571" s="118"/>
      <c r="K571" s="118"/>
      <c r="L571" s="118"/>
      <c r="M571" s="106"/>
      <c r="N571" s="106"/>
      <c r="O571" s="106"/>
      <c r="P571" s="106"/>
      <c r="Q571" s="106"/>
      <c r="R571" s="106"/>
      <c r="S571" s="106"/>
      <c r="T571" s="106"/>
      <c r="U571" s="106"/>
      <c r="V571" s="106"/>
      <c r="W571" s="106"/>
      <c r="X571" s="106"/>
      <c r="Y571" s="106"/>
      <c r="Z571" s="106"/>
      <c r="AA571" s="215"/>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c r="BI571" s="215"/>
      <c r="BJ571" s="221"/>
      <c r="BK571" s="221"/>
    </row>
    <row r="572" spans="1:63" collapsed="1">
      <c r="A572" s="9"/>
      <c r="B572" s="44"/>
      <c r="C572" s="127"/>
      <c r="D572" s="9"/>
      <c r="E572" s="9"/>
      <c r="F572" s="139"/>
      <c r="G572" s="201"/>
      <c r="H572" s="118"/>
      <c r="I572" s="118"/>
      <c r="J572" s="118"/>
      <c r="K572" s="118"/>
      <c r="L572" s="118"/>
      <c r="M572" s="106"/>
      <c r="N572" s="106"/>
      <c r="O572" s="106"/>
      <c r="P572" s="106"/>
      <c r="Q572" s="106"/>
      <c r="R572" s="106"/>
      <c r="S572" s="106"/>
      <c r="T572" s="106"/>
      <c r="U572" s="106"/>
      <c r="V572" s="106"/>
      <c r="W572" s="106"/>
      <c r="X572" s="106"/>
      <c r="Y572" s="106"/>
      <c r="Z572" s="106"/>
      <c r="AA572" s="215"/>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c r="BI572" s="215"/>
      <c r="BJ572" s="221"/>
      <c r="BK572" s="221"/>
    </row>
    <row r="573" spans="1:63">
      <c r="A573" s="9"/>
      <c r="B573" s="44" t="s">
        <v>61</v>
      </c>
      <c r="C573" s="127"/>
      <c r="D573" s="9"/>
      <c r="E573" s="9"/>
      <c r="F573" s="139"/>
      <c r="G573" s="348">
        <f>SUM(G574:G603)</f>
        <v>-18.986894388246089</v>
      </c>
      <c r="H573" s="118"/>
      <c r="I573" s="118"/>
      <c r="J573" s="118"/>
      <c r="K573" s="118"/>
      <c r="L573" s="118"/>
      <c r="M573" s="106"/>
      <c r="N573" s="106"/>
      <c r="O573" s="106"/>
      <c r="P573" s="106"/>
      <c r="Q573" s="106"/>
      <c r="R573" s="106"/>
      <c r="S573" s="106"/>
      <c r="T573" s="106"/>
      <c r="U573" s="106"/>
      <c r="V573" s="106"/>
      <c r="W573" s="106"/>
      <c r="X573" s="106"/>
      <c r="Y573" s="106"/>
      <c r="Z573" s="106"/>
      <c r="AA573" s="215"/>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c r="BI573" s="215"/>
      <c r="BJ573" s="221"/>
      <c r="BK573" s="221"/>
    </row>
    <row r="574" spans="1:63" ht="12.75" hidden="1" customHeight="1" outlineLevel="1">
      <c r="A574" s="9"/>
      <c r="B574" s="9"/>
      <c r="C574" s="270" t="str">
        <f>Asset1</f>
        <v>Secondary</v>
      </c>
      <c r="D574" s="9"/>
      <c r="E574" s="9"/>
      <c r="F574" s="139"/>
      <c r="G574" s="201">
        <f>Input!R7</f>
        <v>-12.351417430702048</v>
      </c>
      <c r="H574" s="118"/>
      <c r="I574" s="118"/>
      <c r="J574" s="118"/>
      <c r="K574" s="118"/>
      <c r="L574" s="118"/>
      <c r="M574" s="106"/>
      <c r="N574" s="106"/>
      <c r="O574" s="106"/>
      <c r="P574" s="106"/>
      <c r="Q574" s="106"/>
      <c r="R574" s="106"/>
      <c r="S574" s="106"/>
      <c r="T574" s="106"/>
      <c r="U574" s="106"/>
      <c r="V574" s="106"/>
      <c r="W574" s="106"/>
      <c r="X574" s="106"/>
      <c r="Y574" s="106"/>
      <c r="Z574" s="106"/>
      <c r="AA574" s="215"/>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c r="BI574" s="215"/>
      <c r="BJ574" s="221"/>
      <c r="BK574" s="221"/>
    </row>
    <row r="575" spans="1:63" ht="12.75" hidden="1" customHeight="1" outlineLevel="1">
      <c r="A575" s="9"/>
      <c r="B575" s="44"/>
      <c r="C575" s="270" t="str">
        <f>Asset2</f>
        <v>Switchgear</v>
      </c>
      <c r="D575" s="9"/>
      <c r="E575" s="9"/>
      <c r="F575" s="139"/>
      <c r="G575" s="201">
        <f>Input!R8</f>
        <v>-1.428515011584818</v>
      </c>
      <c r="H575" s="118"/>
      <c r="I575" s="118"/>
      <c r="J575" s="118"/>
      <c r="K575" s="118"/>
      <c r="L575" s="118"/>
      <c r="M575" s="106"/>
      <c r="N575" s="106"/>
      <c r="O575" s="106"/>
      <c r="P575" s="106"/>
      <c r="Q575" s="106"/>
      <c r="R575" s="106"/>
      <c r="S575" s="106"/>
      <c r="T575" s="106"/>
      <c r="U575" s="106"/>
      <c r="V575" s="106"/>
      <c r="W575" s="106"/>
      <c r="X575" s="106"/>
      <c r="Y575" s="106"/>
      <c r="Z575" s="106"/>
      <c r="AA575" s="215"/>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c r="BI575" s="215"/>
      <c r="BJ575" s="221"/>
      <c r="BK575" s="221"/>
    </row>
    <row r="576" spans="1:63" ht="12.75" hidden="1" customHeight="1" outlineLevel="1">
      <c r="A576" s="9"/>
      <c r="B576" s="44"/>
      <c r="C576" s="270" t="str">
        <f>Asset3</f>
        <v>Transformers</v>
      </c>
      <c r="D576" s="9"/>
      <c r="E576" s="9"/>
      <c r="F576" s="139"/>
      <c r="G576" s="201">
        <f>Input!R9</f>
        <v>-5.1534767631484444</v>
      </c>
      <c r="H576" s="118"/>
      <c r="I576" s="118"/>
      <c r="J576" s="118"/>
      <c r="K576" s="118"/>
      <c r="L576" s="118"/>
      <c r="M576" s="106"/>
      <c r="N576" s="106"/>
      <c r="O576" s="106"/>
      <c r="P576" s="106"/>
      <c r="Q576" s="106"/>
      <c r="R576" s="106"/>
      <c r="S576" s="106"/>
      <c r="T576" s="106"/>
      <c r="U576" s="106"/>
      <c r="V576" s="106"/>
      <c r="W576" s="106"/>
      <c r="X576" s="106"/>
      <c r="Y576" s="106"/>
      <c r="Z576" s="106"/>
      <c r="AA576" s="215"/>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c r="BI576" s="215"/>
      <c r="BJ576" s="221"/>
      <c r="BK576" s="221"/>
    </row>
    <row r="577" spans="1:63" ht="12.75" hidden="1" customHeight="1" outlineLevel="1">
      <c r="A577" s="9"/>
      <c r="B577" s="44"/>
      <c r="C577" s="270" t="str">
        <f>Asset4</f>
        <v>Reactive</v>
      </c>
      <c r="D577" s="9"/>
      <c r="E577" s="9"/>
      <c r="F577" s="139"/>
      <c r="G577" s="201">
        <f>Input!R10</f>
        <v>-1.474197786426011</v>
      </c>
      <c r="H577" s="118"/>
      <c r="I577" s="118"/>
      <c r="J577" s="118"/>
      <c r="K577" s="118"/>
      <c r="L577" s="118"/>
      <c r="M577" s="106"/>
      <c r="N577" s="106"/>
      <c r="O577" s="106"/>
      <c r="P577" s="106"/>
      <c r="Q577" s="106"/>
      <c r="R577" s="106"/>
      <c r="S577" s="106"/>
      <c r="T577" s="106"/>
      <c r="U577" s="106"/>
      <c r="V577" s="106"/>
      <c r="W577" s="106"/>
      <c r="X577" s="106"/>
      <c r="Y577" s="106"/>
      <c r="Z577" s="106"/>
      <c r="AA577" s="215"/>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c r="BI577" s="215"/>
      <c r="BJ577" s="221"/>
      <c r="BK577" s="221"/>
    </row>
    <row r="578" spans="1:63" ht="12.75" hidden="1" customHeight="1" outlineLevel="1">
      <c r="A578" s="9"/>
      <c r="B578" s="44"/>
      <c r="C578" s="270" t="str">
        <f>Asset5</f>
        <v>Towers and Conductor</v>
      </c>
      <c r="D578" s="9"/>
      <c r="E578" s="9"/>
      <c r="F578" s="139"/>
      <c r="G578" s="201">
        <f>Input!R11</f>
        <v>13.319989319926002</v>
      </c>
      <c r="H578" s="118"/>
      <c r="I578" s="118"/>
      <c r="J578" s="118"/>
      <c r="K578" s="118"/>
      <c r="L578" s="118"/>
      <c r="M578" s="106"/>
      <c r="N578" s="106"/>
      <c r="O578" s="106"/>
      <c r="P578" s="106"/>
      <c r="Q578" s="106"/>
      <c r="R578" s="106"/>
      <c r="S578" s="106"/>
      <c r="T578" s="106"/>
      <c r="U578" s="106"/>
      <c r="V578" s="106"/>
      <c r="W578" s="106"/>
      <c r="X578" s="106"/>
      <c r="Y578" s="106"/>
      <c r="Z578" s="106"/>
      <c r="AA578" s="215"/>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c r="BI578" s="215"/>
      <c r="BJ578" s="221"/>
      <c r="BK578" s="221"/>
    </row>
    <row r="579" spans="1:63" ht="12.75" hidden="1" customHeight="1" outlineLevel="1">
      <c r="A579" s="9"/>
      <c r="B579" s="44"/>
      <c r="C579" s="270" t="str">
        <f>Asset6</f>
        <v>Establishment</v>
      </c>
      <c r="D579" s="9"/>
      <c r="E579" s="9"/>
      <c r="F579" s="139"/>
      <c r="G579" s="201">
        <f>Input!R12</f>
        <v>-3.8615828986139329</v>
      </c>
      <c r="H579" s="118"/>
      <c r="I579" s="118"/>
      <c r="J579" s="118"/>
      <c r="K579" s="118"/>
      <c r="L579" s="118"/>
      <c r="M579" s="106"/>
      <c r="N579" s="106"/>
      <c r="O579" s="106"/>
      <c r="P579" s="106"/>
      <c r="Q579" s="106"/>
      <c r="R579" s="106"/>
      <c r="S579" s="106"/>
      <c r="T579" s="106"/>
      <c r="U579" s="106"/>
      <c r="V579" s="106"/>
      <c r="W579" s="106"/>
      <c r="X579" s="106"/>
      <c r="Y579" s="106"/>
      <c r="Z579" s="106"/>
      <c r="AA579" s="215"/>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c r="BI579" s="215"/>
      <c r="BJ579" s="221"/>
      <c r="BK579" s="221"/>
    </row>
    <row r="580" spans="1:63" ht="12.75" hidden="1" customHeight="1" outlineLevel="1">
      <c r="A580" s="9"/>
      <c r="B580" s="44"/>
      <c r="C580" s="270" t="str">
        <f>Asset7</f>
        <v>Communications</v>
      </c>
      <c r="D580" s="9"/>
      <c r="E580" s="9"/>
      <c r="F580" s="139"/>
      <c r="G580" s="201">
        <f>Input!R13</f>
        <v>-13.219881986010956</v>
      </c>
      <c r="H580" s="118"/>
      <c r="I580" s="118"/>
      <c r="J580" s="118"/>
      <c r="K580" s="118"/>
      <c r="L580" s="118"/>
      <c r="M580" s="106"/>
      <c r="N580" s="106"/>
      <c r="O580" s="106"/>
      <c r="P580" s="106"/>
      <c r="Q580" s="106"/>
      <c r="R580" s="106"/>
      <c r="S580" s="106"/>
      <c r="T580" s="106"/>
      <c r="U580" s="106"/>
      <c r="V580" s="106"/>
      <c r="W580" s="106"/>
      <c r="X580" s="106"/>
      <c r="Y580" s="106"/>
      <c r="Z580" s="106"/>
      <c r="AA580" s="215"/>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c r="BI580" s="215"/>
      <c r="BJ580" s="221"/>
      <c r="BK580" s="221"/>
    </row>
    <row r="581" spans="1:63" ht="12.75" hidden="1" customHeight="1" outlineLevel="1">
      <c r="A581" s="9"/>
      <c r="B581" s="44"/>
      <c r="C581" s="270" t="str">
        <f>Asset8</f>
        <v>Inventory</v>
      </c>
      <c r="D581" s="9"/>
      <c r="E581" s="9"/>
      <c r="F581" s="139"/>
      <c r="G581" s="201">
        <f>Input!R14</f>
        <v>0.70152223622115595</v>
      </c>
      <c r="H581" s="118"/>
      <c r="I581" s="118"/>
      <c r="J581" s="118"/>
      <c r="K581" s="118"/>
      <c r="L581" s="118"/>
      <c r="M581" s="106"/>
      <c r="N581" s="106"/>
      <c r="O581" s="106"/>
      <c r="P581" s="106"/>
      <c r="Q581" s="106"/>
      <c r="R581" s="106"/>
      <c r="S581" s="106"/>
      <c r="T581" s="106"/>
      <c r="U581" s="106"/>
      <c r="V581" s="106"/>
      <c r="W581" s="106"/>
      <c r="X581" s="106"/>
      <c r="Y581" s="106"/>
      <c r="Z581" s="106"/>
      <c r="AA581" s="215"/>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c r="BI581" s="215"/>
      <c r="BJ581" s="221"/>
      <c r="BK581" s="221"/>
    </row>
    <row r="582" spans="1:63" ht="12.75" hidden="1" customHeight="1" outlineLevel="1">
      <c r="A582" s="9"/>
      <c r="B582" s="44"/>
      <c r="C582" s="270" t="str">
        <f>Asset9</f>
        <v>IT</v>
      </c>
      <c r="D582" s="9"/>
      <c r="E582" s="9"/>
      <c r="F582" s="139"/>
      <c r="G582" s="201">
        <f>Input!R15</f>
        <v>3.1018293072285652</v>
      </c>
      <c r="H582" s="118"/>
      <c r="I582" s="118"/>
      <c r="J582" s="118"/>
      <c r="K582" s="118"/>
      <c r="L582" s="118"/>
      <c r="M582" s="106"/>
      <c r="N582" s="106"/>
      <c r="O582" s="106"/>
      <c r="P582" s="106"/>
      <c r="Q582" s="106"/>
      <c r="R582" s="106"/>
      <c r="S582" s="106"/>
      <c r="T582" s="106"/>
      <c r="U582" s="106"/>
      <c r="V582" s="106"/>
      <c r="W582" s="106"/>
      <c r="X582" s="106"/>
      <c r="Y582" s="106"/>
      <c r="Z582" s="106"/>
      <c r="AA582" s="215"/>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c r="BI582" s="215"/>
      <c r="BJ582" s="221"/>
      <c r="BK582" s="221"/>
    </row>
    <row r="583" spans="1:63" ht="12.75" hidden="1" customHeight="1" outlineLevel="1">
      <c r="A583" s="9"/>
      <c r="B583" s="44"/>
      <c r="C583" s="270" t="str">
        <f>Asset10</f>
        <v>Vehicles</v>
      </c>
      <c r="D583" s="9"/>
      <c r="E583" s="9"/>
      <c r="F583" s="139"/>
      <c r="G583" s="201">
        <f>Input!R16</f>
        <v>-0.35276175728998993</v>
      </c>
      <c r="H583" s="118"/>
      <c r="I583" s="118"/>
      <c r="J583" s="118"/>
      <c r="K583" s="118"/>
      <c r="L583" s="118"/>
      <c r="M583" s="106"/>
      <c r="N583" s="106"/>
      <c r="O583" s="106"/>
      <c r="P583" s="106"/>
      <c r="Q583" s="106"/>
      <c r="R583" s="106"/>
      <c r="S583" s="106"/>
      <c r="T583" s="106"/>
      <c r="U583" s="106"/>
      <c r="V583" s="106"/>
      <c r="W583" s="106"/>
      <c r="X583" s="106"/>
      <c r="Y583" s="106"/>
      <c r="Z583" s="106"/>
      <c r="AA583" s="215"/>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c r="BI583" s="215"/>
      <c r="BJ583" s="221"/>
      <c r="BK583" s="221"/>
    </row>
    <row r="584" spans="1:63" ht="12.75" hidden="1" customHeight="1" outlineLevel="1">
      <c r="A584" s="9"/>
      <c r="B584" s="44"/>
      <c r="C584" s="270" t="str">
        <f>Asset11</f>
        <v>other</v>
      </c>
      <c r="D584" s="9"/>
      <c r="E584" s="9"/>
      <c r="F584" s="139"/>
      <c r="G584" s="201">
        <f>Input!R17</f>
        <v>1.6983766857323237</v>
      </c>
      <c r="H584" s="118"/>
      <c r="I584" s="118"/>
      <c r="J584" s="118"/>
      <c r="K584" s="118"/>
      <c r="L584" s="118"/>
      <c r="M584" s="106"/>
      <c r="N584" s="106"/>
      <c r="O584" s="106"/>
      <c r="P584" s="106"/>
      <c r="Q584" s="106"/>
      <c r="R584" s="106"/>
      <c r="S584" s="106"/>
      <c r="T584" s="106"/>
      <c r="U584" s="106"/>
      <c r="V584" s="106"/>
      <c r="W584" s="106"/>
      <c r="X584" s="106"/>
      <c r="Y584" s="106"/>
      <c r="Z584" s="106"/>
      <c r="AA584" s="215"/>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c r="BI584" s="215"/>
      <c r="BJ584" s="221"/>
      <c r="BK584" s="221"/>
    </row>
    <row r="585" spans="1:63" ht="12.75" hidden="1" customHeight="1" outlineLevel="1">
      <c r="A585" s="9"/>
      <c r="B585" s="44"/>
      <c r="C585" s="270" t="str">
        <f>Asset12</f>
        <v>premises</v>
      </c>
      <c r="D585" s="9"/>
      <c r="E585" s="9"/>
      <c r="F585" s="139"/>
      <c r="G585" s="201">
        <f>Input!R18</f>
        <v>0.67583448337990049</v>
      </c>
      <c r="H585" s="118"/>
      <c r="I585" s="118"/>
      <c r="J585" s="118"/>
      <c r="K585" s="118"/>
      <c r="L585" s="118"/>
      <c r="M585" s="106"/>
      <c r="N585" s="106"/>
      <c r="O585" s="106"/>
      <c r="P585" s="106"/>
      <c r="Q585" s="106"/>
      <c r="R585" s="106"/>
      <c r="S585" s="106"/>
      <c r="T585" s="106"/>
      <c r="U585" s="106"/>
      <c r="V585" s="106"/>
      <c r="W585" s="106"/>
      <c r="X585" s="106"/>
      <c r="Y585" s="106"/>
      <c r="Z585" s="106"/>
      <c r="AA585" s="215"/>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c r="BI585" s="215"/>
      <c r="BJ585" s="221"/>
      <c r="BK585" s="221"/>
    </row>
    <row r="586" spans="1:63" ht="12.75" hidden="1" customHeight="1" outlineLevel="1">
      <c r="A586" s="9"/>
      <c r="B586" s="44"/>
      <c r="C586" s="270" t="str">
        <f>Asset13</f>
        <v>Land</v>
      </c>
      <c r="D586" s="9"/>
      <c r="E586" s="9"/>
      <c r="F586" s="139"/>
      <c r="G586" s="201">
        <f>Input!R19</f>
        <v>-0.66707176255729972</v>
      </c>
      <c r="H586" s="118"/>
      <c r="I586" s="118"/>
      <c r="J586" s="118"/>
      <c r="K586" s="118"/>
      <c r="L586" s="118"/>
      <c r="M586" s="106"/>
      <c r="N586" s="106"/>
      <c r="O586" s="106"/>
      <c r="P586" s="106"/>
      <c r="Q586" s="106"/>
      <c r="R586" s="106"/>
      <c r="S586" s="106"/>
      <c r="T586" s="106"/>
      <c r="U586" s="106"/>
      <c r="V586" s="106"/>
      <c r="W586" s="106"/>
      <c r="X586" s="106"/>
      <c r="Y586" s="106"/>
      <c r="Z586" s="106"/>
      <c r="AA586" s="215"/>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c r="BI586" s="215"/>
      <c r="BJ586" s="221"/>
      <c r="BK586" s="221"/>
    </row>
    <row r="587" spans="1:63" ht="12.75" hidden="1" customHeight="1" outlineLevel="1">
      <c r="A587" s="9"/>
      <c r="B587" s="44"/>
      <c r="C587" s="270" t="str">
        <f>Asset14</f>
        <v>Easements</v>
      </c>
      <c r="D587" s="9"/>
      <c r="E587" s="9"/>
      <c r="F587" s="139"/>
      <c r="G587" s="201">
        <f>Input!R20</f>
        <v>2.4458975599457162E-2</v>
      </c>
      <c r="H587" s="118"/>
      <c r="I587" s="118"/>
      <c r="J587" s="118"/>
      <c r="K587" s="118"/>
      <c r="L587" s="118"/>
      <c r="M587" s="106"/>
      <c r="N587" s="106"/>
      <c r="O587" s="106"/>
      <c r="P587" s="106"/>
      <c r="Q587" s="106"/>
      <c r="R587" s="106"/>
      <c r="S587" s="106"/>
      <c r="T587" s="106"/>
      <c r="U587" s="106"/>
      <c r="V587" s="106"/>
      <c r="W587" s="106"/>
      <c r="X587" s="106"/>
      <c r="Y587" s="106"/>
      <c r="Z587" s="106"/>
      <c r="AA587" s="215"/>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21"/>
      <c r="BK587" s="221"/>
    </row>
    <row r="588" spans="1:63" ht="12.75" hidden="1" customHeight="1" outlineLevel="1">
      <c r="A588" s="9"/>
      <c r="B588" s="44"/>
      <c r="C588" s="270">
        <f>Asset15</f>
        <v>0</v>
      </c>
      <c r="D588" s="9"/>
      <c r="E588" s="9"/>
      <c r="F588" s="139"/>
      <c r="G588" s="201">
        <f>Input!R21</f>
        <v>0</v>
      </c>
      <c r="H588" s="118"/>
      <c r="I588" s="118"/>
      <c r="J588" s="118"/>
      <c r="K588" s="118"/>
      <c r="L588" s="118"/>
      <c r="M588" s="106"/>
      <c r="N588" s="106"/>
      <c r="O588" s="106"/>
      <c r="P588" s="106"/>
      <c r="Q588" s="106"/>
      <c r="R588" s="106"/>
      <c r="S588" s="106"/>
      <c r="T588" s="106"/>
      <c r="U588" s="106"/>
      <c r="V588" s="106"/>
      <c r="W588" s="106"/>
      <c r="X588" s="106"/>
      <c r="Y588" s="106"/>
      <c r="Z588" s="106"/>
      <c r="AA588" s="215"/>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21"/>
      <c r="BK588" s="221"/>
    </row>
    <row r="589" spans="1:63" ht="12.75" hidden="1" customHeight="1" outlineLevel="1">
      <c r="A589" s="9"/>
      <c r="B589" s="44"/>
      <c r="C589" s="270">
        <f>Asset16</f>
        <v>0</v>
      </c>
      <c r="D589" s="9"/>
      <c r="E589" s="9"/>
      <c r="F589" s="139"/>
      <c r="G589" s="201">
        <f>Input!R22</f>
        <v>0</v>
      </c>
      <c r="H589" s="118"/>
      <c r="I589" s="118"/>
      <c r="J589" s="118"/>
      <c r="K589" s="118"/>
      <c r="L589" s="118"/>
      <c r="M589" s="106"/>
      <c r="N589" s="106"/>
      <c r="O589" s="106"/>
      <c r="P589" s="106"/>
      <c r="Q589" s="106"/>
      <c r="R589" s="106"/>
      <c r="S589" s="106"/>
      <c r="T589" s="106"/>
      <c r="U589" s="106"/>
      <c r="V589" s="106"/>
      <c r="W589" s="106"/>
      <c r="X589" s="106"/>
      <c r="Y589" s="106"/>
      <c r="Z589" s="106"/>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c r="BI589" s="215"/>
      <c r="BJ589" s="221"/>
      <c r="BK589" s="221"/>
    </row>
    <row r="590" spans="1:63" ht="12.75" hidden="1" customHeight="1" outlineLevel="1">
      <c r="A590" s="9"/>
      <c r="B590" s="44"/>
      <c r="C590" s="270">
        <f>Asset17</f>
        <v>0</v>
      </c>
      <c r="D590" s="9"/>
      <c r="E590" s="9"/>
      <c r="F590" s="139"/>
      <c r="G590" s="201">
        <f>Input!R23</f>
        <v>0</v>
      </c>
      <c r="H590" s="118"/>
      <c r="I590" s="118"/>
      <c r="J590" s="118"/>
      <c r="K590" s="118"/>
      <c r="L590" s="118"/>
      <c r="M590" s="106"/>
      <c r="N590" s="106"/>
      <c r="O590" s="106"/>
      <c r="P590" s="106"/>
      <c r="Q590" s="106"/>
      <c r="R590" s="106"/>
      <c r="S590" s="106"/>
      <c r="T590" s="106"/>
      <c r="U590" s="106"/>
      <c r="V590" s="106"/>
      <c r="W590" s="106"/>
      <c r="X590" s="106"/>
      <c r="Y590" s="106"/>
      <c r="Z590" s="106"/>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c r="BI590" s="215"/>
      <c r="BJ590" s="221"/>
      <c r="BK590" s="221"/>
    </row>
    <row r="591" spans="1:63" ht="12.75" hidden="1" customHeight="1" outlineLevel="1">
      <c r="A591" s="9"/>
      <c r="B591" s="44"/>
      <c r="C591" s="270">
        <f>Asset18</f>
        <v>0</v>
      </c>
      <c r="D591" s="9"/>
      <c r="E591" s="9"/>
      <c r="F591" s="139"/>
      <c r="G591" s="201">
        <f>Input!R24</f>
        <v>0</v>
      </c>
      <c r="H591" s="118"/>
      <c r="I591" s="118"/>
      <c r="J591" s="118"/>
      <c r="K591" s="118"/>
      <c r="L591" s="118"/>
      <c r="M591" s="106"/>
      <c r="N591" s="106"/>
      <c r="O591" s="106"/>
      <c r="P591" s="106"/>
      <c r="Q591" s="106"/>
      <c r="R591" s="106"/>
      <c r="S591" s="106"/>
      <c r="T591" s="106"/>
      <c r="U591" s="106"/>
      <c r="V591" s="106"/>
      <c r="W591" s="106"/>
      <c r="X591" s="106"/>
      <c r="Y591" s="106"/>
      <c r="Z591" s="106"/>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c r="BI591" s="215"/>
      <c r="BJ591" s="221"/>
      <c r="BK591" s="221"/>
    </row>
    <row r="592" spans="1:63" ht="12.75" hidden="1" customHeight="1" outlineLevel="1">
      <c r="A592" s="9"/>
      <c r="B592" s="44"/>
      <c r="C592" s="270">
        <f>Asset19</f>
        <v>0</v>
      </c>
      <c r="D592" s="9"/>
      <c r="E592" s="9"/>
      <c r="F592" s="139"/>
      <c r="G592" s="201">
        <f>Input!R25</f>
        <v>0</v>
      </c>
      <c r="H592" s="118"/>
      <c r="I592" s="118"/>
      <c r="J592" s="118"/>
      <c r="K592" s="118"/>
      <c r="L592" s="118"/>
      <c r="M592" s="106"/>
      <c r="N592" s="106"/>
      <c r="O592" s="106"/>
      <c r="P592" s="106"/>
      <c r="Q592" s="106"/>
      <c r="R592" s="106"/>
      <c r="S592" s="106"/>
      <c r="T592" s="106"/>
      <c r="U592" s="106"/>
      <c r="V592" s="106"/>
      <c r="W592" s="106"/>
      <c r="X592" s="106"/>
      <c r="Y592" s="106"/>
      <c r="Z592" s="106"/>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c r="BI592" s="215"/>
      <c r="BJ592" s="221"/>
      <c r="BK592" s="221"/>
    </row>
    <row r="593" spans="1:63" ht="12.75" hidden="1" customHeight="1" outlineLevel="1">
      <c r="A593" s="9"/>
      <c r="B593" s="44"/>
      <c r="C593" s="270">
        <f>Asset20</f>
        <v>0</v>
      </c>
      <c r="D593" s="9"/>
      <c r="E593" s="9"/>
      <c r="F593" s="139"/>
      <c r="G593" s="201">
        <f>Input!R26</f>
        <v>0</v>
      </c>
      <c r="H593" s="118"/>
      <c r="I593" s="118"/>
      <c r="J593" s="118"/>
      <c r="K593" s="118"/>
      <c r="L593" s="118"/>
      <c r="M593" s="106"/>
      <c r="N593" s="106"/>
      <c r="O593" s="106"/>
      <c r="P593" s="106"/>
      <c r="Q593" s="106"/>
      <c r="R593" s="106"/>
      <c r="S593" s="106"/>
      <c r="T593" s="106"/>
      <c r="U593" s="106"/>
      <c r="V593" s="106"/>
      <c r="W593" s="106"/>
      <c r="X593" s="106"/>
      <c r="Y593" s="106"/>
      <c r="Z593" s="106"/>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c r="BI593" s="215"/>
      <c r="BJ593" s="221"/>
      <c r="BK593" s="221"/>
    </row>
    <row r="594" spans="1:63" ht="12.75" hidden="1" customHeight="1" outlineLevel="1">
      <c r="A594" s="9"/>
      <c r="B594" s="44"/>
      <c r="C594" s="270">
        <f>Asset21</f>
        <v>0</v>
      </c>
      <c r="D594" s="9"/>
      <c r="E594" s="9"/>
      <c r="F594" s="139"/>
      <c r="G594" s="201">
        <f>Input!R27</f>
        <v>0</v>
      </c>
      <c r="H594" s="118"/>
      <c r="I594" s="118"/>
      <c r="J594" s="118"/>
      <c r="K594" s="118"/>
      <c r="L594" s="118"/>
      <c r="M594" s="106"/>
      <c r="N594" s="106"/>
      <c r="O594" s="106"/>
      <c r="P594" s="106"/>
      <c r="Q594" s="106"/>
      <c r="R594" s="106"/>
      <c r="S594" s="106"/>
      <c r="T594" s="106"/>
      <c r="U594" s="106"/>
      <c r="V594" s="106"/>
      <c r="W594" s="106"/>
      <c r="X594" s="106"/>
      <c r="Y594" s="106"/>
      <c r="Z594" s="106"/>
      <c r="AA594" s="215"/>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c r="BI594" s="215"/>
      <c r="BJ594" s="221"/>
      <c r="BK594" s="221"/>
    </row>
    <row r="595" spans="1:63" ht="12.75" hidden="1" customHeight="1" outlineLevel="1">
      <c r="A595" s="9"/>
      <c r="B595" s="44"/>
      <c r="C595" s="270">
        <f>Asset22</f>
        <v>0</v>
      </c>
      <c r="D595" s="9"/>
      <c r="E595" s="9"/>
      <c r="F595" s="139"/>
      <c r="G595" s="201">
        <f>Input!R28</f>
        <v>0</v>
      </c>
      <c r="H595" s="118"/>
      <c r="I595" s="118"/>
      <c r="J595" s="118"/>
      <c r="K595" s="118"/>
      <c r="L595" s="118"/>
      <c r="M595" s="106"/>
      <c r="N595" s="106"/>
      <c r="O595" s="106"/>
      <c r="P595" s="106"/>
      <c r="Q595" s="106"/>
      <c r="R595" s="106"/>
      <c r="S595" s="106"/>
      <c r="T595" s="106"/>
      <c r="U595" s="106"/>
      <c r="V595" s="106"/>
      <c r="W595" s="106"/>
      <c r="X595" s="106"/>
      <c r="Y595" s="106"/>
      <c r="Z595" s="106"/>
      <c r="AA595" s="215"/>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c r="BI595" s="215"/>
      <c r="BJ595" s="221"/>
      <c r="BK595" s="221"/>
    </row>
    <row r="596" spans="1:63" ht="12.75" hidden="1" customHeight="1" outlineLevel="1">
      <c r="A596" s="9"/>
      <c r="B596" s="44"/>
      <c r="C596" s="270">
        <f>Asset23</f>
        <v>0</v>
      </c>
      <c r="D596" s="9"/>
      <c r="E596" s="9"/>
      <c r="F596" s="139"/>
      <c r="G596" s="201">
        <f>Input!R29</f>
        <v>0</v>
      </c>
      <c r="H596" s="118"/>
      <c r="I596" s="118"/>
      <c r="J596" s="118"/>
      <c r="K596" s="118"/>
      <c r="L596" s="118"/>
      <c r="M596" s="106"/>
      <c r="N596" s="106"/>
      <c r="O596" s="106"/>
      <c r="P596" s="106"/>
      <c r="Q596" s="106"/>
      <c r="R596" s="106"/>
      <c r="S596" s="106"/>
      <c r="T596" s="106"/>
      <c r="U596" s="106"/>
      <c r="V596" s="106"/>
      <c r="W596" s="106"/>
      <c r="X596" s="106"/>
      <c r="Y596" s="106"/>
      <c r="Z596" s="106"/>
      <c r="AA596" s="215"/>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c r="BI596" s="215"/>
      <c r="BJ596" s="221"/>
      <c r="BK596" s="221"/>
    </row>
    <row r="597" spans="1:63" ht="12.75" hidden="1" customHeight="1" outlineLevel="1">
      <c r="A597" s="9"/>
      <c r="B597" s="44"/>
      <c r="C597" s="270">
        <f>Asset24</f>
        <v>0</v>
      </c>
      <c r="D597" s="9"/>
      <c r="E597" s="9"/>
      <c r="F597" s="139"/>
      <c r="G597" s="201">
        <f>Input!R30</f>
        <v>0</v>
      </c>
      <c r="H597" s="118"/>
      <c r="I597" s="118"/>
      <c r="J597" s="118"/>
      <c r="K597" s="118"/>
      <c r="L597" s="118"/>
      <c r="M597" s="106"/>
      <c r="N597" s="106"/>
      <c r="O597" s="106"/>
      <c r="P597" s="106"/>
      <c r="Q597" s="106"/>
      <c r="R597" s="106"/>
      <c r="S597" s="106"/>
      <c r="T597" s="106"/>
      <c r="U597" s="106"/>
      <c r="V597" s="106"/>
      <c r="W597" s="106"/>
      <c r="X597" s="106"/>
      <c r="Y597" s="106"/>
      <c r="Z597" s="106"/>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21"/>
      <c r="BK597" s="221"/>
    </row>
    <row r="598" spans="1:63" ht="12.75" hidden="1" customHeight="1" outlineLevel="1">
      <c r="A598" s="9"/>
      <c r="B598" s="44"/>
      <c r="C598" s="270">
        <f>Asset25</f>
        <v>0</v>
      </c>
      <c r="D598" s="9"/>
      <c r="E598" s="9"/>
      <c r="F598" s="139"/>
      <c r="G598" s="201">
        <f>Input!R31</f>
        <v>0</v>
      </c>
      <c r="H598" s="118"/>
      <c r="I598" s="118"/>
      <c r="J598" s="118"/>
      <c r="K598" s="118"/>
      <c r="L598" s="118"/>
      <c r="M598" s="106"/>
      <c r="N598" s="106"/>
      <c r="O598" s="106"/>
      <c r="P598" s="106"/>
      <c r="Q598" s="106"/>
      <c r="R598" s="106"/>
      <c r="S598" s="106"/>
      <c r="T598" s="106"/>
      <c r="U598" s="106"/>
      <c r="V598" s="106"/>
      <c r="W598" s="106"/>
      <c r="X598" s="106"/>
      <c r="Y598" s="106"/>
      <c r="Z598" s="106"/>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21"/>
      <c r="BK598" s="221"/>
    </row>
    <row r="599" spans="1:63" ht="12.75" hidden="1" customHeight="1" outlineLevel="1">
      <c r="A599" s="9"/>
      <c r="B599" s="44"/>
      <c r="C599" s="270">
        <f>Asset26</f>
        <v>0</v>
      </c>
      <c r="D599" s="9"/>
      <c r="E599" s="9"/>
      <c r="F599" s="139"/>
      <c r="G599" s="201">
        <f>Input!R32</f>
        <v>0</v>
      </c>
      <c r="H599" s="118"/>
      <c r="I599" s="118"/>
      <c r="J599" s="118"/>
      <c r="K599" s="118"/>
      <c r="L599" s="118"/>
      <c r="M599" s="106"/>
      <c r="N599" s="106"/>
      <c r="O599" s="106"/>
      <c r="P599" s="106"/>
      <c r="Q599" s="106"/>
      <c r="R599" s="106"/>
      <c r="S599" s="106"/>
      <c r="T599" s="106"/>
      <c r="U599" s="106"/>
      <c r="V599" s="106"/>
      <c r="W599" s="106"/>
      <c r="X599" s="106"/>
      <c r="Y599" s="106"/>
      <c r="Z599" s="106"/>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21"/>
      <c r="BK599" s="221"/>
    </row>
    <row r="600" spans="1:63" ht="12.75" hidden="1" customHeight="1" outlineLevel="1">
      <c r="A600" s="9"/>
      <c r="B600" s="44"/>
      <c r="C600" s="270">
        <f>Asset27</f>
        <v>0</v>
      </c>
      <c r="D600" s="9"/>
      <c r="E600" s="9"/>
      <c r="F600" s="139"/>
      <c r="G600" s="201">
        <f>Input!R33</f>
        <v>0</v>
      </c>
      <c r="H600" s="118"/>
      <c r="I600" s="118"/>
      <c r="J600" s="118"/>
      <c r="K600" s="118"/>
      <c r="L600" s="118"/>
      <c r="M600" s="106"/>
      <c r="N600" s="106"/>
      <c r="O600" s="106"/>
      <c r="P600" s="106"/>
      <c r="Q600" s="106"/>
      <c r="R600" s="106"/>
      <c r="S600" s="106"/>
      <c r="T600" s="106"/>
      <c r="U600" s="106"/>
      <c r="V600" s="106"/>
      <c r="W600" s="106"/>
      <c r="X600" s="106"/>
      <c r="Y600" s="106"/>
      <c r="Z600" s="106"/>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21"/>
      <c r="BK600" s="221"/>
    </row>
    <row r="601" spans="1:63" ht="12.75" hidden="1" customHeight="1" outlineLevel="1">
      <c r="A601" s="9"/>
      <c r="B601" s="44"/>
      <c r="C601" s="270">
        <f>Asset28</f>
        <v>0</v>
      </c>
      <c r="D601" s="9"/>
      <c r="E601" s="9"/>
      <c r="F601" s="139"/>
      <c r="G601" s="201">
        <f>Input!R34</f>
        <v>0</v>
      </c>
      <c r="H601" s="118"/>
      <c r="I601" s="118"/>
      <c r="J601" s="118"/>
      <c r="K601" s="118"/>
      <c r="L601" s="118"/>
      <c r="M601" s="106"/>
      <c r="N601" s="106"/>
      <c r="O601" s="106"/>
      <c r="P601" s="106"/>
      <c r="Q601" s="106"/>
      <c r="R601" s="106"/>
      <c r="S601" s="106"/>
      <c r="T601" s="106"/>
      <c r="U601" s="106"/>
      <c r="V601" s="106"/>
      <c r="W601" s="106"/>
      <c r="X601" s="106"/>
      <c r="Y601" s="106"/>
      <c r="Z601" s="106"/>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21"/>
      <c r="BK601" s="221"/>
    </row>
    <row r="602" spans="1:63" ht="12.75" hidden="1" customHeight="1" outlineLevel="1">
      <c r="A602" s="9"/>
      <c r="B602" s="44"/>
      <c r="C602" s="270">
        <f>Asset29</f>
        <v>0</v>
      </c>
      <c r="D602" s="9"/>
      <c r="E602" s="9"/>
      <c r="F602" s="139"/>
      <c r="G602" s="201">
        <f>Input!R35</f>
        <v>0</v>
      </c>
      <c r="H602" s="118"/>
      <c r="I602" s="118"/>
      <c r="J602" s="118"/>
      <c r="K602" s="118"/>
      <c r="L602" s="118"/>
      <c r="M602" s="106"/>
      <c r="N602" s="106"/>
      <c r="O602" s="106"/>
      <c r="P602" s="106"/>
      <c r="Q602" s="106"/>
      <c r="R602" s="106"/>
      <c r="S602" s="106"/>
      <c r="T602" s="106"/>
      <c r="U602" s="106"/>
      <c r="V602" s="106"/>
      <c r="W602" s="106"/>
      <c r="X602" s="106"/>
      <c r="Y602" s="106"/>
      <c r="Z602" s="106"/>
      <c r="AA602" s="215"/>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c r="BI602" s="215"/>
      <c r="BJ602" s="221"/>
      <c r="BK602" s="221"/>
    </row>
    <row r="603" spans="1:63" ht="12.75" hidden="1" customHeight="1" outlineLevel="1">
      <c r="A603" s="9"/>
      <c r="B603" s="44"/>
      <c r="C603" s="270">
        <f>Asset30</f>
        <v>0</v>
      </c>
      <c r="D603" s="9"/>
      <c r="E603" s="9"/>
      <c r="F603" s="139"/>
      <c r="G603" s="201">
        <f>Input!R36</f>
        <v>0</v>
      </c>
      <c r="H603" s="118"/>
      <c r="I603" s="118"/>
      <c r="J603" s="118"/>
      <c r="K603" s="118"/>
      <c r="L603" s="118"/>
      <c r="M603" s="106"/>
      <c r="N603" s="106"/>
      <c r="O603" s="106"/>
      <c r="P603" s="106"/>
      <c r="Q603" s="106"/>
      <c r="R603" s="106"/>
      <c r="S603" s="106"/>
      <c r="T603" s="106"/>
      <c r="U603" s="106"/>
      <c r="V603" s="106"/>
      <c r="W603" s="106"/>
      <c r="X603" s="106"/>
      <c r="Y603" s="106"/>
      <c r="Z603" s="106"/>
      <c r="AA603" s="215"/>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c r="BI603" s="215"/>
      <c r="BJ603" s="221"/>
      <c r="BK603" s="221"/>
    </row>
    <row r="604" spans="1:63" collapsed="1">
      <c r="A604" s="9"/>
      <c r="B604" s="44"/>
      <c r="C604" s="127"/>
      <c r="D604" s="9"/>
      <c r="E604" s="9"/>
      <c r="F604" s="139"/>
      <c r="G604" s="201"/>
      <c r="H604" s="118"/>
      <c r="I604" s="118"/>
      <c r="J604" s="118"/>
      <c r="K604" s="118"/>
      <c r="L604" s="118"/>
      <c r="M604" s="106"/>
      <c r="N604" s="106"/>
      <c r="O604" s="106"/>
      <c r="P604" s="106"/>
      <c r="Q604" s="106"/>
      <c r="R604" s="106"/>
      <c r="S604" s="106"/>
      <c r="T604" s="106"/>
      <c r="U604" s="106"/>
      <c r="V604" s="106"/>
      <c r="W604" s="106"/>
      <c r="X604" s="106"/>
      <c r="Y604" s="106"/>
      <c r="Z604" s="106"/>
      <c r="AA604" s="215"/>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c r="BI604" s="215"/>
      <c r="BJ604" s="221"/>
      <c r="BK604" s="221"/>
    </row>
    <row r="605" spans="1:63">
      <c r="A605" s="9"/>
      <c r="B605" s="44" t="s">
        <v>58</v>
      </c>
      <c r="C605" s="127"/>
      <c r="D605" s="9"/>
      <c r="E605" s="9"/>
      <c r="F605" s="28"/>
      <c r="G605" s="205">
        <f>SUM(G606:G635)</f>
        <v>17.003209000000002</v>
      </c>
      <c r="H605" s="118"/>
      <c r="I605" s="118"/>
      <c r="J605" s="118"/>
      <c r="K605" s="118"/>
      <c r="L605" s="118"/>
      <c r="M605" s="106"/>
      <c r="N605" s="106"/>
      <c r="O605" s="106"/>
      <c r="P605" s="106"/>
      <c r="Q605" s="106"/>
      <c r="R605" s="106"/>
      <c r="S605" s="106"/>
      <c r="T605" s="106"/>
      <c r="U605" s="106"/>
      <c r="V605" s="106"/>
      <c r="W605" s="106"/>
      <c r="X605" s="106"/>
      <c r="Y605" s="106"/>
      <c r="Z605" s="106"/>
      <c r="AA605" s="215"/>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c r="BI605" s="215"/>
      <c r="BJ605" s="221"/>
      <c r="BK605" s="221"/>
    </row>
    <row r="606" spans="1:63" ht="12.75" hidden="1" customHeight="1" outlineLevel="1">
      <c r="A606" s="9"/>
      <c r="B606" s="44"/>
      <c r="C606" s="270" t="str">
        <f>Asset1</f>
        <v>Secondary</v>
      </c>
      <c r="D606" s="9"/>
      <c r="E606" s="9"/>
      <c r="F606" s="28"/>
      <c r="G606" s="204">
        <f>Input!S7</f>
        <v>6.3991040000000003</v>
      </c>
      <c r="H606" s="118"/>
      <c r="I606" s="118"/>
      <c r="J606" s="118"/>
      <c r="K606" s="118"/>
      <c r="L606" s="118"/>
      <c r="M606" s="106"/>
      <c r="N606" s="106"/>
      <c r="O606" s="106"/>
      <c r="P606" s="106"/>
      <c r="Q606" s="106"/>
      <c r="R606" s="106"/>
      <c r="S606" s="106"/>
      <c r="T606" s="106"/>
      <c r="U606" s="106"/>
      <c r="V606" s="106"/>
      <c r="W606" s="106"/>
      <c r="X606" s="106"/>
      <c r="Y606" s="106"/>
      <c r="Z606" s="106"/>
      <c r="AA606" s="215"/>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c r="BI606" s="215"/>
      <c r="BJ606" s="221"/>
      <c r="BK606" s="221"/>
    </row>
    <row r="607" spans="1:63" ht="12.75" hidden="1" customHeight="1" outlineLevel="1">
      <c r="A607" s="9"/>
      <c r="B607" s="44"/>
      <c r="C607" s="270" t="str">
        <f>Asset2</f>
        <v>Switchgear</v>
      </c>
      <c r="D607" s="9"/>
      <c r="E607" s="9"/>
      <c r="F607" s="28"/>
      <c r="G607" s="204">
        <f>Input!S8</f>
        <v>4.6862470000000007</v>
      </c>
      <c r="H607" s="118"/>
      <c r="I607" s="118"/>
      <c r="J607" s="118"/>
      <c r="K607" s="118"/>
      <c r="L607" s="118"/>
      <c r="M607" s="106"/>
      <c r="N607" s="106"/>
      <c r="O607" s="106"/>
      <c r="P607" s="106"/>
      <c r="Q607" s="106"/>
      <c r="R607" s="106"/>
      <c r="S607" s="106"/>
      <c r="T607" s="106"/>
      <c r="U607" s="106"/>
      <c r="V607" s="106"/>
      <c r="W607" s="106"/>
      <c r="X607" s="106"/>
      <c r="Y607" s="106"/>
      <c r="Z607" s="106"/>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21"/>
      <c r="BK607" s="221"/>
    </row>
    <row r="608" spans="1:63" ht="12.75" hidden="1" customHeight="1" outlineLevel="1">
      <c r="A608" s="9"/>
      <c r="B608" s="44"/>
      <c r="C608" s="270" t="str">
        <f>Asset3</f>
        <v>Transformers</v>
      </c>
      <c r="D608" s="9"/>
      <c r="E608" s="9"/>
      <c r="F608" s="28"/>
      <c r="G608" s="204">
        <f>Input!S9</f>
        <v>0</v>
      </c>
      <c r="H608" s="118"/>
      <c r="I608" s="118"/>
      <c r="J608" s="118"/>
      <c r="K608" s="118"/>
      <c r="L608" s="118"/>
      <c r="M608" s="106"/>
      <c r="N608" s="106"/>
      <c r="O608" s="106"/>
      <c r="P608" s="106"/>
      <c r="Q608" s="106"/>
      <c r="R608" s="106"/>
      <c r="S608" s="106"/>
      <c r="T608" s="106"/>
      <c r="U608" s="106"/>
      <c r="V608" s="106"/>
      <c r="W608" s="106"/>
      <c r="X608" s="106"/>
      <c r="Y608" s="106"/>
      <c r="Z608" s="106"/>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21"/>
      <c r="BK608" s="221"/>
    </row>
    <row r="609" spans="1:63" ht="12.75" hidden="1" customHeight="1" outlineLevel="1">
      <c r="A609" s="9"/>
      <c r="B609" s="44"/>
      <c r="C609" s="270" t="str">
        <f>Asset4</f>
        <v>Reactive</v>
      </c>
      <c r="D609" s="9"/>
      <c r="E609" s="9"/>
      <c r="F609" s="28"/>
      <c r="G609" s="204">
        <f>Input!S10</f>
        <v>0</v>
      </c>
      <c r="H609" s="118"/>
      <c r="I609" s="118"/>
      <c r="J609" s="118"/>
      <c r="K609" s="118"/>
      <c r="L609" s="118"/>
      <c r="M609" s="106"/>
      <c r="N609" s="106"/>
      <c r="O609" s="106"/>
      <c r="P609" s="106"/>
      <c r="Q609" s="106"/>
      <c r="R609" s="106"/>
      <c r="S609" s="106"/>
      <c r="T609" s="106"/>
      <c r="U609" s="106"/>
      <c r="V609" s="106"/>
      <c r="W609" s="106"/>
      <c r="X609" s="106"/>
      <c r="Y609" s="106"/>
      <c r="Z609" s="106"/>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21"/>
      <c r="BK609" s="221"/>
    </row>
    <row r="610" spans="1:63" ht="12.75" hidden="1" customHeight="1" outlineLevel="1">
      <c r="A610" s="9"/>
      <c r="B610" s="44"/>
      <c r="C610" s="270" t="str">
        <f>Asset5</f>
        <v>Towers and Conductor</v>
      </c>
      <c r="D610" s="9"/>
      <c r="E610" s="9"/>
      <c r="F610" s="28"/>
      <c r="G610" s="204">
        <f>Input!S11</f>
        <v>4.1564750000000004</v>
      </c>
      <c r="H610" s="118"/>
      <c r="I610" s="118"/>
      <c r="J610" s="118"/>
      <c r="K610" s="118"/>
      <c r="L610" s="118"/>
      <c r="M610" s="106"/>
      <c r="N610" s="106"/>
      <c r="O610" s="106"/>
      <c r="P610" s="106"/>
      <c r="Q610" s="106"/>
      <c r="R610" s="106"/>
      <c r="S610" s="106"/>
      <c r="T610" s="106"/>
      <c r="U610" s="106"/>
      <c r="V610" s="106"/>
      <c r="W610" s="106"/>
      <c r="X610" s="106"/>
      <c r="Y610" s="106"/>
      <c r="Z610" s="106"/>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21"/>
      <c r="BK610" s="221"/>
    </row>
    <row r="611" spans="1:63" ht="12.75" hidden="1" customHeight="1" outlineLevel="1">
      <c r="A611" s="9"/>
      <c r="B611" s="44"/>
      <c r="C611" s="270" t="str">
        <f>Asset6</f>
        <v>Establishment</v>
      </c>
      <c r="D611" s="9"/>
      <c r="E611" s="9"/>
      <c r="F611" s="28"/>
      <c r="G611" s="204">
        <f>Input!S12</f>
        <v>0</v>
      </c>
      <c r="H611" s="118"/>
      <c r="I611" s="118"/>
      <c r="J611" s="118"/>
      <c r="K611" s="118"/>
      <c r="L611" s="118"/>
      <c r="M611" s="106"/>
      <c r="N611" s="106"/>
      <c r="O611" s="106"/>
      <c r="P611" s="106"/>
      <c r="Q611" s="106"/>
      <c r="R611" s="106"/>
      <c r="S611" s="106"/>
      <c r="T611" s="106"/>
      <c r="U611" s="106"/>
      <c r="V611" s="106"/>
      <c r="W611" s="106"/>
      <c r="X611" s="106"/>
      <c r="Y611" s="106"/>
      <c r="Z611" s="106"/>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21"/>
      <c r="BK611" s="221"/>
    </row>
    <row r="612" spans="1:63" ht="12.75" hidden="1" customHeight="1" outlineLevel="1">
      <c r="A612" s="9"/>
      <c r="B612" s="44"/>
      <c r="C612" s="270" t="str">
        <f>Asset7</f>
        <v>Communications</v>
      </c>
      <c r="D612" s="9"/>
      <c r="E612" s="9"/>
      <c r="F612" s="28"/>
      <c r="G612" s="204">
        <f>Input!S13</f>
        <v>1.3286929999999999</v>
      </c>
      <c r="H612" s="118"/>
      <c r="I612" s="118"/>
      <c r="J612" s="118"/>
      <c r="K612" s="118"/>
      <c r="L612" s="118"/>
      <c r="M612" s="106"/>
      <c r="N612" s="106"/>
      <c r="O612" s="106"/>
      <c r="P612" s="106"/>
      <c r="Q612" s="106"/>
      <c r="R612" s="106"/>
      <c r="S612" s="106"/>
      <c r="T612" s="106"/>
      <c r="U612" s="106"/>
      <c r="V612" s="106"/>
      <c r="W612" s="106"/>
      <c r="X612" s="106"/>
      <c r="Y612" s="106"/>
      <c r="Z612" s="106"/>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21"/>
      <c r="BK612" s="221"/>
    </row>
    <row r="613" spans="1:63" ht="12.75" hidden="1" customHeight="1" outlineLevel="1">
      <c r="A613" s="9"/>
      <c r="B613" s="44"/>
      <c r="C613" s="270" t="str">
        <f>Asset8</f>
        <v>Inventory</v>
      </c>
      <c r="D613" s="9"/>
      <c r="E613" s="9"/>
      <c r="F613" s="28"/>
      <c r="G613" s="204">
        <f>Input!S14</f>
        <v>0</v>
      </c>
      <c r="H613" s="118"/>
      <c r="I613" s="118"/>
      <c r="J613" s="118"/>
      <c r="K613" s="118"/>
      <c r="L613" s="118"/>
      <c r="M613" s="106"/>
      <c r="N613" s="106"/>
      <c r="O613" s="106"/>
      <c r="P613" s="106"/>
      <c r="Q613" s="106"/>
      <c r="R613" s="106"/>
      <c r="S613" s="106"/>
      <c r="T613" s="106"/>
      <c r="U613" s="106"/>
      <c r="V613" s="106"/>
      <c r="W613" s="106"/>
      <c r="X613" s="106"/>
      <c r="Y613" s="106"/>
      <c r="Z613" s="106"/>
      <c r="AA613" s="215"/>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c r="BI613" s="215"/>
      <c r="BJ613" s="221"/>
      <c r="BK613" s="221"/>
    </row>
    <row r="614" spans="1:63" ht="12.75" hidden="1" customHeight="1" outlineLevel="1">
      <c r="A614" s="9"/>
      <c r="B614" s="44"/>
      <c r="C614" s="270" t="str">
        <f>Asset9</f>
        <v>IT</v>
      </c>
      <c r="D614" s="9"/>
      <c r="E614" s="9"/>
      <c r="F614" s="28"/>
      <c r="G614" s="204">
        <f>Input!S15</f>
        <v>0</v>
      </c>
      <c r="H614" s="118"/>
      <c r="I614" s="118"/>
      <c r="J614" s="118"/>
      <c r="K614" s="118"/>
      <c r="L614" s="118"/>
      <c r="M614" s="106"/>
      <c r="N614" s="106"/>
      <c r="O614" s="106"/>
      <c r="P614" s="106"/>
      <c r="Q614" s="106"/>
      <c r="R614" s="106"/>
      <c r="S614" s="106"/>
      <c r="T614" s="106"/>
      <c r="U614" s="106"/>
      <c r="V614" s="106"/>
      <c r="W614" s="106"/>
      <c r="X614" s="106"/>
      <c r="Y614" s="106"/>
      <c r="Z614" s="106"/>
      <c r="AA614" s="215"/>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c r="BI614" s="215"/>
      <c r="BJ614" s="221"/>
      <c r="BK614" s="221"/>
    </row>
    <row r="615" spans="1:63" ht="12.75" hidden="1" customHeight="1" outlineLevel="1">
      <c r="A615" s="9"/>
      <c r="B615" s="44"/>
      <c r="C615" s="270" t="str">
        <f>Asset10</f>
        <v>Vehicles</v>
      </c>
      <c r="D615" s="9"/>
      <c r="E615" s="9"/>
      <c r="F615" s="28"/>
      <c r="G615" s="204">
        <f>Input!S16</f>
        <v>0</v>
      </c>
      <c r="H615" s="118"/>
      <c r="I615" s="118"/>
      <c r="J615" s="118"/>
      <c r="K615" s="118"/>
      <c r="L615" s="118"/>
      <c r="M615" s="106"/>
      <c r="N615" s="106"/>
      <c r="O615" s="106"/>
      <c r="P615" s="106"/>
      <c r="Q615" s="106"/>
      <c r="R615" s="106"/>
      <c r="S615" s="106"/>
      <c r="T615" s="106"/>
      <c r="U615" s="106"/>
      <c r="V615" s="106"/>
      <c r="W615" s="106"/>
      <c r="X615" s="106"/>
      <c r="Y615" s="106"/>
      <c r="Z615" s="106"/>
      <c r="AA615" s="215"/>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c r="BI615" s="215"/>
      <c r="BJ615" s="221"/>
      <c r="BK615" s="221"/>
    </row>
    <row r="616" spans="1:63" ht="12.75" hidden="1" customHeight="1" outlineLevel="1">
      <c r="A616" s="9"/>
      <c r="B616" s="44"/>
      <c r="C616" s="270" t="str">
        <f>Asset11</f>
        <v>other</v>
      </c>
      <c r="D616" s="9"/>
      <c r="E616" s="9"/>
      <c r="F616" s="28"/>
      <c r="G616" s="204">
        <f>Input!S17</f>
        <v>0.43269000000000002</v>
      </c>
      <c r="H616" s="118"/>
      <c r="I616" s="118"/>
      <c r="J616" s="118"/>
      <c r="K616" s="118"/>
      <c r="L616" s="118"/>
      <c r="M616" s="106"/>
      <c r="N616" s="106"/>
      <c r="O616" s="106"/>
      <c r="P616" s="106"/>
      <c r="Q616" s="106"/>
      <c r="R616" s="106"/>
      <c r="S616" s="106"/>
      <c r="T616" s="106"/>
      <c r="U616" s="106"/>
      <c r="V616" s="106"/>
      <c r="W616" s="106"/>
      <c r="X616" s="106"/>
      <c r="Y616" s="106"/>
      <c r="Z616" s="106"/>
      <c r="AA616" s="215"/>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c r="BI616" s="215"/>
      <c r="BJ616" s="221"/>
      <c r="BK616" s="221"/>
    </row>
    <row r="617" spans="1:63" ht="12.75" hidden="1" customHeight="1" outlineLevel="1">
      <c r="A617" s="9"/>
      <c r="B617" s="44"/>
      <c r="C617" s="270" t="str">
        <f>Asset12</f>
        <v>premises</v>
      </c>
      <c r="D617" s="9"/>
      <c r="E617" s="9"/>
      <c r="F617" s="28"/>
      <c r="G617" s="204">
        <f>Input!S18</f>
        <v>0</v>
      </c>
      <c r="H617" s="118"/>
      <c r="I617" s="118"/>
      <c r="J617" s="118"/>
      <c r="K617" s="118"/>
      <c r="L617" s="118"/>
      <c r="M617" s="106"/>
      <c r="N617" s="106"/>
      <c r="O617" s="106"/>
      <c r="P617" s="106"/>
      <c r="Q617" s="106"/>
      <c r="R617" s="106"/>
      <c r="S617" s="106"/>
      <c r="T617" s="106"/>
      <c r="U617" s="106"/>
      <c r="V617" s="106"/>
      <c r="W617" s="106"/>
      <c r="X617" s="106"/>
      <c r="Y617" s="106"/>
      <c r="Z617" s="106"/>
      <c r="AA617" s="215"/>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c r="BI617" s="215"/>
      <c r="BJ617" s="221"/>
      <c r="BK617" s="221"/>
    </row>
    <row r="618" spans="1:63" ht="12.75" hidden="1" customHeight="1" outlineLevel="1">
      <c r="A618" s="9"/>
      <c r="B618" s="44"/>
      <c r="C618" s="270" t="str">
        <f>Asset13</f>
        <v>Land</v>
      </c>
      <c r="D618" s="9"/>
      <c r="E618" s="9"/>
      <c r="F618" s="28"/>
      <c r="G618" s="204">
        <f>Input!S19</f>
        <v>0</v>
      </c>
      <c r="H618" s="118"/>
      <c r="I618" s="118"/>
      <c r="J618" s="118"/>
      <c r="K618" s="118"/>
      <c r="L618" s="118"/>
      <c r="M618" s="106"/>
      <c r="N618" s="106"/>
      <c r="O618" s="106"/>
      <c r="P618" s="106"/>
      <c r="Q618" s="106"/>
      <c r="R618" s="106"/>
      <c r="S618" s="106"/>
      <c r="T618" s="106"/>
      <c r="U618" s="106"/>
      <c r="V618" s="106"/>
      <c r="W618" s="106"/>
      <c r="X618" s="106"/>
      <c r="Y618" s="106"/>
      <c r="Z618" s="106"/>
      <c r="AA618" s="215"/>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c r="BI618" s="215"/>
      <c r="BJ618" s="221"/>
      <c r="BK618" s="221"/>
    </row>
    <row r="619" spans="1:63" ht="12.75" hidden="1" customHeight="1" outlineLevel="1">
      <c r="A619" s="9"/>
      <c r="B619" s="44"/>
      <c r="C619" s="270" t="str">
        <f>Asset14</f>
        <v>Easements</v>
      </c>
      <c r="D619" s="9"/>
      <c r="E619" s="9"/>
      <c r="F619" s="28"/>
      <c r="G619" s="204">
        <f>Input!S20</f>
        <v>0</v>
      </c>
      <c r="H619" s="118"/>
      <c r="I619" s="118"/>
      <c r="J619" s="118"/>
      <c r="K619" s="118"/>
      <c r="L619" s="118"/>
      <c r="M619" s="106"/>
      <c r="N619" s="106"/>
      <c r="O619" s="106"/>
      <c r="P619" s="106"/>
      <c r="Q619" s="106"/>
      <c r="R619" s="106"/>
      <c r="S619" s="106"/>
      <c r="T619" s="106"/>
      <c r="U619" s="106"/>
      <c r="V619" s="106"/>
      <c r="W619" s="106"/>
      <c r="X619" s="106"/>
      <c r="Y619" s="106"/>
      <c r="Z619" s="106"/>
      <c r="AA619" s="215"/>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c r="BI619" s="215"/>
      <c r="BJ619" s="221"/>
      <c r="BK619" s="221"/>
    </row>
    <row r="620" spans="1:63" ht="12.75" hidden="1" customHeight="1" outlineLevel="1">
      <c r="A620" s="9"/>
      <c r="B620" s="44"/>
      <c r="C620" s="270">
        <f>Asset15</f>
        <v>0</v>
      </c>
      <c r="D620" s="9"/>
      <c r="E620" s="9"/>
      <c r="F620" s="28"/>
      <c r="G620" s="204">
        <f>Input!S21</f>
        <v>0</v>
      </c>
      <c r="H620" s="118"/>
      <c r="I620" s="118"/>
      <c r="J620" s="118"/>
      <c r="K620" s="118"/>
      <c r="L620" s="118"/>
      <c r="M620" s="106"/>
      <c r="N620" s="106"/>
      <c r="O620" s="106"/>
      <c r="P620" s="106"/>
      <c r="Q620" s="106"/>
      <c r="R620" s="106"/>
      <c r="S620" s="106"/>
      <c r="T620" s="106"/>
      <c r="U620" s="106"/>
      <c r="V620" s="106"/>
      <c r="W620" s="106"/>
      <c r="X620" s="106"/>
      <c r="Y620" s="106"/>
      <c r="Z620" s="106"/>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21"/>
      <c r="BK620" s="221"/>
    </row>
    <row r="621" spans="1:63" ht="12.75" hidden="1" customHeight="1" outlineLevel="1">
      <c r="A621" s="9"/>
      <c r="B621" s="44"/>
      <c r="C621" s="270">
        <f>Asset16</f>
        <v>0</v>
      </c>
      <c r="D621" s="9"/>
      <c r="E621" s="9"/>
      <c r="F621" s="28"/>
      <c r="G621" s="204">
        <f>Input!S22</f>
        <v>0</v>
      </c>
      <c r="H621" s="118"/>
      <c r="I621" s="118"/>
      <c r="J621" s="118"/>
      <c r="K621" s="118"/>
      <c r="L621" s="118"/>
      <c r="M621" s="106"/>
      <c r="N621" s="106"/>
      <c r="O621" s="106"/>
      <c r="P621" s="106"/>
      <c r="Q621" s="106"/>
      <c r="R621" s="106"/>
      <c r="S621" s="106"/>
      <c r="T621" s="106"/>
      <c r="U621" s="106"/>
      <c r="V621" s="106"/>
      <c r="W621" s="106"/>
      <c r="X621" s="106"/>
      <c r="Y621" s="106"/>
      <c r="Z621" s="106"/>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21"/>
      <c r="BK621" s="221"/>
    </row>
    <row r="622" spans="1:63" ht="12.75" hidden="1" customHeight="1" outlineLevel="1">
      <c r="A622" s="9"/>
      <c r="B622" s="44"/>
      <c r="C622" s="270">
        <f>Asset17</f>
        <v>0</v>
      </c>
      <c r="D622" s="9"/>
      <c r="E622" s="9"/>
      <c r="F622" s="28"/>
      <c r="G622" s="204">
        <f>Input!S23</f>
        <v>0</v>
      </c>
      <c r="H622" s="118"/>
      <c r="I622" s="118"/>
      <c r="J622" s="118"/>
      <c r="K622" s="118"/>
      <c r="L622" s="118"/>
      <c r="M622" s="106"/>
      <c r="N622" s="106"/>
      <c r="O622" s="106"/>
      <c r="P622" s="106"/>
      <c r="Q622" s="106"/>
      <c r="R622" s="106"/>
      <c r="S622" s="106"/>
      <c r="T622" s="106"/>
      <c r="U622" s="106"/>
      <c r="V622" s="106"/>
      <c r="W622" s="106"/>
      <c r="X622" s="106"/>
      <c r="Y622" s="106"/>
      <c r="Z622" s="106"/>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21"/>
      <c r="BK622" s="221"/>
    </row>
    <row r="623" spans="1:63" ht="12.75" hidden="1" customHeight="1" outlineLevel="1">
      <c r="A623" s="9"/>
      <c r="B623" s="44"/>
      <c r="C623" s="270">
        <f>Asset18</f>
        <v>0</v>
      </c>
      <c r="D623" s="9"/>
      <c r="E623" s="9"/>
      <c r="F623" s="28"/>
      <c r="G623" s="204">
        <f>Input!S24</f>
        <v>0</v>
      </c>
      <c r="H623" s="118"/>
      <c r="I623" s="118"/>
      <c r="J623" s="118"/>
      <c r="K623" s="118"/>
      <c r="L623" s="118"/>
      <c r="M623" s="106"/>
      <c r="N623" s="106"/>
      <c r="O623" s="106"/>
      <c r="P623" s="106"/>
      <c r="Q623" s="106"/>
      <c r="R623" s="106"/>
      <c r="S623" s="106"/>
      <c r="T623" s="106"/>
      <c r="U623" s="106"/>
      <c r="V623" s="106"/>
      <c r="W623" s="106"/>
      <c r="X623" s="106"/>
      <c r="Y623" s="106"/>
      <c r="Z623" s="106"/>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21"/>
      <c r="BK623" s="221"/>
    </row>
    <row r="624" spans="1:63" ht="12.75" hidden="1" customHeight="1" outlineLevel="1">
      <c r="A624" s="9"/>
      <c r="B624" s="44"/>
      <c r="C624" s="270">
        <f>Asset19</f>
        <v>0</v>
      </c>
      <c r="D624" s="9"/>
      <c r="E624" s="9"/>
      <c r="F624" s="28"/>
      <c r="G624" s="204">
        <f>Input!S25</f>
        <v>0</v>
      </c>
      <c r="H624" s="118"/>
      <c r="I624" s="118"/>
      <c r="J624" s="118"/>
      <c r="K624" s="118"/>
      <c r="L624" s="118"/>
      <c r="M624" s="106"/>
      <c r="N624" s="106"/>
      <c r="O624" s="106"/>
      <c r="P624" s="106"/>
      <c r="Q624" s="106"/>
      <c r="R624" s="106"/>
      <c r="S624" s="106"/>
      <c r="T624" s="106"/>
      <c r="U624" s="106"/>
      <c r="V624" s="106"/>
      <c r="W624" s="106"/>
      <c r="X624" s="106"/>
      <c r="Y624" s="106"/>
      <c r="Z624" s="106"/>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21"/>
      <c r="BK624" s="221"/>
    </row>
    <row r="625" spans="1:63" ht="12.75" hidden="1" customHeight="1" outlineLevel="1">
      <c r="A625" s="9"/>
      <c r="B625" s="44"/>
      <c r="C625" s="270">
        <f>Asset20</f>
        <v>0</v>
      </c>
      <c r="D625" s="9"/>
      <c r="E625" s="9"/>
      <c r="F625" s="28"/>
      <c r="G625" s="204">
        <f>Input!S26</f>
        <v>0</v>
      </c>
      <c r="H625" s="118"/>
      <c r="I625" s="118"/>
      <c r="J625" s="118"/>
      <c r="K625" s="118"/>
      <c r="L625" s="118"/>
      <c r="M625" s="106"/>
      <c r="N625" s="106"/>
      <c r="O625" s="106"/>
      <c r="P625" s="106"/>
      <c r="Q625" s="106"/>
      <c r="R625" s="106"/>
      <c r="S625" s="106"/>
      <c r="T625" s="106"/>
      <c r="U625" s="106"/>
      <c r="V625" s="106"/>
      <c r="W625" s="106"/>
      <c r="X625" s="106"/>
      <c r="Y625" s="106"/>
      <c r="Z625" s="106"/>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21"/>
      <c r="BK625" s="221"/>
    </row>
    <row r="626" spans="1:63" ht="12.75" hidden="1" customHeight="1" outlineLevel="1">
      <c r="A626" s="9"/>
      <c r="B626" s="44"/>
      <c r="C626" s="270">
        <f>Asset21</f>
        <v>0</v>
      </c>
      <c r="D626" s="9"/>
      <c r="E626" s="9"/>
      <c r="F626" s="28"/>
      <c r="G626" s="204">
        <f>Input!S27</f>
        <v>0</v>
      </c>
      <c r="H626" s="118"/>
      <c r="I626" s="118"/>
      <c r="J626" s="118"/>
      <c r="K626" s="118"/>
      <c r="L626" s="118"/>
      <c r="M626" s="106"/>
      <c r="N626" s="106"/>
      <c r="O626" s="106"/>
      <c r="P626" s="106"/>
      <c r="Q626" s="106"/>
      <c r="R626" s="106"/>
      <c r="S626" s="106"/>
      <c r="T626" s="106"/>
      <c r="U626" s="106"/>
      <c r="V626" s="106"/>
      <c r="W626" s="106"/>
      <c r="X626" s="106"/>
      <c r="Y626" s="106"/>
      <c r="Z626" s="106"/>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21"/>
      <c r="BK626" s="221"/>
    </row>
    <row r="627" spans="1:63" ht="12.75" hidden="1" customHeight="1" outlineLevel="1">
      <c r="A627" s="9"/>
      <c r="B627" s="44"/>
      <c r="C627" s="270">
        <f>Asset22</f>
        <v>0</v>
      </c>
      <c r="D627" s="9"/>
      <c r="E627" s="9"/>
      <c r="F627" s="28"/>
      <c r="G627" s="204">
        <f>Input!S28</f>
        <v>0</v>
      </c>
      <c r="H627" s="118"/>
      <c r="I627" s="118"/>
      <c r="J627" s="118"/>
      <c r="K627" s="118"/>
      <c r="L627" s="118"/>
      <c r="M627" s="106"/>
      <c r="N627" s="106"/>
      <c r="O627" s="106"/>
      <c r="P627" s="106"/>
      <c r="Q627" s="106"/>
      <c r="R627" s="106"/>
      <c r="S627" s="106"/>
      <c r="T627" s="106"/>
      <c r="U627" s="106"/>
      <c r="V627" s="106"/>
      <c r="W627" s="106"/>
      <c r="X627" s="106"/>
      <c r="Y627" s="106"/>
      <c r="Z627" s="106"/>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21"/>
      <c r="BK627" s="221"/>
    </row>
    <row r="628" spans="1:63" ht="12.75" hidden="1" customHeight="1" outlineLevel="1">
      <c r="A628" s="9"/>
      <c r="B628" s="44"/>
      <c r="C628" s="270">
        <f>Asset23</f>
        <v>0</v>
      </c>
      <c r="D628" s="9"/>
      <c r="E628" s="9"/>
      <c r="F628" s="28"/>
      <c r="G628" s="204">
        <f>Input!S29</f>
        <v>0</v>
      </c>
      <c r="H628" s="118"/>
      <c r="I628" s="118"/>
      <c r="J628" s="118"/>
      <c r="K628" s="118"/>
      <c r="L628" s="118"/>
      <c r="M628" s="106"/>
      <c r="N628" s="106"/>
      <c r="O628" s="106"/>
      <c r="P628" s="106"/>
      <c r="Q628" s="106"/>
      <c r="R628" s="106"/>
      <c r="S628" s="106"/>
      <c r="T628" s="106"/>
      <c r="U628" s="106"/>
      <c r="V628" s="106"/>
      <c r="W628" s="106"/>
      <c r="X628" s="106"/>
      <c r="Y628" s="106"/>
      <c r="Z628" s="106"/>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21"/>
      <c r="BK628" s="221"/>
    </row>
    <row r="629" spans="1:63" ht="12.75" hidden="1" customHeight="1" outlineLevel="1">
      <c r="A629" s="9"/>
      <c r="B629" s="44"/>
      <c r="C629" s="270">
        <f>Asset24</f>
        <v>0</v>
      </c>
      <c r="D629" s="9"/>
      <c r="E629" s="9"/>
      <c r="F629" s="28"/>
      <c r="G629" s="204">
        <f>Input!S30</f>
        <v>0</v>
      </c>
      <c r="H629" s="118"/>
      <c r="I629" s="118"/>
      <c r="J629" s="118"/>
      <c r="K629" s="118"/>
      <c r="L629" s="118"/>
      <c r="M629" s="106"/>
      <c r="N629" s="106"/>
      <c r="O629" s="106"/>
      <c r="P629" s="106"/>
      <c r="Q629" s="106"/>
      <c r="R629" s="106"/>
      <c r="S629" s="106"/>
      <c r="T629" s="106"/>
      <c r="U629" s="106"/>
      <c r="V629" s="106"/>
      <c r="W629" s="106"/>
      <c r="X629" s="106"/>
      <c r="Y629" s="106"/>
      <c r="Z629" s="106"/>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21"/>
      <c r="BK629" s="221"/>
    </row>
    <row r="630" spans="1:63" ht="12.75" hidden="1" customHeight="1" outlineLevel="1">
      <c r="A630" s="9"/>
      <c r="B630" s="44"/>
      <c r="C630" s="270">
        <f>Asset25</f>
        <v>0</v>
      </c>
      <c r="D630" s="9"/>
      <c r="E630" s="9"/>
      <c r="F630" s="28"/>
      <c r="G630" s="204">
        <f>Input!S31</f>
        <v>0</v>
      </c>
      <c r="H630" s="118"/>
      <c r="I630" s="118"/>
      <c r="J630" s="118"/>
      <c r="K630" s="118"/>
      <c r="L630" s="118"/>
      <c r="M630" s="106"/>
      <c r="N630" s="106"/>
      <c r="O630" s="106"/>
      <c r="P630" s="106"/>
      <c r="Q630" s="106"/>
      <c r="R630" s="106"/>
      <c r="S630" s="106"/>
      <c r="T630" s="106"/>
      <c r="U630" s="106"/>
      <c r="V630" s="106"/>
      <c r="W630" s="106"/>
      <c r="X630" s="106"/>
      <c r="Y630" s="106"/>
      <c r="Z630" s="106"/>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21"/>
      <c r="BK630" s="221"/>
    </row>
    <row r="631" spans="1:63" ht="12.75" hidden="1" customHeight="1" outlineLevel="1">
      <c r="A631" s="9"/>
      <c r="B631" s="44"/>
      <c r="C631" s="270">
        <f>Asset26</f>
        <v>0</v>
      </c>
      <c r="D631" s="9"/>
      <c r="E631" s="9"/>
      <c r="F631" s="28"/>
      <c r="G631" s="204">
        <f>Input!S32</f>
        <v>0</v>
      </c>
      <c r="H631" s="118"/>
      <c r="I631" s="118"/>
      <c r="J631" s="118"/>
      <c r="K631" s="118"/>
      <c r="L631" s="118"/>
      <c r="M631" s="106"/>
      <c r="N631" s="106"/>
      <c r="O631" s="106"/>
      <c r="P631" s="106"/>
      <c r="Q631" s="106"/>
      <c r="R631" s="106"/>
      <c r="S631" s="106"/>
      <c r="T631" s="106"/>
      <c r="U631" s="106"/>
      <c r="V631" s="106"/>
      <c r="W631" s="106"/>
      <c r="X631" s="106"/>
      <c r="Y631" s="106"/>
      <c r="Z631" s="106"/>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21"/>
      <c r="BK631" s="221"/>
    </row>
    <row r="632" spans="1:63" ht="12.75" hidden="1" customHeight="1" outlineLevel="1">
      <c r="A632" s="9"/>
      <c r="B632" s="44"/>
      <c r="C632" s="270">
        <f>Asset27</f>
        <v>0</v>
      </c>
      <c r="D632" s="9"/>
      <c r="E632" s="9"/>
      <c r="F632" s="28"/>
      <c r="G632" s="204">
        <f>Input!S33</f>
        <v>0</v>
      </c>
      <c r="H632" s="118"/>
      <c r="I632" s="118"/>
      <c r="J632" s="118"/>
      <c r="K632" s="118"/>
      <c r="L632" s="118"/>
      <c r="M632" s="106"/>
      <c r="N632" s="106"/>
      <c r="O632" s="106"/>
      <c r="P632" s="106"/>
      <c r="Q632" s="106"/>
      <c r="R632" s="106"/>
      <c r="S632" s="106"/>
      <c r="T632" s="106"/>
      <c r="U632" s="106"/>
      <c r="V632" s="106"/>
      <c r="W632" s="106"/>
      <c r="X632" s="106"/>
      <c r="Y632" s="106"/>
      <c r="Z632" s="106"/>
      <c r="AA632" s="215"/>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c r="BI632" s="215"/>
      <c r="BJ632" s="221"/>
      <c r="BK632" s="221"/>
    </row>
    <row r="633" spans="1:63" ht="12.75" hidden="1" customHeight="1" outlineLevel="1">
      <c r="A633" s="9"/>
      <c r="B633" s="44"/>
      <c r="C633" s="270">
        <f>Asset28</f>
        <v>0</v>
      </c>
      <c r="D633" s="9"/>
      <c r="E633" s="9"/>
      <c r="F633" s="28"/>
      <c r="G633" s="204">
        <f>Input!S34</f>
        <v>0</v>
      </c>
      <c r="H633" s="118"/>
      <c r="I633" s="118"/>
      <c r="J633" s="118"/>
      <c r="K633" s="118"/>
      <c r="L633" s="118"/>
      <c r="M633" s="106"/>
      <c r="N633" s="106"/>
      <c r="O633" s="106"/>
      <c r="P633" s="106"/>
      <c r="Q633" s="106"/>
      <c r="R633" s="106"/>
      <c r="S633" s="106"/>
      <c r="T633" s="106"/>
      <c r="U633" s="106"/>
      <c r="V633" s="106"/>
      <c r="W633" s="106"/>
      <c r="X633" s="106"/>
      <c r="Y633" s="106"/>
      <c r="Z633" s="106"/>
      <c r="AA633" s="215"/>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c r="BI633" s="215"/>
      <c r="BJ633" s="221"/>
      <c r="BK633" s="221"/>
    </row>
    <row r="634" spans="1:63" ht="12.75" hidden="1" customHeight="1" outlineLevel="1">
      <c r="A634" s="9"/>
      <c r="B634" s="44"/>
      <c r="C634" s="270">
        <f>Asset29</f>
        <v>0</v>
      </c>
      <c r="D634" s="9"/>
      <c r="E634" s="9"/>
      <c r="F634" s="28"/>
      <c r="G634" s="204">
        <f>Input!S35</f>
        <v>0</v>
      </c>
      <c r="H634" s="118"/>
      <c r="I634" s="118"/>
      <c r="J634" s="118"/>
      <c r="K634" s="118"/>
      <c r="L634" s="118"/>
      <c r="M634" s="106"/>
      <c r="N634" s="106"/>
      <c r="O634" s="106"/>
      <c r="P634" s="106"/>
      <c r="Q634" s="106"/>
      <c r="R634" s="106"/>
      <c r="S634" s="106"/>
      <c r="T634" s="106"/>
      <c r="U634" s="106"/>
      <c r="V634" s="106"/>
      <c r="W634" s="106"/>
      <c r="X634" s="106"/>
      <c r="Y634" s="106"/>
      <c r="Z634" s="106"/>
      <c r="AA634" s="215"/>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c r="BI634" s="215"/>
      <c r="BJ634" s="221"/>
      <c r="BK634" s="221"/>
    </row>
    <row r="635" spans="1:63" ht="12.75" hidden="1" customHeight="1" outlineLevel="1">
      <c r="A635" s="9"/>
      <c r="B635" s="44"/>
      <c r="C635" s="270">
        <f>Asset30</f>
        <v>0</v>
      </c>
      <c r="D635" s="9"/>
      <c r="E635" s="9"/>
      <c r="F635" s="28"/>
      <c r="G635" s="204">
        <f>Input!S36</f>
        <v>0</v>
      </c>
      <c r="H635" s="118"/>
      <c r="I635" s="118"/>
      <c r="J635" s="118"/>
      <c r="K635" s="118"/>
      <c r="L635" s="118"/>
      <c r="M635" s="106"/>
      <c r="N635" s="106"/>
      <c r="O635" s="106"/>
      <c r="P635" s="106"/>
      <c r="Q635" s="106"/>
      <c r="R635" s="106"/>
      <c r="S635" s="106"/>
      <c r="T635" s="106"/>
      <c r="U635" s="106"/>
      <c r="V635" s="106"/>
      <c r="W635" s="106"/>
      <c r="X635" s="106"/>
      <c r="Y635" s="106"/>
      <c r="Z635" s="106"/>
      <c r="AA635" s="215"/>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c r="BI635" s="215"/>
      <c r="BJ635" s="221"/>
      <c r="BK635" s="221"/>
    </row>
    <row r="636" spans="1:63" collapsed="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198"/>
      <c r="AB636" s="198"/>
      <c r="AC636" s="198"/>
      <c r="AD636" s="198"/>
      <c r="AE636" s="198"/>
      <c r="AF636" s="198"/>
      <c r="AG636" s="198"/>
      <c r="AH636" s="198"/>
      <c r="AI636" s="198"/>
      <c r="AJ636" s="198"/>
      <c r="AK636" s="198"/>
      <c r="AL636" s="198"/>
      <c r="AM636" s="198"/>
      <c r="AN636" s="198"/>
      <c r="AO636" s="198"/>
      <c r="AP636" s="198"/>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row>
    <row r="637" spans="1:63" ht="13.5" customHeight="1" collapsed="1">
      <c r="A637" s="9"/>
      <c r="B637" s="332" t="s">
        <v>158</v>
      </c>
      <c r="C637" s="333"/>
      <c r="D637" s="334"/>
      <c r="E637" s="334"/>
      <c r="F637" s="335"/>
      <c r="G637" s="336">
        <f>SUM(G638:G657)</f>
        <v>115.84899999999999</v>
      </c>
      <c r="H637" s="9"/>
      <c r="I637" s="118"/>
      <c r="J637" s="118"/>
      <c r="K637" s="118"/>
      <c r="L637" s="118"/>
      <c r="M637" s="106"/>
      <c r="N637" s="106"/>
      <c r="O637" s="106"/>
      <c r="P637" s="106"/>
      <c r="Q637" s="106"/>
      <c r="R637" s="106"/>
      <c r="S637" s="106"/>
      <c r="T637" s="106"/>
      <c r="U637" s="106"/>
      <c r="V637" s="106"/>
      <c r="W637" s="106"/>
      <c r="X637" s="106"/>
      <c r="Y637" s="106"/>
      <c r="Z637" s="106"/>
      <c r="AA637" s="215"/>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c r="BI637" s="215"/>
      <c r="BJ637" s="221"/>
      <c r="BK637" s="221"/>
    </row>
    <row r="638" spans="1:63" ht="12.75" hidden="1" customHeight="1" outlineLevel="1">
      <c r="A638" s="9"/>
      <c r="B638" s="44"/>
      <c r="C638" s="127" t="str">
        <f>Asset1</f>
        <v>Secondary</v>
      </c>
      <c r="D638" s="9"/>
      <c r="E638" s="9"/>
      <c r="F638" s="28"/>
      <c r="G638" s="204">
        <f>Input!N7</f>
        <v>17.722999999999999</v>
      </c>
      <c r="H638" s="9"/>
      <c r="I638" s="118"/>
      <c r="J638" s="118"/>
      <c r="K638" s="118"/>
      <c r="L638" s="118"/>
      <c r="M638" s="106"/>
      <c r="N638" s="106"/>
      <c r="O638" s="106"/>
      <c r="P638" s="106"/>
      <c r="Q638" s="106"/>
      <c r="R638" s="106"/>
      <c r="S638" s="106"/>
      <c r="T638" s="106"/>
      <c r="U638" s="106"/>
      <c r="V638" s="106"/>
      <c r="W638" s="106"/>
      <c r="X638" s="106"/>
      <c r="Y638" s="106"/>
      <c r="Z638" s="106"/>
      <c r="AA638" s="215"/>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c r="BI638" s="215"/>
      <c r="BJ638" s="221"/>
      <c r="BK638" s="221"/>
    </row>
    <row r="639" spans="1:63" ht="12.75" hidden="1" customHeight="1" outlineLevel="1">
      <c r="A639" s="9"/>
      <c r="B639" s="44"/>
      <c r="C639" s="127" t="str">
        <f>Asset2</f>
        <v>Switchgear</v>
      </c>
      <c r="D639" s="9"/>
      <c r="E639" s="9"/>
      <c r="F639" s="28"/>
      <c r="G639" s="204">
        <f>Input!N8</f>
        <v>59.128999999999998</v>
      </c>
      <c r="H639" s="118"/>
      <c r="I639" s="118"/>
      <c r="J639" s="118"/>
      <c r="K639" s="118"/>
      <c r="L639" s="118"/>
      <c r="M639" s="106"/>
      <c r="N639" s="106"/>
      <c r="O639" s="106"/>
      <c r="P639" s="106"/>
      <c r="Q639" s="106"/>
      <c r="R639" s="106"/>
      <c r="S639" s="106"/>
      <c r="T639" s="106"/>
      <c r="U639" s="106"/>
      <c r="V639" s="106"/>
      <c r="W639" s="106"/>
      <c r="X639" s="106"/>
      <c r="Y639" s="106"/>
      <c r="Z639" s="106"/>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21"/>
      <c r="BK639" s="221"/>
    </row>
    <row r="640" spans="1:63" ht="12.75" hidden="1" customHeight="1" outlineLevel="1">
      <c r="A640" s="9"/>
      <c r="B640" s="44"/>
      <c r="C640" s="127" t="str">
        <f>Asset3</f>
        <v>Transformers</v>
      </c>
      <c r="D640" s="9"/>
      <c r="E640" s="9"/>
      <c r="F640" s="28"/>
      <c r="G640" s="204">
        <f>Input!N9</f>
        <v>15.13</v>
      </c>
      <c r="H640" s="118"/>
      <c r="I640" s="118"/>
      <c r="J640" s="118"/>
      <c r="K640" s="118"/>
      <c r="L640" s="118"/>
      <c r="M640" s="106"/>
      <c r="N640" s="106"/>
      <c r="O640" s="106"/>
      <c r="P640" s="106"/>
      <c r="Q640" s="106"/>
      <c r="R640" s="106"/>
      <c r="S640" s="106"/>
      <c r="T640" s="106"/>
      <c r="U640" s="106"/>
      <c r="V640" s="106"/>
      <c r="W640" s="106"/>
      <c r="X640" s="106"/>
      <c r="Y640" s="106"/>
      <c r="Z640" s="106"/>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21"/>
      <c r="BK640" s="221"/>
    </row>
    <row r="641" spans="1:63" ht="12.75" hidden="1" customHeight="1" outlineLevel="1">
      <c r="A641" s="9"/>
      <c r="B641" s="44"/>
      <c r="C641" s="127" t="str">
        <f>Asset4</f>
        <v>Reactive</v>
      </c>
      <c r="D641" s="9"/>
      <c r="E641" s="9"/>
      <c r="F641" s="28"/>
      <c r="G641" s="204">
        <f>Input!N10</f>
        <v>12.513</v>
      </c>
      <c r="H641" s="118"/>
      <c r="I641" s="118"/>
      <c r="J641" s="118"/>
      <c r="K641" s="118"/>
      <c r="L641" s="118"/>
      <c r="M641" s="106"/>
      <c r="N641" s="106"/>
      <c r="O641" s="106"/>
      <c r="P641" s="106"/>
      <c r="Q641" s="106"/>
      <c r="R641" s="106"/>
      <c r="S641" s="106"/>
      <c r="T641" s="106"/>
      <c r="U641" s="106"/>
      <c r="V641" s="106"/>
      <c r="W641" s="106"/>
      <c r="X641" s="106"/>
      <c r="Y641" s="106"/>
      <c r="Z641" s="106"/>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21"/>
      <c r="BK641" s="221"/>
    </row>
    <row r="642" spans="1:63" ht="12.75" hidden="1" customHeight="1" outlineLevel="1">
      <c r="A642" s="9"/>
      <c r="B642" s="44"/>
      <c r="C642" s="127" t="str">
        <f>Asset5</f>
        <v>Towers and Conductor</v>
      </c>
      <c r="D642" s="9"/>
      <c r="E642" s="9"/>
      <c r="F642" s="28"/>
      <c r="G642" s="204">
        <f>Input!N11</f>
        <v>5.907</v>
      </c>
      <c r="H642" s="118"/>
      <c r="I642" s="118"/>
      <c r="J642" s="118"/>
      <c r="K642" s="118"/>
      <c r="L642" s="118"/>
      <c r="M642" s="106"/>
      <c r="N642" s="106"/>
      <c r="O642" s="106"/>
      <c r="P642" s="106"/>
      <c r="Q642" s="106"/>
      <c r="R642" s="106"/>
      <c r="S642" s="106"/>
      <c r="T642" s="106"/>
      <c r="U642" s="106"/>
      <c r="V642" s="106"/>
      <c r="W642" s="106"/>
      <c r="X642" s="106"/>
      <c r="Y642" s="106"/>
      <c r="Z642" s="106"/>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21"/>
      <c r="BK642" s="221"/>
    </row>
    <row r="643" spans="1:63" ht="12.75" hidden="1" customHeight="1" outlineLevel="1">
      <c r="A643" s="9"/>
      <c r="B643" s="44"/>
      <c r="C643" s="127" t="str">
        <f>Asset6</f>
        <v>Establishment</v>
      </c>
      <c r="D643" s="9"/>
      <c r="E643" s="9"/>
      <c r="F643" s="28"/>
      <c r="G643" s="204">
        <f>Input!N12</f>
        <v>4.085</v>
      </c>
      <c r="H643" s="118"/>
      <c r="I643" s="118"/>
      <c r="J643" s="118"/>
      <c r="K643" s="118"/>
      <c r="L643" s="118"/>
      <c r="M643" s="106"/>
      <c r="N643" s="106"/>
      <c r="O643" s="106"/>
      <c r="P643" s="106"/>
      <c r="Q643" s="106"/>
      <c r="R643" s="106"/>
      <c r="S643" s="106"/>
      <c r="T643" s="106"/>
      <c r="U643" s="106"/>
      <c r="V643" s="106"/>
      <c r="W643" s="106"/>
      <c r="X643" s="106"/>
      <c r="Y643" s="106"/>
      <c r="Z643" s="106"/>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21"/>
      <c r="BK643" s="221"/>
    </row>
    <row r="644" spans="1:63" ht="12.75" hidden="1" customHeight="1" outlineLevel="1">
      <c r="A644" s="9"/>
      <c r="B644" s="44"/>
      <c r="C644" s="127" t="str">
        <f>Asset7</f>
        <v>Communications</v>
      </c>
      <c r="D644" s="9"/>
      <c r="E644" s="9"/>
      <c r="F644" s="28"/>
      <c r="G644" s="204">
        <f>Input!N13</f>
        <v>1.3620000000000001</v>
      </c>
      <c r="H644" s="118"/>
      <c r="I644" s="118"/>
      <c r="J644" s="118"/>
      <c r="K644" s="118"/>
      <c r="L644" s="118"/>
      <c r="M644" s="106"/>
      <c r="N644" s="106"/>
      <c r="O644" s="106"/>
      <c r="P644" s="106"/>
      <c r="Q644" s="106"/>
      <c r="R644" s="106"/>
      <c r="S644" s="106"/>
      <c r="T644" s="106"/>
      <c r="U644" s="106"/>
      <c r="V644" s="106"/>
      <c r="W644" s="106"/>
      <c r="X644" s="106"/>
      <c r="Y644" s="106"/>
      <c r="Z644" s="106"/>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21"/>
      <c r="BK644" s="221"/>
    </row>
    <row r="645" spans="1:63" ht="12.75" hidden="1" customHeight="1" outlineLevel="1">
      <c r="A645" s="9"/>
      <c r="B645" s="44"/>
      <c r="C645" s="127" t="str">
        <f>Asset8</f>
        <v>Inventory</v>
      </c>
      <c r="D645" s="9"/>
      <c r="E645" s="9"/>
      <c r="F645" s="28"/>
      <c r="G645" s="204">
        <f>Input!N14</f>
        <v>0</v>
      </c>
      <c r="H645" s="118"/>
      <c r="I645" s="118"/>
      <c r="J645" s="118"/>
      <c r="K645" s="118"/>
      <c r="L645" s="118"/>
      <c r="M645" s="106"/>
      <c r="N645" s="106"/>
      <c r="O645" s="106"/>
      <c r="P645" s="106"/>
      <c r="Q645" s="106"/>
      <c r="R645" s="106"/>
      <c r="S645" s="106"/>
      <c r="T645" s="106"/>
      <c r="U645" s="106"/>
      <c r="V645" s="106"/>
      <c r="W645" s="106"/>
      <c r="X645" s="106"/>
      <c r="Y645" s="106"/>
      <c r="Z645" s="106"/>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21"/>
      <c r="BK645" s="221"/>
    </row>
    <row r="646" spans="1:63" ht="12.75" hidden="1" customHeight="1" outlineLevel="1">
      <c r="A646" s="9"/>
      <c r="B646" s="44"/>
      <c r="C646" s="127" t="str">
        <f>Asset9</f>
        <v>IT</v>
      </c>
      <c r="D646" s="9"/>
      <c r="E646" s="9"/>
      <c r="F646" s="28"/>
      <c r="G646" s="204">
        <f>Input!N15</f>
        <v>0</v>
      </c>
      <c r="H646" s="118"/>
      <c r="I646" s="118"/>
      <c r="J646" s="118"/>
      <c r="K646" s="118"/>
      <c r="L646" s="118"/>
      <c r="M646" s="106"/>
      <c r="N646" s="106"/>
      <c r="O646" s="106"/>
      <c r="P646" s="106"/>
      <c r="Q646" s="106"/>
      <c r="R646" s="106"/>
      <c r="S646" s="106"/>
      <c r="T646" s="106"/>
      <c r="U646" s="106"/>
      <c r="V646" s="106"/>
      <c r="W646" s="106"/>
      <c r="X646" s="106"/>
      <c r="Y646" s="106"/>
      <c r="Z646" s="106"/>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21"/>
      <c r="BK646" s="221"/>
    </row>
    <row r="647" spans="1:63" ht="12.75" hidden="1" customHeight="1" outlineLevel="1">
      <c r="A647" s="9"/>
      <c r="B647" s="44"/>
      <c r="C647" s="127" t="str">
        <f>Asset10</f>
        <v>Vehicles</v>
      </c>
      <c r="D647" s="9"/>
      <c r="E647" s="9"/>
      <c r="F647" s="28"/>
      <c r="G647" s="204">
        <f>Input!N16</f>
        <v>0</v>
      </c>
      <c r="H647" s="118"/>
      <c r="I647" s="118"/>
      <c r="J647" s="118"/>
      <c r="K647" s="118"/>
      <c r="L647" s="118"/>
      <c r="M647" s="106"/>
      <c r="N647" s="106"/>
      <c r="O647" s="106"/>
      <c r="P647" s="106"/>
      <c r="Q647" s="106"/>
      <c r="R647" s="106"/>
      <c r="S647" s="106"/>
      <c r="T647" s="106"/>
      <c r="U647" s="106"/>
      <c r="V647" s="106"/>
      <c r="W647" s="106"/>
      <c r="X647" s="106"/>
      <c r="Y647" s="106"/>
      <c r="Z647" s="106"/>
      <c r="AA647" s="215"/>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c r="BI647" s="215"/>
      <c r="BJ647" s="221"/>
      <c r="BK647" s="221"/>
    </row>
    <row r="648" spans="1:63" ht="12.75" hidden="1" customHeight="1" outlineLevel="1">
      <c r="A648" s="9"/>
      <c r="B648" s="44"/>
      <c r="C648" s="127" t="str">
        <f>Asset11</f>
        <v>other</v>
      </c>
      <c r="D648" s="9"/>
      <c r="E648" s="9"/>
      <c r="F648" s="28"/>
      <c r="G648" s="204">
        <f>Input!N17</f>
        <v>0</v>
      </c>
      <c r="H648" s="118"/>
      <c r="I648" s="118"/>
      <c r="J648" s="118"/>
      <c r="K648" s="118"/>
      <c r="L648" s="118"/>
      <c r="M648" s="106"/>
      <c r="N648" s="106"/>
      <c r="O648" s="106"/>
      <c r="P648" s="106"/>
      <c r="Q648" s="106"/>
      <c r="R648" s="106"/>
      <c r="S648" s="106"/>
      <c r="T648" s="106"/>
      <c r="U648" s="106"/>
      <c r="V648" s="106"/>
      <c r="W648" s="106"/>
      <c r="X648" s="106"/>
      <c r="Y648" s="106"/>
      <c r="Z648" s="106"/>
      <c r="AA648" s="215"/>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c r="BI648" s="215"/>
      <c r="BJ648" s="221"/>
      <c r="BK648" s="221"/>
    </row>
    <row r="649" spans="1:63" ht="12.75" hidden="1" customHeight="1" outlineLevel="1">
      <c r="A649" s="9"/>
      <c r="B649" s="44"/>
      <c r="C649" s="127" t="str">
        <f>Asset12</f>
        <v>premises</v>
      </c>
      <c r="D649" s="9"/>
      <c r="E649" s="9"/>
      <c r="F649" s="28"/>
      <c r="G649" s="204">
        <f>Input!N18</f>
        <v>0</v>
      </c>
      <c r="H649" s="118"/>
      <c r="I649" s="118"/>
      <c r="J649" s="118"/>
      <c r="K649" s="118"/>
      <c r="L649" s="118"/>
      <c r="M649" s="106"/>
      <c r="N649" s="106"/>
      <c r="O649" s="106"/>
      <c r="P649" s="106"/>
      <c r="Q649" s="106"/>
      <c r="R649" s="106"/>
      <c r="S649" s="106"/>
      <c r="T649" s="106"/>
      <c r="U649" s="106"/>
      <c r="V649" s="106"/>
      <c r="W649" s="106"/>
      <c r="X649" s="106"/>
      <c r="Y649" s="106"/>
      <c r="Z649" s="106"/>
      <c r="AA649" s="215"/>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c r="BI649" s="215"/>
      <c r="BJ649" s="221"/>
      <c r="BK649" s="221"/>
    </row>
    <row r="650" spans="1:63" ht="12.75" hidden="1" customHeight="1" outlineLevel="1">
      <c r="A650" s="9"/>
      <c r="B650" s="44"/>
      <c r="C650" s="127" t="str">
        <f>Asset13</f>
        <v>Land</v>
      </c>
      <c r="D650" s="9"/>
      <c r="E650" s="9"/>
      <c r="F650" s="28"/>
      <c r="G650" s="204">
        <f>Input!N19</f>
        <v>0</v>
      </c>
      <c r="H650" s="118"/>
      <c r="I650" s="118"/>
      <c r="J650" s="118"/>
      <c r="K650" s="118"/>
      <c r="L650" s="118"/>
      <c r="M650" s="106"/>
      <c r="N650" s="106"/>
      <c r="O650" s="106"/>
      <c r="P650" s="106"/>
      <c r="Q650" s="106"/>
      <c r="R650" s="106"/>
      <c r="S650" s="106"/>
      <c r="T650" s="106"/>
      <c r="U650" s="106"/>
      <c r="V650" s="106"/>
      <c r="W650" s="106"/>
      <c r="X650" s="106"/>
      <c r="Y650" s="106"/>
      <c r="Z650" s="106"/>
      <c r="AA650" s="215"/>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c r="BI650" s="215"/>
      <c r="BJ650" s="221"/>
      <c r="BK650" s="221"/>
    </row>
    <row r="651" spans="1:63" ht="12.75" hidden="1" customHeight="1" outlineLevel="1">
      <c r="A651" s="9"/>
      <c r="B651" s="44"/>
      <c r="C651" s="127" t="str">
        <f>Asset14</f>
        <v>Easements</v>
      </c>
      <c r="D651" s="9"/>
      <c r="E651" s="9"/>
      <c r="F651" s="28"/>
      <c r="G651" s="204">
        <f>Input!N20</f>
        <v>0</v>
      </c>
      <c r="H651" s="118"/>
      <c r="I651" s="118"/>
      <c r="J651" s="118"/>
      <c r="K651" s="118"/>
      <c r="L651" s="118"/>
      <c r="M651" s="106"/>
      <c r="N651" s="106"/>
      <c r="O651" s="106"/>
      <c r="P651" s="106"/>
      <c r="Q651" s="106"/>
      <c r="R651" s="106"/>
      <c r="S651" s="106"/>
      <c r="T651" s="106"/>
      <c r="U651" s="106"/>
      <c r="V651" s="106"/>
      <c r="W651" s="106"/>
      <c r="X651" s="106"/>
      <c r="Y651" s="106"/>
      <c r="Z651" s="106"/>
      <c r="AA651" s="215"/>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c r="BI651" s="215"/>
      <c r="BJ651" s="221"/>
      <c r="BK651" s="221"/>
    </row>
    <row r="652" spans="1:63" ht="12.75" hidden="1" customHeight="1" outlineLevel="1">
      <c r="A652" s="9"/>
      <c r="B652" s="44"/>
      <c r="C652" s="127">
        <f>Asset15</f>
        <v>0</v>
      </c>
      <c r="D652" s="9"/>
      <c r="E652" s="9"/>
      <c r="F652" s="28"/>
      <c r="G652" s="204">
        <f>Input!N21</f>
        <v>0</v>
      </c>
      <c r="H652" s="118"/>
      <c r="I652" s="118"/>
      <c r="J652" s="118"/>
      <c r="K652" s="118"/>
      <c r="L652" s="118"/>
      <c r="M652" s="106"/>
      <c r="N652" s="106"/>
      <c r="O652" s="106"/>
      <c r="P652" s="106"/>
      <c r="Q652" s="106"/>
      <c r="R652" s="106"/>
      <c r="S652" s="106"/>
      <c r="T652" s="106"/>
      <c r="U652" s="106"/>
      <c r="V652" s="106"/>
      <c r="W652" s="106"/>
      <c r="X652" s="106"/>
      <c r="Y652" s="106"/>
      <c r="Z652" s="106"/>
      <c r="AA652" s="215"/>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c r="BI652" s="215"/>
      <c r="BJ652" s="221"/>
      <c r="BK652" s="221"/>
    </row>
    <row r="653" spans="1:63" ht="12.75" hidden="1" customHeight="1" outlineLevel="1">
      <c r="A653" s="9"/>
      <c r="B653" s="44"/>
      <c r="C653" s="127">
        <f>Asset16</f>
        <v>0</v>
      </c>
      <c r="D653" s="9"/>
      <c r="E653" s="9"/>
      <c r="F653" s="28"/>
      <c r="G653" s="204">
        <f>Input!N22</f>
        <v>0</v>
      </c>
      <c r="H653" s="118"/>
      <c r="I653" s="118"/>
      <c r="J653" s="118"/>
      <c r="K653" s="118"/>
      <c r="L653" s="118"/>
      <c r="M653" s="106"/>
      <c r="N653" s="106"/>
      <c r="O653" s="106"/>
      <c r="P653" s="106"/>
      <c r="Q653" s="106"/>
      <c r="R653" s="106"/>
      <c r="S653" s="106"/>
      <c r="T653" s="106"/>
      <c r="U653" s="106"/>
      <c r="V653" s="106"/>
      <c r="W653" s="106"/>
      <c r="X653" s="106"/>
      <c r="Y653" s="106"/>
      <c r="Z653" s="106"/>
      <c r="AA653" s="215"/>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c r="BI653" s="215"/>
      <c r="BJ653" s="221"/>
      <c r="BK653" s="221"/>
    </row>
    <row r="654" spans="1:63" ht="12.75" hidden="1" customHeight="1" outlineLevel="1">
      <c r="A654" s="9"/>
      <c r="B654" s="44"/>
      <c r="C654" s="127">
        <f>Asset17</f>
        <v>0</v>
      </c>
      <c r="D654" s="9"/>
      <c r="E654" s="9"/>
      <c r="F654" s="28"/>
      <c r="G654" s="204">
        <f>Input!N23</f>
        <v>0</v>
      </c>
      <c r="H654" s="118"/>
      <c r="I654" s="118"/>
      <c r="J654" s="118"/>
      <c r="K654" s="118"/>
      <c r="L654" s="118"/>
      <c r="M654" s="106"/>
      <c r="N654" s="106"/>
      <c r="O654" s="106"/>
      <c r="P654" s="106"/>
      <c r="Q654" s="106"/>
      <c r="R654" s="106"/>
      <c r="S654" s="106"/>
      <c r="T654" s="106"/>
      <c r="U654" s="106"/>
      <c r="V654" s="106"/>
      <c r="W654" s="106"/>
      <c r="X654" s="106"/>
      <c r="Y654" s="106"/>
      <c r="Z654" s="106"/>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21"/>
      <c r="BK654" s="221"/>
    </row>
    <row r="655" spans="1:63" ht="12.75" hidden="1" customHeight="1" outlineLevel="1">
      <c r="A655" s="9"/>
      <c r="B655" s="44"/>
      <c r="C655" s="127">
        <f>Asset18</f>
        <v>0</v>
      </c>
      <c r="D655" s="9"/>
      <c r="E655" s="9"/>
      <c r="F655" s="28"/>
      <c r="G655" s="204">
        <f>Input!N24</f>
        <v>0</v>
      </c>
      <c r="H655" s="118"/>
      <c r="I655" s="118"/>
      <c r="J655" s="118"/>
      <c r="K655" s="118"/>
      <c r="L655" s="118"/>
      <c r="M655" s="106"/>
      <c r="N655" s="106"/>
      <c r="O655" s="106"/>
      <c r="P655" s="106"/>
      <c r="Q655" s="106"/>
      <c r="R655" s="106"/>
      <c r="S655" s="106"/>
      <c r="T655" s="106"/>
      <c r="U655" s="106"/>
      <c r="V655" s="106"/>
      <c r="W655" s="106"/>
      <c r="X655" s="106"/>
      <c r="Y655" s="106"/>
      <c r="Z655" s="106"/>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21"/>
      <c r="BK655" s="221"/>
    </row>
    <row r="656" spans="1:63" ht="12.75" hidden="1" customHeight="1" outlineLevel="1">
      <c r="A656" s="9"/>
      <c r="B656" s="44"/>
      <c r="C656" s="127">
        <f>Asset19</f>
        <v>0</v>
      </c>
      <c r="D656" s="9"/>
      <c r="E656" s="9"/>
      <c r="F656" s="28"/>
      <c r="G656" s="204">
        <f>Input!N25</f>
        <v>0</v>
      </c>
      <c r="H656" s="118"/>
      <c r="I656" s="118"/>
      <c r="J656" s="118"/>
      <c r="K656" s="118"/>
      <c r="L656" s="118"/>
      <c r="M656" s="106"/>
      <c r="N656" s="106"/>
      <c r="O656" s="106"/>
      <c r="P656" s="106"/>
      <c r="Q656" s="106"/>
      <c r="R656" s="106"/>
      <c r="S656" s="106"/>
      <c r="T656" s="106"/>
      <c r="U656" s="106"/>
      <c r="V656" s="106"/>
      <c r="W656" s="106"/>
      <c r="X656" s="106"/>
      <c r="Y656" s="106"/>
      <c r="Z656" s="106"/>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21"/>
      <c r="BK656" s="221"/>
    </row>
    <row r="657" spans="1:63" ht="12.75" hidden="1" customHeight="1" outlineLevel="1">
      <c r="A657" s="9"/>
      <c r="B657" s="44"/>
      <c r="C657" s="127">
        <f>Asset20</f>
        <v>0</v>
      </c>
      <c r="D657" s="9"/>
      <c r="E657" s="9"/>
      <c r="F657" s="28"/>
      <c r="G657" s="204">
        <f>Input!N26</f>
        <v>0</v>
      </c>
      <c r="H657" s="118"/>
      <c r="I657" s="118"/>
      <c r="J657" s="118"/>
      <c r="K657" s="118"/>
      <c r="L657" s="118"/>
      <c r="M657" s="106"/>
      <c r="N657" s="106"/>
      <c r="O657" s="106"/>
      <c r="P657" s="106"/>
      <c r="Q657" s="106"/>
      <c r="R657" s="106"/>
      <c r="S657" s="106"/>
      <c r="T657" s="106"/>
      <c r="U657" s="106"/>
      <c r="V657" s="106"/>
      <c r="W657" s="106"/>
      <c r="X657" s="106"/>
      <c r="Y657" s="106"/>
      <c r="Z657" s="106"/>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21"/>
      <c r="BK657" s="221"/>
    </row>
    <row r="658" spans="1:63" hidden="1" outlineLevel="1">
      <c r="A658" s="9"/>
      <c r="B658" s="44"/>
      <c r="C658" s="127">
        <f>Asset21</f>
        <v>0</v>
      </c>
      <c r="D658" s="9"/>
      <c r="E658" s="9"/>
      <c r="F658" s="28"/>
      <c r="G658" s="204">
        <f>Input!N27</f>
        <v>0</v>
      </c>
      <c r="H658" s="118"/>
      <c r="I658" s="118"/>
      <c r="J658" s="118"/>
      <c r="K658" s="118"/>
      <c r="L658" s="118"/>
      <c r="M658" s="106"/>
      <c r="N658" s="106"/>
      <c r="O658" s="106"/>
      <c r="P658" s="106"/>
      <c r="Q658" s="106"/>
      <c r="R658" s="106"/>
      <c r="S658" s="106"/>
      <c r="T658" s="106"/>
      <c r="U658" s="106"/>
      <c r="V658" s="106"/>
      <c r="W658" s="106"/>
      <c r="X658" s="106"/>
      <c r="Y658" s="106"/>
      <c r="Z658" s="106"/>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21"/>
      <c r="BK658" s="221"/>
    </row>
    <row r="659" spans="1:63" hidden="1" outlineLevel="1">
      <c r="A659" s="9"/>
      <c r="B659" s="9"/>
      <c r="C659" s="127">
        <f>Asset22</f>
        <v>0</v>
      </c>
      <c r="D659" s="9"/>
      <c r="E659" s="9"/>
      <c r="F659" s="28"/>
      <c r="G659" s="204">
        <f>Input!N28</f>
        <v>0</v>
      </c>
      <c r="H659" s="9"/>
      <c r="I659" s="9"/>
      <c r="J659" s="9"/>
      <c r="K659" s="9"/>
      <c r="L659" s="9"/>
      <c r="M659" s="9"/>
      <c r="N659" s="9"/>
      <c r="O659" s="9"/>
      <c r="P659" s="9"/>
      <c r="Q659" s="9"/>
      <c r="R659" s="9"/>
      <c r="S659" s="9"/>
      <c r="T659" s="9"/>
      <c r="U659" s="9"/>
      <c r="V659" s="9"/>
      <c r="W659" s="9"/>
      <c r="X659" s="9"/>
      <c r="Y659" s="9"/>
      <c r="Z659" s="9"/>
      <c r="AA659" s="198"/>
      <c r="AB659" s="198"/>
      <c r="AC659" s="198"/>
      <c r="AD659" s="198"/>
      <c r="AE659" s="198"/>
      <c r="AF659" s="198"/>
      <c r="AG659" s="198"/>
      <c r="AH659" s="198"/>
      <c r="AI659" s="198"/>
      <c r="AJ659" s="198"/>
      <c r="AK659" s="198"/>
      <c r="AL659" s="198"/>
      <c r="AM659" s="198"/>
      <c r="AN659" s="198"/>
      <c r="AO659" s="198"/>
      <c r="AP659" s="198"/>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row>
    <row r="660" spans="1:63" hidden="1" outlineLevel="1">
      <c r="A660" s="9"/>
      <c r="B660" s="9"/>
      <c r="C660" s="127">
        <f>Asset23</f>
        <v>0</v>
      </c>
      <c r="D660" s="9"/>
      <c r="E660" s="9"/>
      <c r="F660" s="28"/>
      <c r="G660" s="204">
        <f>Input!N29</f>
        <v>0</v>
      </c>
      <c r="H660" s="9"/>
      <c r="I660" s="9"/>
      <c r="J660" s="9"/>
      <c r="K660" s="9"/>
      <c r="L660" s="9"/>
      <c r="M660" s="9"/>
      <c r="N660" s="9"/>
      <c r="O660" s="9"/>
      <c r="P660" s="9"/>
      <c r="Q660" s="9"/>
      <c r="R660" s="9"/>
      <c r="S660" s="9"/>
      <c r="T660" s="9"/>
      <c r="U660" s="9"/>
      <c r="V660" s="9"/>
      <c r="W660" s="9"/>
      <c r="X660" s="9"/>
      <c r="Y660" s="9"/>
      <c r="Z660" s="9"/>
      <c r="AA660" s="198"/>
      <c r="AB660" s="198"/>
      <c r="AC660" s="198"/>
      <c r="AD660" s="198"/>
      <c r="AE660" s="198"/>
      <c r="AF660" s="198"/>
      <c r="AG660" s="198"/>
      <c r="AH660" s="198"/>
      <c r="AI660" s="198"/>
      <c r="AJ660" s="198"/>
      <c r="AK660" s="198"/>
      <c r="AL660" s="198"/>
      <c r="AM660" s="198"/>
      <c r="AN660" s="198"/>
      <c r="AO660" s="198"/>
      <c r="AP660" s="198"/>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row>
    <row r="661" spans="1:63" hidden="1" outlineLevel="1">
      <c r="A661" s="9"/>
      <c r="B661" s="9"/>
      <c r="C661" s="127">
        <f>Asset24</f>
        <v>0</v>
      </c>
      <c r="D661" s="9"/>
      <c r="E661" s="9"/>
      <c r="F661" s="28"/>
      <c r="G661" s="204">
        <f>Input!N30</f>
        <v>0</v>
      </c>
      <c r="H661" s="9"/>
      <c r="I661" s="9"/>
      <c r="J661" s="9"/>
      <c r="K661" s="9"/>
      <c r="L661" s="9"/>
      <c r="M661" s="9"/>
      <c r="N661" s="9"/>
      <c r="O661" s="9"/>
      <c r="P661" s="9"/>
      <c r="Q661" s="9"/>
      <c r="R661" s="9"/>
      <c r="S661" s="9"/>
      <c r="T661" s="9"/>
      <c r="U661" s="9"/>
      <c r="V661" s="9"/>
      <c r="W661" s="9"/>
      <c r="X661" s="9"/>
      <c r="Y661" s="9"/>
      <c r="Z661" s="9"/>
      <c r="AA661" s="198"/>
      <c r="AB661" s="198"/>
      <c r="AC661" s="198"/>
      <c r="AD661" s="198"/>
      <c r="AE661" s="198"/>
      <c r="AF661" s="198"/>
      <c r="AG661" s="198"/>
      <c r="AH661" s="198"/>
      <c r="AI661" s="198"/>
      <c r="AJ661" s="198"/>
      <c r="AK661" s="198"/>
      <c r="AL661" s="198"/>
      <c r="AM661" s="198"/>
      <c r="AN661" s="198"/>
      <c r="AO661" s="198"/>
      <c r="AP661" s="198"/>
      <c r="AQ661" s="198"/>
      <c r="AR661" s="198"/>
      <c r="AS661" s="198"/>
      <c r="AT661" s="198"/>
      <c r="AU661" s="198"/>
      <c r="AV661" s="198"/>
      <c r="AW661" s="198"/>
      <c r="AX661" s="198"/>
      <c r="AY661" s="198"/>
      <c r="AZ661" s="198"/>
      <c r="BA661" s="198"/>
      <c r="BB661" s="198"/>
      <c r="BC661" s="198"/>
      <c r="BD661" s="198"/>
      <c r="BE661" s="198"/>
      <c r="BF661" s="198"/>
      <c r="BG661" s="198"/>
      <c r="BH661" s="198"/>
      <c r="BI661" s="198"/>
      <c r="BJ661" s="198"/>
      <c r="BK661" s="198"/>
    </row>
    <row r="662" spans="1:63" hidden="1" outlineLevel="1">
      <c r="A662" s="9"/>
      <c r="B662" s="9"/>
      <c r="C662" s="127">
        <f>Asset25</f>
        <v>0</v>
      </c>
      <c r="D662" s="9"/>
      <c r="E662" s="9"/>
      <c r="F662" s="28"/>
      <c r="G662" s="204">
        <f>Input!N31</f>
        <v>0</v>
      </c>
      <c r="H662" s="9"/>
      <c r="I662" s="9"/>
      <c r="J662" s="9"/>
      <c r="K662" s="9"/>
      <c r="L662" s="9"/>
      <c r="M662" s="9"/>
      <c r="N662" s="9"/>
      <c r="O662" s="9"/>
      <c r="P662" s="9"/>
      <c r="Q662" s="9"/>
      <c r="R662" s="9"/>
      <c r="S662" s="9"/>
      <c r="T662" s="9"/>
      <c r="U662" s="9"/>
      <c r="V662" s="9"/>
      <c r="W662" s="9"/>
      <c r="X662" s="9"/>
      <c r="Y662" s="9"/>
      <c r="Z662" s="9"/>
      <c r="AA662" s="198"/>
      <c r="AB662" s="198"/>
      <c r="AC662" s="198"/>
      <c r="AD662" s="198"/>
      <c r="AE662" s="198"/>
      <c r="AF662" s="198"/>
      <c r="AG662" s="198"/>
      <c r="AH662" s="198"/>
      <c r="AI662" s="198"/>
      <c r="AJ662" s="198"/>
      <c r="AK662" s="198"/>
      <c r="AL662" s="198"/>
      <c r="AM662" s="198"/>
      <c r="AN662" s="198"/>
      <c r="AO662" s="198"/>
      <c r="AP662" s="198"/>
      <c r="AQ662" s="198"/>
      <c r="AR662" s="198"/>
      <c r="AS662" s="198"/>
      <c r="AT662" s="198"/>
      <c r="AU662" s="198"/>
      <c r="AV662" s="198"/>
      <c r="AW662" s="198"/>
      <c r="AX662" s="198"/>
      <c r="AY662" s="198"/>
      <c r="AZ662" s="198"/>
      <c r="BA662" s="198"/>
      <c r="BB662" s="198"/>
      <c r="BC662" s="198"/>
      <c r="BD662" s="198"/>
      <c r="BE662" s="198"/>
      <c r="BF662" s="198"/>
      <c r="BG662" s="198"/>
      <c r="BH662" s="198"/>
      <c r="BI662" s="198"/>
      <c r="BJ662" s="198"/>
      <c r="BK662" s="198"/>
    </row>
    <row r="663" spans="1:63" hidden="1" outlineLevel="1">
      <c r="A663" s="9"/>
      <c r="B663" s="9"/>
      <c r="C663" s="127">
        <f>Asset26</f>
        <v>0</v>
      </c>
      <c r="D663" s="9"/>
      <c r="E663" s="9"/>
      <c r="F663" s="28"/>
      <c r="G663" s="204">
        <f>Input!N32</f>
        <v>0</v>
      </c>
      <c r="H663" s="9"/>
      <c r="I663" s="9"/>
      <c r="J663" s="9"/>
      <c r="K663" s="9"/>
      <c r="L663" s="9"/>
      <c r="M663" s="9"/>
      <c r="N663" s="9"/>
      <c r="O663" s="9"/>
      <c r="P663" s="9"/>
      <c r="Q663" s="9"/>
      <c r="R663" s="9"/>
      <c r="S663" s="9"/>
      <c r="T663" s="9"/>
      <c r="U663" s="9"/>
      <c r="V663" s="9"/>
      <c r="W663" s="9"/>
      <c r="X663" s="9"/>
      <c r="Y663" s="9"/>
      <c r="Z663" s="9"/>
      <c r="AA663" s="198"/>
      <c r="AB663" s="198"/>
      <c r="AC663" s="198"/>
      <c r="AD663" s="198"/>
      <c r="AE663" s="198"/>
      <c r="AF663" s="198"/>
      <c r="AG663" s="198"/>
      <c r="AH663" s="198"/>
      <c r="AI663" s="198"/>
      <c r="AJ663" s="198"/>
      <c r="AK663" s="198"/>
      <c r="AL663" s="198"/>
      <c r="AM663" s="198"/>
      <c r="AN663" s="198"/>
      <c r="AO663" s="198"/>
      <c r="AP663" s="198"/>
      <c r="AQ663" s="198"/>
      <c r="AR663" s="198"/>
      <c r="AS663" s="198"/>
      <c r="AT663" s="198"/>
      <c r="AU663" s="198"/>
      <c r="AV663" s="198"/>
      <c r="AW663" s="198"/>
      <c r="AX663" s="198"/>
      <c r="AY663" s="198"/>
      <c r="AZ663" s="198"/>
      <c r="BA663" s="198"/>
      <c r="BB663" s="198"/>
      <c r="BC663" s="198"/>
      <c r="BD663" s="198"/>
      <c r="BE663" s="198"/>
      <c r="BF663" s="198"/>
      <c r="BG663" s="198"/>
      <c r="BH663" s="198"/>
      <c r="BI663" s="198"/>
      <c r="BJ663" s="198"/>
      <c r="BK663" s="198"/>
    </row>
    <row r="664" spans="1:63" hidden="1" outlineLevel="1">
      <c r="A664" s="9"/>
      <c r="B664" s="9"/>
      <c r="C664" s="127">
        <f>Asset27</f>
        <v>0</v>
      </c>
      <c r="D664" s="9"/>
      <c r="E664" s="9"/>
      <c r="F664" s="28"/>
      <c r="G664" s="204">
        <f>Input!N33</f>
        <v>0</v>
      </c>
      <c r="H664" s="9"/>
      <c r="I664" s="9"/>
      <c r="J664" s="9"/>
      <c r="K664" s="9"/>
      <c r="L664" s="9"/>
      <c r="M664" s="9"/>
      <c r="N664" s="9"/>
      <c r="O664" s="9"/>
      <c r="P664" s="9"/>
      <c r="Q664" s="9"/>
      <c r="R664" s="9"/>
      <c r="S664" s="9"/>
      <c r="T664" s="9"/>
      <c r="U664" s="9"/>
      <c r="V664" s="9"/>
      <c r="W664" s="9"/>
      <c r="X664" s="9"/>
      <c r="Y664" s="9"/>
      <c r="Z664" s="9"/>
      <c r="AA664" s="198"/>
      <c r="AB664" s="198"/>
      <c r="AC664" s="198"/>
      <c r="AD664" s="198"/>
      <c r="AE664" s="198"/>
      <c r="AF664" s="198"/>
      <c r="AG664" s="198"/>
      <c r="AH664" s="198"/>
      <c r="AI664" s="198"/>
      <c r="AJ664" s="198"/>
      <c r="AK664" s="198"/>
      <c r="AL664" s="198"/>
      <c r="AM664" s="198"/>
      <c r="AN664" s="198"/>
      <c r="AO664" s="198"/>
      <c r="AP664" s="198"/>
      <c r="AQ664" s="198"/>
      <c r="AR664" s="198"/>
      <c r="AS664" s="198"/>
      <c r="AT664" s="198"/>
      <c r="AU664" s="198"/>
      <c r="AV664" s="198"/>
      <c r="AW664" s="198"/>
      <c r="AX664" s="198"/>
      <c r="AY664" s="198"/>
      <c r="AZ664" s="198"/>
      <c r="BA664" s="198"/>
      <c r="BB664" s="198"/>
      <c r="BC664" s="198"/>
      <c r="BD664" s="198"/>
      <c r="BE664" s="198"/>
      <c r="BF664" s="198"/>
      <c r="BG664" s="198"/>
      <c r="BH664" s="198"/>
      <c r="BI664" s="198"/>
      <c r="BJ664" s="198"/>
      <c r="BK664" s="198"/>
    </row>
    <row r="665" spans="1:63" hidden="1" outlineLevel="1">
      <c r="A665" s="9"/>
      <c r="B665" s="9"/>
      <c r="C665" s="127">
        <f>Asset28</f>
        <v>0</v>
      </c>
      <c r="D665" s="9"/>
      <c r="E665" s="9"/>
      <c r="F665" s="28"/>
      <c r="G665" s="204">
        <f>Input!N34</f>
        <v>0</v>
      </c>
      <c r="H665" s="9"/>
      <c r="I665" s="9"/>
      <c r="J665" s="9"/>
      <c r="K665" s="9"/>
      <c r="L665" s="9"/>
      <c r="M665" s="9"/>
      <c r="N665" s="9"/>
      <c r="O665" s="9"/>
      <c r="P665" s="9"/>
      <c r="Q665" s="9"/>
      <c r="R665" s="9"/>
      <c r="S665" s="9"/>
      <c r="T665" s="9"/>
      <c r="U665" s="9"/>
      <c r="V665" s="9"/>
      <c r="W665" s="9"/>
      <c r="X665" s="9"/>
      <c r="Y665" s="9"/>
      <c r="Z665" s="9"/>
      <c r="AA665" s="198"/>
      <c r="AB665" s="198"/>
      <c r="AC665" s="198"/>
      <c r="AD665" s="198"/>
      <c r="AE665" s="198"/>
      <c r="AF665" s="198"/>
      <c r="AG665" s="198"/>
      <c r="AH665" s="198"/>
      <c r="AI665" s="198"/>
      <c r="AJ665" s="198"/>
      <c r="AK665" s="198"/>
      <c r="AL665" s="198"/>
      <c r="AM665" s="198"/>
      <c r="AN665" s="198"/>
      <c r="AO665" s="198"/>
      <c r="AP665" s="198"/>
      <c r="AQ665" s="198"/>
      <c r="AR665" s="198"/>
      <c r="AS665" s="198"/>
      <c r="AT665" s="198"/>
      <c r="AU665" s="198"/>
      <c r="AV665" s="198"/>
      <c r="AW665" s="198"/>
      <c r="AX665" s="198"/>
      <c r="AY665" s="198"/>
      <c r="AZ665" s="198"/>
      <c r="BA665" s="198"/>
      <c r="BB665" s="198"/>
      <c r="BC665" s="198"/>
      <c r="BD665" s="198"/>
      <c r="BE665" s="198"/>
      <c r="BF665" s="198"/>
      <c r="BG665" s="198"/>
      <c r="BH665" s="198"/>
      <c r="BI665" s="198"/>
      <c r="BJ665" s="198"/>
      <c r="BK665" s="198"/>
    </row>
    <row r="666" spans="1:63" hidden="1" outlineLevel="1">
      <c r="A666" s="9"/>
      <c r="B666" s="9"/>
      <c r="C666" s="127">
        <f>Asset29</f>
        <v>0</v>
      </c>
      <c r="D666" s="9"/>
      <c r="E666" s="9"/>
      <c r="F666" s="28"/>
      <c r="G666" s="204">
        <f>Input!N35</f>
        <v>0</v>
      </c>
      <c r="H666" s="9"/>
      <c r="I666" s="9"/>
      <c r="J666" s="9"/>
      <c r="K666" s="9"/>
      <c r="L666" s="9"/>
      <c r="M666" s="9"/>
      <c r="N666" s="9"/>
      <c r="O666" s="9"/>
      <c r="P666" s="9"/>
      <c r="Q666" s="9"/>
      <c r="R666" s="9"/>
      <c r="S666" s="9"/>
      <c r="T666" s="9"/>
      <c r="U666" s="9"/>
      <c r="V666" s="9"/>
      <c r="W666" s="9"/>
      <c r="X666" s="9"/>
      <c r="Y666" s="9"/>
      <c r="Z666" s="9"/>
      <c r="AA666" s="198"/>
      <c r="AB666" s="198"/>
      <c r="AC666" s="198"/>
      <c r="AD666" s="198"/>
      <c r="AE666" s="198"/>
      <c r="AF666" s="198"/>
      <c r="AG666" s="198"/>
      <c r="AH666" s="198"/>
      <c r="AI666" s="198"/>
      <c r="AJ666" s="198"/>
      <c r="AK666" s="198"/>
      <c r="AL666" s="198"/>
      <c r="AM666" s="198"/>
      <c r="AN666" s="198"/>
      <c r="AO666" s="198"/>
      <c r="AP666" s="198"/>
      <c r="AQ666" s="198"/>
      <c r="AR666" s="198"/>
      <c r="AS666" s="198"/>
      <c r="AT666" s="198"/>
      <c r="AU666" s="198"/>
      <c r="AV666" s="198"/>
      <c r="AW666" s="198"/>
      <c r="AX666" s="198"/>
      <c r="AY666" s="198"/>
      <c r="AZ666" s="198"/>
      <c r="BA666" s="198"/>
      <c r="BB666" s="198"/>
      <c r="BC666" s="198"/>
      <c r="BD666" s="198"/>
      <c r="BE666" s="198"/>
      <c r="BF666" s="198"/>
      <c r="BG666" s="198"/>
      <c r="BH666" s="198"/>
      <c r="BI666" s="198"/>
      <c r="BJ666" s="198"/>
      <c r="BK666" s="198"/>
    </row>
    <row r="667" spans="1:63" hidden="1" outlineLevel="1">
      <c r="A667" s="9"/>
      <c r="B667" s="9"/>
      <c r="C667" s="127">
        <f>Asset30</f>
        <v>0</v>
      </c>
      <c r="D667" s="9"/>
      <c r="E667" s="9"/>
      <c r="F667" s="28"/>
      <c r="G667" s="204">
        <f>Input!N36</f>
        <v>0</v>
      </c>
      <c r="H667" s="9"/>
      <c r="I667" s="9"/>
      <c r="J667" s="9"/>
      <c r="K667" s="9"/>
      <c r="L667" s="9"/>
      <c r="M667" s="9"/>
      <c r="N667" s="9"/>
      <c r="O667" s="9"/>
      <c r="P667" s="9"/>
      <c r="Q667" s="9"/>
      <c r="R667" s="9"/>
      <c r="S667" s="9"/>
      <c r="T667" s="9"/>
      <c r="U667" s="9"/>
      <c r="V667" s="9"/>
      <c r="W667" s="9"/>
      <c r="X667" s="9"/>
      <c r="Y667" s="9"/>
      <c r="Z667" s="9"/>
      <c r="AA667" s="198"/>
      <c r="AB667" s="198"/>
      <c r="AC667" s="198"/>
      <c r="AD667" s="198"/>
      <c r="AE667" s="198"/>
      <c r="AF667" s="198"/>
      <c r="AG667" s="198"/>
      <c r="AH667" s="198"/>
      <c r="AI667" s="198"/>
      <c r="AJ667" s="198"/>
      <c r="AK667" s="198"/>
      <c r="AL667" s="198"/>
      <c r="AM667" s="198"/>
      <c r="AN667" s="198"/>
      <c r="AO667" s="198"/>
      <c r="AP667" s="198"/>
      <c r="AQ667" s="198"/>
      <c r="AR667" s="198"/>
      <c r="AS667" s="198"/>
      <c r="AT667" s="198"/>
      <c r="AU667" s="198"/>
      <c r="AV667" s="198"/>
      <c r="AW667" s="198"/>
      <c r="AX667" s="198"/>
      <c r="AY667" s="198"/>
      <c r="AZ667" s="198"/>
      <c r="BA667" s="198"/>
      <c r="BB667" s="198"/>
      <c r="BC667" s="198"/>
      <c r="BD667" s="198"/>
      <c r="BE667" s="198"/>
      <c r="BF667" s="198"/>
      <c r="BG667" s="198"/>
      <c r="BH667" s="198"/>
      <c r="BI667" s="198"/>
      <c r="BJ667" s="198"/>
      <c r="BK667" s="198"/>
    </row>
    <row r="668" spans="1:63" collapsed="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198"/>
      <c r="AB668" s="198"/>
      <c r="AC668" s="198"/>
      <c r="AD668" s="198"/>
      <c r="AE668" s="198"/>
      <c r="AF668" s="198"/>
      <c r="AG668" s="198"/>
      <c r="AH668" s="198"/>
      <c r="AI668" s="198"/>
      <c r="AJ668" s="198"/>
      <c r="AK668" s="198"/>
      <c r="AL668" s="198"/>
      <c r="AM668" s="198"/>
      <c r="AN668" s="198"/>
      <c r="AO668" s="198"/>
      <c r="AP668" s="198"/>
      <c r="AQ668" s="198"/>
      <c r="AR668" s="198"/>
      <c r="AS668" s="198"/>
      <c r="AT668" s="198"/>
      <c r="AU668" s="198"/>
      <c r="AV668" s="198"/>
      <c r="AW668" s="198"/>
      <c r="AX668" s="198"/>
      <c r="AY668" s="198"/>
      <c r="AZ668" s="198"/>
      <c r="BA668" s="198"/>
      <c r="BB668" s="198"/>
      <c r="BC668" s="198"/>
      <c r="BD668" s="198"/>
      <c r="BE668" s="198"/>
      <c r="BF668" s="198"/>
      <c r="BG668" s="198"/>
      <c r="BH668" s="198"/>
      <c r="BI668" s="198"/>
      <c r="BJ668" s="198"/>
      <c r="BK668" s="198"/>
    </row>
    <row r="669" spans="1:6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198"/>
      <c r="AB669" s="198"/>
      <c r="AC669" s="198"/>
      <c r="AD669" s="198"/>
      <c r="AE669" s="198"/>
      <c r="AF669" s="198"/>
      <c r="AG669" s="198"/>
      <c r="AH669" s="198"/>
      <c r="AI669" s="198"/>
      <c r="AJ669" s="198"/>
      <c r="AK669" s="198"/>
      <c r="AL669" s="198"/>
      <c r="AM669" s="198"/>
      <c r="AN669" s="198"/>
      <c r="AO669" s="198"/>
      <c r="AP669" s="198"/>
      <c r="AQ669" s="198"/>
      <c r="AR669" s="198"/>
      <c r="AS669" s="198"/>
      <c r="AT669" s="198"/>
      <c r="AU669" s="198"/>
      <c r="AV669" s="198"/>
      <c r="AW669" s="198"/>
      <c r="AX669" s="198"/>
      <c r="AY669" s="198"/>
      <c r="AZ669" s="198"/>
      <c r="BA669" s="198"/>
      <c r="BB669" s="198"/>
      <c r="BC669" s="198"/>
      <c r="BD669" s="198"/>
      <c r="BE669" s="198"/>
      <c r="BF669" s="198"/>
      <c r="BG669" s="198"/>
      <c r="BH669" s="198"/>
      <c r="BI669" s="198"/>
      <c r="BJ669" s="198"/>
      <c r="BK669" s="198"/>
    </row>
    <row r="670" spans="1:6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198"/>
      <c r="AB670" s="198"/>
      <c r="AC670" s="198"/>
      <c r="AD670" s="198"/>
      <c r="AE670" s="198"/>
      <c r="AF670" s="198"/>
      <c r="AG670" s="198"/>
      <c r="AH670" s="198"/>
      <c r="AI670" s="198"/>
      <c r="AJ670" s="198"/>
      <c r="AK670" s="198"/>
      <c r="AL670" s="198"/>
      <c r="AM670" s="198"/>
      <c r="AN670" s="198"/>
      <c r="AO670" s="198"/>
      <c r="AP670" s="198"/>
      <c r="AQ670" s="198"/>
      <c r="AR670" s="198"/>
      <c r="AS670" s="198"/>
      <c r="AT670" s="198"/>
      <c r="AU670" s="198"/>
      <c r="AV670" s="198"/>
      <c r="AW670" s="198"/>
      <c r="AX670" s="198"/>
      <c r="AY670" s="198"/>
      <c r="AZ670" s="198"/>
      <c r="BA670" s="198"/>
      <c r="BB670" s="198"/>
      <c r="BC670" s="198"/>
      <c r="BD670" s="198"/>
      <c r="BE670" s="198"/>
      <c r="BF670" s="198"/>
      <c r="BG670" s="198"/>
      <c r="BH670" s="198"/>
      <c r="BI670" s="198"/>
      <c r="BJ670" s="198"/>
      <c r="BK670" s="198"/>
    </row>
    <row r="671" spans="1:6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198"/>
      <c r="AB671" s="198"/>
      <c r="AC671" s="198"/>
      <c r="AD671" s="198"/>
      <c r="AE671" s="198"/>
      <c r="AF671" s="198"/>
      <c r="AG671" s="198"/>
      <c r="AH671" s="198"/>
      <c r="AI671" s="198"/>
      <c r="AJ671" s="198"/>
      <c r="AK671" s="198"/>
      <c r="AL671" s="198"/>
      <c r="AM671" s="198"/>
      <c r="AN671" s="198"/>
      <c r="AO671" s="198"/>
      <c r="AP671" s="198"/>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row>
    <row r="672" spans="1:6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198"/>
      <c r="AB672" s="198"/>
      <c r="AC672" s="198"/>
      <c r="AD672" s="198"/>
      <c r="AE672" s="198"/>
      <c r="AF672" s="198"/>
      <c r="AG672" s="198"/>
      <c r="AH672" s="198"/>
      <c r="AI672" s="198"/>
      <c r="AJ672" s="198"/>
      <c r="AK672" s="198"/>
      <c r="AL672" s="198"/>
      <c r="AM672" s="198"/>
      <c r="AN672" s="198"/>
      <c r="AO672" s="198"/>
      <c r="AP672" s="198"/>
      <c r="AQ672" s="198"/>
      <c r="AR672" s="198"/>
      <c r="AS672" s="198"/>
      <c r="AT672" s="198"/>
      <c r="AU672" s="198"/>
      <c r="AV672" s="198"/>
      <c r="AW672" s="198"/>
      <c r="AX672" s="198"/>
      <c r="AY672" s="198"/>
      <c r="AZ672" s="198"/>
      <c r="BA672" s="198"/>
      <c r="BB672" s="198"/>
      <c r="BC672" s="198"/>
      <c r="BD672" s="198"/>
      <c r="BE672" s="198"/>
      <c r="BF672" s="198"/>
      <c r="BG672" s="198"/>
      <c r="BH672" s="198"/>
      <c r="BI672" s="198"/>
      <c r="BJ672" s="198"/>
      <c r="BK672" s="198"/>
    </row>
    <row r="673" spans="1:6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198"/>
      <c r="AB673" s="198"/>
      <c r="AC673" s="198"/>
      <c r="AD673" s="198"/>
      <c r="AE673" s="198"/>
      <c r="AF673" s="198"/>
      <c r="AG673" s="198"/>
      <c r="AH673" s="198"/>
      <c r="AI673" s="198"/>
      <c r="AJ673" s="198"/>
      <c r="AK673" s="198"/>
      <c r="AL673" s="198"/>
      <c r="AM673" s="198"/>
      <c r="AN673" s="198"/>
      <c r="AO673" s="198"/>
      <c r="AP673" s="198"/>
      <c r="AQ673" s="198"/>
      <c r="AR673" s="198"/>
      <c r="AS673" s="198"/>
      <c r="AT673" s="198"/>
      <c r="AU673" s="198"/>
      <c r="AV673" s="198"/>
      <c r="AW673" s="198"/>
      <c r="AX673" s="198"/>
      <c r="AY673" s="198"/>
      <c r="AZ673" s="198"/>
      <c r="BA673" s="198"/>
      <c r="BB673" s="198"/>
      <c r="BC673" s="198"/>
      <c r="BD673" s="198"/>
      <c r="BE673" s="198"/>
      <c r="BF673" s="198"/>
      <c r="BG673" s="198"/>
      <c r="BH673" s="198"/>
      <c r="BI673" s="198"/>
      <c r="BJ673" s="198"/>
      <c r="BK673" s="198"/>
    </row>
    <row r="674" spans="1:6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198"/>
      <c r="AB674" s="198"/>
      <c r="AC674" s="198"/>
      <c r="AD674" s="198"/>
      <c r="AE674" s="198"/>
      <c r="AF674" s="198"/>
      <c r="AG674" s="198"/>
      <c r="AH674" s="198"/>
      <c r="AI674" s="198"/>
      <c r="AJ674" s="198"/>
      <c r="AK674" s="198"/>
      <c r="AL674" s="198"/>
      <c r="AM674" s="198"/>
      <c r="AN674" s="198"/>
      <c r="AO674" s="198"/>
      <c r="AP674" s="198"/>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row>
    <row r="675" spans="1:6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198"/>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row>
    <row r="676" spans="1:6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row>
    <row r="677" spans="1:6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198"/>
      <c r="AB677" s="198"/>
      <c r="AC677" s="198"/>
      <c r="AD677" s="198"/>
      <c r="AE677" s="198"/>
      <c r="AF677" s="198"/>
      <c r="AG677" s="198"/>
      <c r="AH677" s="198"/>
      <c r="AI677" s="198"/>
      <c r="AJ677" s="198"/>
      <c r="AK677" s="198"/>
      <c r="AL677" s="198"/>
      <c r="AM677" s="198"/>
      <c r="AN677" s="198"/>
      <c r="AO677" s="198"/>
      <c r="AP677" s="198"/>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row>
    <row r="678" spans="1:6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198"/>
      <c r="AB678" s="198"/>
      <c r="AC678" s="198"/>
      <c r="AD678" s="198"/>
      <c r="AE678" s="198"/>
      <c r="AF678" s="198"/>
      <c r="AG678" s="198"/>
      <c r="AH678" s="198"/>
      <c r="AI678" s="198"/>
      <c r="AJ678" s="198"/>
      <c r="AK678" s="198"/>
      <c r="AL678" s="198"/>
      <c r="AM678" s="198"/>
      <c r="AN678" s="198"/>
      <c r="AO678" s="198"/>
      <c r="AP678" s="198"/>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row>
    <row r="679" spans="1:6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198"/>
      <c r="AB679" s="198"/>
      <c r="AC679" s="198"/>
      <c r="AD679" s="198"/>
      <c r="AE679" s="198"/>
      <c r="AF679" s="198"/>
      <c r="AG679" s="198"/>
      <c r="AH679" s="198"/>
      <c r="AI679" s="198"/>
      <c r="AJ679" s="198"/>
      <c r="AK679" s="198"/>
      <c r="AL679" s="198"/>
      <c r="AM679" s="198"/>
      <c r="AN679" s="198"/>
      <c r="AO679" s="198"/>
      <c r="AP679" s="198"/>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row>
    <row r="680" spans="1:6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198"/>
      <c r="AB680" s="198"/>
      <c r="AC680" s="198"/>
      <c r="AD680" s="198"/>
      <c r="AE680" s="198"/>
      <c r="AF680" s="198"/>
      <c r="AG680" s="198"/>
      <c r="AH680" s="198"/>
      <c r="AI680" s="198"/>
      <c r="AJ680" s="198"/>
      <c r="AK680" s="198"/>
      <c r="AL680" s="198"/>
      <c r="AM680" s="198"/>
      <c r="AN680" s="198"/>
      <c r="AO680" s="198"/>
      <c r="AP680" s="198"/>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row>
    <row r="681" spans="1:6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198"/>
      <c r="AA681" s="198"/>
      <c r="AB681" s="198"/>
      <c r="AC681" s="198"/>
      <c r="AD681" s="198"/>
      <c r="AE681" s="198"/>
      <c r="AF681" s="198"/>
      <c r="AG681" s="198"/>
      <c r="AH681" s="198"/>
      <c r="AI681" s="198"/>
      <c r="AJ681" s="198"/>
      <c r="AK681" s="198"/>
      <c r="AL681" s="198"/>
      <c r="AM681" s="198"/>
      <c r="AN681" s="198"/>
      <c r="AO681" s="198"/>
      <c r="AP681" s="198"/>
      <c r="AQ681" s="198"/>
      <c r="AR681" s="198"/>
      <c r="AS681" s="198"/>
      <c r="AT681" s="198"/>
      <c r="AU681" s="198"/>
      <c r="AV681" s="198"/>
      <c r="AW681" s="198"/>
      <c r="AX681" s="198"/>
      <c r="AY681" s="198"/>
      <c r="AZ681" s="198"/>
      <c r="BA681" s="198"/>
      <c r="BB681" s="198"/>
      <c r="BC681" s="198"/>
      <c r="BD681" s="198"/>
      <c r="BE681" s="198"/>
      <c r="BF681" s="198"/>
      <c r="BG681" s="198"/>
      <c r="BH681" s="198"/>
      <c r="BI681" s="198"/>
      <c r="BJ681" s="198"/>
      <c r="BK681" s="198"/>
    </row>
    <row r="682" spans="1:6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198"/>
      <c r="AA682" s="198"/>
      <c r="AB682" s="198"/>
      <c r="AC682" s="198"/>
      <c r="AD682" s="198"/>
      <c r="AE682" s="198"/>
      <c r="AF682" s="198"/>
      <c r="AG682" s="198"/>
      <c r="AH682" s="198"/>
      <c r="AI682" s="198"/>
      <c r="AJ682" s="198"/>
      <c r="AK682" s="198"/>
      <c r="AL682" s="198"/>
      <c r="AM682" s="198"/>
      <c r="AN682" s="198"/>
      <c r="AO682" s="198"/>
      <c r="AP682" s="198"/>
      <c r="AQ682" s="198"/>
      <c r="AR682" s="198"/>
      <c r="AS682" s="198"/>
      <c r="AT682" s="198"/>
      <c r="AU682" s="198"/>
      <c r="AV682" s="198"/>
      <c r="AW682" s="198"/>
      <c r="AX682" s="198"/>
      <c r="AY682" s="198"/>
      <c r="AZ682" s="198"/>
      <c r="BA682" s="198"/>
      <c r="BB682" s="198"/>
      <c r="BC682" s="198"/>
      <c r="BD682" s="198"/>
      <c r="BE682" s="198"/>
      <c r="BF682" s="198"/>
      <c r="BG682" s="198"/>
      <c r="BH682" s="198"/>
      <c r="BI682" s="198"/>
      <c r="BJ682" s="198"/>
      <c r="BK682" s="198"/>
    </row>
    <row r="683" spans="1:6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row>
    <row r="684" spans="1:6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198"/>
      <c r="AA684" s="198"/>
      <c r="AB684" s="198"/>
      <c r="AC684" s="198"/>
      <c r="AD684" s="198"/>
      <c r="AE684" s="198"/>
      <c r="AF684" s="198"/>
      <c r="AG684" s="198"/>
      <c r="AH684" s="198"/>
      <c r="AI684" s="198"/>
      <c r="AJ684" s="198"/>
      <c r="AK684" s="198"/>
      <c r="AL684" s="198"/>
      <c r="AM684" s="198"/>
      <c r="AN684" s="198"/>
      <c r="AO684" s="198"/>
      <c r="AP684" s="198"/>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row>
    <row r="685" spans="1:6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198"/>
      <c r="AA685" s="198"/>
      <c r="AB685" s="198"/>
      <c r="AC685" s="198"/>
      <c r="AD685" s="198"/>
      <c r="AE685" s="198"/>
      <c r="AF685" s="198"/>
      <c r="AG685" s="198"/>
      <c r="AH685" s="198"/>
      <c r="AI685" s="198"/>
      <c r="AJ685" s="198"/>
      <c r="AK685" s="198"/>
      <c r="AL685" s="198"/>
      <c r="AM685" s="198"/>
      <c r="AN685" s="198"/>
      <c r="AO685" s="198"/>
      <c r="AP685" s="198"/>
      <c r="AQ685" s="198"/>
      <c r="AR685" s="198"/>
      <c r="AS685" s="198"/>
      <c r="AT685" s="198"/>
      <c r="AU685" s="198"/>
      <c r="AV685" s="198"/>
      <c r="AW685" s="198"/>
      <c r="AX685" s="198"/>
      <c r="AY685" s="198"/>
      <c r="AZ685" s="198"/>
      <c r="BA685" s="198"/>
      <c r="BB685" s="198"/>
      <c r="BC685" s="198"/>
      <c r="BD685" s="198"/>
      <c r="BE685" s="198"/>
      <c r="BF685" s="198"/>
      <c r="BG685" s="198"/>
      <c r="BH685" s="198"/>
      <c r="BI685" s="198"/>
      <c r="BJ685" s="198"/>
      <c r="BK685" s="198"/>
    </row>
    <row r="686" spans="1:6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198"/>
      <c r="AA686" s="198"/>
      <c r="AB686" s="198"/>
      <c r="AC686" s="198"/>
      <c r="AD686" s="198"/>
      <c r="AE686" s="198"/>
      <c r="AF686" s="198"/>
      <c r="AG686" s="198"/>
      <c r="AH686" s="198"/>
      <c r="AI686" s="198"/>
      <c r="AJ686" s="198"/>
      <c r="AK686" s="198"/>
      <c r="AL686" s="198"/>
      <c r="AM686" s="198"/>
      <c r="AN686" s="198"/>
      <c r="AO686" s="198"/>
      <c r="AP686" s="198"/>
      <c r="AQ686" s="198"/>
      <c r="AR686" s="198"/>
      <c r="AS686" s="198"/>
      <c r="AT686" s="198"/>
      <c r="AU686" s="198"/>
      <c r="AV686" s="198"/>
      <c r="AW686" s="198"/>
      <c r="AX686" s="198"/>
      <c r="AY686" s="198"/>
      <c r="AZ686" s="198"/>
      <c r="BA686" s="198"/>
      <c r="BB686" s="198"/>
      <c r="BC686" s="198"/>
      <c r="BD686" s="198"/>
      <c r="BE686" s="198"/>
      <c r="BF686" s="198"/>
      <c r="BG686" s="198"/>
      <c r="BH686" s="198"/>
      <c r="BI686" s="198"/>
      <c r="BJ686" s="198"/>
      <c r="BK686" s="198"/>
    </row>
    <row r="687" spans="1:6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198"/>
      <c r="AA687" s="198"/>
      <c r="AB687" s="198"/>
      <c r="AC687" s="198"/>
      <c r="AD687" s="198"/>
      <c r="AE687" s="198"/>
      <c r="AF687" s="198"/>
      <c r="AG687" s="198"/>
      <c r="AH687" s="198"/>
      <c r="AI687" s="198"/>
      <c r="AJ687" s="198"/>
      <c r="AK687" s="198"/>
      <c r="AL687" s="198"/>
      <c r="AM687" s="198"/>
      <c r="AN687" s="198"/>
      <c r="AO687" s="198"/>
      <c r="AP687" s="198"/>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row>
    <row r="688" spans="1:6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198"/>
      <c r="AA688" s="198"/>
      <c r="AB688" s="198"/>
      <c r="AC688" s="198"/>
      <c r="AD688" s="198"/>
      <c r="AE688" s="198"/>
      <c r="AF688" s="198"/>
      <c r="AG688" s="198"/>
      <c r="AH688" s="198"/>
      <c r="AI688" s="198"/>
      <c r="AJ688" s="198"/>
      <c r="AK688" s="198"/>
      <c r="AL688" s="198"/>
      <c r="AM688" s="198"/>
      <c r="AN688" s="198"/>
      <c r="AO688" s="198"/>
      <c r="AP688" s="198"/>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198"/>
      <c r="AA689" s="198"/>
      <c r="AB689" s="198"/>
      <c r="AC689" s="198"/>
      <c r="AD689" s="198"/>
      <c r="AE689" s="198"/>
      <c r="AF689" s="198"/>
      <c r="AG689" s="198"/>
      <c r="AH689" s="198"/>
      <c r="AI689" s="198"/>
      <c r="AJ689" s="198"/>
      <c r="AK689" s="198"/>
      <c r="AL689" s="198"/>
      <c r="AM689" s="198"/>
      <c r="AN689" s="198"/>
      <c r="AO689" s="198"/>
      <c r="AP689" s="198"/>
      <c r="AQ689" s="198"/>
      <c r="AR689" s="198"/>
      <c r="AS689" s="198"/>
      <c r="AT689" s="198"/>
      <c r="AU689" s="198"/>
      <c r="AV689" s="198"/>
      <c r="AW689" s="198"/>
      <c r="AX689" s="198"/>
      <c r="AY689" s="198"/>
      <c r="AZ689" s="198"/>
      <c r="BA689" s="198"/>
      <c r="BB689" s="198"/>
      <c r="BC689" s="198"/>
      <c r="BD689" s="198"/>
      <c r="BE689" s="198"/>
      <c r="BF689" s="198"/>
      <c r="BG689" s="198"/>
      <c r="BH689" s="198"/>
      <c r="BI689" s="198"/>
      <c r="BJ689" s="198"/>
      <c r="BK689" s="198"/>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198"/>
      <c r="AA690" s="198"/>
      <c r="AB690" s="198"/>
      <c r="AC690" s="198"/>
      <c r="AD690" s="198"/>
      <c r="AE690" s="198"/>
      <c r="AF690" s="198"/>
      <c r="AG690" s="198"/>
      <c r="AH690" s="198"/>
      <c r="AI690" s="198"/>
      <c r="AJ690" s="198"/>
      <c r="AK690" s="198"/>
      <c r="AL690" s="198"/>
      <c r="AM690" s="198"/>
      <c r="AN690" s="198"/>
      <c r="AO690" s="198"/>
      <c r="AP690" s="198"/>
      <c r="AQ690" s="198"/>
      <c r="AR690" s="198"/>
      <c r="AS690" s="198"/>
      <c r="AT690" s="198"/>
      <c r="AU690" s="198"/>
      <c r="AV690" s="198"/>
      <c r="AW690" s="198"/>
      <c r="AX690" s="198"/>
      <c r="AY690" s="198"/>
      <c r="AZ690" s="198"/>
      <c r="BA690" s="198"/>
      <c r="BB690" s="198"/>
      <c r="BC690" s="198"/>
      <c r="BD690" s="198"/>
      <c r="BE690" s="198"/>
      <c r="BF690" s="198"/>
      <c r="BG690" s="198"/>
      <c r="BH690" s="198"/>
      <c r="BI690" s="198"/>
      <c r="BJ690" s="198"/>
      <c r="BK690" s="198"/>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198"/>
      <c r="AA691" s="198"/>
      <c r="AB691" s="198"/>
      <c r="AC691" s="198"/>
      <c r="AD691" s="198"/>
      <c r="AE691" s="198"/>
      <c r="AF691" s="198"/>
      <c r="AG691" s="198"/>
      <c r="AH691" s="198"/>
      <c r="AI691" s="198"/>
      <c r="AJ691" s="198"/>
      <c r="AK691" s="198"/>
      <c r="AL691" s="198"/>
      <c r="AM691" s="198"/>
      <c r="AN691" s="198"/>
      <c r="AO691" s="198"/>
      <c r="AP691" s="198"/>
      <c r="AQ691" s="198"/>
      <c r="AR691" s="198"/>
      <c r="AS691" s="198"/>
      <c r="AT691" s="198"/>
      <c r="AU691" s="198"/>
      <c r="AV691" s="198"/>
      <c r="AW691" s="198"/>
      <c r="AX691" s="198"/>
      <c r="AY691" s="198"/>
      <c r="AZ691" s="198"/>
      <c r="BA691" s="198"/>
      <c r="BB691" s="198"/>
      <c r="BC691" s="198"/>
      <c r="BD691" s="198"/>
      <c r="BE691" s="198"/>
      <c r="BF691" s="198"/>
      <c r="BG691" s="198"/>
      <c r="BH691" s="198"/>
      <c r="BI691" s="198"/>
      <c r="BJ691" s="198"/>
      <c r="BK691" s="198"/>
      <c r="BL691" s="198"/>
      <c r="BM691" s="198"/>
      <c r="BN691" s="198"/>
      <c r="BO691" s="198"/>
      <c r="BP691" s="198"/>
      <c r="BQ691" s="198"/>
      <c r="BR691" s="198"/>
      <c r="BS691" s="198"/>
      <c r="BT691" s="198"/>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198"/>
      <c r="AA692" s="198"/>
      <c r="AB692" s="198"/>
      <c r="AC692" s="198"/>
      <c r="AD692" s="198"/>
      <c r="AE692" s="198"/>
      <c r="AF692" s="198"/>
      <c r="AG692" s="198"/>
      <c r="AH692" s="198"/>
      <c r="AI692" s="198"/>
      <c r="AJ692" s="198"/>
      <c r="AK692" s="198"/>
      <c r="AL692" s="198"/>
      <c r="AM692" s="198"/>
      <c r="AN692" s="198"/>
      <c r="AO692" s="198"/>
      <c r="AP692" s="198"/>
      <c r="AQ692" s="198"/>
      <c r="AR692" s="198"/>
      <c r="AS692" s="198"/>
      <c r="AT692" s="198"/>
      <c r="AU692" s="198"/>
      <c r="AV692" s="198"/>
      <c r="AW692" s="198"/>
      <c r="AX692" s="198"/>
      <c r="AY692" s="198"/>
      <c r="AZ692" s="198"/>
      <c r="BA692" s="198"/>
      <c r="BB692" s="198"/>
      <c r="BC692" s="198"/>
      <c r="BD692" s="198"/>
      <c r="BE692" s="198"/>
      <c r="BF692" s="198"/>
      <c r="BG692" s="198"/>
      <c r="BH692" s="198"/>
      <c r="BI692" s="198"/>
      <c r="BJ692" s="198"/>
      <c r="BK692" s="198"/>
      <c r="BL692" s="198"/>
      <c r="BM692" s="198"/>
      <c r="BN692" s="198"/>
      <c r="BO692" s="198"/>
      <c r="BP692" s="198"/>
      <c r="BQ692" s="198"/>
      <c r="BR692" s="198"/>
      <c r="BS692" s="198"/>
      <c r="BT692" s="198"/>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198"/>
      <c r="AA693" s="198"/>
      <c r="AB693" s="198"/>
      <c r="AC693" s="198"/>
      <c r="AD693" s="198"/>
      <c r="AE693" s="198"/>
      <c r="AF693" s="198"/>
      <c r="AG693" s="198"/>
      <c r="AH693" s="198"/>
      <c r="AI693" s="198"/>
      <c r="AJ693" s="198"/>
      <c r="AK693" s="198"/>
      <c r="AL693" s="198"/>
      <c r="AM693" s="198"/>
      <c r="AN693" s="198"/>
      <c r="AO693" s="198"/>
      <c r="AP693" s="198"/>
      <c r="AQ693" s="198"/>
      <c r="AR693" s="198"/>
      <c r="AS693" s="198"/>
      <c r="AT693" s="198"/>
      <c r="AU693" s="198"/>
      <c r="AV693" s="198"/>
      <c r="AW693" s="198"/>
      <c r="AX693" s="198"/>
      <c r="AY693" s="198"/>
      <c r="AZ693" s="198"/>
      <c r="BA693" s="198"/>
      <c r="BB693" s="198"/>
      <c r="BC693" s="198"/>
      <c r="BD693" s="198"/>
      <c r="BE693" s="198"/>
      <c r="BF693" s="198"/>
      <c r="BG693" s="198"/>
      <c r="BH693" s="198"/>
      <c r="BI693" s="198"/>
      <c r="BJ693" s="198"/>
      <c r="BK693" s="198"/>
      <c r="BL693" s="198"/>
      <c r="BM693" s="198"/>
      <c r="BN693" s="198"/>
      <c r="BO693" s="198"/>
      <c r="BP693" s="198"/>
      <c r="BQ693" s="198"/>
      <c r="BR693" s="198"/>
      <c r="BS693" s="198"/>
      <c r="BT693" s="198"/>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198"/>
      <c r="AA694" s="198"/>
      <c r="AB694" s="198"/>
      <c r="AC694" s="198"/>
      <c r="AD694" s="198"/>
      <c r="AE694" s="198"/>
      <c r="AF694" s="198"/>
      <c r="AG694" s="198"/>
      <c r="AH694" s="198"/>
      <c r="AI694" s="198"/>
      <c r="AJ694" s="198"/>
      <c r="AK694" s="198"/>
      <c r="AL694" s="198"/>
      <c r="AM694" s="198"/>
      <c r="AN694" s="198"/>
      <c r="AO694" s="198"/>
      <c r="AP694" s="198"/>
      <c r="AQ694" s="198"/>
      <c r="AR694" s="198"/>
      <c r="AS694" s="198"/>
      <c r="AT694" s="198"/>
      <c r="AU694" s="198"/>
      <c r="AV694" s="198"/>
      <c r="AW694" s="198"/>
      <c r="AX694" s="198"/>
      <c r="AY694" s="198"/>
      <c r="AZ694" s="198"/>
      <c r="BA694" s="198"/>
      <c r="BB694" s="198"/>
      <c r="BC694" s="198"/>
      <c r="BD694" s="198"/>
      <c r="BE694" s="198"/>
      <c r="BF694" s="198"/>
      <c r="BG694" s="198"/>
      <c r="BH694" s="198"/>
      <c r="BI694" s="198"/>
      <c r="BJ694" s="198"/>
      <c r="BK694" s="198"/>
      <c r="BL694" s="198"/>
      <c r="BM694" s="198"/>
      <c r="BN694" s="198"/>
      <c r="BO694" s="198"/>
      <c r="BP694" s="198"/>
      <c r="BQ694" s="198"/>
      <c r="BR694" s="198"/>
      <c r="BS694" s="198"/>
      <c r="BT694" s="198"/>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198"/>
      <c r="AA695" s="198"/>
      <c r="AB695" s="198"/>
      <c r="AC695" s="198"/>
      <c r="AD695" s="198"/>
      <c r="AE695" s="198"/>
      <c r="AF695" s="198"/>
      <c r="AG695" s="198"/>
      <c r="AH695" s="198"/>
      <c r="AI695" s="198"/>
      <c r="AJ695" s="198"/>
      <c r="AK695" s="198"/>
      <c r="AL695" s="198"/>
      <c r="AM695" s="198"/>
      <c r="AN695" s="198"/>
      <c r="AO695" s="198"/>
      <c r="AP695" s="198"/>
      <c r="AQ695" s="198"/>
      <c r="AR695" s="198"/>
      <c r="AS695" s="198"/>
      <c r="AT695" s="198"/>
      <c r="AU695" s="198"/>
      <c r="AV695" s="198"/>
      <c r="AW695" s="198"/>
      <c r="AX695" s="198"/>
      <c r="AY695" s="198"/>
      <c r="AZ695" s="198"/>
      <c r="BA695" s="198"/>
      <c r="BB695" s="198"/>
      <c r="BC695" s="198"/>
      <c r="BD695" s="198"/>
      <c r="BE695" s="198"/>
      <c r="BF695" s="198"/>
      <c r="BG695" s="198"/>
      <c r="BH695" s="198"/>
      <c r="BI695" s="198"/>
      <c r="BJ695" s="198"/>
      <c r="BK695" s="198"/>
      <c r="BL695" s="198"/>
      <c r="BM695" s="198"/>
      <c r="BN695" s="198"/>
      <c r="BO695" s="198"/>
      <c r="BP695" s="198"/>
      <c r="BQ695" s="198"/>
      <c r="BR695" s="198"/>
      <c r="BS695" s="198"/>
      <c r="BT695" s="198"/>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198"/>
      <c r="AA696" s="198"/>
      <c r="AB696" s="198"/>
      <c r="AC696" s="198"/>
      <c r="AD696" s="198"/>
      <c r="AE696" s="198"/>
      <c r="AF696" s="198"/>
      <c r="AG696" s="198"/>
      <c r="AH696" s="198"/>
      <c r="AI696" s="198"/>
      <c r="AJ696" s="198"/>
      <c r="AK696" s="198"/>
      <c r="AL696" s="198"/>
      <c r="AM696" s="198"/>
      <c r="AN696" s="198"/>
      <c r="AO696" s="198"/>
      <c r="AP696" s="198"/>
      <c r="AQ696" s="198"/>
      <c r="AR696" s="198"/>
      <c r="AS696" s="198"/>
      <c r="AT696" s="198"/>
      <c r="AU696" s="198"/>
      <c r="AV696" s="198"/>
      <c r="AW696" s="198"/>
      <c r="AX696" s="198"/>
      <c r="AY696" s="198"/>
      <c r="AZ696" s="198"/>
      <c r="BA696" s="198"/>
      <c r="BB696" s="198"/>
      <c r="BC696" s="198"/>
      <c r="BD696" s="198"/>
      <c r="BE696" s="198"/>
      <c r="BF696" s="198"/>
      <c r="BG696" s="198"/>
      <c r="BH696" s="198"/>
      <c r="BI696" s="198"/>
      <c r="BJ696" s="198"/>
      <c r="BK696" s="198"/>
      <c r="BL696" s="198"/>
      <c r="BM696" s="198"/>
      <c r="BN696" s="198"/>
      <c r="BO696" s="198"/>
      <c r="BP696" s="198"/>
      <c r="BQ696" s="198"/>
      <c r="BR696" s="198"/>
      <c r="BS696" s="198"/>
      <c r="BT696" s="198"/>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8"/>
      <c r="AY697" s="198"/>
      <c r="AZ697" s="198"/>
      <c r="BA697" s="198"/>
      <c r="BB697" s="198"/>
      <c r="BC697" s="198"/>
      <c r="BD697" s="198"/>
      <c r="BE697" s="198"/>
      <c r="BF697" s="198"/>
      <c r="BG697" s="198"/>
      <c r="BH697" s="198"/>
      <c r="BI697" s="198"/>
      <c r="BJ697" s="198"/>
      <c r="BK697" s="198"/>
      <c r="BL697" s="198"/>
      <c r="BM697" s="198"/>
      <c r="BN697" s="198"/>
      <c r="BO697" s="198"/>
      <c r="BP697" s="198"/>
      <c r="BQ697" s="198"/>
      <c r="BR697" s="198"/>
      <c r="BS697" s="198"/>
      <c r="BT697" s="198"/>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8"/>
      <c r="AY698" s="198"/>
      <c r="AZ698" s="198"/>
      <c r="BA698" s="198"/>
      <c r="BB698" s="198"/>
      <c r="BC698" s="198"/>
      <c r="BD698" s="198"/>
      <c r="BE698" s="198"/>
      <c r="BF698" s="198"/>
      <c r="BG698" s="198"/>
      <c r="BH698" s="198"/>
      <c r="BI698" s="198"/>
      <c r="BJ698" s="198"/>
      <c r="BK698" s="198"/>
      <c r="BL698" s="198"/>
      <c r="BM698" s="198"/>
      <c r="BN698" s="198"/>
      <c r="BO698" s="198"/>
      <c r="BP698" s="198"/>
      <c r="BQ698" s="198"/>
      <c r="BR698" s="198"/>
      <c r="BS698" s="198"/>
      <c r="BT698" s="198"/>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8"/>
      <c r="AY699" s="198"/>
      <c r="AZ699" s="198"/>
      <c r="BA699" s="198"/>
      <c r="BB699" s="198"/>
      <c r="BC699" s="198"/>
      <c r="BD699" s="198"/>
      <c r="BE699" s="198"/>
      <c r="BF699" s="198"/>
      <c r="BG699" s="198"/>
      <c r="BH699" s="198"/>
      <c r="BI699" s="198"/>
      <c r="BJ699" s="198"/>
      <c r="BK699" s="198"/>
      <c r="BL699" s="198"/>
      <c r="BM699" s="198"/>
      <c r="BN699" s="198"/>
      <c r="BO699" s="198"/>
      <c r="BP699" s="198"/>
      <c r="BQ699" s="198"/>
      <c r="BR699" s="198"/>
      <c r="BS699" s="198"/>
      <c r="BT699" s="198"/>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198"/>
      <c r="AA700" s="198"/>
      <c r="AB700" s="198"/>
      <c r="AC700" s="198"/>
      <c r="AD700" s="198"/>
      <c r="AE700" s="198"/>
      <c r="AF700" s="198"/>
      <c r="AG700" s="198"/>
      <c r="AH700" s="198"/>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198"/>
      <c r="BD700" s="198"/>
      <c r="BE700" s="198"/>
      <c r="BF700" s="198"/>
      <c r="BG700" s="198"/>
      <c r="BH700" s="198"/>
      <c r="BI700" s="198"/>
      <c r="BJ700" s="198"/>
      <c r="BK700" s="198"/>
      <c r="BL700" s="198"/>
      <c r="BM700" s="198"/>
      <c r="BN700" s="198"/>
      <c r="BO700" s="198"/>
      <c r="BP700" s="198"/>
      <c r="BQ700" s="198"/>
      <c r="BR700" s="198"/>
      <c r="BS700" s="198"/>
      <c r="BT700" s="198"/>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198"/>
      <c r="AA701" s="198"/>
      <c r="AB701" s="198"/>
      <c r="AC701" s="198"/>
      <c r="AD701" s="198"/>
      <c r="AE701" s="198"/>
      <c r="AF701" s="198"/>
      <c r="AG701" s="198"/>
      <c r="AH701" s="198"/>
      <c r="AI701" s="198"/>
      <c r="AJ701" s="198"/>
      <c r="AK701" s="198"/>
      <c r="AL701" s="198"/>
      <c r="AM701" s="198"/>
      <c r="AN701" s="198"/>
      <c r="AO701" s="198"/>
      <c r="AP701" s="198"/>
      <c r="AQ701" s="198"/>
      <c r="AR701" s="198"/>
      <c r="AS701" s="198"/>
      <c r="AT701" s="198"/>
      <c r="AU701" s="198"/>
      <c r="AV701" s="198"/>
      <c r="AW701" s="198"/>
      <c r="AX701" s="198"/>
      <c r="AY701" s="198"/>
      <c r="AZ701" s="198"/>
      <c r="BA701" s="198"/>
      <c r="BB701" s="198"/>
      <c r="BC701" s="198"/>
      <c r="BD701" s="198"/>
      <c r="BE701" s="198"/>
      <c r="BF701" s="198"/>
      <c r="BG701" s="198"/>
      <c r="BH701" s="198"/>
      <c r="BI701" s="198"/>
      <c r="BJ701" s="198"/>
      <c r="BK701" s="198"/>
      <c r="BL701" s="198"/>
      <c r="BM701" s="198"/>
      <c r="BN701" s="198"/>
      <c r="BO701" s="198"/>
      <c r="BP701" s="198"/>
      <c r="BQ701" s="198"/>
      <c r="BR701" s="198"/>
      <c r="BS701" s="198"/>
      <c r="BT701" s="198"/>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198"/>
      <c r="AA702" s="198"/>
      <c r="AB702" s="198"/>
      <c r="AC702" s="198"/>
      <c r="AD702" s="198"/>
      <c r="AE702" s="198"/>
      <c r="AF702" s="198"/>
      <c r="AG702" s="198"/>
      <c r="AH702" s="198"/>
      <c r="AI702" s="198"/>
      <c r="AJ702" s="198"/>
      <c r="AK702" s="198"/>
      <c r="AL702" s="198"/>
      <c r="AM702" s="198"/>
      <c r="AN702" s="198"/>
      <c r="AO702" s="198"/>
      <c r="AP702" s="198"/>
      <c r="AQ702" s="198"/>
      <c r="AR702" s="198"/>
      <c r="AS702" s="198"/>
      <c r="AT702" s="198"/>
      <c r="AU702" s="198"/>
      <c r="AV702" s="198"/>
      <c r="AW702" s="198"/>
      <c r="AX702" s="198"/>
      <c r="AY702" s="198"/>
      <c r="AZ702" s="198"/>
      <c r="BA702" s="198"/>
      <c r="BB702" s="198"/>
      <c r="BC702" s="198"/>
      <c r="BD702" s="198"/>
      <c r="BE702" s="198"/>
      <c r="BF702" s="198"/>
      <c r="BG702" s="198"/>
      <c r="BH702" s="198"/>
      <c r="BI702" s="198"/>
      <c r="BJ702" s="198"/>
      <c r="BK702" s="198"/>
      <c r="BL702" s="198"/>
      <c r="BM702" s="198"/>
      <c r="BN702" s="198"/>
      <c r="BO702" s="198"/>
      <c r="BP702" s="198"/>
      <c r="BQ702" s="198"/>
      <c r="BR702" s="198"/>
      <c r="BS702" s="198"/>
      <c r="BT702" s="198"/>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198"/>
      <c r="AA703" s="198"/>
      <c r="AB703" s="198"/>
      <c r="AC703" s="198"/>
      <c r="AD703" s="198"/>
      <c r="AE703" s="198"/>
      <c r="AF703" s="198"/>
      <c r="AG703" s="198"/>
      <c r="AH703" s="198"/>
      <c r="AI703" s="198"/>
      <c r="AJ703" s="198"/>
      <c r="AK703" s="198"/>
      <c r="AL703" s="198"/>
      <c r="AM703" s="198"/>
      <c r="AN703" s="198"/>
      <c r="AO703" s="198"/>
      <c r="AP703" s="198"/>
      <c r="AQ703" s="198"/>
      <c r="AR703" s="198"/>
      <c r="AS703" s="198"/>
      <c r="AT703" s="198"/>
      <c r="AU703" s="198"/>
      <c r="AV703" s="198"/>
      <c r="AW703" s="198"/>
      <c r="AX703" s="198"/>
      <c r="AY703" s="198"/>
      <c r="AZ703" s="198"/>
      <c r="BA703" s="198"/>
      <c r="BB703" s="198"/>
      <c r="BC703" s="198"/>
      <c r="BD703" s="198"/>
      <c r="BE703" s="198"/>
      <c r="BF703" s="198"/>
      <c r="BG703" s="198"/>
      <c r="BH703" s="198"/>
      <c r="BI703" s="198"/>
      <c r="BJ703" s="198"/>
      <c r="BK703" s="198"/>
      <c r="BL703" s="198"/>
      <c r="BM703" s="198"/>
      <c r="BN703" s="198"/>
      <c r="BO703" s="198"/>
      <c r="BP703" s="198"/>
      <c r="BQ703" s="198"/>
      <c r="BR703" s="198"/>
      <c r="BS703" s="198"/>
      <c r="BT703" s="198"/>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198"/>
      <c r="AA704" s="198"/>
      <c r="AB704" s="198"/>
      <c r="AC704" s="198"/>
      <c r="AD704" s="198"/>
      <c r="AE704" s="198"/>
      <c r="AF704" s="198"/>
      <c r="AG704" s="198"/>
      <c r="AH704" s="198"/>
      <c r="AI704" s="198"/>
      <c r="AJ704" s="198"/>
      <c r="AK704" s="198"/>
      <c r="AL704" s="198"/>
      <c r="AM704" s="198"/>
      <c r="AN704" s="198"/>
      <c r="AO704" s="198"/>
      <c r="AP704" s="198"/>
      <c r="AQ704" s="198"/>
      <c r="AR704" s="198"/>
      <c r="AS704" s="198"/>
      <c r="AT704" s="198"/>
      <c r="AU704" s="198"/>
      <c r="AV704" s="198"/>
      <c r="AW704" s="198"/>
      <c r="AX704" s="198"/>
      <c r="AY704" s="198"/>
      <c r="AZ704" s="198"/>
      <c r="BA704" s="198"/>
      <c r="BB704" s="198"/>
      <c r="BC704" s="198"/>
      <c r="BD704" s="198"/>
      <c r="BE704" s="198"/>
      <c r="BF704" s="198"/>
      <c r="BG704" s="198"/>
      <c r="BH704" s="198"/>
      <c r="BI704" s="198"/>
      <c r="BJ704" s="198"/>
      <c r="BK704" s="198"/>
      <c r="BL704" s="198"/>
      <c r="BM704" s="198"/>
      <c r="BN704" s="198"/>
      <c r="BO704" s="198"/>
      <c r="BP704" s="198"/>
      <c r="BQ704" s="198"/>
      <c r="BR704" s="198"/>
      <c r="BS704" s="198"/>
      <c r="BT704" s="198"/>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198"/>
      <c r="AA705" s="198"/>
      <c r="AB705" s="198"/>
      <c r="AC705" s="198"/>
      <c r="AD705" s="198"/>
      <c r="AE705" s="198"/>
      <c r="AF705" s="198"/>
      <c r="AG705" s="198"/>
      <c r="AH705" s="198"/>
      <c r="AI705" s="198"/>
      <c r="AJ705" s="198"/>
      <c r="AK705" s="198"/>
      <c r="AL705" s="198"/>
      <c r="AM705" s="198"/>
      <c r="AN705" s="198"/>
      <c r="AO705" s="198"/>
      <c r="AP705" s="198"/>
      <c r="AQ705" s="198"/>
      <c r="AR705" s="198"/>
      <c r="AS705" s="198"/>
      <c r="AT705" s="198"/>
      <c r="AU705" s="198"/>
      <c r="AV705" s="198"/>
      <c r="AW705" s="198"/>
      <c r="AX705" s="198"/>
      <c r="AY705" s="198"/>
      <c r="AZ705" s="198"/>
      <c r="BA705" s="198"/>
      <c r="BB705" s="198"/>
      <c r="BC705" s="198"/>
      <c r="BD705" s="198"/>
      <c r="BE705" s="198"/>
      <c r="BF705" s="198"/>
      <c r="BG705" s="198"/>
      <c r="BH705" s="198"/>
      <c r="BI705" s="198"/>
      <c r="BJ705" s="198"/>
      <c r="BK705" s="198"/>
      <c r="BL705" s="198"/>
      <c r="BM705" s="198"/>
      <c r="BN705" s="198"/>
      <c r="BO705" s="198"/>
      <c r="BP705" s="198"/>
      <c r="BQ705" s="198"/>
      <c r="BR705" s="198"/>
      <c r="BS705" s="198"/>
      <c r="BT705" s="198"/>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198"/>
      <c r="AA706" s="198"/>
      <c r="AB706" s="198"/>
      <c r="AC706" s="198"/>
      <c r="AD706" s="198"/>
      <c r="AE706" s="198"/>
      <c r="AF706" s="198"/>
      <c r="AG706" s="198"/>
      <c r="AH706" s="198"/>
      <c r="AI706" s="198"/>
      <c r="AJ706" s="198"/>
      <c r="AK706" s="198"/>
      <c r="AL706" s="198"/>
      <c r="AM706" s="198"/>
      <c r="AN706" s="198"/>
      <c r="AO706" s="198"/>
      <c r="AP706" s="198"/>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c r="BN706" s="198"/>
      <c r="BO706" s="198"/>
      <c r="BP706" s="198"/>
      <c r="BQ706" s="198"/>
      <c r="BR706" s="198"/>
      <c r="BS706" s="198"/>
      <c r="BT706" s="198"/>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198"/>
      <c r="AA707" s="198"/>
      <c r="AB707" s="198"/>
      <c r="AC707" s="198"/>
      <c r="AD707" s="198"/>
      <c r="AE707" s="198"/>
      <c r="AF707" s="198"/>
      <c r="AG707" s="198"/>
      <c r="AH707" s="198"/>
      <c r="AI707" s="198"/>
      <c r="AJ707" s="198"/>
      <c r="AK707" s="198"/>
      <c r="AL707" s="198"/>
      <c r="AM707" s="198"/>
      <c r="AN707" s="198"/>
      <c r="AO707" s="198"/>
      <c r="AP707" s="198"/>
      <c r="AQ707" s="198"/>
      <c r="AR707" s="198"/>
      <c r="AS707" s="198"/>
      <c r="AT707" s="198"/>
      <c r="AU707" s="198"/>
      <c r="AV707" s="198"/>
      <c r="AW707" s="198"/>
      <c r="AX707" s="198"/>
      <c r="AY707" s="198"/>
      <c r="AZ707" s="198"/>
      <c r="BA707" s="198"/>
      <c r="BB707" s="198"/>
      <c r="BC707" s="198"/>
      <c r="BD707" s="198"/>
      <c r="BE707" s="198"/>
      <c r="BF707" s="198"/>
      <c r="BG707" s="198"/>
      <c r="BH707" s="198"/>
      <c r="BI707" s="198"/>
      <c r="BJ707" s="198"/>
      <c r="BK707" s="198"/>
      <c r="BL707" s="198"/>
      <c r="BM707" s="198"/>
      <c r="BN707" s="198"/>
      <c r="BO707" s="198"/>
      <c r="BP707" s="198"/>
      <c r="BQ707" s="198"/>
      <c r="BR707" s="198"/>
      <c r="BS707" s="198"/>
      <c r="BT707" s="198"/>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198"/>
      <c r="AA708" s="198"/>
      <c r="AB708" s="198"/>
      <c r="AC708" s="198"/>
      <c r="AD708" s="198"/>
      <c r="AE708" s="198"/>
      <c r="AF708" s="198"/>
      <c r="AG708" s="198"/>
      <c r="AH708" s="198"/>
      <c r="AI708" s="198"/>
      <c r="AJ708" s="198"/>
      <c r="AK708" s="198"/>
      <c r="AL708" s="198"/>
      <c r="AM708" s="198"/>
      <c r="AN708" s="198"/>
      <c r="AO708" s="198"/>
      <c r="AP708" s="198"/>
      <c r="AQ708" s="198"/>
      <c r="AR708" s="198"/>
      <c r="AS708" s="198"/>
      <c r="AT708" s="198"/>
      <c r="AU708" s="198"/>
      <c r="AV708" s="198"/>
      <c r="AW708" s="198"/>
      <c r="AX708" s="198"/>
      <c r="AY708" s="198"/>
      <c r="AZ708" s="198"/>
      <c r="BA708" s="198"/>
      <c r="BB708" s="198"/>
      <c r="BC708" s="198"/>
      <c r="BD708" s="198"/>
      <c r="BE708" s="198"/>
      <c r="BF708" s="198"/>
      <c r="BG708" s="198"/>
      <c r="BH708" s="198"/>
      <c r="BI708" s="198"/>
      <c r="BJ708" s="198"/>
      <c r="BK708" s="198"/>
      <c r="BL708" s="198"/>
      <c r="BM708" s="198"/>
      <c r="BN708" s="198"/>
      <c r="BO708" s="198"/>
      <c r="BP708" s="198"/>
      <c r="BQ708" s="198"/>
      <c r="BR708" s="198"/>
      <c r="BS708" s="198"/>
      <c r="BT708" s="198"/>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198"/>
      <c r="AA709" s="198"/>
      <c r="AB709" s="198"/>
      <c r="AC709" s="198"/>
      <c r="AD709" s="198"/>
      <c r="AE709" s="198"/>
      <c r="AF709" s="198"/>
      <c r="AG709" s="198"/>
      <c r="AH709" s="198"/>
      <c r="AI709" s="198"/>
      <c r="AJ709" s="198"/>
      <c r="AK709" s="198"/>
      <c r="AL709" s="198"/>
      <c r="AM709" s="198"/>
      <c r="AN709" s="198"/>
      <c r="AO709" s="198"/>
      <c r="AP709" s="198"/>
      <c r="AQ709" s="198"/>
      <c r="AR709" s="198"/>
      <c r="AS709" s="198"/>
      <c r="AT709" s="198"/>
      <c r="AU709" s="198"/>
      <c r="AV709" s="198"/>
      <c r="AW709" s="198"/>
      <c r="AX709" s="198"/>
      <c r="AY709" s="198"/>
      <c r="AZ709" s="198"/>
      <c r="BA709" s="198"/>
      <c r="BB709" s="198"/>
      <c r="BC709" s="198"/>
      <c r="BD709" s="198"/>
      <c r="BE709" s="198"/>
      <c r="BF709" s="198"/>
      <c r="BG709" s="198"/>
      <c r="BH709" s="198"/>
      <c r="BI709" s="198"/>
      <c r="BJ709" s="198"/>
      <c r="BK709" s="198"/>
      <c r="BL709" s="198"/>
      <c r="BM709" s="198"/>
      <c r="BN709" s="198"/>
      <c r="BO709" s="198"/>
      <c r="BP709" s="198"/>
      <c r="BQ709" s="198"/>
      <c r="BR709" s="198"/>
      <c r="BS709" s="198"/>
      <c r="BT709" s="198"/>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198"/>
      <c r="AA710" s="198"/>
      <c r="AB710" s="198"/>
      <c r="AC710" s="198"/>
      <c r="AD710" s="198"/>
      <c r="AE710" s="198"/>
      <c r="AF710" s="198"/>
      <c r="AG710" s="198"/>
      <c r="AH710" s="198"/>
      <c r="AI710" s="198"/>
      <c r="AJ710" s="198"/>
      <c r="AK710" s="198"/>
      <c r="AL710" s="198"/>
      <c r="AM710" s="198"/>
      <c r="AN710" s="198"/>
      <c r="AO710" s="198"/>
      <c r="AP710" s="198"/>
      <c r="AQ710" s="198"/>
      <c r="AR710" s="198"/>
      <c r="AS710" s="198"/>
      <c r="AT710" s="198"/>
      <c r="AU710" s="198"/>
      <c r="AV710" s="198"/>
      <c r="AW710" s="198"/>
      <c r="AX710" s="198"/>
      <c r="AY710" s="198"/>
      <c r="AZ710" s="198"/>
      <c r="BA710" s="198"/>
      <c r="BB710" s="198"/>
      <c r="BC710" s="198"/>
      <c r="BD710" s="198"/>
      <c r="BE710" s="198"/>
      <c r="BF710" s="198"/>
      <c r="BG710" s="198"/>
      <c r="BH710" s="198"/>
      <c r="BI710" s="198"/>
      <c r="BJ710" s="198"/>
      <c r="BK710" s="198"/>
      <c r="BL710" s="198"/>
      <c r="BM710" s="198"/>
      <c r="BN710" s="198"/>
      <c r="BO710" s="198"/>
      <c r="BP710" s="198"/>
      <c r="BQ710" s="198"/>
      <c r="BR710" s="198"/>
      <c r="BS710" s="198"/>
      <c r="BT710" s="198"/>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198"/>
      <c r="AA711" s="198"/>
      <c r="AB711" s="198"/>
      <c r="AC711" s="198"/>
      <c r="AD711" s="198"/>
      <c r="AE711" s="198"/>
      <c r="AF711" s="198"/>
      <c r="AG711" s="198"/>
      <c r="AH711" s="198"/>
      <c r="AI711" s="198"/>
      <c r="AJ711" s="198"/>
      <c r="AK711" s="198"/>
      <c r="AL711" s="198"/>
      <c r="AM711" s="198"/>
      <c r="AN711" s="198"/>
      <c r="AO711" s="198"/>
      <c r="AP711" s="198"/>
      <c r="AQ711" s="198"/>
      <c r="AR711" s="198"/>
      <c r="AS711" s="198"/>
      <c r="AT711" s="198"/>
      <c r="AU711" s="198"/>
      <c r="AV711" s="198"/>
      <c r="AW711" s="198"/>
      <c r="AX711" s="198"/>
      <c r="AY711" s="198"/>
      <c r="AZ711" s="198"/>
      <c r="BA711" s="198"/>
      <c r="BB711" s="198"/>
      <c r="BC711" s="198"/>
      <c r="BD711" s="198"/>
      <c r="BE711" s="198"/>
      <c r="BF711" s="198"/>
      <c r="BG711" s="198"/>
      <c r="BH711" s="198"/>
      <c r="BI711" s="198"/>
      <c r="BJ711" s="198"/>
      <c r="BK711" s="198"/>
      <c r="BL711" s="198"/>
      <c r="BM711" s="198"/>
      <c r="BN711" s="198"/>
      <c r="BO711" s="198"/>
      <c r="BP711" s="198"/>
      <c r="BQ711" s="198"/>
      <c r="BR711" s="198"/>
      <c r="BS711" s="198"/>
      <c r="BT711" s="198"/>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198"/>
      <c r="AA712" s="198"/>
      <c r="AB712" s="198"/>
      <c r="AC712" s="198"/>
      <c r="AD712" s="198"/>
      <c r="AE712" s="198"/>
      <c r="AF712" s="198"/>
      <c r="AG712" s="198"/>
      <c r="AH712" s="198"/>
      <c r="AI712" s="198"/>
      <c r="AJ712" s="198"/>
      <c r="AK712" s="198"/>
      <c r="AL712" s="198"/>
      <c r="AM712" s="198"/>
      <c r="AN712" s="198"/>
      <c r="AO712" s="198"/>
      <c r="AP712" s="198"/>
      <c r="AQ712" s="198"/>
      <c r="AR712" s="198"/>
      <c r="AS712" s="198"/>
      <c r="AT712" s="198"/>
      <c r="AU712" s="198"/>
      <c r="AV712" s="198"/>
      <c r="AW712" s="198"/>
      <c r="AX712" s="198"/>
      <c r="AY712" s="198"/>
      <c r="AZ712" s="198"/>
      <c r="BA712" s="198"/>
      <c r="BB712" s="198"/>
      <c r="BC712" s="198"/>
      <c r="BD712" s="198"/>
      <c r="BE712" s="198"/>
      <c r="BF712" s="198"/>
      <c r="BG712" s="198"/>
      <c r="BH712" s="198"/>
      <c r="BI712" s="198"/>
      <c r="BJ712" s="198"/>
      <c r="BK712" s="198"/>
      <c r="BL712" s="198"/>
      <c r="BM712" s="198"/>
      <c r="BN712" s="198"/>
      <c r="BO712" s="198"/>
      <c r="BP712" s="198"/>
      <c r="BQ712" s="198"/>
      <c r="BR712" s="198"/>
      <c r="BS712" s="198"/>
      <c r="BT712" s="198"/>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198"/>
      <c r="AA713" s="198"/>
      <c r="AB713" s="198"/>
      <c r="AC713" s="198"/>
      <c r="AD713" s="198"/>
      <c r="AE713" s="198"/>
      <c r="AF713" s="198"/>
      <c r="AG713" s="198"/>
      <c r="AH713" s="198"/>
      <c r="AI713" s="198"/>
      <c r="AJ713" s="198"/>
      <c r="AK713" s="198"/>
      <c r="AL713" s="198"/>
      <c r="AM713" s="198"/>
      <c r="AN713" s="198"/>
      <c r="AO713" s="198"/>
      <c r="AP713" s="198"/>
      <c r="AQ713" s="198"/>
      <c r="AR713" s="198"/>
      <c r="AS713" s="198"/>
      <c r="AT713" s="198"/>
      <c r="AU713" s="198"/>
      <c r="AV713" s="198"/>
      <c r="AW713" s="198"/>
      <c r="AX713" s="198"/>
      <c r="AY713" s="198"/>
      <c r="AZ713" s="198"/>
      <c r="BA713" s="198"/>
      <c r="BB713" s="198"/>
      <c r="BC713" s="198"/>
      <c r="BD713" s="198"/>
      <c r="BE713" s="198"/>
      <c r="BF713" s="198"/>
      <c r="BG713" s="198"/>
      <c r="BH713" s="198"/>
      <c r="BI713" s="198"/>
      <c r="BJ713" s="198"/>
      <c r="BK713" s="198"/>
      <c r="BL713" s="198"/>
      <c r="BM713" s="198"/>
      <c r="BN713" s="198"/>
      <c r="BO713" s="198"/>
      <c r="BP713" s="198"/>
      <c r="BQ713" s="198"/>
      <c r="BR713" s="198"/>
      <c r="BS713" s="198"/>
      <c r="BT713" s="198"/>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198"/>
      <c r="AA714" s="198"/>
      <c r="AB714" s="198"/>
      <c r="AC714" s="198"/>
      <c r="AD714" s="198"/>
      <c r="AE714" s="198"/>
      <c r="AF714" s="198"/>
      <c r="AG714" s="198"/>
      <c r="AH714" s="198"/>
      <c r="AI714" s="198"/>
      <c r="AJ714" s="198"/>
      <c r="AK714" s="198"/>
      <c r="AL714" s="198"/>
      <c r="AM714" s="198"/>
      <c r="AN714" s="198"/>
      <c r="AO714" s="198"/>
      <c r="AP714" s="198"/>
      <c r="AQ714" s="198"/>
      <c r="AR714" s="198"/>
      <c r="AS714" s="198"/>
      <c r="AT714" s="198"/>
      <c r="AU714" s="198"/>
      <c r="AV714" s="198"/>
      <c r="AW714" s="198"/>
      <c r="AX714" s="198"/>
      <c r="AY714" s="198"/>
      <c r="AZ714" s="198"/>
      <c r="BA714" s="198"/>
      <c r="BB714" s="198"/>
      <c r="BC714" s="198"/>
      <c r="BD714" s="198"/>
      <c r="BE714" s="198"/>
      <c r="BF714" s="198"/>
      <c r="BG714" s="198"/>
      <c r="BH714" s="198"/>
      <c r="BI714" s="198"/>
      <c r="BJ714" s="198"/>
      <c r="BK714" s="198"/>
      <c r="BL714" s="198"/>
      <c r="BM714" s="198"/>
      <c r="BN714" s="198"/>
      <c r="BO714" s="198"/>
      <c r="BP714" s="198"/>
      <c r="BQ714" s="198"/>
      <c r="BR714" s="198"/>
      <c r="BS714" s="198"/>
      <c r="BT714" s="198"/>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198"/>
      <c r="AA715" s="198"/>
      <c r="AB715" s="198"/>
      <c r="AC715" s="198"/>
      <c r="AD715" s="198"/>
      <c r="AE715" s="198"/>
      <c r="AF715" s="198"/>
      <c r="AG715" s="198"/>
      <c r="AH715" s="198"/>
      <c r="AI715" s="198"/>
      <c r="AJ715" s="198"/>
      <c r="AK715" s="198"/>
      <c r="AL715" s="198"/>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c r="BN715" s="198"/>
      <c r="BO715" s="198"/>
      <c r="BP715" s="198"/>
      <c r="BQ715" s="198"/>
      <c r="BR715" s="198"/>
      <c r="BS715" s="198"/>
      <c r="BT715" s="198"/>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198"/>
      <c r="AA716" s="198"/>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c r="BN716" s="198"/>
      <c r="BO716" s="198"/>
      <c r="BP716" s="198"/>
      <c r="BQ716" s="198"/>
      <c r="BR716" s="198"/>
      <c r="BS716" s="198"/>
      <c r="BT716" s="198"/>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198"/>
      <c r="AA717" s="198"/>
      <c r="AB717" s="198"/>
      <c r="AC717" s="198"/>
      <c r="AD717" s="198"/>
      <c r="AE717" s="198"/>
      <c r="AF717" s="198"/>
      <c r="AG717" s="198"/>
      <c r="AH717" s="198"/>
      <c r="AI717" s="198"/>
      <c r="AJ717" s="198"/>
      <c r="AK717" s="198"/>
      <c r="AL717" s="198"/>
      <c r="AM717" s="198"/>
      <c r="AN717" s="198"/>
      <c r="AO717" s="198"/>
      <c r="AP717" s="198"/>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c r="BN717" s="198"/>
      <c r="BO717" s="198"/>
      <c r="BP717" s="198"/>
      <c r="BQ717" s="198"/>
      <c r="BR717" s="198"/>
      <c r="BS717" s="198"/>
      <c r="BT717" s="198"/>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198"/>
      <c r="AA718" s="198"/>
      <c r="AB718" s="198"/>
      <c r="AC718" s="198"/>
      <c r="AD718" s="198"/>
      <c r="AE718" s="198"/>
      <c r="AF718" s="198"/>
      <c r="AG718" s="198"/>
      <c r="AH718" s="198"/>
      <c r="AI718" s="198"/>
      <c r="AJ718" s="198"/>
      <c r="AK718" s="198"/>
      <c r="AL718" s="198"/>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c r="BN718" s="198"/>
      <c r="BO718" s="198"/>
      <c r="BP718" s="198"/>
      <c r="BQ718" s="198"/>
      <c r="BR718" s="198"/>
      <c r="BS718" s="198"/>
      <c r="BT718" s="198"/>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198"/>
      <c r="AA719" s="198"/>
      <c r="AB719" s="198"/>
      <c r="AC719" s="198"/>
      <c r="AD719" s="198"/>
      <c r="AE719" s="198"/>
      <c r="AF719" s="198"/>
      <c r="AG719" s="198"/>
      <c r="AH719" s="198"/>
      <c r="AI719" s="198"/>
      <c r="AJ719" s="198"/>
      <c r="AK719" s="198"/>
      <c r="AL719" s="198"/>
      <c r="AM719" s="198"/>
      <c r="AN719" s="198"/>
      <c r="AO719" s="198"/>
      <c r="AP719" s="198"/>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c r="BN719" s="198"/>
      <c r="BO719" s="198"/>
      <c r="BP719" s="198"/>
      <c r="BQ719" s="198"/>
      <c r="BR719" s="198"/>
      <c r="BS719" s="198"/>
      <c r="BT719" s="198"/>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198"/>
      <c r="AA720" s="198"/>
      <c r="AB720" s="198"/>
      <c r="AC720" s="198"/>
      <c r="AD720" s="198"/>
      <c r="AE720" s="198"/>
      <c r="AF720" s="198"/>
      <c r="AG720" s="198"/>
      <c r="AH720" s="198"/>
      <c r="AI720" s="198"/>
      <c r="AJ720" s="198"/>
      <c r="AK720" s="198"/>
      <c r="AL720" s="198"/>
      <c r="AM720" s="198"/>
      <c r="AN720" s="198"/>
      <c r="AO720" s="198"/>
      <c r="AP720" s="198"/>
      <c r="AQ720" s="198"/>
      <c r="AR720" s="198"/>
      <c r="AS720" s="198"/>
      <c r="AT720" s="198"/>
      <c r="AU720" s="198"/>
      <c r="AV720" s="198"/>
      <c r="AW720" s="198"/>
      <c r="AX720" s="198"/>
      <c r="AY720" s="198"/>
      <c r="AZ720" s="198"/>
      <c r="BA720" s="198"/>
      <c r="BB720" s="198"/>
      <c r="BC720" s="198"/>
      <c r="BD720" s="198"/>
      <c r="BE720" s="198"/>
      <c r="BF720" s="198"/>
      <c r="BG720" s="198"/>
      <c r="BH720" s="198"/>
      <c r="BI720" s="198"/>
      <c r="BJ720" s="198"/>
      <c r="BK720" s="198"/>
      <c r="BL720" s="198"/>
      <c r="BM720" s="198"/>
      <c r="BN720" s="198"/>
      <c r="BO720" s="198"/>
      <c r="BP720" s="198"/>
      <c r="BQ720" s="198"/>
      <c r="BR720" s="198"/>
      <c r="BS720" s="198"/>
      <c r="BT720" s="198"/>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198"/>
      <c r="AA721" s="198"/>
      <c r="AB721" s="198"/>
      <c r="AC721" s="198"/>
      <c r="AD721" s="198"/>
      <c r="AE721" s="198"/>
      <c r="AF721" s="198"/>
      <c r="AG721" s="198"/>
      <c r="AH721" s="198"/>
      <c r="AI721" s="198"/>
      <c r="AJ721" s="198"/>
      <c r="AK721" s="198"/>
      <c r="AL721" s="198"/>
      <c r="AM721" s="198"/>
      <c r="AN721" s="198"/>
      <c r="AO721" s="198"/>
      <c r="AP721" s="198"/>
      <c r="AQ721" s="198"/>
      <c r="AR721" s="198"/>
      <c r="AS721" s="198"/>
      <c r="AT721" s="198"/>
      <c r="AU721" s="198"/>
      <c r="AV721" s="198"/>
      <c r="AW721" s="198"/>
      <c r="AX721" s="198"/>
      <c r="AY721" s="198"/>
      <c r="AZ721" s="198"/>
      <c r="BA721" s="198"/>
      <c r="BB721" s="198"/>
      <c r="BC721" s="198"/>
      <c r="BD721" s="198"/>
      <c r="BE721" s="198"/>
      <c r="BF721" s="198"/>
      <c r="BG721" s="198"/>
      <c r="BH721" s="198"/>
      <c r="BI721" s="198"/>
      <c r="BJ721" s="198"/>
      <c r="BK721" s="198"/>
      <c r="BL721" s="198"/>
      <c r="BM721" s="198"/>
      <c r="BN721" s="198"/>
      <c r="BO721" s="198"/>
      <c r="BP721" s="198"/>
      <c r="BQ721" s="198"/>
      <c r="BR721" s="198"/>
      <c r="BS721" s="198"/>
      <c r="BT721" s="198"/>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198"/>
      <c r="AA722" s="198"/>
      <c r="AB722" s="198"/>
      <c r="AC722" s="198"/>
      <c r="AD722" s="198"/>
      <c r="AE722" s="198"/>
      <c r="AF722" s="198"/>
      <c r="AG722" s="198"/>
      <c r="AH722" s="198"/>
      <c r="AI722" s="198"/>
      <c r="AJ722" s="198"/>
      <c r="AK722" s="198"/>
      <c r="AL722" s="198"/>
      <c r="AM722" s="198"/>
      <c r="AN722" s="198"/>
      <c r="AO722" s="198"/>
      <c r="AP722" s="198"/>
      <c r="AQ722" s="198"/>
      <c r="AR722" s="198"/>
      <c r="AS722" s="198"/>
      <c r="AT722" s="198"/>
      <c r="AU722" s="198"/>
      <c r="AV722" s="198"/>
      <c r="AW722" s="198"/>
      <c r="AX722" s="198"/>
      <c r="AY722" s="198"/>
      <c r="AZ722" s="198"/>
      <c r="BA722" s="198"/>
      <c r="BB722" s="198"/>
      <c r="BC722" s="198"/>
      <c r="BD722" s="198"/>
      <c r="BE722" s="198"/>
      <c r="BF722" s="198"/>
      <c r="BG722" s="198"/>
      <c r="BH722" s="198"/>
      <c r="BI722" s="198"/>
      <c r="BJ722" s="198"/>
      <c r="BK722" s="198"/>
      <c r="BL722" s="198"/>
      <c r="BM722" s="198"/>
      <c r="BN722" s="198"/>
      <c r="BO722" s="198"/>
      <c r="BP722" s="198"/>
      <c r="BQ722" s="198"/>
      <c r="BR722" s="198"/>
      <c r="BS722" s="198"/>
      <c r="BT722" s="198"/>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198"/>
      <c r="AA723" s="198"/>
      <c r="AB723" s="198"/>
      <c r="AC723" s="198"/>
      <c r="AD723" s="198"/>
      <c r="AE723" s="198"/>
      <c r="AF723" s="198"/>
      <c r="AG723" s="198"/>
      <c r="AH723" s="198"/>
      <c r="AI723" s="198"/>
      <c r="AJ723" s="198"/>
      <c r="AK723" s="198"/>
      <c r="AL723" s="198"/>
      <c r="AM723" s="198"/>
      <c r="AN723" s="198"/>
      <c r="AO723" s="198"/>
      <c r="AP723" s="198"/>
      <c r="AQ723" s="198"/>
      <c r="AR723" s="198"/>
      <c r="AS723" s="198"/>
      <c r="AT723" s="198"/>
      <c r="AU723" s="198"/>
      <c r="AV723" s="198"/>
      <c r="AW723" s="198"/>
      <c r="AX723" s="198"/>
      <c r="AY723" s="198"/>
      <c r="AZ723" s="198"/>
      <c r="BA723" s="198"/>
      <c r="BB723" s="198"/>
      <c r="BC723" s="198"/>
      <c r="BD723" s="198"/>
      <c r="BE723" s="198"/>
      <c r="BF723" s="198"/>
      <c r="BG723" s="198"/>
      <c r="BH723" s="198"/>
      <c r="BI723" s="198"/>
      <c r="BJ723" s="198"/>
      <c r="BK723" s="198"/>
      <c r="BL723" s="198"/>
      <c r="BM723" s="198"/>
      <c r="BN723" s="198"/>
      <c r="BO723" s="198"/>
      <c r="BP723" s="198"/>
      <c r="BQ723" s="198"/>
      <c r="BR723" s="198"/>
      <c r="BS723" s="198"/>
      <c r="BT723" s="198"/>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198"/>
      <c r="AA724" s="198"/>
      <c r="AB724" s="198"/>
      <c r="AC724" s="198"/>
      <c r="AD724" s="198"/>
      <c r="AE724" s="198"/>
      <c r="AF724" s="198"/>
      <c r="AG724" s="198"/>
      <c r="AH724" s="198"/>
      <c r="AI724" s="198"/>
      <c r="AJ724" s="198"/>
      <c r="AK724" s="198"/>
      <c r="AL724" s="198"/>
      <c r="AM724" s="198"/>
      <c r="AN724" s="198"/>
      <c r="AO724" s="198"/>
      <c r="AP724" s="198"/>
      <c r="AQ724" s="198"/>
      <c r="AR724" s="198"/>
      <c r="AS724" s="198"/>
      <c r="AT724" s="198"/>
      <c r="AU724" s="198"/>
      <c r="AV724" s="198"/>
      <c r="AW724" s="198"/>
      <c r="AX724" s="198"/>
      <c r="AY724" s="198"/>
      <c r="AZ724" s="198"/>
      <c r="BA724" s="198"/>
      <c r="BB724" s="198"/>
      <c r="BC724" s="198"/>
      <c r="BD724" s="198"/>
      <c r="BE724" s="198"/>
      <c r="BF724" s="198"/>
      <c r="BG724" s="198"/>
      <c r="BH724" s="198"/>
      <c r="BI724" s="198"/>
      <c r="BJ724" s="198"/>
      <c r="BK724" s="198"/>
      <c r="BL724" s="198"/>
      <c r="BM724" s="198"/>
      <c r="BN724" s="198"/>
      <c r="BO724" s="198"/>
      <c r="BP724" s="198"/>
      <c r="BQ724" s="198"/>
      <c r="BR724" s="198"/>
      <c r="BS724" s="198"/>
      <c r="BT724" s="198"/>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198"/>
      <c r="AA725" s="198"/>
      <c r="AB725" s="198"/>
      <c r="AC725" s="198"/>
      <c r="AD725" s="198"/>
      <c r="AE725" s="198"/>
      <c r="AF725" s="198"/>
      <c r="AG725" s="198"/>
      <c r="AH725" s="198"/>
      <c r="AI725" s="198"/>
      <c r="AJ725" s="198"/>
      <c r="AK725" s="198"/>
      <c r="AL725" s="198"/>
      <c r="AM725" s="198"/>
      <c r="AN725" s="198"/>
      <c r="AO725" s="198"/>
      <c r="AP725" s="198"/>
      <c r="AQ725" s="198"/>
      <c r="AR725" s="198"/>
      <c r="AS725" s="198"/>
      <c r="AT725" s="198"/>
      <c r="AU725" s="198"/>
      <c r="AV725" s="198"/>
      <c r="AW725" s="198"/>
      <c r="AX725" s="198"/>
      <c r="AY725" s="198"/>
      <c r="AZ725" s="198"/>
      <c r="BA725" s="198"/>
      <c r="BB725" s="198"/>
      <c r="BC725" s="198"/>
      <c r="BD725" s="198"/>
      <c r="BE725" s="198"/>
      <c r="BF725" s="198"/>
      <c r="BG725" s="198"/>
      <c r="BH725" s="198"/>
      <c r="BI725" s="198"/>
      <c r="BJ725" s="198"/>
      <c r="BK725" s="198"/>
      <c r="BL725" s="198"/>
      <c r="BM725" s="198"/>
      <c r="BN725" s="198"/>
      <c r="BO725" s="198"/>
      <c r="BP725" s="198"/>
      <c r="BQ725" s="198"/>
      <c r="BR725" s="198"/>
      <c r="BS725" s="198"/>
      <c r="BT725" s="198"/>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198"/>
      <c r="AA726" s="198"/>
      <c r="AB726" s="198"/>
      <c r="AC726" s="198"/>
      <c r="AD726" s="198"/>
      <c r="AE726" s="198"/>
      <c r="AF726" s="198"/>
      <c r="AG726" s="198"/>
      <c r="AH726" s="198"/>
      <c r="AI726" s="198"/>
      <c r="AJ726" s="198"/>
      <c r="AK726" s="198"/>
      <c r="AL726" s="198"/>
      <c r="AM726" s="198"/>
      <c r="AN726" s="198"/>
      <c r="AO726" s="198"/>
      <c r="AP726" s="198"/>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c r="BN726" s="198"/>
      <c r="BO726" s="198"/>
      <c r="BP726" s="198"/>
      <c r="BQ726" s="198"/>
      <c r="BR726" s="198"/>
      <c r="BS726" s="198"/>
      <c r="BT726" s="198"/>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198"/>
      <c r="AA727" s="198"/>
      <c r="AB727" s="198"/>
      <c r="AC727" s="198"/>
      <c r="AD727" s="198"/>
      <c r="AE727" s="198"/>
      <c r="AF727" s="198"/>
      <c r="AG727" s="198"/>
      <c r="AH727" s="198"/>
      <c r="AI727" s="198"/>
      <c r="AJ727" s="198"/>
      <c r="AK727" s="198"/>
      <c r="AL727" s="198"/>
      <c r="AM727" s="198"/>
      <c r="AN727" s="198"/>
      <c r="AO727" s="198"/>
      <c r="AP727" s="198"/>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c r="BN727" s="198"/>
      <c r="BO727" s="198"/>
      <c r="BP727" s="198"/>
      <c r="BQ727" s="198"/>
      <c r="BR727" s="198"/>
      <c r="BS727" s="198"/>
      <c r="BT727" s="198"/>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198"/>
      <c r="AA728" s="198"/>
      <c r="AB728" s="198"/>
      <c r="AC728" s="198"/>
      <c r="AD728" s="198"/>
      <c r="AE728" s="198"/>
      <c r="AF728" s="198"/>
      <c r="AG728" s="198"/>
      <c r="AH728" s="198"/>
      <c r="AI728" s="198"/>
      <c r="AJ728" s="198"/>
      <c r="AK728" s="198"/>
      <c r="AL728" s="198"/>
      <c r="AM728" s="198"/>
      <c r="AN728" s="198"/>
      <c r="AO728" s="198"/>
      <c r="AP728" s="198"/>
      <c r="AQ728" s="198"/>
      <c r="AR728" s="198"/>
      <c r="AS728" s="198"/>
      <c r="AT728" s="198"/>
      <c r="AU728" s="198"/>
      <c r="AV728" s="198"/>
      <c r="AW728" s="198"/>
      <c r="AX728" s="198"/>
      <c r="AY728" s="198"/>
      <c r="AZ728" s="198"/>
      <c r="BA728" s="198"/>
      <c r="BB728" s="198"/>
      <c r="BC728" s="198"/>
      <c r="BD728" s="198"/>
      <c r="BE728" s="198"/>
      <c r="BF728" s="198"/>
      <c r="BG728" s="198"/>
      <c r="BH728" s="198"/>
      <c r="BI728" s="198"/>
      <c r="BJ728" s="198"/>
      <c r="BK728" s="198"/>
      <c r="BL728" s="198"/>
      <c r="BM728" s="198"/>
      <c r="BN728" s="198"/>
      <c r="BO728" s="198"/>
      <c r="BP728" s="198"/>
      <c r="BQ728" s="198"/>
      <c r="BR728" s="198"/>
      <c r="BS728" s="198"/>
      <c r="BT728" s="198"/>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198"/>
      <c r="AA729" s="198"/>
      <c r="AB729" s="198"/>
      <c r="AC729" s="198"/>
      <c r="AD729" s="198"/>
      <c r="AE729" s="198"/>
      <c r="AF729" s="198"/>
      <c r="AG729" s="198"/>
      <c r="AH729" s="198"/>
      <c r="AI729" s="198"/>
      <c r="AJ729" s="198"/>
      <c r="AK729" s="198"/>
      <c r="AL729" s="198"/>
      <c r="AM729" s="198"/>
      <c r="AN729" s="198"/>
      <c r="AO729" s="198"/>
      <c r="AP729" s="198"/>
      <c r="AQ729" s="198"/>
      <c r="AR729" s="198"/>
      <c r="AS729" s="198"/>
      <c r="AT729" s="198"/>
      <c r="AU729" s="198"/>
      <c r="AV729" s="198"/>
      <c r="AW729" s="198"/>
      <c r="AX729" s="198"/>
      <c r="AY729" s="198"/>
      <c r="AZ729" s="198"/>
      <c r="BA729" s="198"/>
      <c r="BB729" s="198"/>
      <c r="BC729" s="198"/>
      <c r="BD729" s="198"/>
      <c r="BE729" s="198"/>
      <c r="BF729" s="198"/>
      <c r="BG729" s="198"/>
      <c r="BH729" s="198"/>
      <c r="BI729" s="198"/>
      <c r="BJ729" s="198"/>
      <c r="BK729" s="198"/>
      <c r="BL729" s="198"/>
      <c r="BM729" s="198"/>
      <c r="BN729" s="198"/>
      <c r="BO729" s="198"/>
      <c r="BP729" s="198"/>
      <c r="BQ729" s="198"/>
      <c r="BR729" s="198"/>
      <c r="BS729" s="198"/>
      <c r="BT729" s="198"/>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198"/>
      <c r="AA730" s="198"/>
      <c r="AB730" s="198"/>
      <c r="AC730" s="198"/>
      <c r="AD730" s="198"/>
      <c r="AE730" s="198"/>
      <c r="AF730" s="198"/>
      <c r="AG730" s="198"/>
      <c r="AH730" s="198"/>
      <c r="AI730" s="198"/>
      <c r="AJ730" s="198"/>
      <c r="AK730" s="198"/>
      <c r="AL730" s="198"/>
      <c r="AM730" s="198"/>
      <c r="AN730" s="198"/>
      <c r="AO730" s="198"/>
      <c r="AP730" s="198"/>
      <c r="AQ730" s="198"/>
      <c r="AR730" s="198"/>
      <c r="AS730" s="198"/>
      <c r="AT730" s="198"/>
      <c r="AU730" s="198"/>
      <c r="AV730" s="198"/>
      <c r="AW730" s="198"/>
      <c r="AX730" s="198"/>
      <c r="AY730" s="198"/>
      <c r="AZ730" s="198"/>
      <c r="BA730" s="198"/>
      <c r="BB730" s="198"/>
      <c r="BC730" s="198"/>
      <c r="BD730" s="198"/>
      <c r="BE730" s="198"/>
      <c r="BF730" s="198"/>
      <c r="BG730" s="198"/>
      <c r="BH730" s="198"/>
      <c r="BI730" s="198"/>
      <c r="BJ730" s="198"/>
      <c r="BK730" s="198"/>
      <c r="BL730" s="198"/>
      <c r="BM730" s="198"/>
      <c r="BN730" s="198"/>
      <c r="BO730" s="198"/>
      <c r="BP730" s="198"/>
      <c r="BQ730" s="198"/>
      <c r="BR730" s="198"/>
      <c r="BS730" s="198"/>
      <c r="BT730" s="198"/>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198"/>
      <c r="AA731" s="198"/>
      <c r="AB731" s="198"/>
      <c r="AC731" s="198"/>
      <c r="AD731" s="198"/>
      <c r="AE731" s="198"/>
      <c r="AF731" s="198"/>
      <c r="AG731" s="198"/>
      <c r="AH731" s="198"/>
      <c r="AI731" s="198"/>
      <c r="AJ731" s="198"/>
      <c r="AK731" s="198"/>
      <c r="AL731" s="198"/>
      <c r="AM731" s="198"/>
      <c r="AN731" s="198"/>
      <c r="AO731" s="198"/>
      <c r="AP731" s="198"/>
      <c r="AQ731" s="198"/>
      <c r="AR731" s="198"/>
      <c r="AS731" s="198"/>
      <c r="AT731" s="198"/>
      <c r="AU731" s="198"/>
      <c r="AV731" s="198"/>
      <c r="AW731" s="198"/>
      <c r="AX731" s="198"/>
      <c r="AY731" s="198"/>
      <c r="AZ731" s="198"/>
      <c r="BA731" s="198"/>
      <c r="BB731" s="198"/>
      <c r="BC731" s="198"/>
      <c r="BD731" s="198"/>
      <c r="BE731" s="198"/>
      <c r="BF731" s="198"/>
      <c r="BG731" s="198"/>
      <c r="BH731" s="198"/>
      <c r="BI731" s="198"/>
      <c r="BJ731" s="198"/>
      <c r="BK731" s="198"/>
      <c r="BL731" s="198"/>
      <c r="BM731" s="198"/>
      <c r="BN731" s="198"/>
      <c r="BO731" s="198"/>
      <c r="BP731" s="198"/>
      <c r="BQ731" s="198"/>
      <c r="BR731" s="198"/>
      <c r="BS731" s="198"/>
      <c r="BT731" s="198"/>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198"/>
      <c r="AA732" s="198"/>
      <c r="AB732" s="198"/>
      <c r="AC732" s="198"/>
      <c r="AD732" s="198"/>
      <c r="AE732" s="198"/>
      <c r="AF732" s="198"/>
      <c r="AG732" s="198"/>
      <c r="AH732" s="198"/>
      <c r="AI732" s="198"/>
      <c r="AJ732" s="198"/>
      <c r="AK732" s="198"/>
      <c r="AL732" s="198"/>
      <c r="AM732" s="198"/>
      <c r="AN732" s="198"/>
      <c r="AO732" s="198"/>
      <c r="AP732" s="198"/>
      <c r="AQ732" s="198"/>
      <c r="AR732" s="198"/>
      <c r="AS732" s="198"/>
      <c r="AT732" s="198"/>
      <c r="AU732" s="198"/>
      <c r="AV732" s="198"/>
      <c r="AW732" s="198"/>
      <c r="AX732" s="198"/>
      <c r="AY732" s="198"/>
      <c r="AZ732" s="198"/>
      <c r="BA732" s="198"/>
      <c r="BB732" s="198"/>
      <c r="BC732" s="198"/>
      <c r="BD732" s="198"/>
      <c r="BE732" s="198"/>
      <c r="BF732" s="198"/>
      <c r="BG732" s="198"/>
      <c r="BH732" s="198"/>
      <c r="BI732" s="198"/>
      <c r="BJ732" s="198"/>
      <c r="BK732" s="198"/>
      <c r="BL732" s="198"/>
      <c r="BM732" s="198"/>
      <c r="BN732" s="198"/>
      <c r="BO732" s="198"/>
      <c r="BP732" s="198"/>
      <c r="BQ732" s="198"/>
      <c r="BR732" s="198"/>
      <c r="BS732" s="198"/>
      <c r="BT732" s="198"/>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198"/>
      <c r="AA733" s="198"/>
      <c r="AB733" s="198"/>
      <c r="AC733" s="198"/>
      <c r="AD733" s="198"/>
      <c r="AE733" s="198"/>
      <c r="AF733" s="198"/>
      <c r="AG733" s="198"/>
      <c r="AH733" s="198"/>
      <c r="AI733" s="198"/>
      <c r="AJ733" s="198"/>
      <c r="AK733" s="198"/>
      <c r="AL733" s="198"/>
      <c r="AM733" s="198"/>
      <c r="AN733" s="198"/>
      <c r="AO733" s="198"/>
      <c r="AP733" s="198"/>
      <c r="AQ733" s="198"/>
      <c r="AR733" s="198"/>
      <c r="AS733" s="198"/>
      <c r="AT733" s="198"/>
      <c r="AU733" s="198"/>
      <c r="AV733" s="198"/>
      <c r="AW733" s="198"/>
      <c r="AX733" s="198"/>
      <c r="AY733" s="198"/>
      <c r="AZ733" s="198"/>
      <c r="BA733" s="198"/>
      <c r="BB733" s="198"/>
      <c r="BC733" s="198"/>
      <c r="BD733" s="198"/>
      <c r="BE733" s="198"/>
      <c r="BF733" s="198"/>
      <c r="BG733" s="198"/>
      <c r="BH733" s="198"/>
      <c r="BI733" s="198"/>
      <c r="BJ733" s="198"/>
      <c r="BK733" s="198"/>
      <c r="BL733" s="198"/>
      <c r="BM733" s="198"/>
      <c r="BN733" s="198"/>
      <c r="BO733" s="198"/>
      <c r="BP733" s="198"/>
      <c r="BQ733" s="198"/>
      <c r="BR733" s="198"/>
      <c r="BS733" s="198"/>
      <c r="BT733" s="198"/>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198"/>
      <c r="AA734" s="198"/>
      <c r="AB734" s="198"/>
      <c r="AC734" s="198"/>
      <c r="AD734" s="198"/>
      <c r="AE734" s="198"/>
      <c r="AF734" s="198"/>
      <c r="AG734" s="198"/>
      <c r="AH734" s="198"/>
      <c r="AI734" s="198"/>
      <c r="AJ734" s="198"/>
      <c r="AK734" s="198"/>
      <c r="AL734" s="198"/>
      <c r="AM734" s="198"/>
      <c r="AN734" s="198"/>
      <c r="AO734" s="198"/>
      <c r="AP734" s="198"/>
      <c r="AQ734" s="198"/>
      <c r="AR734" s="198"/>
      <c r="AS734" s="198"/>
      <c r="AT734" s="198"/>
      <c r="AU734" s="198"/>
      <c r="AV734" s="198"/>
      <c r="AW734" s="198"/>
      <c r="AX734" s="198"/>
      <c r="AY734" s="198"/>
      <c r="AZ734" s="198"/>
      <c r="BA734" s="198"/>
      <c r="BB734" s="198"/>
      <c r="BC734" s="198"/>
      <c r="BD734" s="198"/>
      <c r="BE734" s="198"/>
      <c r="BF734" s="198"/>
      <c r="BG734" s="198"/>
      <c r="BH734" s="198"/>
      <c r="BI734" s="198"/>
      <c r="BJ734" s="198"/>
      <c r="BK734" s="198"/>
      <c r="BL734" s="198"/>
      <c r="BM734" s="198"/>
      <c r="BN734" s="198"/>
      <c r="BO734" s="198"/>
      <c r="BP734" s="198"/>
      <c r="BQ734" s="198"/>
      <c r="BR734" s="198"/>
      <c r="BS734" s="198"/>
      <c r="BT734" s="198"/>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198"/>
      <c r="AA735" s="198"/>
      <c r="AB735" s="198"/>
      <c r="AC735" s="198"/>
      <c r="AD735" s="198"/>
      <c r="AE735" s="198"/>
      <c r="AF735" s="198"/>
      <c r="AG735" s="198"/>
      <c r="AH735" s="198"/>
      <c r="AI735" s="198"/>
      <c r="AJ735" s="198"/>
      <c r="AK735" s="198"/>
      <c r="AL735" s="198"/>
      <c r="AM735" s="198"/>
      <c r="AN735" s="198"/>
      <c r="AO735" s="198"/>
      <c r="AP735" s="198"/>
      <c r="AQ735" s="198"/>
      <c r="AR735" s="198"/>
      <c r="AS735" s="198"/>
      <c r="AT735" s="198"/>
      <c r="AU735" s="198"/>
      <c r="AV735" s="198"/>
      <c r="AW735" s="198"/>
      <c r="AX735" s="198"/>
      <c r="AY735" s="198"/>
      <c r="AZ735" s="198"/>
      <c r="BA735" s="198"/>
      <c r="BB735" s="198"/>
      <c r="BC735" s="198"/>
      <c r="BD735" s="198"/>
      <c r="BE735" s="198"/>
      <c r="BF735" s="198"/>
      <c r="BG735" s="198"/>
      <c r="BH735" s="198"/>
      <c r="BI735" s="198"/>
      <c r="BJ735" s="198"/>
      <c r="BK735" s="198"/>
      <c r="BL735" s="198"/>
      <c r="BM735" s="198"/>
      <c r="BN735" s="198"/>
      <c r="BO735" s="198"/>
      <c r="BP735" s="198"/>
      <c r="BQ735" s="198"/>
      <c r="BR735" s="198"/>
      <c r="BS735" s="198"/>
      <c r="BT735" s="198"/>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198"/>
      <c r="AA736" s="198"/>
      <c r="AB736" s="198"/>
      <c r="AC736" s="198"/>
      <c r="AD736" s="198"/>
      <c r="AE736" s="198"/>
      <c r="AF736" s="198"/>
      <c r="AG736" s="198"/>
      <c r="AH736" s="198"/>
      <c r="AI736" s="198"/>
      <c r="AJ736" s="198"/>
      <c r="AK736" s="198"/>
      <c r="AL736" s="198"/>
      <c r="AM736" s="198"/>
      <c r="AN736" s="198"/>
      <c r="AO736" s="198"/>
      <c r="AP736" s="198"/>
      <c r="AQ736" s="198"/>
      <c r="AR736" s="198"/>
      <c r="AS736" s="198"/>
      <c r="AT736" s="198"/>
      <c r="AU736" s="198"/>
      <c r="AV736" s="198"/>
      <c r="AW736" s="198"/>
      <c r="AX736" s="198"/>
      <c r="AY736" s="198"/>
      <c r="AZ736" s="198"/>
      <c r="BA736" s="198"/>
      <c r="BB736" s="198"/>
      <c r="BC736" s="198"/>
      <c r="BD736" s="198"/>
      <c r="BE736" s="198"/>
      <c r="BF736" s="198"/>
      <c r="BG736" s="198"/>
      <c r="BH736" s="198"/>
      <c r="BI736" s="198"/>
      <c r="BJ736" s="198"/>
      <c r="BK736" s="198"/>
      <c r="BL736" s="198"/>
      <c r="BM736" s="198"/>
      <c r="BN736" s="198"/>
      <c r="BO736" s="198"/>
      <c r="BP736" s="198"/>
      <c r="BQ736" s="198"/>
      <c r="BR736" s="198"/>
      <c r="BS736" s="198"/>
      <c r="BT736" s="198"/>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198"/>
      <c r="AA737" s="198"/>
      <c r="AB737" s="198"/>
      <c r="AC737" s="198"/>
      <c r="AD737" s="198"/>
      <c r="AE737" s="198"/>
      <c r="AF737" s="198"/>
      <c r="AG737" s="198"/>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198"/>
      <c r="BE737" s="198"/>
      <c r="BF737" s="198"/>
      <c r="BG737" s="198"/>
      <c r="BH737" s="198"/>
      <c r="BI737" s="198"/>
      <c r="BJ737" s="198"/>
      <c r="BK737" s="198"/>
      <c r="BL737" s="198"/>
      <c r="BM737" s="198"/>
      <c r="BN737" s="198"/>
      <c r="BO737" s="198"/>
      <c r="BP737" s="198"/>
      <c r="BQ737" s="198"/>
      <c r="BR737" s="198"/>
      <c r="BS737" s="198"/>
      <c r="BT737" s="198"/>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198"/>
      <c r="AA738" s="198"/>
      <c r="AB738" s="198"/>
      <c r="AC738" s="198"/>
      <c r="AD738" s="198"/>
      <c r="AE738" s="198"/>
      <c r="AF738" s="198"/>
      <c r="AG738" s="198"/>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198"/>
      <c r="BE738" s="198"/>
      <c r="BF738" s="198"/>
      <c r="BG738" s="198"/>
      <c r="BH738" s="198"/>
      <c r="BI738" s="198"/>
      <c r="BJ738" s="198"/>
      <c r="BK738" s="198"/>
      <c r="BL738" s="198"/>
      <c r="BM738" s="198"/>
      <c r="BN738" s="198"/>
      <c r="BO738" s="198"/>
      <c r="BP738" s="198"/>
      <c r="BQ738" s="198"/>
      <c r="BR738" s="198"/>
      <c r="BS738" s="198"/>
      <c r="BT738" s="198"/>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198"/>
      <c r="AA739" s="198"/>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198"/>
      <c r="BE739" s="198"/>
      <c r="BF739" s="198"/>
      <c r="BG739" s="198"/>
      <c r="BH739" s="198"/>
      <c r="BI739" s="198"/>
      <c r="BJ739" s="198"/>
      <c r="BK739" s="198"/>
      <c r="BL739" s="198"/>
      <c r="BM739" s="198"/>
      <c r="BN739" s="198"/>
      <c r="BO739" s="198"/>
      <c r="BP739" s="198"/>
      <c r="BQ739" s="198"/>
      <c r="BR739" s="198"/>
      <c r="BS739" s="198"/>
      <c r="BT739" s="198"/>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198"/>
      <c r="AA740" s="198"/>
      <c r="AB740" s="198"/>
      <c r="AC740" s="198"/>
      <c r="AD740" s="198"/>
      <c r="AE740" s="198"/>
      <c r="AF740" s="198"/>
      <c r="AG740" s="198"/>
      <c r="AH740" s="198"/>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198"/>
      <c r="BE740" s="198"/>
      <c r="BF740" s="198"/>
      <c r="BG740" s="198"/>
      <c r="BH740" s="198"/>
      <c r="BI740" s="198"/>
      <c r="BJ740" s="198"/>
      <c r="BK740" s="198"/>
      <c r="BL740" s="198"/>
      <c r="BM740" s="198"/>
      <c r="BN740" s="198"/>
      <c r="BO740" s="198"/>
      <c r="BP740" s="198"/>
      <c r="BQ740" s="198"/>
      <c r="BR740" s="198"/>
      <c r="BS740" s="198"/>
      <c r="BT740" s="198"/>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198"/>
      <c r="AA741" s="198"/>
      <c r="AB741" s="198"/>
      <c r="AC741" s="198"/>
      <c r="AD741" s="198"/>
      <c r="AE741" s="198"/>
      <c r="AF741" s="198"/>
      <c r="AG741" s="198"/>
      <c r="AH741" s="198"/>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198"/>
      <c r="BE741" s="198"/>
      <c r="BF741" s="198"/>
      <c r="BG741" s="198"/>
      <c r="BH741" s="198"/>
      <c r="BI741" s="198"/>
      <c r="BJ741" s="198"/>
      <c r="BK741" s="198"/>
      <c r="BL741" s="198"/>
      <c r="BM741" s="198"/>
      <c r="BN741" s="198"/>
      <c r="BO741" s="198"/>
      <c r="BP741" s="198"/>
      <c r="BQ741" s="198"/>
      <c r="BR741" s="198"/>
      <c r="BS741" s="198"/>
      <c r="BT741" s="198"/>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198"/>
      <c r="AA742" s="198"/>
      <c r="AB742" s="198"/>
      <c r="AC742" s="198"/>
      <c r="AD742" s="198"/>
      <c r="AE742" s="198"/>
      <c r="AF742" s="198"/>
      <c r="AG742" s="198"/>
      <c r="AH742" s="198"/>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c r="BM742" s="198"/>
      <c r="BN742" s="198"/>
      <c r="BO742" s="198"/>
      <c r="BP742" s="198"/>
      <c r="BQ742" s="198"/>
      <c r="BR742" s="198"/>
      <c r="BS742" s="198"/>
      <c r="BT742" s="198"/>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198"/>
      <c r="AA743" s="198"/>
      <c r="AB743" s="198"/>
      <c r="AC743" s="198"/>
      <c r="AD743" s="198"/>
      <c r="AE743" s="198"/>
      <c r="AF743" s="198"/>
      <c r="AG743" s="198"/>
      <c r="AH743" s="198"/>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c r="BM743" s="198"/>
      <c r="BN743" s="198"/>
      <c r="BO743" s="198"/>
      <c r="BP743" s="198"/>
      <c r="BQ743" s="198"/>
      <c r="BR743" s="198"/>
      <c r="BS743" s="198"/>
      <c r="BT743" s="198"/>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198"/>
      <c r="AA744" s="198"/>
      <c r="AB744" s="198"/>
      <c r="AC744" s="198"/>
      <c r="AD744" s="198"/>
      <c r="AE744" s="198"/>
      <c r="AF744" s="198"/>
      <c r="AG744" s="198"/>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c r="BM744" s="198"/>
      <c r="BN744" s="198"/>
      <c r="BO744" s="198"/>
      <c r="BP744" s="198"/>
      <c r="BQ744" s="198"/>
      <c r="BR744" s="198"/>
      <c r="BS744" s="198"/>
      <c r="BT744" s="198"/>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198"/>
      <c r="AA745" s="198"/>
      <c r="AB745" s="198"/>
      <c r="AC745" s="198"/>
      <c r="AD745" s="198"/>
      <c r="AE745" s="198"/>
      <c r="AF745" s="198"/>
      <c r="AG745" s="198"/>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c r="BM745" s="198"/>
      <c r="BN745" s="198"/>
      <c r="BO745" s="198"/>
      <c r="BP745" s="198"/>
      <c r="BQ745" s="198"/>
      <c r="BR745" s="198"/>
      <c r="BS745" s="198"/>
      <c r="BT745" s="198"/>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198"/>
      <c r="AA746" s="198"/>
      <c r="AB746" s="198"/>
      <c r="AC746" s="198"/>
      <c r="AD746" s="198"/>
      <c r="AE746" s="198"/>
      <c r="AF746" s="198"/>
      <c r="AG746" s="198"/>
      <c r="AH746" s="198"/>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198"/>
      <c r="BE746" s="198"/>
      <c r="BF746" s="198"/>
      <c r="BG746" s="198"/>
      <c r="BH746" s="198"/>
      <c r="BI746" s="198"/>
      <c r="BJ746" s="198"/>
      <c r="BK746" s="198"/>
      <c r="BL746" s="198"/>
      <c r="BM746" s="198"/>
      <c r="BN746" s="198"/>
      <c r="BO746" s="198"/>
      <c r="BP746" s="198"/>
      <c r="BQ746" s="198"/>
      <c r="BR746" s="198"/>
      <c r="BS746" s="198"/>
      <c r="BT746" s="198"/>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198"/>
      <c r="AA747" s="198"/>
      <c r="AB747" s="198"/>
      <c r="AC747" s="198"/>
      <c r="AD747" s="198"/>
      <c r="AE747" s="198"/>
      <c r="AF747" s="198"/>
      <c r="AG747" s="198"/>
      <c r="AH747" s="198"/>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198"/>
      <c r="BE747" s="198"/>
      <c r="BF747" s="198"/>
      <c r="BG747" s="198"/>
      <c r="BH747" s="198"/>
      <c r="BI747" s="198"/>
      <c r="BJ747" s="198"/>
      <c r="BK747" s="198"/>
      <c r="BL747" s="198"/>
      <c r="BM747" s="198"/>
      <c r="BN747" s="198"/>
      <c r="BO747" s="198"/>
      <c r="BP747" s="198"/>
      <c r="BQ747" s="198"/>
      <c r="BR747" s="198"/>
      <c r="BS747" s="198"/>
      <c r="BT747" s="198"/>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198"/>
      <c r="AA748" s="198"/>
      <c r="AB748" s="198"/>
      <c r="AC748" s="198"/>
      <c r="AD748" s="198"/>
      <c r="AE748" s="198"/>
      <c r="AF748" s="198"/>
      <c r="AG748" s="198"/>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198"/>
      <c r="BE748" s="198"/>
      <c r="BF748" s="198"/>
      <c r="BG748" s="198"/>
      <c r="BH748" s="198"/>
      <c r="BI748" s="198"/>
      <c r="BJ748" s="198"/>
      <c r="BK748" s="198"/>
      <c r="BL748" s="198"/>
      <c r="BM748" s="198"/>
      <c r="BN748" s="198"/>
      <c r="BO748" s="198"/>
      <c r="BP748" s="198"/>
      <c r="BQ748" s="198"/>
      <c r="BR748" s="198"/>
      <c r="BS748" s="198"/>
      <c r="BT748" s="198"/>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198"/>
      <c r="AA749" s="198"/>
      <c r="AB749" s="198"/>
      <c r="AC749" s="198"/>
      <c r="AD749" s="198"/>
      <c r="AE749" s="198"/>
      <c r="AF749" s="198"/>
      <c r="AG749" s="198"/>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c r="BM749" s="198"/>
      <c r="BN749" s="198"/>
      <c r="BO749" s="198"/>
      <c r="BP749" s="198"/>
      <c r="BQ749" s="198"/>
      <c r="BR749" s="198"/>
      <c r="BS749" s="198"/>
      <c r="BT749" s="198"/>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198"/>
      <c r="AA750" s="198"/>
      <c r="AB750" s="198"/>
      <c r="AC750" s="198"/>
      <c r="AD750" s="198"/>
      <c r="AE750" s="198"/>
      <c r="AF750" s="198"/>
      <c r="AG750" s="198"/>
      <c r="AH750" s="198"/>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c r="BM750" s="198"/>
      <c r="BN750" s="198"/>
      <c r="BO750" s="198"/>
      <c r="BP750" s="198"/>
      <c r="BQ750" s="198"/>
      <c r="BR750" s="198"/>
      <c r="BS750" s="198"/>
      <c r="BT750" s="198"/>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198"/>
      <c r="AA751" s="198"/>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198"/>
      <c r="BT751" s="198"/>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198"/>
      <c r="AA752" s="198"/>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198"/>
      <c r="BT752" s="198"/>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198"/>
      <c r="AA753" s="198"/>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c r="BN753" s="198"/>
      <c r="BO753" s="198"/>
      <c r="BP753" s="198"/>
      <c r="BQ753" s="198"/>
      <c r="BR753" s="198"/>
      <c r="BS753" s="198"/>
      <c r="BT753" s="198"/>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198"/>
      <c r="AA754" s="198"/>
      <c r="AB754" s="198"/>
      <c r="AC754" s="198"/>
      <c r="AD754" s="198"/>
      <c r="AE754" s="198"/>
      <c r="AF754" s="198"/>
      <c r="AG754" s="198"/>
      <c r="AH754" s="198"/>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198"/>
      <c r="BE754" s="198"/>
      <c r="BF754" s="198"/>
      <c r="BG754" s="198"/>
      <c r="BH754" s="198"/>
      <c r="BI754" s="198"/>
      <c r="BJ754" s="198"/>
      <c r="BK754" s="198"/>
      <c r="BL754" s="198"/>
      <c r="BM754" s="198"/>
      <c r="BN754" s="198"/>
      <c r="BO754" s="198"/>
      <c r="BP754" s="198"/>
      <c r="BQ754" s="198"/>
      <c r="BR754" s="198"/>
      <c r="BS754" s="198"/>
      <c r="BT754" s="198"/>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198"/>
      <c r="AA755" s="198"/>
      <c r="AB755" s="198"/>
      <c r="AC755" s="198"/>
      <c r="AD755" s="198"/>
      <c r="AE755" s="198"/>
      <c r="AF755" s="198"/>
      <c r="AG755" s="198"/>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198"/>
      <c r="BE755" s="198"/>
      <c r="BF755" s="198"/>
      <c r="BG755" s="198"/>
      <c r="BH755" s="198"/>
      <c r="BI755" s="198"/>
      <c r="BJ755" s="198"/>
      <c r="BK755" s="198"/>
      <c r="BL755" s="198"/>
      <c r="BM755" s="198"/>
      <c r="BN755" s="198"/>
      <c r="BO755" s="198"/>
      <c r="BP755" s="198"/>
      <c r="BQ755" s="198"/>
      <c r="BR755" s="198"/>
      <c r="BS755" s="198"/>
      <c r="BT755" s="198"/>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198"/>
      <c r="AA756" s="198"/>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c r="BN756" s="198"/>
      <c r="BO756" s="198"/>
      <c r="BP756" s="198"/>
      <c r="BQ756" s="198"/>
      <c r="BR756" s="198"/>
      <c r="BS756" s="198"/>
      <c r="BT756" s="198"/>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198"/>
      <c r="AA757" s="198"/>
      <c r="AB757" s="198"/>
      <c r="AC757" s="198"/>
      <c r="AD757" s="198"/>
      <c r="AE757" s="198"/>
      <c r="AF757" s="198"/>
      <c r="AG757" s="198"/>
      <c r="AH757" s="198"/>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c r="BM757" s="198"/>
      <c r="BN757" s="198"/>
      <c r="BO757" s="198"/>
      <c r="BP757" s="198"/>
      <c r="BQ757" s="198"/>
      <c r="BR757" s="198"/>
      <c r="BS757" s="198"/>
      <c r="BT757" s="198"/>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198"/>
      <c r="AA758" s="198"/>
      <c r="AB758" s="198"/>
      <c r="AC758" s="198"/>
      <c r="AD758" s="198"/>
      <c r="AE758" s="198"/>
      <c r="AF758" s="198"/>
      <c r="AG758" s="198"/>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c r="BM758" s="198"/>
      <c r="BN758" s="198"/>
      <c r="BO758" s="198"/>
      <c r="BP758" s="198"/>
      <c r="BQ758" s="198"/>
      <c r="BR758" s="198"/>
      <c r="BS758" s="198"/>
      <c r="BT758" s="198"/>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198"/>
      <c r="AA759" s="198"/>
      <c r="AB759" s="198"/>
      <c r="AC759" s="198"/>
      <c r="AD759" s="198"/>
      <c r="AE759" s="198"/>
      <c r="AF759" s="198"/>
      <c r="AG759" s="198"/>
      <c r="AH759" s="198"/>
      <c r="AI759" s="198"/>
      <c r="AJ759" s="198"/>
      <c r="AK759" s="198"/>
      <c r="AL759" s="198"/>
      <c r="AM759" s="198"/>
      <c r="AN759" s="198"/>
      <c r="AO759" s="198"/>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c r="BM759" s="198"/>
      <c r="BN759" s="198"/>
      <c r="BO759" s="198"/>
      <c r="BP759" s="198"/>
      <c r="BQ759" s="198"/>
      <c r="BR759" s="198"/>
      <c r="BS759" s="198"/>
      <c r="BT759" s="198"/>
    </row>
    <row r="760" spans="1:7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198"/>
      <c r="AA760" s="198"/>
      <c r="AB760" s="198"/>
      <c r="AC760" s="198"/>
      <c r="AD760" s="198"/>
      <c r="AE760" s="198"/>
      <c r="AF760" s="198"/>
      <c r="AG760" s="198"/>
      <c r="AH760" s="198"/>
      <c r="AI760" s="198"/>
      <c r="AJ760" s="198"/>
      <c r="AK760" s="198"/>
      <c r="AL760" s="198"/>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c r="BM760" s="198"/>
      <c r="BN760" s="198"/>
      <c r="BO760" s="198"/>
      <c r="BP760" s="198"/>
      <c r="BQ760" s="198"/>
      <c r="BR760" s="198"/>
      <c r="BS760" s="198"/>
      <c r="BT760" s="198"/>
    </row>
    <row r="761" spans="1:7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198"/>
      <c r="AA761" s="198"/>
      <c r="AB761" s="198"/>
      <c r="AC761" s="198"/>
      <c r="AD761" s="198"/>
      <c r="AE761" s="198"/>
      <c r="AF761" s="198"/>
      <c r="AG761" s="198"/>
      <c r="AH761" s="198"/>
      <c r="AI761" s="198"/>
      <c r="AJ761" s="198"/>
      <c r="AK761" s="198"/>
      <c r="AL761" s="198"/>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c r="BM761" s="198"/>
      <c r="BN761" s="198"/>
      <c r="BO761" s="198"/>
      <c r="BP761" s="198"/>
      <c r="BQ761" s="198"/>
      <c r="BR761" s="198"/>
      <c r="BS761" s="198"/>
      <c r="BT761" s="198"/>
    </row>
    <row r="762" spans="1:7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198"/>
      <c r="AA762" s="198"/>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198"/>
      <c r="BE762" s="198"/>
      <c r="BF762" s="198"/>
      <c r="BG762" s="198"/>
      <c r="BH762" s="198"/>
      <c r="BI762" s="198"/>
      <c r="BJ762" s="198"/>
      <c r="BK762" s="198"/>
      <c r="BL762" s="198"/>
      <c r="BM762" s="198"/>
      <c r="BN762" s="198"/>
      <c r="BO762" s="198"/>
      <c r="BP762" s="198"/>
      <c r="BQ762" s="198"/>
      <c r="BR762" s="198"/>
      <c r="BS762" s="198"/>
      <c r="BT762" s="198"/>
    </row>
    <row r="763" spans="1:7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198"/>
      <c r="AA763" s="198"/>
      <c r="AB763" s="198"/>
      <c r="AC763" s="198"/>
      <c r="AD763" s="198"/>
      <c r="AE763" s="198"/>
      <c r="AF763" s="198"/>
      <c r="AG763" s="198"/>
      <c r="AH763" s="198"/>
      <c r="AI763" s="198"/>
      <c r="AJ763" s="198"/>
      <c r="AK763" s="198"/>
      <c r="AL763" s="198"/>
      <c r="AM763" s="198"/>
      <c r="AN763" s="198"/>
      <c r="AO763" s="198"/>
      <c r="AP763" s="198"/>
      <c r="AQ763" s="198"/>
      <c r="AR763" s="198"/>
      <c r="AS763" s="198"/>
      <c r="AT763" s="198"/>
      <c r="AU763" s="198"/>
      <c r="AV763" s="198"/>
      <c r="AW763" s="198"/>
      <c r="AX763" s="198"/>
      <c r="AY763" s="198"/>
      <c r="AZ763" s="198"/>
      <c r="BA763" s="198"/>
      <c r="BB763" s="198"/>
      <c r="BC763" s="198"/>
      <c r="BD763" s="198"/>
      <c r="BE763" s="198"/>
      <c r="BF763" s="198"/>
      <c r="BG763" s="198"/>
      <c r="BH763" s="198"/>
      <c r="BI763" s="198"/>
      <c r="BJ763" s="198"/>
      <c r="BK763" s="198"/>
      <c r="BL763" s="198"/>
      <c r="BM763" s="198"/>
      <c r="BN763" s="198"/>
      <c r="BO763" s="198"/>
      <c r="BP763" s="198"/>
      <c r="BQ763" s="198"/>
      <c r="BR763" s="198"/>
      <c r="BS763" s="198"/>
      <c r="BT763" s="198"/>
    </row>
    <row r="764" spans="1:7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198"/>
      <c r="AA764" s="198"/>
      <c r="AB764" s="198"/>
      <c r="AC764" s="198"/>
      <c r="AD764" s="198"/>
      <c r="AE764" s="198"/>
      <c r="AF764" s="198"/>
      <c r="AG764" s="198"/>
      <c r="AH764" s="198"/>
      <c r="AI764" s="198"/>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c r="BJ764" s="198"/>
      <c r="BK764" s="198"/>
      <c r="BL764" s="198"/>
      <c r="BM764" s="198"/>
      <c r="BN764" s="198"/>
      <c r="BO764" s="198"/>
      <c r="BP764" s="198"/>
      <c r="BQ764" s="198"/>
      <c r="BR764" s="198"/>
      <c r="BS764" s="198"/>
      <c r="BT764" s="198"/>
    </row>
    <row r="765" spans="1:7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198"/>
      <c r="AA765" s="198"/>
      <c r="AB765" s="198"/>
      <c r="AC765" s="198"/>
      <c r="AD765" s="198"/>
      <c r="AE765" s="198"/>
      <c r="AF765" s="198"/>
      <c r="AG765" s="198"/>
      <c r="AH765" s="198"/>
      <c r="AI765" s="198"/>
      <c r="AJ765" s="198"/>
      <c r="AK765" s="198"/>
      <c r="AL765" s="198"/>
      <c r="AM765" s="198"/>
      <c r="AN765" s="198"/>
      <c r="AO765" s="198"/>
      <c r="AP765" s="198"/>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c r="BM765" s="198"/>
      <c r="BN765" s="198"/>
      <c r="BO765" s="198"/>
      <c r="BP765" s="198"/>
      <c r="BQ765" s="198"/>
      <c r="BR765" s="198"/>
      <c r="BS765" s="198"/>
      <c r="BT765" s="198"/>
    </row>
    <row r="766" spans="1:7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198"/>
      <c r="AA766" s="198"/>
      <c r="AB766" s="198"/>
      <c r="AC766" s="198"/>
      <c r="AD766" s="198"/>
      <c r="AE766" s="198"/>
      <c r="AF766" s="198"/>
      <c r="AG766" s="198"/>
      <c r="AH766" s="198"/>
      <c r="AI766" s="198"/>
      <c r="AJ766" s="198"/>
      <c r="AK766" s="198"/>
      <c r="AL766" s="198"/>
      <c r="AM766" s="198"/>
      <c r="AN766" s="198"/>
      <c r="AO766" s="198"/>
      <c r="AP766" s="198"/>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c r="BM766" s="198"/>
      <c r="BN766" s="198"/>
      <c r="BO766" s="198"/>
      <c r="BP766" s="198"/>
      <c r="BQ766" s="198"/>
      <c r="BR766" s="198"/>
      <c r="BS766" s="198"/>
      <c r="BT766" s="198"/>
    </row>
    <row r="767" spans="1:7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198"/>
      <c r="AA767" s="198"/>
      <c r="AB767" s="198"/>
      <c r="AC767" s="198"/>
      <c r="AD767" s="198"/>
      <c r="AE767" s="198"/>
      <c r="AF767" s="198"/>
      <c r="AG767" s="198"/>
      <c r="AH767" s="198"/>
      <c r="AI767" s="198"/>
      <c r="AJ767" s="198"/>
      <c r="AK767" s="198"/>
      <c r="AL767" s="198"/>
      <c r="AM767" s="198"/>
      <c r="AN767" s="198"/>
      <c r="AO767" s="198"/>
      <c r="AP767" s="198"/>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c r="BM767" s="198"/>
      <c r="BN767" s="198"/>
      <c r="BO767" s="198"/>
      <c r="BP767" s="198"/>
      <c r="BQ767" s="198"/>
      <c r="BR767" s="198"/>
      <c r="BS767" s="198"/>
      <c r="BT767" s="198"/>
    </row>
    <row r="768" spans="1:7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198"/>
      <c r="AA768" s="198"/>
      <c r="AB768" s="198"/>
      <c r="AC768" s="198"/>
      <c r="AD768" s="198"/>
      <c r="AE768" s="198"/>
      <c r="AF768" s="198"/>
      <c r="AG768" s="198"/>
      <c r="AH768" s="198"/>
      <c r="AI768" s="198"/>
      <c r="AJ768" s="198"/>
      <c r="AK768" s="198"/>
      <c r="AL768" s="198"/>
      <c r="AM768" s="198"/>
      <c r="AN768" s="198"/>
      <c r="AO768" s="198"/>
      <c r="AP768" s="198"/>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c r="BM768" s="198"/>
      <c r="BN768" s="198"/>
      <c r="BO768" s="198"/>
      <c r="BP768" s="198"/>
      <c r="BQ768" s="198"/>
      <c r="BR768" s="198"/>
      <c r="BS768" s="198"/>
      <c r="BT768" s="198"/>
    </row>
    <row r="769" spans="1:7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198"/>
      <c r="AA769" s="198"/>
      <c r="AB769" s="198"/>
      <c r="AC769" s="198"/>
      <c r="AD769" s="198"/>
      <c r="AE769" s="198"/>
      <c r="AF769" s="198"/>
      <c r="AG769" s="198"/>
      <c r="AH769" s="198"/>
      <c r="AI769" s="198"/>
      <c r="AJ769" s="198"/>
      <c r="AK769" s="198"/>
      <c r="AL769" s="198"/>
      <c r="AM769" s="198"/>
      <c r="AN769" s="198"/>
      <c r="AO769" s="198"/>
      <c r="AP769" s="198"/>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c r="BM769" s="198"/>
      <c r="BN769" s="198"/>
      <c r="BO769" s="198"/>
      <c r="BP769" s="198"/>
      <c r="BQ769" s="198"/>
      <c r="BR769" s="198"/>
      <c r="BS769" s="198"/>
      <c r="BT769" s="198"/>
    </row>
    <row r="770" spans="1:7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198"/>
      <c r="AA770" s="198"/>
      <c r="AB770" s="198"/>
      <c r="AC770" s="198"/>
      <c r="AD770" s="198"/>
      <c r="AE770" s="198"/>
      <c r="AF770" s="198"/>
      <c r="AG770" s="198"/>
      <c r="AH770" s="198"/>
      <c r="AI770" s="198"/>
      <c r="AJ770" s="198"/>
      <c r="AK770" s="198"/>
      <c r="AL770" s="198"/>
      <c r="AM770" s="198"/>
      <c r="AN770" s="198"/>
      <c r="AO770" s="198"/>
      <c r="AP770" s="198"/>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c r="BM770" s="198"/>
      <c r="BN770" s="198"/>
      <c r="BO770" s="198"/>
      <c r="BP770" s="198"/>
      <c r="BQ770" s="198"/>
      <c r="BR770" s="198"/>
      <c r="BS770" s="198"/>
      <c r="BT770" s="198"/>
    </row>
    <row r="771" spans="1:7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198"/>
      <c r="AA771" s="198"/>
      <c r="AB771" s="198"/>
      <c r="AC771" s="198"/>
      <c r="AD771" s="198"/>
      <c r="AE771" s="198"/>
      <c r="AF771" s="198"/>
      <c r="AG771" s="198"/>
      <c r="AH771" s="198"/>
      <c r="AI771" s="198"/>
      <c r="AJ771" s="198"/>
      <c r="AK771" s="198"/>
      <c r="AL771" s="198"/>
      <c r="AM771" s="198"/>
      <c r="AN771" s="198"/>
      <c r="AO771" s="198"/>
      <c r="AP771" s="198"/>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c r="BM771" s="198"/>
      <c r="BN771" s="198"/>
      <c r="BO771" s="198"/>
      <c r="BP771" s="198"/>
      <c r="BQ771" s="198"/>
      <c r="BR771" s="198"/>
      <c r="BS771" s="198"/>
      <c r="BT771" s="198"/>
    </row>
    <row r="772" spans="1: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198"/>
      <c r="AA772" s="198"/>
      <c r="AB772" s="198"/>
      <c r="AC772" s="198"/>
      <c r="AD772" s="198"/>
      <c r="AE772" s="198"/>
      <c r="AF772" s="198"/>
      <c r="AG772" s="198"/>
      <c r="AH772" s="198"/>
      <c r="AI772" s="198"/>
      <c r="AJ772" s="198"/>
      <c r="AK772" s="198"/>
      <c r="AL772" s="198"/>
      <c r="AM772" s="198"/>
      <c r="AN772" s="198"/>
      <c r="AO772" s="198"/>
      <c r="AP772" s="198"/>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c r="BM772" s="198"/>
      <c r="BN772" s="198"/>
      <c r="BO772" s="198"/>
      <c r="BP772" s="198"/>
      <c r="BQ772" s="198"/>
      <c r="BR772" s="198"/>
      <c r="BS772" s="198"/>
      <c r="BT772" s="198"/>
    </row>
    <row r="773" spans="1:7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198"/>
      <c r="AA773" s="198"/>
      <c r="AB773" s="198"/>
      <c r="AC773" s="198"/>
      <c r="AD773" s="198"/>
      <c r="AE773" s="198"/>
      <c r="AF773" s="198"/>
      <c r="AG773" s="198"/>
      <c r="AH773" s="198"/>
      <c r="AI773" s="198"/>
      <c r="AJ773" s="198"/>
      <c r="AK773" s="198"/>
      <c r="AL773" s="198"/>
      <c r="AM773" s="198"/>
      <c r="AN773" s="198"/>
      <c r="AO773" s="198"/>
      <c r="AP773" s="198"/>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c r="BM773" s="198"/>
      <c r="BN773" s="198"/>
      <c r="BO773" s="198"/>
      <c r="BP773" s="198"/>
      <c r="BQ773" s="198"/>
      <c r="BR773" s="198"/>
      <c r="BS773" s="198"/>
      <c r="BT773" s="198"/>
    </row>
    <row r="774" spans="1:7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198"/>
      <c r="AA774" s="198"/>
      <c r="AB774" s="198"/>
      <c r="AC774" s="198"/>
      <c r="AD774" s="198"/>
      <c r="AE774" s="198"/>
      <c r="AF774" s="198"/>
      <c r="AG774" s="198"/>
      <c r="AH774" s="198"/>
      <c r="AI774" s="198"/>
      <c r="AJ774" s="198"/>
      <c r="AK774" s="198"/>
      <c r="AL774" s="198"/>
      <c r="AM774" s="198"/>
      <c r="AN774" s="198"/>
      <c r="AO774" s="198"/>
      <c r="AP774" s="198"/>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c r="BM774" s="198"/>
      <c r="BN774" s="198"/>
      <c r="BO774" s="198"/>
      <c r="BP774" s="198"/>
      <c r="BQ774" s="198"/>
      <c r="BR774" s="198"/>
      <c r="BS774" s="198"/>
      <c r="BT774" s="198"/>
    </row>
    <row r="775" spans="1:7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198"/>
      <c r="AA775" s="198"/>
      <c r="AB775" s="198"/>
      <c r="AC775" s="198"/>
      <c r="AD775" s="198"/>
      <c r="AE775" s="198"/>
      <c r="AF775" s="198"/>
      <c r="AG775" s="198"/>
      <c r="AH775" s="198"/>
      <c r="AI775" s="198"/>
      <c r="AJ775" s="198"/>
      <c r="AK775" s="198"/>
      <c r="AL775" s="198"/>
      <c r="AM775" s="198"/>
      <c r="AN775" s="198"/>
      <c r="AO775" s="198"/>
      <c r="AP775" s="198"/>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c r="BM775" s="198"/>
      <c r="BN775" s="198"/>
      <c r="BO775" s="198"/>
      <c r="BP775" s="198"/>
      <c r="BQ775" s="198"/>
      <c r="BR775" s="198"/>
      <c r="BS775" s="198"/>
      <c r="BT775" s="198"/>
    </row>
    <row r="776" spans="1:7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198"/>
      <c r="AA776" s="198"/>
      <c r="AB776" s="198"/>
      <c r="AC776" s="198"/>
      <c r="AD776" s="198"/>
      <c r="AE776" s="198"/>
      <c r="AF776" s="198"/>
      <c r="AG776" s="198"/>
      <c r="AH776" s="198"/>
      <c r="AI776" s="198"/>
      <c r="AJ776" s="198"/>
      <c r="AK776" s="198"/>
      <c r="AL776" s="198"/>
      <c r="AM776" s="198"/>
      <c r="AN776" s="198"/>
      <c r="AO776" s="198"/>
      <c r="AP776" s="198"/>
      <c r="AQ776" s="198"/>
      <c r="AR776" s="198"/>
      <c r="AS776" s="198"/>
      <c r="AT776" s="198"/>
      <c r="AU776" s="198"/>
      <c r="AV776" s="198"/>
      <c r="AW776" s="198"/>
      <c r="AX776" s="198"/>
      <c r="AY776" s="198"/>
      <c r="AZ776" s="198"/>
      <c r="BA776" s="198"/>
      <c r="BB776" s="198"/>
      <c r="BC776" s="198"/>
      <c r="BD776" s="198"/>
      <c r="BE776" s="198"/>
      <c r="BF776" s="198"/>
      <c r="BG776" s="198"/>
      <c r="BH776" s="198"/>
      <c r="BI776" s="198"/>
      <c r="BJ776" s="198"/>
      <c r="BK776" s="198"/>
      <c r="BL776" s="198"/>
      <c r="BM776" s="198"/>
      <c r="BN776" s="198"/>
      <c r="BO776" s="198"/>
      <c r="BP776" s="198"/>
      <c r="BQ776" s="198"/>
      <c r="BR776" s="198"/>
      <c r="BS776" s="198"/>
      <c r="BT776" s="198"/>
    </row>
    <row r="777" spans="1:7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198"/>
      <c r="AA777" s="198"/>
      <c r="AB777" s="198"/>
      <c r="AC777" s="198"/>
      <c r="AD777" s="198"/>
      <c r="AE777" s="198"/>
      <c r="AF777" s="198"/>
      <c r="AG777" s="198"/>
      <c r="AH777" s="198"/>
      <c r="AI777" s="198"/>
      <c r="AJ777" s="198"/>
      <c r="AK777" s="198"/>
      <c r="AL777" s="198"/>
      <c r="AM777" s="198"/>
      <c r="AN777" s="198"/>
      <c r="AO777" s="198"/>
      <c r="AP777" s="198"/>
      <c r="AQ777" s="198"/>
      <c r="AR777" s="198"/>
      <c r="AS777" s="198"/>
      <c r="AT777" s="198"/>
      <c r="AU777" s="198"/>
      <c r="AV777" s="198"/>
      <c r="AW777" s="198"/>
      <c r="AX777" s="198"/>
      <c r="AY777" s="198"/>
      <c r="AZ777" s="198"/>
      <c r="BA777" s="198"/>
      <c r="BB777" s="198"/>
      <c r="BC777" s="198"/>
      <c r="BD777" s="198"/>
      <c r="BE777" s="198"/>
      <c r="BF777" s="198"/>
      <c r="BG777" s="198"/>
      <c r="BH777" s="198"/>
      <c r="BI777" s="198"/>
      <c r="BJ777" s="198"/>
      <c r="BK777" s="198"/>
      <c r="BL777" s="198"/>
      <c r="BM777" s="198"/>
      <c r="BN777" s="198"/>
      <c r="BO777" s="198"/>
      <c r="BP777" s="198"/>
      <c r="BQ777" s="198"/>
      <c r="BR777" s="198"/>
      <c r="BS777" s="198"/>
      <c r="BT777" s="198"/>
    </row>
    <row r="778" spans="1:7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198"/>
      <c r="AA778" s="198"/>
      <c r="AB778" s="198"/>
      <c r="AC778" s="198"/>
      <c r="AD778" s="198"/>
      <c r="AE778" s="198"/>
      <c r="AF778" s="198"/>
      <c r="AG778" s="198"/>
      <c r="AH778" s="198"/>
      <c r="AI778" s="198"/>
      <c r="AJ778" s="198"/>
      <c r="AK778" s="198"/>
      <c r="AL778" s="198"/>
      <c r="AM778" s="198"/>
      <c r="AN778" s="198"/>
      <c r="AO778" s="198"/>
      <c r="AP778" s="198"/>
      <c r="AQ778" s="198"/>
      <c r="AR778" s="198"/>
      <c r="AS778" s="198"/>
      <c r="AT778" s="198"/>
      <c r="AU778" s="198"/>
      <c r="AV778" s="198"/>
      <c r="AW778" s="198"/>
      <c r="AX778" s="198"/>
      <c r="AY778" s="198"/>
      <c r="AZ778" s="198"/>
      <c r="BA778" s="198"/>
      <c r="BB778" s="198"/>
      <c r="BC778" s="198"/>
      <c r="BD778" s="198"/>
      <c r="BE778" s="198"/>
      <c r="BF778" s="198"/>
      <c r="BG778" s="198"/>
      <c r="BH778" s="198"/>
      <c r="BI778" s="198"/>
      <c r="BJ778" s="198"/>
      <c r="BK778" s="198"/>
      <c r="BL778" s="198"/>
      <c r="BM778" s="198"/>
      <c r="BN778" s="198"/>
      <c r="BO778" s="198"/>
      <c r="BP778" s="198"/>
      <c r="BQ778" s="198"/>
      <c r="BR778" s="198"/>
      <c r="BS778" s="198"/>
      <c r="BT778" s="198"/>
    </row>
    <row r="779" spans="1:7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198"/>
      <c r="AA779" s="198"/>
      <c r="AB779" s="198"/>
      <c r="AC779" s="198"/>
      <c r="AD779" s="198"/>
      <c r="AE779" s="198"/>
      <c r="AF779" s="198"/>
      <c r="AG779" s="198"/>
      <c r="AH779" s="198"/>
      <c r="AI779" s="198"/>
      <c r="AJ779" s="198"/>
      <c r="AK779" s="198"/>
      <c r="AL779" s="198"/>
      <c r="AM779" s="198"/>
      <c r="AN779" s="198"/>
      <c r="AO779" s="198"/>
      <c r="AP779" s="198"/>
      <c r="AQ779" s="198"/>
      <c r="AR779" s="198"/>
      <c r="AS779" s="198"/>
      <c r="AT779" s="198"/>
      <c r="AU779" s="198"/>
      <c r="AV779" s="198"/>
      <c r="AW779" s="198"/>
      <c r="AX779" s="198"/>
      <c r="AY779" s="198"/>
      <c r="AZ779" s="198"/>
      <c r="BA779" s="198"/>
      <c r="BB779" s="198"/>
      <c r="BC779" s="198"/>
      <c r="BD779" s="198"/>
      <c r="BE779" s="198"/>
      <c r="BF779" s="198"/>
      <c r="BG779" s="198"/>
      <c r="BH779" s="198"/>
      <c r="BI779" s="198"/>
      <c r="BJ779" s="198"/>
      <c r="BK779" s="198"/>
      <c r="BL779" s="198"/>
      <c r="BM779" s="198"/>
      <c r="BN779" s="198"/>
      <c r="BO779" s="198"/>
      <c r="BP779" s="198"/>
      <c r="BQ779" s="198"/>
      <c r="BR779" s="198"/>
      <c r="BS779" s="198"/>
      <c r="BT779" s="198"/>
    </row>
    <row r="780" spans="1:7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198"/>
      <c r="AA780" s="198"/>
      <c r="AB780" s="198"/>
      <c r="AC780" s="198"/>
      <c r="AD780" s="198"/>
      <c r="AE780" s="198"/>
      <c r="AF780" s="198"/>
      <c r="AG780" s="198"/>
      <c r="AH780" s="198"/>
      <c r="AI780" s="198"/>
      <c r="AJ780" s="198"/>
      <c r="AK780" s="198"/>
      <c r="AL780" s="198"/>
      <c r="AM780" s="198"/>
      <c r="AN780" s="198"/>
      <c r="AO780" s="198"/>
      <c r="AP780" s="198"/>
      <c r="AQ780" s="198"/>
      <c r="AR780" s="198"/>
      <c r="AS780" s="198"/>
      <c r="AT780" s="198"/>
      <c r="AU780" s="198"/>
      <c r="AV780" s="198"/>
      <c r="AW780" s="198"/>
      <c r="AX780" s="198"/>
      <c r="AY780" s="198"/>
      <c r="AZ780" s="198"/>
      <c r="BA780" s="198"/>
      <c r="BB780" s="198"/>
      <c r="BC780" s="198"/>
      <c r="BD780" s="198"/>
      <c r="BE780" s="198"/>
      <c r="BF780" s="198"/>
      <c r="BG780" s="198"/>
      <c r="BH780" s="198"/>
      <c r="BI780" s="198"/>
      <c r="BJ780" s="198"/>
      <c r="BK780" s="198"/>
      <c r="BL780" s="198"/>
      <c r="BM780" s="198"/>
      <c r="BN780" s="198"/>
      <c r="BO780" s="198"/>
      <c r="BP780" s="198"/>
      <c r="BQ780" s="198"/>
      <c r="BR780" s="198"/>
      <c r="BS780" s="198"/>
      <c r="BT780" s="198"/>
    </row>
    <row r="781" spans="1:7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198"/>
      <c r="AA781" s="198"/>
      <c r="AB781" s="198"/>
      <c r="AC781" s="198"/>
      <c r="AD781" s="198"/>
      <c r="AE781" s="198"/>
      <c r="AF781" s="198"/>
      <c r="AG781" s="198"/>
      <c r="AH781" s="198"/>
      <c r="AI781" s="198"/>
      <c r="AJ781" s="198"/>
      <c r="AK781" s="198"/>
      <c r="AL781" s="198"/>
      <c r="AM781" s="198"/>
      <c r="AN781" s="198"/>
      <c r="AO781" s="198"/>
      <c r="AP781" s="198"/>
      <c r="AQ781" s="198"/>
      <c r="AR781" s="198"/>
      <c r="AS781" s="198"/>
      <c r="AT781" s="198"/>
      <c r="AU781" s="198"/>
      <c r="AV781" s="198"/>
      <c r="AW781" s="198"/>
      <c r="AX781" s="198"/>
      <c r="AY781" s="198"/>
      <c r="AZ781" s="198"/>
      <c r="BA781" s="198"/>
      <c r="BB781" s="198"/>
      <c r="BC781" s="198"/>
      <c r="BD781" s="198"/>
      <c r="BE781" s="198"/>
      <c r="BF781" s="198"/>
      <c r="BG781" s="198"/>
      <c r="BH781" s="198"/>
      <c r="BI781" s="198"/>
      <c r="BJ781" s="198"/>
      <c r="BK781" s="198"/>
      <c r="BL781" s="198"/>
      <c r="BM781" s="198"/>
      <c r="BN781" s="198"/>
      <c r="BO781" s="198"/>
      <c r="BP781" s="198"/>
      <c r="BQ781" s="198"/>
      <c r="BR781" s="198"/>
      <c r="BS781" s="198"/>
      <c r="BT781" s="198"/>
    </row>
    <row r="782" spans="1:7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198"/>
      <c r="AA782" s="198"/>
      <c r="AB782" s="198"/>
      <c r="AC782" s="198"/>
      <c r="AD782" s="198"/>
      <c r="AE782" s="198"/>
      <c r="AF782" s="198"/>
      <c r="AG782" s="198"/>
      <c r="AH782" s="198"/>
      <c r="AI782" s="198"/>
      <c r="AJ782" s="198"/>
      <c r="AK782" s="198"/>
      <c r="AL782" s="198"/>
      <c r="AM782" s="198"/>
      <c r="AN782" s="198"/>
      <c r="AO782" s="198"/>
      <c r="AP782" s="198"/>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c r="BM782" s="198"/>
      <c r="BN782" s="198"/>
      <c r="BO782" s="198"/>
      <c r="BP782" s="198"/>
      <c r="BQ782" s="198"/>
      <c r="BR782" s="198"/>
      <c r="BS782" s="198"/>
      <c r="BT782" s="198"/>
    </row>
    <row r="783" spans="1:7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198"/>
      <c r="AA783" s="198"/>
      <c r="AB783" s="198"/>
      <c r="AC783" s="198"/>
      <c r="AD783" s="198"/>
      <c r="BH783" s="198"/>
      <c r="BI783" s="198"/>
      <c r="BJ783" s="198"/>
      <c r="BK783" s="198"/>
      <c r="BL783" s="198"/>
      <c r="BM783" s="198"/>
      <c r="BN783" s="198"/>
      <c r="BO783" s="198"/>
      <c r="BP783" s="198"/>
      <c r="BQ783" s="198"/>
      <c r="BR783" s="198"/>
      <c r="BS783" s="198"/>
      <c r="BT783" s="198"/>
    </row>
    <row r="784" spans="1:7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198"/>
      <c r="AA784" s="198"/>
      <c r="AB784" s="198"/>
      <c r="AC784" s="198"/>
      <c r="AD784" s="198"/>
      <c r="BH784" s="198"/>
      <c r="BI784" s="198"/>
      <c r="BJ784" s="198"/>
      <c r="BK784" s="198"/>
      <c r="BL784" s="198"/>
      <c r="BM784" s="198"/>
      <c r="BN784" s="198"/>
      <c r="BO784" s="198"/>
      <c r="BP784" s="198"/>
      <c r="BQ784" s="198"/>
      <c r="BR784" s="198"/>
      <c r="BS784" s="198"/>
      <c r="BT784" s="198"/>
    </row>
    <row r="785" spans="1:7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198"/>
      <c r="AA785" s="198"/>
      <c r="AB785" s="198"/>
      <c r="AC785" s="198"/>
      <c r="AD785" s="198"/>
      <c r="BH785" s="198"/>
      <c r="BI785" s="198"/>
      <c r="BJ785" s="198"/>
      <c r="BK785" s="198"/>
      <c r="BL785" s="198"/>
      <c r="BM785" s="198"/>
      <c r="BN785" s="198"/>
      <c r="BO785" s="198"/>
      <c r="BP785" s="198"/>
      <c r="BQ785" s="198"/>
      <c r="BR785" s="198"/>
      <c r="BS785" s="198"/>
      <c r="BT785" s="198"/>
    </row>
    <row r="786" spans="1:7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198"/>
      <c r="AA786" s="198"/>
      <c r="AB786" s="198"/>
      <c r="AC786" s="198"/>
      <c r="AD786" s="198"/>
      <c r="BH786" s="198"/>
      <c r="BI786" s="198"/>
      <c r="BJ786" s="198"/>
      <c r="BK786" s="198"/>
      <c r="BL786" s="198"/>
      <c r="BM786" s="198"/>
      <c r="BN786" s="198"/>
      <c r="BO786" s="198"/>
      <c r="BP786" s="198"/>
      <c r="BQ786" s="198"/>
      <c r="BR786" s="198"/>
      <c r="BS786" s="198"/>
      <c r="BT786" s="198"/>
    </row>
    <row r="787" spans="1:7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198"/>
      <c r="AA787" s="198"/>
      <c r="AB787" s="198"/>
      <c r="AC787" s="198"/>
      <c r="AD787" s="198"/>
      <c r="BH787" s="198"/>
      <c r="BI787" s="198"/>
      <c r="BJ787" s="198"/>
      <c r="BK787" s="198"/>
      <c r="BL787" s="198"/>
      <c r="BM787" s="198"/>
      <c r="BN787" s="198"/>
      <c r="BO787" s="198"/>
      <c r="BP787" s="198"/>
      <c r="BQ787" s="198"/>
      <c r="BR787" s="198"/>
      <c r="BS787" s="198"/>
      <c r="BT787" s="198"/>
    </row>
    <row r="788" spans="1:7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198"/>
      <c r="AA788" s="198"/>
      <c r="AB788" s="198"/>
      <c r="AC788" s="198"/>
      <c r="AD788" s="198"/>
      <c r="BH788" s="198"/>
      <c r="BI788" s="198"/>
      <c r="BJ788" s="198"/>
      <c r="BK788" s="198"/>
      <c r="BL788" s="198"/>
      <c r="BM788" s="198"/>
      <c r="BN788" s="198"/>
      <c r="BO788" s="198"/>
      <c r="BP788" s="198"/>
      <c r="BQ788" s="198"/>
      <c r="BR788" s="198"/>
      <c r="BS788" s="198"/>
      <c r="BT788" s="198"/>
    </row>
    <row r="789" spans="1:7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198"/>
      <c r="AA789" s="198"/>
      <c r="AB789" s="198"/>
      <c r="AC789" s="198"/>
      <c r="AD789" s="198"/>
      <c r="BH789" s="198"/>
      <c r="BI789" s="198"/>
      <c r="BJ789" s="198"/>
      <c r="BK789" s="198"/>
      <c r="BL789" s="198"/>
      <c r="BM789" s="198"/>
      <c r="BN789" s="198"/>
      <c r="BO789" s="198"/>
      <c r="BP789" s="198"/>
      <c r="BQ789" s="198"/>
      <c r="BR789" s="198"/>
      <c r="BS789" s="198"/>
      <c r="BT789" s="198"/>
    </row>
    <row r="790" spans="1:7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198"/>
      <c r="AA790" s="198"/>
      <c r="AB790" s="198"/>
      <c r="AC790" s="198"/>
      <c r="AD790" s="198"/>
      <c r="BH790" s="198"/>
      <c r="BI790" s="198"/>
      <c r="BJ790" s="198"/>
      <c r="BK790" s="198"/>
      <c r="BL790" s="198"/>
      <c r="BM790" s="198"/>
      <c r="BN790" s="198"/>
      <c r="BO790" s="198"/>
      <c r="BP790" s="198"/>
      <c r="BQ790" s="198"/>
      <c r="BR790" s="198"/>
      <c r="BS790" s="198"/>
      <c r="BT790" s="198"/>
    </row>
    <row r="791" spans="1:7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198"/>
      <c r="AA791" s="198"/>
      <c r="AB791" s="198"/>
      <c r="AC791" s="198"/>
      <c r="AD791" s="198"/>
      <c r="BH791" s="198"/>
      <c r="BI791" s="198"/>
      <c r="BJ791" s="198"/>
      <c r="BK791" s="198"/>
      <c r="BL791" s="198"/>
      <c r="BM791" s="198"/>
      <c r="BN791" s="198"/>
      <c r="BO791" s="198"/>
      <c r="BP791" s="198"/>
      <c r="BQ791" s="198"/>
      <c r="BR791" s="198"/>
      <c r="BS791" s="198"/>
      <c r="BT791" s="198"/>
    </row>
    <row r="792" spans="1:7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198"/>
      <c r="AA792" s="198"/>
      <c r="AB792" s="198"/>
      <c r="AC792" s="198"/>
      <c r="AD792" s="198"/>
      <c r="BH792" s="198"/>
      <c r="BI792" s="198"/>
      <c r="BJ792" s="198"/>
      <c r="BK792" s="198"/>
      <c r="BL792" s="198"/>
      <c r="BM792" s="198"/>
      <c r="BN792" s="198"/>
      <c r="BO792" s="198"/>
      <c r="BP792" s="198"/>
      <c r="BQ792" s="198"/>
      <c r="BR792" s="198"/>
      <c r="BS792" s="198"/>
      <c r="BT792" s="198"/>
    </row>
    <row r="793" spans="1:7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198"/>
      <c r="AA793" s="198"/>
      <c r="AB793" s="198"/>
      <c r="AC793" s="198"/>
      <c r="AD793" s="198"/>
      <c r="BH793" s="198"/>
      <c r="BI793" s="198"/>
      <c r="BJ793" s="198"/>
      <c r="BK793" s="198"/>
      <c r="BL793" s="198"/>
      <c r="BM793" s="198"/>
      <c r="BN793" s="198"/>
      <c r="BO793" s="198"/>
      <c r="BP793" s="198"/>
      <c r="BQ793" s="198"/>
      <c r="BR793" s="198"/>
      <c r="BS793" s="198"/>
      <c r="BT793" s="198"/>
    </row>
    <row r="794" spans="1:7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198"/>
      <c r="AA794" s="198"/>
      <c r="AB794" s="198"/>
      <c r="AC794" s="198"/>
      <c r="AD794" s="198"/>
      <c r="BH794" s="198"/>
      <c r="BI794" s="198"/>
      <c r="BJ794" s="198"/>
      <c r="BK794" s="198"/>
      <c r="BL794" s="198"/>
      <c r="BM794" s="198"/>
      <c r="BN794" s="198"/>
      <c r="BO794" s="198"/>
      <c r="BP794" s="198"/>
      <c r="BQ794" s="198"/>
      <c r="BR794" s="198"/>
      <c r="BS794" s="198"/>
      <c r="BT794" s="198"/>
    </row>
    <row r="795" spans="1:7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198"/>
      <c r="AA795" s="198"/>
      <c r="AB795" s="198"/>
      <c r="AC795" s="198"/>
      <c r="AD795" s="198"/>
      <c r="BH795" s="198"/>
      <c r="BI795" s="198"/>
      <c r="BJ795" s="198"/>
      <c r="BK795" s="198"/>
      <c r="BL795" s="198"/>
      <c r="BM795" s="198"/>
      <c r="BN795" s="198"/>
      <c r="BO795" s="198"/>
      <c r="BP795" s="198"/>
      <c r="BQ795" s="198"/>
      <c r="BR795" s="198"/>
      <c r="BS795" s="198"/>
      <c r="BT795" s="198"/>
    </row>
    <row r="796" spans="1:7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198"/>
      <c r="AA796" s="198"/>
      <c r="AB796" s="198"/>
      <c r="AC796" s="198"/>
      <c r="AD796" s="198"/>
      <c r="BH796" s="198"/>
      <c r="BI796" s="198"/>
      <c r="BJ796" s="198"/>
      <c r="BK796" s="198"/>
      <c r="BL796" s="198"/>
      <c r="BM796" s="198"/>
      <c r="BN796" s="198"/>
      <c r="BO796" s="198"/>
      <c r="BP796" s="198"/>
      <c r="BQ796" s="198"/>
      <c r="BR796" s="198"/>
      <c r="BS796" s="198"/>
      <c r="BT796" s="198"/>
    </row>
    <row r="797" spans="1:7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198"/>
      <c r="AA797" s="198"/>
      <c r="AB797" s="198"/>
      <c r="AC797" s="198"/>
      <c r="AD797" s="198"/>
      <c r="BH797" s="198"/>
      <c r="BI797" s="198"/>
      <c r="BJ797" s="198"/>
      <c r="BK797" s="198"/>
      <c r="BL797" s="198"/>
      <c r="BM797" s="198"/>
      <c r="BN797" s="198"/>
      <c r="BO797" s="198"/>
      <c r="BP797" s="198"/>
      <c r="BQ797" s="198"/>
      <c r="BR797" s="198"/>
      <c r="BS797" s="198"/>
      <c r="BT797" s="198"/>
    </row>
    <row r="798" spans="1:7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198"/>
      <c r="AA798" s="198"/>
      <c r="AB798" s="198"/>
      <c r="AC798" s="198"/>
      <c r="AD798" s="198"/>
      <c r="BH798" s="198"/>
      <c r="BI798" s="198"/>
      <c r="BJ798" s="198"/>
      <c r="BK798" s="198"/>
      <c r="BL798" s="198"/>
      <c r="BM798" s="198"/>
      <c r="BN798" s="198"/>
      <c r="BO798" s="198"/>
      <c r="BP798" s="198"/>
      <c r="BQ798" s="198"/>
      <c r="BR798" s="198"/>
      <c r="BS798" s="198"/>
      <c r="BT798" s="198"/>
    </row>
    <row r="799" spans="1:7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198"/>
      <c r="AA799" s="198"/>
      <c r="AB799" s="198"/>
      <c r="AC799" s="198"/>
      <c r="AD799" s="198"/>
      <c r="BH799" s="198"/>
      <c r="BI799" s="198"/>
      <c r="BJ799" s="198"/>
      <c r="BK799" s="198"/>
      <c r="BL799" s="198"/>
      <c r="BM799" s="198"/>
      <c r="BN799" s="198"/>
      <c r="BO799" s="198"/>
      <c r="BP799" s="198"/>
      <c r="BQ799" s="198"/>
      <c r="BR799" s="198"/>
      <c r="BS799" s="198"/>
      <c r="BT799" s="198"/>
    </row>
    <row r="800" spans="1:7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198"/>
      <c r="AA800" s="198"/>
      <c r="AB800" s="198"/>
      <c r="AC800" s="198"/>
      <c r="AD800" s="198"/>
      <c r="BH800" s="198"/>
      <c r="BI800" s="198"/>
      <c r="BJ800" s="198"/>
      <c r="BK800" s="198"/>
      <c r="BL800" s="198"/>
      <c r="BM800" s="198"/>
      <c r="BN800" s="198"/>
      <c r="BO800" s="198"/>
      <c r="BP800" s="198"/>
      <c r="BQ800" s="198"/>
      <c r="BR800" s="198"/>
      <c r="BS800" s="198"/>
      <c r="BT800" s="198"/>
    </row>
    <row r="801" spans="1:7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198"/>
      <c r="AA801" s="198"/>
      <c r="AB801" s="198"/>
      <c r="AC801" s="198"/>
      <c r="AD801" s="198"/>
      <c r="BH801" s="198"/>
      <c r="BI801" s="198"/>
      <c r="BJ801" s="198"/>
      <c r="BK801" s="198"/>
      <c r="BL801" s="198"/>
      <c r="BM801" s="198"/>
      <c r="BN801" s="198"/>
      <c r="BO801" s="198"/>
      <c r="BP801" s="198"/>
      <c r="BQ801" s="198"/>
      <c r="BR801" s="198"/>
      <c r="BS801" s="198"/>
      <c r="BT801" s="198"/>
    </row>
    <row r="802" spans="1:7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198"/>
      <c r="AA802" s="198"/>
      <c r="AB802" s="198"/>
      <c r="AC802" s="198"/>
      <c r="AD802" s="198"/>
      <c r="BH802" s="198"/>
      <c r="BI802" s="198"/>
      <c r="BJ802" s="198"/>
      <c r="BK802" s="198"/>
      <c r="BL802" s="198"/>
      <c r="BM802" s="198"/>
      <c r="BN802" s="198"/>
      <c r="BO802" s="198"/>
      <c r="BP802" s="198"/>
      <c r="BQ802" s="198"/>
      <c r="BR802" s="198"/>
      <c r="BS802" s="198"/>
      <c r="BT802" s="198"/>
    </row>
    <row r="803" spans="1:7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198"/>
      <c r="AA803" s="198"/>
      <c r="AB803" s="198"/>
      <c r="AC803" s="198"/>
      <c r="AD803" s="198"/>
      <c r="BH803" s="198"/>
      <c r="BI803" s="198"/>
      <c r="BJ803" s="198"/>
      <c r="BK803" s="198"/>
      <c r="BL803" s="198"/>
      <c r="BM803" s="198"/>
      <c r="BN803" s="198"/>
      <c r="BO803" s="198"/>
      <c r="BP803" s="198"/>
      <c r="BQ803" s="198"/>
      <c r="BR803" s="198"/>
      <c r="BS803" s="198"/>
      <c r="BT803" s="198"/>
    </row>
    <row r="804" spans="1:7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198"/>
      <c r="AA804" s="198"/>
      <c r="AB804" s="198"/>
      <c r="AC804" s="198"/>
      <c r="AD804" s="198"/>
      <c r="BH804" s="198"/>
      <c r="BI804" s="198"/>
      <c r="BJ804" s="198"/>
      <c r="BK804" s="198"/>
      <c r="BL804" s="198"/>
      <c r="BM804" s="198"/>
      <c r="BN804" s="198"/>
      <c r="BO804" s="198"/>
      <c r="BP804" s="198"/>
      <c r="BQ804" s="198"/>
      <c r="BR804" s="198"/>
      <c r="BS804" s="198"/>
      <c r="BT804" s="198"/>
    </row>
    <row r="805" spans="1:7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198"/>
      <c r="AA805" s="198"/>
      <c r="AB805" s="198"/>
      <c r="AC805" s="198"/>
      <c r="AD805" s="198"/>
      <c r="BH805" s="198"/>
      <c r="BI805" s="198"/>
      <c r="BJ805" s="198"/>
      <c r="BK805" s="198"/>
      <c r="BL805" s="198"/>
      <c r="BM805" s="198"/>
      <c r="BN805" s="198"/>
      <c r="BO805" s="198"/>
      <c r="BP805" s="198"/>
      <c r="BQ805" s="198"/>
      <c r="BR805" s="198"/>
      <c r="BS805" s="198"/>
      <c r="BT805" s="198"/>
    </row>
    <row r="806" spans="1:7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198"/>
      <c r="AA806" s="198"/>
      <c r="AB806" s="198"/>
      <c r="AC806" s="198"/>
      <c r="AD806" s="198"/>
      <c r="BH806" s="198"/>
      <c r="BI806" s="198"/>
      <c r="BJ806" s="198"/>
      <c r="BK806" s="198"/>
      <c r="BL806" s="198"/>
      <c r="BM806" s="198"/>
      <c r="BN806" s="198"/>
      <c r="BO806" s="198"/>
      <c r="BP806" s="198"/>
      <c r="BQ806" s="198"/>
      <c r="BR806" s="198"/>
      <c r="BS806" s="198"/>
      <c r="BT806" s="198"/>
    </row>
    <row r="807" spans="1:7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198"/>
      <c r="AA807" s="198"/>
      <c r="AB807" s="198"/>
      <c r="AC807" s="198"/>
      <c r="AD807" s="198"/>
      <c r="BH807" s="198"/>
      <c r="BI807" s="198"/>
      <c r="BJ807" s="198"/>
      <c r="BK807" s="198"/>
      <c r="BL807" s="198"/>
      <c r="BM807" s="198"/>
      <c r="BN807" s="198"/>
      <c r="BO807" s="198"/>
      <c r="BP807" s="198"/>
      <c r="BQ807" s="198"/>
      <c r="BR807" s="198"/>
      <c r="BS807" s="198"/>
      <c r="BT807" s="198"/>
    </row>
    <row r="808" spans="1:7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198"/>
      <c r="AA808" s="198"/>
      <c r="AB808" s="198"/>
      <c r="AC808" s="198"/>
      <c r="AD808" s="198"/>
      <c r="BH808" s="198"/>
      <c r="BI808" s="198"/>
      <c r="BJ808" s="198"/>
      <c r="BK808" s="198"/>
      <c r="BL808" s="198"/>
      <c r="BM808" s="198"/>
      <c r="BN808" s="198"/>
      <c r="BO808" s="198"/>
      <c r="BP808" s="198"/>
      <c r="BQ808" s="198"/>
      <c r="BR808" s="198"/>
      <c r="BS808" s="198"/>
      <c r="BT808" s="198"/>
    </row>
    <row r="809" spans="1:7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198"/>
      <c r="AA809" s="198"/>
      <c r="AB809" s="198"/>
      <c r="AC809" s="198"/>
      <c r="AD809" s="198"/>
      <c r="BH809" s="198"/>
      <c r="BI809" s="198"/>
      <c r="BJ809" s="198"/>
      <c r="BK809" s="198"/>
      <c r="BL809" s="198"/>
      <c r="BM809" s="198"/>
      <c r="BN809" s="198"/>
      <c r="BO809" s="198"/>
      <c r="BP809" s="198"/>
      <c r="BQ809" s="198"/>
      <c r="BR809" s="198"/>
      <c r="BS809" s="198"/>
      <c r="BT809" s="198"/>
    </row>
    <row r="810" spans="1:7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198"/>
      <c r="AA810" s="198"/>
      <c r="AB810" s="198"/>
      <c r="AC810" s="198"/>
      <c r="AD810" s="198"/>
      <c r="BH810" s="198"/>
      <c r="BI810" s="198"/>
      <c r="BJ810" s="198"/>
      <c r="BK810" s="198"/>
      <c r="BL810" s="198"/>
      <c r="BM810" s="198"/>
      <c r="BN810" s="198"/>
      <c r="BO810" s="198"/>
      <c r="BP810" s="198"/>
      <c r="BQ810" s="198"/>
      <c r="BR810" s="198"/>
      <c r="BS810" s="198"/>
      <c r="BT810" s="198"/>
    </row>
    <row r="811" spans="1:7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198"/>
      <c r="AA811" s="198"/>
      <c r="AB811" s="198"/>
      <c r="AC811" s="198"/>
      <c r="AD811" s="198"/>
      <c r="BH811" s="198"/>
      <c r="BI811" s="198"/>
      <c r="BJ811" s="198"/>
      <c r="BK811" s="198"/>
      <c r="BL811" s="198"/>
      <c r="BM811" s="198"/>
      <c r="BN811" s="198"/>
      <c r="BO811" s="198"/>
      <c r="BP811" s="198"/>
      <c r="BQ811" s="198"/>
      <c r="BR811" s="198"/>
      <c r="BS811" s="198"/>
      <c r="BT811" s="198"/>
    </row>
    <row r="812" spans="1:7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198"/>
      <c r="AA812" s="198"/>
      <c r="AB812" s="198"/>
      <c r="AC812" s="198"/>
      <c r="AD812" s="198"/>
      <c r="BH812" s="198"/>
      <c r="BI812" s="198"/>
      <c r="BJ812" s="198"/>
      <c r="BK812" s="198"/>
      <c r="BL812" s="198"/>
      <c r="BM812" s="198"/>
      <c r="BN812" s="198"/>
      <c r="BO812" s="198"/>
      <c r="BP812" s="198"/>
      <c r="BQ812" s="198"/>
      <c r="BR812" s="198"/>
      <c r="BS812" s="198"/>
      <c r="BT812" s="198"/>
    </row>
    <row r="813" spans="1:7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198"/>
      <c r="AA813" s="198"/>
      <c r="AB813" s="198"/>
      <c r="AC813" s="198"/>
      <c r="AD813" s="198"/>
      <c r="BH813" s="198"/>
      <c r="BI813" s="198"/>
      <c r="BJ813" s="198"/>
      <c r="BK813" s="198"/>
      <c r="BL813" s="198"/>
      <c r="BM813" s="198"/>
      <c r="BN813" s="198"/>
      <c r="BO813" s="198"/>
      <c r="BP813" s="198"/>
      <c r="BQ813" s="198"/>
      <c r="BR813" s="198"/>
      <c r="BS813" s="198"/>
      <c r="BT813" s="198"/>
    </row>
    <row r="814" spans="1:7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198"/>
      <c r="AA814" s="198"/>
      <c r="AB814" s="198"/>
      <c r="AC814" s="198"/>
      <c r="AD814" s="198"/>
      <c r="BH814" s="198"/>
      <c r="BI814" s="198"/>
      <c r="BJ814" s="198"/>
      <c r="BK814" s="198"/>
      <c r="BL814" s="198"/>
      <c r="BM814" s="198"/>
      <c r="BN814" s="198"/>
      <c r="BO814" s="198"/>
      <c r="BP814" s="198"/>
      <c r="BQ814" s="198"/>
      <c r="BR814" s="198"/>
      <c r="BS814" s="198"/>
      <c r="BT814" s="198"/>
    </row>
    <row r="815" spans="1:7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198"/>
      <c r="AA815" s="198"/>
      <c r="AB815" s="198"/>
      <c r="AC815" s="198"/>
      <c r="AD815" s="198"/>
      <c r="BH815" s="198"/>
      <c r="BI815" s="198"/>
      <c r="BJ815" s="198"/>
      <c r="BK815" s="198"/>
      <c r="BL815" s="198"/>
      <c r="BM815" s="198"/>
      <c r="BN815" s="198"/>
      <c r="BO815" s="198"/>
      <c r="BP815" s="198"/>
      <c r="BQ815" s="198"/>
      <c r="BR815" s="198"/>
      <c r="BS815" s="198"/>
      <c r="BT815" s="198"/>
    </row>
    <row r="816" spans="1:7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198"/>
      <c r="AA816" s="198"/>
      <c r="AB816" s="198"/>
      <c r="AC816" s="198"/>
      <c r="AD816" s="198"/>
      <c r="BH816" s="198"/>
      <c r="BI816" s="198"/>
      <c r="BJ816" s="198"/>
      <c r="BK816" s="198"/>
      <c r="BL816" s="198"/>
      <c r="BM816" s="198"/>
      <c r="BN816" s="198"/>
      <c r="BO816" s="198"/>
      <c r="BP816" s="198"/>
      <c r="BQ816" s="198"/>
      <c r="BR816" s="198"/>
      <c r="BS816" s="198"/>
      <c r="BT816" s="198"/>
    </row>
    <row r="817" spans="1:7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198"/>
      <c r="AA817" s="198"/>
      <c r="AB817" s="198"/>
      <c r="AC817" s="198"/>
      <c r="AD817" s="198"/>
      <c r="BH817" s="198"/>
      <c r="BI817" s="198"/>
      <c r="BJ817" s="198"/>
      <c r="BK817" s="198"/>
      <c r="BL817" s="198"/>
      <c r="BM817" s="198"/>
      <c r="BN817" s="198"/>
      <c r="BO817" s="198"/>
      <c r="BP817" s="198"/>
      <c r="BQ817" s="198"/>
      <c r="BR817" s="198"/>
      <c r="BS817" s="198"/>
      <c r="BT817" s="198"/>
    </row>
    <row r="818" spans="1:7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198"/>
      <c r="AA818" s="198"/>
      <c r="AB818" s="198"/>
      <c r="AC818" s="198"/>
      <c r="AD818" s="198"/>
      <c r="BH818" s="198"/>
      <c r="BI818" s="198"/>
      <c r="BJ818" s="198"/>
      <c r="BK818" s="198"/>
      <c r="BL818" s="198"/>
      <c r="BM818" s="198"/>
      <c r="BN818" s="198"/>
      <c r="BO818" s="198"/>
      <c r="BP818" s="198"/>
      <c r="BQ818" s="198"/>
      <c r="BR818" s="198"/>
      <c r="BS818" s="198"/>
      <c r="BT818" s="198"/>
    </row>
    <row r="819" spans="1:7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198"/>
      <c r="AA819" s="198"/>
      <c r="AB819" s="198"/>
      <c r="AC819" s="198"/>
      <c r="AD819" s="198"/>
      <c r="BH819" s="198"/>
      <c r="BI819" s="198"/>
      <c r="BJ819" s="198"/>
      <c r="BK819" s="198"/>
      <c r="BL819" s="198"/>
      <c r="BM819" s="198"/>
      <c r="BN819" s="198"/>
      <c r="BO819" s="198"/>
      <c r="BP819" s="198"/>
      <c r="BQ819" s="198"/>
      <c r="BR819" s="198"/>
      <c r="BS819" s="198"/>
      <c r="BT819" s="198"/>
    </row>
    <row r="820" spans="1:7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198"/>
      <c r="AA820" s="198"/>
      <c r="AB820" s="198"/>
      <c r="AC820" s="198"/>
      <c r="AD820" s="198"/>
      <c r="BH820" s="198"/>
      <c r="BI820" s="198"/>
      <c r="BJ820" s="198"/>
      <c r="BK820" s="198"/>
      <c r="BL820" s="198"/>
      <c r="BM820" s="198"/>
      <c r="BN820" s="198"/>
      <c r="BO820" s="198"/>
      <c r="BP820" s="198"/>
      <c r="BQ820" s="198"/>
      <c r="BR820" s="198"/>
      <c r="BS820" s="198"/>
      <c r="BT820" s="198"/>
    </row>
    <row r="821" spans="1:7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198"/>
      <c r="AA821" s="198"/>
      <c r="AB821" s="198"/>
      <c r="AC821" s="198"/>
      <c r="AD821" s="198"/>
      <c r="BH821" s="198"/>
      <c r="BI821" s="198"/>
      <c r="BJ821" s="198"/>
      <c r="BK821" s="198"/>
      <c r="BL821" s="198"/>
      <c r="BM821" s="198"/>
      <c r="BN821" s="198"/>
      <c r="BO821" s="198"/>
      <c r="BP821" s="198"/>
      <c r="BQ821" s="198"/>
      <c r="BR821" s="198"/>
      <c r="BS821" s="198"/>
      <c r="BT821" s="198"/>
    </row>
    <row r="822" spans="1:7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198"/>
      <c r="AA822" s="198"/>
      <c r="AB822" s="198"/>
      <c r="AC822" s="198"/>
      <c r="AD822" s="198"/>
      <c r="BH822" s="198"/>
      <c r="BI822" s="198"/>
      <c r="BJ822" s="198"/>
      <c r="BK822" s="198"/>
      <c r="BL822" s="198"/>
      <c r="BM822" s="198"/>
      <c r="BN822" s="198"/>
      <c r="BO822" s="198"/>
      <c r="BP822" s="198"/>
      <c r="BQ822" s="198"/>
      <c r="BR822" s="198"/>
      <c r="BS822" s="198"/>
      <c r="BT822" s="198"/>
    </row>
    <row r="823" spans="1:7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198"/>
      <c r="AA823" s="198"/>
      <c r="AB823" s="198"/>
      <c r="AC823" s="198"/>
      <c r="AD823" s="198"/>
      <c r="BH823" s="198"/>
      <c r="BI823" s="198"/>
      <c r="BJ823" s="198"/>
      <c r="BK823" s="198"/>
      <c r="BL823" s="198"/>
      <c r="BM823" s="198"/>
      <c r="BN823" s="198"/>
      <c r="BO823" s="198"/>
      <c r="BP823" s="198"/>
      <c r="BQ823" s="198"/>
      <c r="BR823" s="198"/>
      <c r="BS823" s="198"/>
      <c r="BT823" s="198"/>
    </row>
    <row r="824" spans="1:7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198"/>
      <c r="AA824" s="198"/>
      <c r="AB824" s="198"/>
      <c r="AC824" s="198"/>
      <c r="AD824" s="198"/>
      <c r="BH824" s="198"/>
      <c r="BI824" s="198"/>
      <c r="BJ824" s="198"/>
      <c r="BK824" s="198"/>
      <c r="BL824" s="198"/>
      <c r="BM824" s="198"/>
      <c r="BN824" s="198"/>
      <c r="BO824" s="198"/>
      <c r="BP824" s="198"/>
      <c r="BQ824" s="198"/>
      <c r="BR824" s="198"/>
      <c r="BS824" s="198"/>
      <c r="BT824" s="198"/>
    </row>
    <row r="825" spans="1:7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198"/>
      <c r="AA825" s="198"/>
      <c r="AB825" s="198"/>
      <c r="AC825" s="198"/>
      <c r="AD825" s="198"/>
      <c r="BH825" s="198"/>
      <c r="BI825" s="198"/>
      <c r="BJ825" s="198"/>
      <c r="BK825" s="198"/>
      <c r="BL825" s="198"/>
      <c r="BM825" s="198"/>
      <c r="BN825" s="198"/>
      <c r="BO825" s="198"/>
      <c r="BP825" s="198"/>
      <c r="BQ825" s="198"/>
      <c r="BR825" s="198"/>
      <c r="BS825" s="198"/>
      <c r="BT825" s="198"/>
    </row>
    <row r="826" spans="1:7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198"/>
      <c r="AA826" s="198"/>
      <c r="AB826" s="198"/>
      <c r="AC826" s="198"/>
      <c r="AD826" s="198"/>
      <c r="BH826" s="198"/>
      <c r="BI826" s="198"/>
      <c r="BJ826" s="198"/>
      <c r="BK826" s="198"/>
      <c r="BL826" s="198"/>
      <c r="BM826" s="198"/>
      <c r="BN826" s="198"/>
      <c r="BO826" s="198"/>
      <c r="BP826" s="198"/>
      <c r="BQ826" s="198"/>
      <c r="BR826" s="198"/>
      <c r="BS826" s="198"/>
      <c r="BT826" s="198"/>
    </row>
    <row r="827" spans="1:7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198"/>
      <c r="AA827" s="198"/>
      <c r="AB827" s="198"/>
      <c r="AC827" s="198"/>
      <c r="AD827" s="198"/>
      <c r="BH827" s="198"/>
      <c r="BI827" s="198"/>
      <c r="BJ827" s="198"/>
      <c r="BK827" s="198"/>
      <c r="BL827" s="198"/>
      <c r="BM827" s="198"/>
      <c r="BN827" s="198"/>
      <c r="BO827" s="198"/>
      <c r="BP827" s="198"/>
      <c r="BQ827" s="198"/>
      <c r="BR827" s="198"/>
      <c r="BS827" s="198"/>
      <c r="BT827" s="198"/>
    </row>
    <row r="828" spans="1:7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198"/>
      <c r="AA828" s="198"/>
      <c r="AB828" s="198"/>
      <c r="AC828" s="198"/>
      <c r="AD828" s="198"/>
      <c r="BH828" s="198"/>
      <c r="BI828" s="198"/>
      <c r="BJ828" s="198"/>
      <c r="BK828" s="198"/>
      <c r="BL828" s="198"/>
      <c r="BM828" s="198"/>
      <c r="BN828" s="198"/>
      <c r="BO828" s="198"/>
      <c r="BP828" s="198"/>
      <c r="BQ828" s="198"/>
      <c r="BR828" s="198"/>
      <c r="BS828" s="198"/>
      <c r="BT828" s="198"/>
    </row>
    <row r="829" spans="1:7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198"/>
      <c r="AA829" s="198"/>
      <c r="AB829" s="198"/>
      <c r="AC829" s="198"/>
      <c r="AD829" s="198"/>
      <c r="BH829" s="198"/>
      <c r="BI829" s="198"/>
      <c r="BJ829" s="198"/>
      <c r="BK829" s="198"/>
      <c r="BL829" s="198"/>
      <c r="BM829" s="198"/>
      <c r="BN829" s="198"/>
      <c r="BO829" s="198"/>
      <c r="BP829" s="198"/>
      <c r="BQ829" s="198"/>
      <c r="BR829" s="198"/>
      <c r="BS829" s="198"/>
      <c r="BT829" s="198"/>
    </row>
    <row r="830" spans="1:7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198"/>
      <c r="AA830" s="198"/>
      <c r="AB830" s="198"/>
      <c r="AC830" s="198"/>
      <c r="AD830" s="198"/>
      <c r="BH830" s="198"/>
      <c r="BI830" s="198"/>
      <c r="BJ830" s="198"/>
      <c r="BK830" s="198"/>
      <c r="BL830" s="198"/>
      <c r="BM830" s="198"/>
      <c r="BN830" s="198"/>
      <c r="BO830" s="198"/>
      <c r="BP830" s="198"/>
      <c r="BQ830" s="198"/>
      <c r="BR830" s="198"/>
      <c r="BS830" s="198"/>
      <c r="BT830" s="198"/>
    </row>
    <row r="831" spans="1:7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198"/>
      <c r="AA831" s="198"/>
      <c r="AB831" s="198"/>
      <c r="AC831" s="198"/>
      <c r="AD831" s="198"/>
      <c r="BH831" s="198"/>
      <c r="BI831" s="198"/>
      <c r="BJ831" s="198"/>
      <c r="BK831" s="198"/>
      <c r="BL831" s="198"/>
      <c r="BM831" s="198"/>
      <c r="BN831" s="198"/>
      <c r="BO831" s="198"/>
      <c r="BP831" s="198"/>
      <c r="BQ831" s="198"/>
      <c r="BR831" s="198"/>
      <c r="BS831" s="198"/>
      <c r="BT831" s="198"/>
    </row>
    <row r="832" spans="1:7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198"/>
      <c r="AA832" s="198"/>
      <c r="AB832" s="198"/>
      <c r="AC832" s="198"/>
      <c r="AD832" s="198"/>
      <c r="BH832" s="198"/>
      <c r="BI832" s="198"/>
      <c r="BJ832" s="198"/>
      <c r="BK832" s="198"/>
      <c r="BL832" s="198"/>
      <c r="BM832" s="198"/>
      <c r="BN832" s="198"/>
      <c r="BO832" s="198"/>
      <c r="BP832" s="198"/>
      <c r="BQ832" s="198"/>
      <c r="BR832" s="198"/>
      <c r="BS832" s="198"/>
      <c r="BT832" s="198"/>
    </row>
    <row r="833" spans="1:7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198"/>
      <c r="AA833" s="198"/>
      <c r="AB833" s="198"/>
      <c r="AC833" s="198"/>
      <c r="AD833" s="198"/>
      <c r="BH833" s="198"/>
      <c r="BI833" s="198"/>
      <c r="BJ833" s="198"/>
      <c r="BK833" s="198"/>
      <c r="BL833" s="198"/>
      <c r="BM833" s="198"/>
      <c r="BN833" s="198"/>
      <c r="BO833" s="198"/>
      <c r="BP833" s="198"/>
      <c r="BQ833" s="198"/>
      <c r="BR833" s="198"/>
      <c r="BS833" s="198"/>
      <c r="BT833" s="198"/>
    </row>
    <row r="834" spans="1:7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198"/>
      <c r="AA834" s="198"/>
      <c r="AB834" s="198"/>
      <c r="AC834" s="198"/>
      <c r="AD834" s="198"/>
      <c r="BH834" s="198"/>
      <c r="BI834" s="198"/>
      <c r="BJ834" s="198"/>
      <c r="BK834" s="198"/>
      <c r="BL834" s="198"/>
      <c r="BM834" s="198"/>
      <c r="BN834" s="198"/>
      <c r="BO834" s="198"/>
      <c r="BP834" s="198"/>
      <c r="BQ834" s="198"/>
      <c r="BR834" s="198"/>
      <c r="BS834" s="198"/>
      <c r="BT834" s="198"/>
    </row>
    <row r="835" spans="1:7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198"/>
      <c r="AA835" s="198"/>
      <c r="AB835" s="198"/>
      <c r="AC835" s="198"/>
      <c r="AD835" s="198"/>
      <c r="BH835" s="198"/>
      <c r="BI835" s="198"/>
      <c r="BJ835" s="198"/>
      <c r="BK835" s="198"/>
      <c r="BL835" s="198"/>
      <c r="BM835" s="198"/>
      <c r="BN835" s="198"/>
      <c r="BO835" s="198"/>
      <c r="BP835" s="198"/>
      <c r="BQ835" s="198"/>
      <c r="BR835" s="198"/>
      <c r="BS835" s="198"/>
      <c r="BT835" s="198"/>
    </row>
    <row r="836" spans="1:7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198"/>
      <c r="AA836" s="198"/>
      <c r="AB836" s="198"/>
      <c r="AC836" s="198"/>
      <c r="AD836" s="198"/>
      <c r="BH836" s="198"/>
      <c r="BI836" s="198"/>
      <c r="BJ836" s="198"/>
      <c r="BK836" s="198"/>
      <c r="BL836" s="198"/>
      <c r="BM836" s="198"/>
      <c r="BN836" s="198"/>
      <c r="BO836" s="198"/>
      <c r="BP836" s="198"/>
      <c r="BQ836" s="198"/>
      <c r="BR836" s="198"/>
      <c r="BS836" s="198"/>
      <c r="BT836" s="198"/>
    </row>
    <row r="837" spans="1:7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198"/>
      <c r="AA837" s="198"/>
      <c r="AB837" s="198"/>
      <c r="AC837" s="198"/>
      <c r="AD837" s="198"/>
      <c r="BH837" s="198"/>
      <c r="BI837" s="198"/>
      <c r="BJ837" s="198"/>
      <c r="BK837" s="198"/>
      <c r="BL837" s="198"/>
      <c r="BM837" s="198"/>
      <c r="BN837" s="198"/>
      <c r="BO837" s="198"/>
      <c r="BP837" s="198"/>
      <c r="BQ837" s="198"/>
      <c r="BR837" s="198"/>
      <c r="BS837" s="198"/>
      <c r="BT837" s="198"/>
    </row>
    <row r="838" spans="1:7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198"/>
      <c r="AA838" s="198"/>
      <c r="AB838" s="198"/>
      <c r="AC838" s="198"/>
      <c r="AD838" s="198"/>
      <c r="BH838" s="198"/>
      <c r="BI838" s="198"/>
      <c r="BJ838" s="198"/>
      <c r="BK838" s="198"/>
      <c r="BL838" s="198"/>
      <c r="BM838" s="198"/>
      <c r="BN838" s="198"/>
      <c r="BO838" s="198"/>
      <c r="BP838" s="198"/>
      <c r="BQ838" s="198"/>
      <c r="BR838" s="198"/>
      <c r="BS838" s="198"/>
      <c r="BT838" s="198"/>
    </row>
    <row r="839" spans="1:7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198"/>
      <c r="AA839" s="198"/>
      <c r="AB839" s="198"/>
      <c r="AC839" s="198"/>
      <c r="AD839" s="198"/>
      <c r="BH839" s="198"/>
      <c r="BI839" s="198"/>
      <c r="BJ839" s="198"/>
      <c r="BK839" s="198"/>
      <c r="BL839" s="198"/>
      <c r="BM839" s="198"/>
      <c r="BN839" s="198"/>
      <c r="BO839" s="198"/>
      <c r="BP839" s="198"/>
      <c r="BQ839" s="198"/>
      <c r="BR839" s="198"/>
      <c r="BS839" s="198"/>
      <c r="BT839" s="198"/>
    </row>
    <row r="840" spans="1:7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198"/>
      <c r="AA840" s="198"/>
      <c r="AB840" s="198"/>
      <c r="AC840" s="198"/>
      <c r="AD840" s="198"/>
      <c r="BH840" s="198"/>
      <c r="BI840" s="198"/>
      <c r="BJ840" s="198"/>
      <c r="BK840" s="198"/>
      <c r="BL840" s="198"/>
      <c r="BM840" s="198"/>
      <c r="BN840" s="198"/>
      <c r="BO840" s="198"/>
      <c r="BP840" s="198"/>
      <c r="BQ840" s="198"/>
      <c r="BR840" s="198"/>
      <c r="BS840" s="198"/>
      <c r="BT840" s="198"/>
    </row>
    <row r="841" spans="1:7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198"/>
      <c r="AA841" s="198"/>
      <c r="AB841" s="198"/>
      <c r="AC841" s="198"/>
      <c r="AD841" s="198"/>
      <c r="BH841" s="198"/>
      <c r="BI841" s="198"/>
      <c r="BJ841" s="198"/>
      <c r="BK841" s="198"/>
      <c r="BL841" s="198"/>
      <c r="BM841" s="198"/>
      <c r="BN841" s="198"/>
      <c r="BO841" s="198"/>
      <c r="BP841" s="198"/>
      <c r="BQ841" s="198"/>
      <c r="BR841" s="198"/>
      <c r="BS841" s="198"/>
      <c r="BT841" s="198"/>
    </row>
    <row r="842" spans="1:7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198"/>
      <c r="AA842" s="198"/>
      <c r="AB842" s="198"/>
      <c r="AC842" s="198"/>
      <c r="AD842" s="198"/>
      <c r="BH842" s="198"/>
      <c r="BI842" s="198"/>
      <c r="BJ842" s="198"/>
      <c r="BK842" s="198"/>
      <c r="BL842" s="198"/>
      <c r="BM842" s="198"/>
      <c r="BN842" s="198"/>
      <c r="BO842" s="198"/>
      <c r="BP842" s="198"/>
      <c r="BQ842" s="198"/>
      <c r="BR842" s="198"/>
      <c r="BS842" s="198"/>
      <c r="BT842" s="198"/>
    </row>
    <row r="843" spans="1:7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198"/>
      <c r="AA843" s="198"/>
      <c r="AB843" s="198"/>
      <c r="AC843" s="198"/>
      <c r="AD843" s="198"/>
      <c r="BH843" s="198"/>
      <c r="BI843" s="198"/>
      <c r="BJ843" s="198"/>
      <c r="BK843" s="198"/>
      <c r="BL843" s="198"/>
      <c r="BM843" s="198"/>
      <c r="BN843" s="198"/>
      <c r="BO843" s="198"/>
      <c r="BP843" s="198"/>
      <c r="BQ843" s="198"/>
      <c r="BR843" s="198"/>
      <c r="BS843" s="198"/>
      <c r="BT843" s="198"/>
    </row>
    <row r="844" spans="1:7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198"/>
      <c r="AA844" s="198"/>
      <c r="AB844" s="198"/>
      <c r="AC844" s="198"/>
      <c r="AD844" s="198"/>
      <c r="BH844" s="198"/>
      <c r="BI844" s="198"/>
      <c r="BJ844" s="198"/>
      <c r="BK844" s="198"/>
      <c r="BL844" s="198"/>
      <c r="BM844" s="198"/>
      <c r="BN844" s="198"/>
      <c r="BO844" s="198"/>
      <c r="BP844" s="198"/>
      <c r="BQ844" s="198"/>
      <c r="BR844" s="198"/>
      <c r="BS844" s="198"/>
      <c r="BT844" s="198"/>
    </row>
    <row r="845" spans="1:7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198"/>
      <c r="AA845" s="198"/>
      <c r="AB845" s="198"/>
      <c r="AC845" s="198"/>
      <c r="AD845" s="198"/>
      <c r="BH845" s="198"/>
      <c r="BI845" s="198"/>
      <c r="BJ845" s="198"/>
      <c r="BK845" s="198"/>
      <c r="BL845" s="198"/>
      <c r="BM845" s="198"/>
      <c r="BN845" s="198"/>
      <c r="BO845" s="198"/>
      <c r="BP845" s="198"/>
      <c r="BQ845" s="198"/>
      <c r="BR845" s="198"/>
      <c r="BS845" s="198"/>
      <c r="BT845" s="198"/>
    </row>
    <row r="846" spans="1:7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198"/>
      <c r="AA846" s="198"/>
      <c r="AB846" s="198"/>
      <c r="AC846" s="198"/>
      <c r="AD846" s="198"/>
      <c r="BH846" s="198"/>
      <c r="BI846" s="198"/>
      <c r="BJ846" s="198"/>
      <c r="BK846" s="198"/>
      <c r="BL846" s="198"/>
      <c r="BM846" s="198"/>
      <c r="BN846" s="198"/>
      <c r="BO846" s="198"/>
      <c r="BP846" s="198"/>
      <c r="BQ846" s="198"/>
      <c r="BR846" s="198"/>
      <c r="BS846" s="198"/>
      <c r="BT846" s="198"/>
    </row>
    <row r="847" spans="1:7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198"/>
      <c r="AA847" s="198"/>
      <c r="AB847" s="198"/>
      <c r="AC847" s="198"/>
      <c r="AD847" s="198"/>
      <c r="BH847" s="198"/>
      <c r="BI847" s="198"/>
      <c r="BJ847" s="198"/>
      <c r="BK847" s="198"/>
      <c r="BL847" s="198"/>
      <c r="BM847" s="198"/>
      <c r="BN847" s="198"/>
      <c r="BO847" s="198"/>
      <c r="BP847" s="198"/>
      <c r="BQ847" s="198"/>
      <c r="BR847" s="198"/>
      <c r="BS847" s="198"/>
      <c r="BT847" s="198"/>
    </row>
    <row r="848" spans="1:7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198"/>
      <c r="AA848" s="198"/>
      <c r="AB848" s="198"/>
      <c r="AC848" s="198"/>
      <c r="AD848" s="198"/>
      <c r="BH848" s="198"/>
      <c r="BI848" s="198"/>
      <c r="BJ848" s="198"/>
      <c r="BK848" s="198"/>
      <c r="BL848" s="198"/>
      <c r="BM848" s="198"/>
      <c r="BN848" s="198"/>
      <c r="BO848" s="198"/>
      <c r="BP848" s="198"/>
      <c r="BQ848" s="198"/>
      <c r="BR848" s="198"/>
      <c r="BS848" s="198"/>
      <c r="BT848" s="198"/>
    </row>
    <row r="849" spans="1:7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198"/>
      <c r="AA849" s="198"/>
      <c r="AB849" s="198"/>
      <c r="AC849" s="198"/>
      <c r="AD849" s="198"/>
      <c r="BH849" s="198"/>
      <c r="BI849" s="198"/>
      <c r="BJ849" s="198"/>
      <c r="BK849" s="198"/>
      <c r="BL849" s="198"/>
      <c r="BM849" s="198"/>
      <c r="BN849" s="198"/>
      <c r="BO849" s="198"/>
      <c r="BP849" s="198"/>
      <c r="BQ849" s="198"/>
      <c r="BR849" s="198"/>
      <c r="BS849" s="198"/>
      <c r="BT849" s="198"/>
    </row>
    <row r="850" spans="1:7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198"/>
      <c r="AA850" s="198"/>
      <c r="AB850" s="198"/>
      <c r="AC850" s="198"/>
      <c r="AD850" s="198"/>
      <c r="BH850" s="198"/>
      <c r="BI850" s="198"/>
      <c r="BJ850" s="198"/>
      <c r="BK850" s="198"/>
      <c r="BL850" s="198"/>
      <c r="BM850" s="198"/>
      <c r="BN850" s="198"/>
      <c r="BO850" s="198"/>
      <c r="BP850" s="198"/>
      <c r="BQ850" s="198"/>
      <c r="BR850" s="198"/>
      <c r="BS850" s="198"/>
      <c r="BT850" s="198"/>
    </row>
    <row r="851" spans="1:7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198"/>
      <c r="AA851" s="198"/>
      <c r="AB851" s="198"/>
      <c r="AC851" s="198"/>
      <c r="AD851" s="198"/>
      <c r="BH851" s="198"/>
      <c r="BI851" s="198"/>
      <c r="BJ851" s="198"/>
      <c r="BK851" s="198"/>
      <c r="BL851" s="198"/>
      <c r="BM851" s="198"/>
      <c r="BN851" s="198"/>
      <c r="BO851" s="198"/>
      <c r="BP851" s="198"/>
      <c r="BQ851" s="198"/>
      <c r="BR851" s="198"/>
      <c r="BS851" s="198"/>
      <c r="BT851" s="198"/>
    </row>
    <row r="852" spans="1:7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198"/>
      <c r="AA852" s="198"/>
      <c r="AB852" s="198"/>
      <c r="AC852" s="198"/>
      <c r="AD852" s="198"/>
      <c r="BH852" s="198"/>
      <c r="BI852" s="198"/>
      <c r="BJ852" s="198"/>
      <c r="BK852" s="198"/>
      <c r="BL852" s="198"/>
      <c r="BM852" s="198"/>
      <c r="BN852" s="198"/>
      <c r="BO852" s="198"/>
      <c r="BP852" s="198"/>
      <c r="BQ852" s="198"/>
      <c r="BR852" s="198"/>
      <c r="BS852" s="198"/>
      <c r="BT852" s="198"/>
    </row>
    <row r="853" spans="1:7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198"/>
      <c r="AA853" s="198"/>
      <c r="AB853" s="198"/>
      <c r="AC853" s="198"/>
      <c r="AD853" s="198"/>
      <c r="BH853" s="198"/>
      <c r="BI853" s="198"/>
      <c r="BJ853" s="198"/>
      <c r="BK853" s="198"/>
      <c r="BL853" s="198"/>
      <c r="BM853" s="198"/>
      <c r="BN853" s="198"/>
      <c r="BO853" s="198"/>
      <c r="BP853" s="198"/>
      <c r="BQ853" s="198"/>
      <c r="BR853" s="198"/>
      <c r="BS853" s="198"/>
      <c r="BT853" s="198"/>
    </row>
    <row r="854" spans="1:7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198"/>
      <c r="AA854" s="198"/>
      <c r="AB854" s="198"/>
      <c r="AC854" s="198"/>
      <c r="AD854" s="198"/>
      <c r="BH854" s="198"/>
      <c r="BI854" s="198"/>
      <c r="BJ854" s="198"/>
      <c r="BK854" s="198"/>
      <c r="BL854" s="198"/>
      <c r="BM854" s="198"/>
      <c r="BN854" s="198"/>
      <c r="BO854" s="198"/>
      <c r="BP854" s="198"/>
      <c r="BQ854" s="198"/>
      <c r="BR854" s="198"/>
      <c r="BS854" s="198"/>
      <c r="BT854" s="198"/>
    </row>
    <row r="855" spans="1:7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198"/>
      <c r="AA855" s="198"/>
      <c r="AB855" s="198"/>
      <c r="AC855" s="198"/>
      <c r="AD855" s="198"/>
      <c r="BH855" s="198"/>
      <c r="BI855" s="198"/>
      <c r="BJ855" s="198"/>
      <c r="BK855" s="198"/>
      <c r="BL855" s="198"/>
      <c r="BM855" s="198"/>
      <c r="BN855" s="198"/>
      <c r="BO855" s="198"/>
      <c r="BP855" s="198"/>
      <c r="BQ855" s="198"/>
      <c r="BR855" s="198"/>
      <c r="BS855" s="198"/>
      <c r="BT855" s="198"/>
    </row>
    <row r="856" spans="1:7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BH856" s="198"/>
      <c r="BI856" s="198"/>
      <c r="BJ856" s="198"/>
      <c r="BK856" s="198"/>
      <c r="BL856" s="198"/>
      <c r="BM856" s="198"/>
      <c r="BN856" s="198"/>
      <c r="BO856" s="198"/>
      <c r="BP856" s="198"/>
      <c r="BQ856" s="198"/>
      <c r="BR856" s="198"/>
      <c r="BS856" s="198"/>
      <c r="BT856" s="198"/>
    </row>
    <row r="857" spans="1:7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BH857" s="198"/>
      <c r="BI857" s="198"/>
      <c r="BJ857" s="198"/>
      <c r="BK857" s="198"/>
      <c r="BL857" s="198"/>
      <c r="BM857" s="198"/>
      <c r="BN857" s="198"/>
      <c r="BO857" s="198"/>
      <c r="BP857" s="198"/>
      <c r="BQ857" s="198"/>
      <c r="BR857" s="198"/>
      <c r="BS857" s="198"/>
      <c r="BT857" s="198"/>
    </row>
    <row r="858" spans="1:7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BH858" s="198"/>
      <c r="BI858" s="198"/>
      <c r="BJ858" s="198"/>
      <c r="BK858" s="198"/>
      <c r="BL858" s="198"/>
      <c r="BM858" s="198"/>
      <c r="BN858" s="198"/>
      <c r="BO858" s="198"/>
      <c r="BP858" s="198"/>
      <c r="BQ858" s="198"/>
      <c r="BR858" s="198"/>
      <c r="BS858" s="198"/>
      <c r="BT858" s="198"/>
    </row>
    <row r="859" spans="1:7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BH859" s="198"/>
      <c r="BI859" s="198"/>
      <c r="BJ859" s="198"/>
      <c r="BK859" s="198"/>
      <c r="BL859" s="198"/>
      <c r="BM859" s="198"/>
      <c r="BN859" s="198"/>
      <c r="BO859" s="198"/>
      <c r="BP859" s="198"/>
      <c r="BQ859" s="198"/>
      <c r="BR859" s="198"/>
      <c r="BS859" s="198"/>
      <c r="BT859" s="198"/>
    </row>
    <row r="860" spans="1:7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BH860" s="198"/>
      <c r="BI860" s="198"/>
      <c r="BJ860" s="198"/>
      <c r="BK860" s="198"/>
      <c r="BL860" s="198"/>
      <c r="BM860" s="198"/>
      <c r="BN860" s="198"/>
      <c r="BO860" s="198"/>
      <c r="BP860" s="198"/>
      <c r="BQ860" s="198"/>
      <c r="BR860" s="198"/>
      <c r="BS860" s="198"/>
      <c r="BT860" s="198"/>
    </row>
    <row r="861" spans="1:7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BH861" s="198"/>
      <c r="BI861" s="198"/>
      <c r="BJ861" s="198"/>
      <c r="BK861" s="198"/>
      <c r="BL861" s="198"/>
      <c r="BM861" s="198"/>
      <c r="BN861" s="198"/>
      <c r="BO861" s="198"/>
      <c r="BP861" s="198"/>
      <c r="BQ861" s="198"/>
      <c r="BR861" s="198"/>
      <c r="BS861" s="198"/>
      <c r="BT861" s="198"/>
    </row>
    <row r="862" spans="1:7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BH862" s="198"/>
      <c r="BI862" s="198"/>
      <c r="BJ862" s="198"/>
      <c r="BK862" s="198"/>
      <c r="BL862" s="198"/>
      <c r="BM862" s="198"/>
      <c r="BN862" s="198"/>
      <c r="BO862" s="198"/>
      <c r="BP862" s="198"/>
      <c r="BQ862" s="198"/>
      <c r="BR862" s="198"/>
      <c r="BS862" s="198"/>
      <c r="BT862" s="198"/>
    </row>
    <row r="863" spans="1:7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BH863" s="198"/>
      <c r="BI863" s="198"/>
      <c r="BJ863" s="198"/>
      <c r="BK863" s="198"/>
      <c r="BL863" s="198"/>
      <c r="BM863" s="198"/>
      <c r="BN863" s="198"/>
      <c r="BO863" s="198"/>
      <c r="BP863" s="198"/>
      <c r="BQ863" s="198"/>
      <c r="BR863" s="198"/>
      <c r="BS863" s="198"/>
      <c r="BT863" s="198"/>
    </row>
    <row r="864" spans="1:7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BH864" s="198"/>
      <c r="BI864" s="198"/>
      <c r="BJ864" s="198"/>
      <c r="BK864" s="198"/>
      <c r="BL864" s="198"/>
      <c r="BM864" s="198"/>
      <c r="BN864" s="198"/>
      <c r="BO864" s="198"/>
      <c r="BP864" s="198"/>
      <c r="BQ864" s="198"/>
      <c r="BR864" s="198"/>
      <c r="BS864" s="198"/>
      <c r="BT864" s="198"/>
    </row>
    <row r="865" spans="1:7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BH865" s="198"/>
      <c r="BI865" s="198"/>
      <c r="BJ865" s="198"/>
      <c r="BK865" s="198"/>
      <c r="BL865" s="198"/>
      <c r="BM865" s="198"/>
      <c r="BN865" s="198"/>
      <c r="BO865" s="198"/>
      <c r="BP865" s="198"/>
      <c r="BQ865" s="198"/>
      <c r="BR865" s="198"/>
      <c r="BS865" s="198"/>
      <c r="BT865" s="198"/>
    </row>
    <row r="866" spans="1:7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BH866" s="198"/>
      <c r="BI866" s="198"/>
      <c r="BJ866" s="198"/>
      <c r="BK866" s="198"/>
      <c r="BL866" s="198"/>
      <c r="BM866" s="198"/>
      <c r="BN866" s="198"/>
      <c r="BO866" s="198"/>
      <c r="BP866" s="198"/>
      <c r="BQ866" s="198"/>
      <c r="BR866" s="198"/>
      <c r="BS866" s="198"/>
      <c r="BT866" s="198"/>
    </row>
    <row r="867" spans="1:7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BH867" s="198"/>
      <c r="BI867" s="198"/>
      <c r="BJ867" s="198"/>
      <c r="BK867" s="198"/>
      <c r="BL867" s="198"/>
      <c r="BM867" s="198"/>
      <c r="BN867" s="198"/>
      <c r="BO867" s="198"/>
      <c r="BP867" s="198"/>
      <c r="BQ867" s="198"/>
      <c r="BR867" s="198"/>
      <c r="BS867" s="198"/>
      <c r="BT867" s="198"/>
    </row>
    <row r="868" spans="1:7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BH868" s="198"/>
      <c r="BI868" s="198"/>
      <c r="BJ868" s="198"/>
      <c r="BK868" s="198"/>
      <c r="BL868" s="198"/>
      <c r="BM868" s="198"/>
      <c r="BN868" s="198"/>
      <c r="BO868" s="198"/>
      <c r="BP868" s="198"/>
      <c r="BQ868" s="198"/>
      <c r="BR868" s="198"/>
      <c r="BS868" s="198"/>
      <c r="BT868" s="198"/>
    </row>
    <row r="869" spans="1:7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BH869" s="198"/>
      <c r="BI869" s="198"/>
      <c r="BJ869" s="198"/>
      <c r="BK869" s="198"/>
      <c r="BL869" s="198"/>
      <c r="BM869" s="198"/>
      <c r="BN869" s="198"/>
      <c r="BO869" s="198"/>
      <c r="BP869" s="198"/>
      <c r="BQ869" s="198"/>
      <c r="BR869" s="198"/>
      <c r="BS869" s="198"/>
      <c r="BT869" s="198"/>
    </row>
    <row r="870" spans="1:7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BH870" s="198"/>
      <c r="BI870" s="198"/>
      <c r="BJ870" s="198"/>
      <c r="BK870" s="198"/>
      <c r="BL870" s="198"/>
      <c r="BM870" s="198"/>
      <c r="BN870" s="198"/>
      <c r="BO870" s="198"/>
      <c r="BP870" s="198"/>
      <c r="BQ870" s="198"/>
      <c r="BR870" s="198"/>
      <c r="BS870" s="198"/>
      <c r="BT870" s="198"/>
    </row>
    <row r="871" spans="1:7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BH871" s="198"/>
      <c r="BI871" s="198"/>
      <c r="BJ871" s="198"/>
      <c r="BK871" s="198"/>
      <c r="BL871" s="198"/>
      <c r="BM871" s="198"/>
      <c r="BN871" s="198"/>
      <c r="BO871" s="198"/>
      <c r="BP871" s="198"/>
      <c r="BQ871" s="198"/>
      <c r="BR871" s="198"/>
      <c r="BS871" s="198"/>
      <c r="BT871" s="198"/>
    </row>
    <row r="872" spans="1:72">
      <c r="BH872" s="198"/>
      <c r="BI872" s="198"/>
      <c r="BJ872" s="198"/>
      <c r="BK872" s="198"/>
      <c r="BL872" s="198"/>
      <c r="BM872" s="198"/>
      <c r="BN872" s="198"/>
      <c r="BO872" s="198"/>
      <c r="BP872" s="198"/>
      <c r="BQ872" s="198"/>
      <c r="BR872" s="198"/>
      <c r="BS872" s="198"/>
      <c r="BT872" s="198"/>
    </row>
    <row r="873" spans="1:72">
      <c r="BH873" s="198"/>
      <c r="BI873" s="198"/>
      <c r="BJ873" s="198"/>
      <c r="BK873" s="198"/>
      <c r="BL873" s="198"/>
      <c r="BM873" s="198"/>
      <c r="BN873" s="198"/>
      <c r="BO873" s="198"/>
      <c r="BP873" s="198"/>
      <c r="BQ873" s="198"/>
      <c r="BR873" s="198"/>
      <c r="BS873" s="198"/>
      <c r="BT873" s="198"/>
    </row>
    <row r="874" spans="1:72">
      <c r="BH874" s="198"/>
      <c r="BI874" s="198"/>
      <c r="BJ874" s="198"/>
      <c r="BK874" s="198"/>
      <c r="BL874" s="198"/>
      <c r="BM874" s="198"/>
      <c r="BN874" s="198"/>
      <c r="BO874" s="198"/>
      <c r="BP874" s="198"/>
      <c r="BQ874" s="198"/>
      <c r="BR874" s="198"/>
      <c r="BS874" s="198"/>
      <c r="BT874" s="198"/>
    </row>
    <row r="875" spans="1:72">
      <c r="BH875" s="198"/>
      <c r="BI875" s="198"/>
      <c r="BJ875" s="198"/>
      <c r="BK875" s="198"/>
      <c r="BL875" s="198"/>
      <c r="BM875" s="198"/>
      <c r="BN875" s="198"/>
      <c r="BO875" s="198"/>
      <c r="BP875" s="198"/>
      <c r="BQ875" s="198"/>
      <c r="BR875" s="198"/>
      <c r="BS875" s="198"/>
      <c r="BT875" s="198"/>
    </row>
    <row r="876" spans="1:72">
      <c r="BH876" s="198"/>
      <c r="BI876" s="198"/>
      <c r="BJ876" s="198"/>
      <c r="BK876" s="198"/>
      <c r="BL876" s="198"/>
      <c r="BM876" s="198"/>
      <c r="BN876" s="198"/>
      <c r="BO876" s="198"/>
      <c r="BP876" s="198"/>
      <c r="BQ876" s="198"/>
      <c r="BR876" s="198"/>
      <c r="BS876" s="198"/>
      <c r="BT876" s="198"/>
    </row>
    <row r="877" spans="1:72">
      <c r="BH877" s="198"/>
      <c r="BI877" s="198"/>
      <c r="BJ877" s="198"/>
      <c r="BK877" s="198"/>
      <c r="BL877" s="198"/>
      <c r="BM877" s="198"/>
      <c r="BN877" s="198"/>
      <c r="BO877" s="198"/>
      <c r="BP877" s="198"/>
      <c r="BQ877" s="198"/>
      <c r="BR877" s="198"/>
      <c r="BS877" s="198"/>
      <c r="BT877" s="198"/>
    </row>
    <row r="878" spans="1:72">
      <c r="BH878" s="198"/>
      <c r="BI878" s="198"/>
      <c r="BJ878" s="198"/>
      <c r="BK878" s="198"/>
      <c r="BL878" s="198"/>
      <c r="BM878" s="198"/>
      <c r="BN878" s="198"/>
      <c r="BO878" s="198"/>
      <c r="BP878" s="198"/>
      <c r="BQ878" s="198"/>
      <c r="BR878" s="198"/>
      <c r="BS878" s="198"/>
      <c r="BT878" s="198"/>
    </row>
    <row r="879" spans="1:72">
      <c r="BH879" s="198"/>
      <c r="BI879" s="198"/>
      <c r="BJ879" s="198"/>
      <c r="BK879" s="198"/>
      <c r="BL879" s="198"/>
      <c r="BM879" s="198"/>
      <c r="BN879" s="198"/>
      <c r="BO879" s="198"/>
      <c r="BP879" s="198"/>
      <c r="BQ879" s="198"/>
      <c r="BR879" s="198"/>
      <c r="BS879" s="198"/>
      <c r="BT879" s="198"/>
    </row>
    <row r="880" spans="1:72">
      <c r="BH880" s="198"/>
      <c r="BI880" s="198"/>
      <c r="BJ880" s="198"/>
      <c r="BK880" s="198"/>
      <c r="BL880" s="198"/>
      <c r="BM880" s="198"/>
      <c r="BN880" s="198"/>
      <c r="BO880" s="198"/>
      <c r="BP880" s="198"/>
      <c r="BQ880" s="198"/>
      <c r="BR880" s="198"/>
      <c r="BS880" s="198"/>
      <c r="BT880" s="198"/>
    </row>
    <row r="881" spans="60:72">
      <c r="BH881" s="198"/>
      <c r="BI881" s="198"/>
      <c r="BJ881" s="198"/>
      <c r="BK881" s="198"/>
      <c r="BL881" s="198"/>
      <c r="BM881" s="198"/>
      <c r="BN881" s="198"/>
      <c r="BO881" s="198"/>
      <c r="BP881" s="198"/>
      <c r="BQ881" s="198"/>
      <c r="BR881" s="198"/>
      <c r="BS881" s="198"/>
      <c r="BT881" s="198"/>
    </row>
    <row r="882" spans="60:72">
      <c r="BH882" s="198"/>
      <c r="BI882" s="198"/>
      <c r="BJ882" s="198"/>
      <c r="BK882" s="198"/>
      <c r="BL882" s="198"/>
      <c r="BM882" s="198"/>
      <c r="BN882" s="198"/>
      <c r="BO882" s="198"/>
      <c r="BP882" s="198"/>
      <c r="BQ882" s="198"/>
      <c r="BR882" s="198"/>
      <c r="BS882" s="198"/>
      <c r="BT882" s="198"/>
    </row>
    <row r="883" spans="60:72">
      <c r="BH883" s="198"/>
      <c r="BI883" s="198"/>
      <c r="BJ883" s="198"/>
      <c r="BK883" s="198"/>
      <c r="BL883" s="198"/>
      <c r="BM883" s="198"/>
      <c r="BN883" s="198"/>
      <c r="BO883" s="198"/>
      <c r="BP883" s="198"/>
      <c r="BQ883" s="198"/>
      <c r="BR883" s="198"/>
      <c r="BS883" s="198"/>
      <c r="BT883" s="198"/>
    </row>
    <row r="884" spans="60:72">
      <c r="BH884" s="198"/>
      <c r="BI884" s="198"/>
      <c r="BJ884" s="198"/>
      <c r="BK884" s="198"/>
      <c r="BL884" s="198"/>
      <c r="BM884" s="198"/>
      <c r="BN884" s="198"/>
      <c r="BO884" s="198"/>
      <c r="BP884" s="198"/>
      <c r="BQ884" s="198"/>
      <c r="BR884" s="198"/>
      <c r="BS884" s="198"/>
      <c r="BT884" s="198"/>
    </row>
    <row r="885" spans="60:72">
      <c r="BH885" s="198"/>
      <c r="BI885" s="198"/>
      <c r="BJ885" s="198"/>
      <c r="BK885" s="198"/>
      <c r="BL885" s="198"/>
      <c r="BM885" s="198"/>
      <c r="BN885" s="198"/>
      <c r="BO885" s="198"/>
      <c r="BP885" s="198"/>
      <c r="BQ885" s="198"/>
      <c r="BR885" s="198"/>
      <c r="BS885" s="198"/>
      <c r="BT885" s="198"/>
    </row>
    <row r="886" spans="60:72">
      <c r="BH886" s="198"/>
      <c r="BI886" s="198"/>
      <c r="BJ886" s="198"/>
      <c r="BK886" s="198"/>
      <c r="BL886" s="198"/>
      <c r="BM886" s="198"/>
      <c r="BN886" s="198"/>
      <c r="BO886" s="198"/>
      <c r="BP886" s="198"/>
      <c r="BQ886" s="198"/>
      <c r="BR886" s="198"/>
      <c r="BS886" s="198"/>
      <c r="BT886" s="198"/>
    </row>
    <row r="887" spans="60:72">
      <c r="BH887" s="198"/>
      <c r="BI887" s="198"/>
      <c r="BJ887" s="198"/>
      <c r="BK887" s="198"/>
      <c r="BL887" s="198"/>
      <c r="BM887" s="198"/>
      <c r="BN887" s="198"/>
      <c r="BO887" s="198"/>
      <c r="BP887" s="198"/>
      <c r="BQ887" s="198"/>
      <c r="BR887" s="198"/>
      <c r="BS887" s="198"/>
      <c r="BT887" s="198"/>
    </row>
    <row r="888" spans="60:72">
      <c r="BH888" s="198"/>
      <c r="BI888" s="198"/>
      <c r="BJ888" s="198"/>
      <c r="BK888" s="198"/>
      <c r="BL888" s="198"/>
      <c r="BM888" s="198"/>
      <c r="BN888" s="198"/>
      <c r="BO888" s="198"/>
      <c r="BP888" s="198"/>
      <c r="BQ888" s="198"/>
      <c r="BR888" s="198"/>
      <c r="BS888" s="198"/>
      <c r="BT888" s="198"/>
    </row>
    <row r="889" spans="60:72">
      <c r="BH889" s="198"/>
      <c r="BI889" s="198"/>
      <c r="BJ889" s="198"/>
      <c r="BK889" s="198"/>
      <c r="BL889" s="198"/>
      <c r="BM889" s="198"/>
      <c r="BN889" s="198"/>
      <c r="BO889" s="198"/>
      <c r="BP889" s="198"/>
      <c r="BQ889" s="198"/>
      <c r="BR889" s="198"/>
      <c r="BS889" s="198"/>
      <c r="BT889" s="198"/>
    </row>
    <row r="890" spans="60:72">
      <c r="BH890" s="198"/>
      <c r="BI890" s="198"/>
      <c r="BJ890" s="198"/>
      <c r="BK890" s="198"/>
      <c r="BL890" s="198"/>
      <c r="BM890" s="198"/>
      <c r="BN890" s="198"/>
      <c r="BO890" s="198"/>
      <c r="BP890" s="198"/>
      <c r="BQ890" s="198"/>
      <c r="BR890" s="198"/>
      <c r="BS890" s="198"/>
      <c r="BT890" s="198"/>
    </row>
    <row r="891" spans="60:72">
      <c r="BH891" s="198"/>
      <c r="BI891" s="198"/>
      <c r="BJ891" s="198"/>
      <c r="BK891" s="198"/>
      <c r="BL891" s="198"/>
      <c r="BM891" s="198"/>
      <c r="BN891" s="198"/>
      <c r="BO891" s="198"/>
      <c r="BP891" s="198"/>
      <c r="BQ891" s="198"/>
      <c r="BR891" s="198"/>
      <c r="BS891" s="198"/>
      <c r="BT891" s="198"/>
    </row>
    <row r="892" spans="60:72">
      <c r="BH892" s="198"/>
      <c r="BI892" s="198"/>
      <c r="BJ892" s="198"/>
      <c r="BK892" s="198"/>
      <c r="BL892" s="198"/>
      <c r="BM892" s="198"/>
      <c r="BN892" s="198"/>
      <c r="BO892" s="198"/>
      <c r="BP892" s="198"/>
      <c r="BQ892" s="198"/>
      <c r="BR892" s="198"/>
      <c r="BS892" s="198"/>
      <c r="BT892" s="198"/>
    </row>
    <row r="893" spans="60:72">
      <c r="BH893" s="198"/>
      <c r="BI893" s="198"/>
      <c r="BJ893" s="198"/>
      <c r="BK893" s="198"/>
      <c r="BL893" s="198"/>
      <c r="BM893" s="198"/>
      <c r="BN893" s="198"/>
      <c r="BO893" s="198"/>
      <c r="BP893" s="198"/>
      <c r="BQ893" s="198"/>
      <c r="BR893" s="198"/>
      <c r="BS893" s="198"/>
      <c r="BT893" s="198"/>
    </row>
    <row r="894" spans="60:72">
      <c r="BH894" s="198"/>
      <c r="BI894" s="198"/>
      <c r="BJ894" s="198"/>
      <c r="BK894" s="198"/>
      <c r="BL894" s="198"/>
      <c r="BM894" s="198"/>
      <c r="BN894" s="198"/>
      <c r="BO894" s="198"/>
      <c r="BP894" s="198"/>
      <c r="BQ894" s="198"/>
      <c r="BR894" s="198"/>
      <c r="BS894" s="198"/>
      <c r="BT894" s="198"/>
    </row>
    <row r="895" spans="60:72">
      <c r="BH895" s="198"/>
      <c r="BI895" s="198"/>
      <c r="BJ895" s="198"/>
      <c r="BK895" s="198"/>
      <c r="BL895" s="198"/>
      <c r="BM895" s="198"/>
      <c r="BN895" s="198"/>
      <c r="BO895" s="198"/>
      <c r="BP895" s="198"/>
      <c r="BQ895" s="198"/>
      <c r="BR895" s="198"/>
      <c r="BS895" s="198"/>
      <c r="BT895" s="198"/>
    </row>
    <row r="896" spans="60:72">
      <c r="BH896" s="198"/>
      <c r="BI896" s="198"/>
      <c r="BJ896" s="198"/>
      <c r="BK896" s="198"/>
      <c r="BL896" s="198"/>
      <c r="BM896" s="198"/>
      <c r="BN896" s="198"/>
      <c r="BO896" s="198"/>
      <c r="BP896" s="198"/>
      <c r="BQ896" s="198"/>
      <c r="BR896" s="198"/>
      <c r="BS896" s="198"/>
      <c r="BT896" s="198"/>
    </row>
    <row r="897" spans="60:72">
      <c r="BH897" s="198"/>
      <c r="BI897" s="198"/>
      <c r="BJ897" s="198"/>
      <c r="BK897" s="198"/>
      <c r="BL897" s="198"/>
      <c r="BM897" s="198"/>
      <c r="BN897" s="198"/>
      <c r="BO897" s="198"/>
      <c r="BP897" s="198"/>
      <c r="BQ897" s="198"/>
      <c r="BR897" s="198"/>
      <c r="BS897" s="198"/>
      <c r="BT897" s="198"/>
    </row>
    <row r="898" spans="60:72">
      <c r="BH898" s="198"/>
      <c r="BI898" s="198"/>
      <c r="BJ898" s="198"/>
      <c r="BK898" s="198"/>
      <c r="BL898" s="198"/>
      <c r="BM898" s="198"/>
      <c r="BN898" s="198"/>
      <c r="BO898" s="198"/>
      <c r="BP898" s="198"/>
      <c r="BQ898" s="198"/>
      <c r="BR898" s="198"/>
      <c r="BS898" s="198"/>
      <c r="BT898" s="198"/>
    </row>
    <row r="899" spans="60:72">
      <c r="BH899" s="198"/>
      <c r="BI899" s="198"/>
      <c r="BJ899" s="198"/>
      <c r="BK899" s="198"/>
      <c r="BL899" s="198"/>
      <c r="BM899" s="198"/>
      <c r="BN899" s="198"/>
      <c r="BO899" s="198"/>
      <c r="BP899" s="198"/>
      <c r="BQ899" s="198"/>
      <c r="BR899" s="198"/>
      <c r="BS899" s="198"/>
      <c r="BT899" s="198"/>
    </row>
    <row r="900" spans="60:72">
      <c r="BH900" s="198"/>
      <c r="BI900" s="198"/>
      <c r="BJ900" s="198"/>
      <c r="BK900" s="198"/>
      <c r="BL900" s="198"/>
      <c r="BM900" s="198"/>
      <c r="BN900" s="198"/>
      <c r="BO900" s="198"/>
      <c r="BP900" s="198"/>
      <c r="BQ900" s="198"/>
      <c r="BR900" s="198"/>
      <c r="BS900" s="198"/>
      <c r="BT900" s="198"/>
    </row>
    <row r="901" spans="60:72">
      <c r="BH901" s="198"/>
      <c r="BI901" s="198"/>
      <c r="BJ901" s="198"/>
      <c r="BK901" s="198"/>
      <c r="BL901" s="198"/>
      <c r="BM901" s="198"/>
      <c r="BN901" s="198"/>
      <c r="BO901" s="198"/>
      <c r="BP901" s="198"/>
      <c r="BQ901" s="198"/>
      <c r="BR901" s="198"/>
      <c r="BS901" s="198"/>
      <c r="BT901" s="198"/>
    </row>
    <row r="902" spans="60:72">
      <c r="BH902" s="198"/>
      <c r="BI902" s="198"/>
      <c r="BJ902" s="198"/>
      <c r="BK902" s="198"/>
      <c r="BL902" s="198"/>
      <c r="BM902" s="198"/>
      <c r="BN902" s="198"/>
      <c r="BO902" s="198"/>
      <c r="BP902" s="198"/>
      <c r="BQ902" s="198"/>
      <c r="BR902" s="198"/>
      <c r="BS902" s="198"/>
      <c r="BT902" s="198"/>
    </row>
    <row r="903" spans="60:72">
      <c r="BH903" s="198"/>
      <c r="BI903" s="198"/>
      <c r="BJ903" s="198"/>
      <c r="BK903" s="198"/>
      <c r="BL903" s="198"/>
      <c r="BM903" s="198"/>
      <c r="BN903" s="198"/>
      <c r="BO903" s="198"/>
      <c r="BP903" s="198"/>
      <c r="BQ903" s="198"/>
      <c r="BR903" s="198"/>
      <c r="BS903" s="198"/>
      <c r="BT903" s="198"/>
    </row>
    <row r="904" spans="60:72">
      <c r="BH904" s="198"/>
      <c r="BI904" s="198"/>
      <c r="BJ904" s="198"/>
      <c r="BK904" s="198"/>
      <c r="BL904" s="198"/>
      <c r="BM904" s="198"/>
      <c r="BN904" s="198"/>
      <c r="BO904" s="198"/>
      <c r="BP904" s="198"/>
      <c r="BQ904" s="198"/>
      <c r="BR904" s="198"/>
      <c r="BS904" s="198"/>
      <c r="BT904" s="198"/>
    </row>
    <row r="905" spans="60:72">
      <c r="BH905" s="198"/>
      <c r="BI905" s="198"/>
      <c r="BJ905" s="198"/>
      <c r="BK905" s="198"/>
      <c r="BL905" s="198"/>
      <c r="BM905" s="198"/>
      <c r="BN905" s="198"/>
      <c r="BO905" s="198"/>
      <c r="BP905" s="198"/>
      <c r="BQ905" s="198"/>
      <c r="BR905" s="198"/>
      <c r="BS905" s="198"/>
      <c r="BT905" s="198"/>
    </row>
    <row r="906" spans="60:72">
      <c r="BH906" s="198"/>
      <c r="BI906" s="198"/>
      <c r="BJ906" s="198"/>
      <c r="BK906" s="198"/>
      <c r="BL906" s="198"/>
      <c r="BM906" s="198"/>
      <c r="BN906" s="198"/>
      <c r="BO906" s="198"/>
      <c r="BP906" s="198"/>
      <c r="BQ906" s="198"/>
      <c r="BR906" s="198"/>
      <c r="BS906" s="198"/>
      <c r="BT906" s="198"/>
    </row>
    <row r="907" spans="60:72">
      <c r="BH907" s="198"/>
      <c r="BI907" s="198"/>
      <c r="BJ907" s="198"/>
      <c r="BK907" s="198"/>
      <c r="BL907" s="198"/>
      <c r="BM907" s="198"/>
      <c r="BN907" s="198"/>
      <c r="BO907" s="198"/>
      <c r="BP907" s="198"/>
      <c r="BQ907" s="198"/>
      <c r="BR907" s="198"/>
      <c r="BS907" s="198"/>
      <c r="BT907" s="198"/>
    </row>
    <row r="908" spans="60:72">
      <c r="BH908" s="198"/>
      <c r="BI908" s="198"/>
      <c r="BJ908" s="198"/>
      <c r="BK908" s="198"/>
      <c r="BL908" s="198"/>
      <c r="BM908" s="198"/>
      <c r="BN908" s="198"/>
      <c r="BO908" s="198"/>
      <c r="BP908" s="198"/>
      <c r="BQ908" s="198"/>
      <c r="BR908" s="198"/>
      <c r="BS908" s="198"/>
      <c r="BT908" s="198"/>
    </row>
    <row r="909" spans="60:72">
      <c r="BH909" s="198"/>
      <c r="BI909" s="198"/>
      <c r="BJ909" s="198"/>
      <c r="BK909" s="198"/>
      <c r="BL909" s="198"/>
      <c r="BM909" s="198"/>
      <c r="BN909" s="198"/>
      <c r="BO909" s="198"/>
      <c r="BP909" s="198"/>
      <c r="BQ909" s="198"/>
      <c r="BR909" s="198"/>
      <c r="BS909" s="198"/>
      <c r="BT909" s="198"/>
    </row>
    <row r="910" spans="60:72">
      <c r="BH910" s="198"/>
      <c r="BI910" s="198"/>
      <c r="BJ910" s="198"/>
      <c r="BK910" s="198"/>
      <c r="BL910" s="198"/>
      <c r="BM910" s="198"/>
      <c r="BN910" s="198"/>
      <c r="BO910" s="198"/>
      <c r="BP910" s="198"/>
      <c r="BQ910" s="198"/>
      <c r="BR910" s="198"/>
      <c r="BS910" s="198"/>
      <c r="BT910" s="198"/>
    </row>
    <row r="911" spans="60:72">
      <c r="BH911" s="198"/>
      <c r="BI911" s="198"/>
      <c r="BJ911" s="198"/>
      <c r="BK911" s="198"/>
      <c r="BL911" s="198"/>
      <c r="BM911" s="198"/>
      <c r="BN911" s="198"/>
      <c r="BO911" s="198"/>
      <c r="BP911" s="198"/>
      <c r="BQ911" s="198"/>
      <c r="BR911" s="198"/>
      <c r="BS911" s="198"/>
      <c r="BT911" s="198"/>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635" max="16383" man="1"/>
  </rowBreaks>
  <ignoredErrors>
    <ignoredError sqref="L110 L112 L114 L116 L118 L120 L122 L124 L126 L128 L130 L132 L134 L136 L138 L140 L142 L144 N146:Q146 L271 L273 L275 L277 L149:Q149 L281 L283 L285 L287 L289 L291 L293 L295 L297 L299 L279 L146 M109 M270:Q270 N118:Q118 M113:Q113 M117:Q117 M121:Q121 M125:Q125 M129:Q129 M133:Q133 M111:Q111 M115:Q115 M119:Q119 M123:Q123 M127:Q127 M131:Q131 N134:Q134 N112:Q112 N116:Q116 N120:Q120 N122:Q122 N126:Q126 N124:Q124 M135:Q135 N128:Q128 N110:Q110 N114:Q114 N130:Q130 M137:Q137 M139:Q139 N109:Q109 N132:Q132 M141:Q141 M143:Q143 M145:Q145 N136:Q136 N138:Q138 N140:Q140 N142:Q142 N144:Q144 M278 M272 N276:Q276 N274:Q274 N306:Q306 M282 M280 M274 M276 M288 N272:Q272 N304:Q304 N302:Q302 N300:Q300 N298:Q298 N296:Q296 N294:Q294 N292:Q292 N290:Q290 N288:Q288 N286:Q286 N284:Q284 N282:Q282 N280:Q280 N278:Q278 M284 M286 N307:Q327 N275:Q275 N273:Q273 L303 N279:Q279 N271:Q271 N305:Q305 N303:Q303 N301:Q301 N299:Q299 N297:Q297 N295:Q295 N293:Q293 N291:Q291 N289:Q289 N287:Q287 N285:Q285 N283:Q283 N281:Q281 N277:Q277 L301:L302 L304:L327 L148 N148:Q148 L151:Q151 L150 N150:Q150 L153:Q153 L152 N152:Q152 L155:Q155 L154 N154:Q154 L157:Q157 L156 N156:Q156 L159:Q159 L158 N158:Q158 L161:Q161 L160 N160:Q160 L163:Q163 L162 N162:Q162 L165:Q165 L164 N164:Q164 L167 L166 N166:Q166 N167:Q167" formula="1"/>
  </ignoredErrors>
  <legacyDrawing r:id="rId2"/>
</worksheet>
</file>

<file path=xl/worksheets/sheet5.xml><?xml version="1.0" encoding="utf-8"?>
<worksheet xmlns="http://schemas.openxmlformats.org/spreadsheetml/2006/main" xmlns:r="http://schemas.openxmlformats.org/officeDocument/2006/relationships">
  <sheetPr codeName="Sheet4" enableFormatConditionsCalculation="0"/>
  <dimension ref="A1:IV1264"/>
  <sheetViews>
    <sheetView zoomScaleNormal="100" workbookViewId="0">
      <pane ySplit="4" topLeftCell="A5" activePane="bottomLeft" state="frozen"/>
      <selection activeCell="C1" sqref="C1"/>
      <selection pane="bottomLeft" activeCell="K1492" sqref="K1492"/>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26" width="9.5703125" bestFit="1" customWidth="1"/>
    <col min="27" max="27" width="9.5703125" style="198" bestFit="1" customWidth="1"/>
    <col min="28" max="62" width="9.5703125" bestFit="1" customWidth="1"/>
  </cols>
  <sheetData>
    <row r="1" spans="1:256" ht="15.75">
      <c r="A1" s="9"/>
      <c r="B1" s="9"/>
      <c r="C1" s="362" t="str">
        <f>'SP AusNet record of changes'!$B$2</f>
        <v>SP AusNet  - RFM - data as at 28-February-2013</v>
      </c>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2"/>
      <c r="BE1" s="52"/>
      <c r="BF1" s="52"/>
      <c r="BG1" s="52"/>
      <c r="BH1" s="52"/>
      <c r="BI1" s="52"/>
      <c r="BJ1" s="52"/>
      <c r="BK1" s="12"/>
      <c r="BL1" s="12"/>
    </row>
    <row r="2" spans="1:256" ht="15.75">
      <c r="A2" s="9"/>
      <c r="B2" s="9"/>
      <c r="C2" s="57"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12"/>
      <c r="BE2" s="12"/>
      <c r="BF2" s="12"/>
      <c r="BG2" s="12"/>
      <c r="BH2" s="12"/>
      <c r="BI2" s="12"/>
      <c r="BJ2" s="12"/>
      <c r="BK2" s="12"/>
      <c r="BL2" s="12"/>
    </row>
    <row r="3" spans="1:256" s="1" customFormat="1">
      <c r="A3" s="58"/>
      <c r="B3" s="58"/>
      <c r="C3" s="59"/>
      <c r="D3" s="58"/>
      <c r="E3" s="58"/>
      <c r="F3" s="58"/>
      <c r="G3" s="237">
        <v>0</v>
      </c>
      <c r="H3" s="237">
        <f t="shared" ref="H3:R3" si="0">G3+1</f>
        <v>1</v>
      </c>
      <c r="I3" s="237">
        <f t="shared" si="0"/>
        <v>2</v>
      </c>
      <c r="J3" s="237">
        <f t="shared" si="0"/>
        <v>3</v>
      </c>
      <c r="K3" s="237">
        <f t="shared" si="0"/>
        <v>4</v>
      </c>
      <c r="L3" s="237">
        <f t="shared" si="0"/>
        <v>5</v>
      </c>
      <c r="M3" s="237">
        <f t="shared" si="0"/>
        <v>6</v>
      </c>
      <c r="N3" s="237">
        <f t="shared" si="0"/>
        <v>7</v>
      </c>
      <c r="O3" s="237">
        <f t="shared" si="0"/>
        <v>8</v>
      </c>
      <c r="P3" s="237">
        <f t="shared" si="0"/>
        <v>9</v>
      </c>
      <c r="Q3" s="237">
        <f t="shared" si="0"/>
        <v>10</v>
      </c>
      <c r="R3" s="237">
        <f t="shared" si="0"/>
        <v>11</v>
      </c>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2"/>
      <c r="BE3" s="52"/>
      <c r="BF3" s="52"/>
      <c r="BG3" s="52"/>
      <c r="BH3" s="52"/>
      <c r="BI3" s="52"/>
      <c r="BJ3" s="52"/>
      <c r="BK3" s="90"/>
      <c r="BL3" s="90"/>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4" customFormat="1" ht="15.75">
      <c r="A4" s="82"/>
      <c r="B4" s="82"/>
      <c r="C4" s="83" t="s">
        <v>3</v>
      </c>
      <c r="D4" s="82"/>
      <c r="E4" s="82"/>
      <c r="F4" s="82"/>
      <c r="G4" s="144" t="str">
        <f>Input!G40</f>
        <v>2007-08</v>
      </c>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t="str">
        <f>CONCATENATE(LEFT(Q4, 4)+1 &amp;"-" &amp;IF(Q4&gt;"2007-08",,"0") &amp;RIGHT(Q4,2)+1)</f>
        <v>2018-19</v>
      </c>
      <c r="S4" s="144"/>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33</v>
      </c>
      <c r="D6" s="9"/>
      <c r="E6" s="86"/>
      <c r="F6" s="9"/>
      <c r="G6" s="206">
        <f>Input!G245</f>
        <v>2.9581993569131715E-2</v>
      </c>
      <c r="H6" s="21">
        <f>Input!H245</f>
        <v>3.6851967520299844E-2</v>
      </c>
      <c r="I6" s="21">
        <f>Input!I245</f>
        <v>2.108433734939763E-2</v>
      </c>
      <c r="J6" s="21">
        <f>Input!J245</f>
        <v>2.6548672566371723E-2</v>
      </c>
      <c r="K6" s="21">
        <f>Input!K245</f>
        <v>3.1034482758620641E-2</v>
      </c>
      <c r="L6" s="21">
        <f>Input!L245</f>
        <v>2.2044088176352838E-2</v>
      </c>
      <c r="M6" s="21">
        <f>Input!M245</f>
        <v>2.5000000000000001E-2</v>
      </c>
      <c r="N6" s="21">
        <f>Input!N245</f>
        <v>0</v>
      </c>
      <c r="O6" s="21">
        <f>Input!O245</f>
        <v>0</v>
      </c>
      <c r="P6" s="21">
        <f>Input!P245</f>
        <v>0</v>
      </c>
      <c r="Q6" s="21">
        <f>Input!Q245</f>
        <v>0</v>
      </c>
      <c r="R6" s="21"/>
      <c r="S6" s="86"/>
      <c r="T6" s="86"/>
      <c r="U6" s="86"/>
      <c r="V6" s="86"/>
      <c r="W6" s="86"/>
      <c r="X6" s="86"/>
      <c r="Y6" s="86"/>
      <c r="Z6" s="86"/>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86"/>
      <c r="BE6" s="86"/>
      <c r="BF6" s="86"/>
      <c r="BG6" s="86"/>
      <c r="BH6" s="86"/>
      <c r="BI6" s="86"/>
      <c r="BJ6" s="86"/>
      <c r="BK6" s="12"/>
      <c r="BL6" s="12"/>
    </row>
    <row r="7" spans="1:256">
      <c r="A7" s="9"/>
      <c r="B7" s="9"/>
      <c r="C7" s="9" t="s">
        <v>74</v>
      </c>
      <c r="D7" s="9"/>
      <c r="E7" s="9"/>
      <c r="F7" s="9"/>
      <c r="G7" s="207">
        <f>Input!G246</f>
        <v>1</v>
      </c>
      <c r="H7" s="238">
        <f>Input!H246</f>
        <v>1.0295819935691317</v>
      </c>
      <c r="I7" s="239">
        <f>Input!I246</f>
        <v>1.067524115755627</v>
      </c>
      <c r="J7" s="239">
        <f>Input!J246</f>
        <v>1.090032154340836</v>
      </c>
      <c r="K7" s="239">
        <f>Input!K246</f>
        <v>1.1189710610932477</v>
      </c>
      <c r="L7" s="239">
        <f>Input!L246</f>
        <v>1.1536977491961415</v>
      </c>
      <c r="M7" s="239">
        <f>Input!M246</f>
        <v>1.1791299641082811</v>
      </c>
      <c r="N7" s="239">
        <f>Input!N246</f>
        <v>1.2086082132109881</v>
      </c>
      <c r="O7" s="239">
        <f>Input!O246</f>
        <v>1.2086082132109881</v>
      </c>
      <c r="P7" s="239">
        <f>Input!P246</f>
        <v>1.2086082132109881</v>
      </c>
      <c r="Q7" s="239">
        <f>Input!Q246</f>
        <v>1.2086082132109881</v>
      </c>
      <c r="R7" s="22"/>
      <c r="S7" s="99"/>
      <c r="T7" s="99"/>
      <c r="U7" s="99"/>
      <c r="V7" s="99"/>
      <c r="W7" s="99"/>
      <c r="X7" s="99"/>
      <c r="Y7" s="99"/>
      <c r="Z7" s="99"/>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99"/>
      <c r="BE8" s="99"/>
      <c r="BF8" s="99"/>
      <c r="BG8" s="99"/>
      <c r="BH8" s="99"/>
      <c r="BI8" s="99"/>
      <c r="BJ8" s="99"/>
      <c r="BK8" s="12"/>
      <c r="BL8" s="12"/>
    </row>
    <row r="9" spans="1:256">
      <c r="A9" s="74"/>
      <c r="B9" s="74"/>
      <c r="C9" s="81" t="str">
        <f>"Asset Values ($m Real "&amp;G4&amp;")"</f>
        <v>Asset Values ($m Real 2007-08)</v>
      </c>
      <c r="D9" s="74"/>
      <c r="E9" s="74"/>
      <c r="F9" s="74"/>
      <c r="G9" s="245"/>
      <c r="H9" s="245"/>
      <c r="I9" s="245"/>
      <c r="J9" s="245"/>
      <c r="K9" s="245"/>
      <c r="L9" s="245"/>
      <c r="M9" s="245"/>
      <c r="N9" s="246"/>
      <c r="O9" s="246"/>
      <c r="P9" s="246"/>
      <c r="Q9" s="246"/>
      <c r="R9" s="246"/>
      <c r="S9" s="246"/>
      <c r="T9" s="99"/>
      <c r="U9" s="99"/>
      <c r="V9" s="99"/>
      <c r="W9" s="99"/>
      <c r="X9" s="99"/>
      <c r="Y9" s="99"/>
      <c r="Z9" s="99"/>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99"/>
      <c r="BE9" s="99"/>
      <c r="BF9" s="99"/>
      <c r="BG9" s="99"/>
      <c r="BH9" s="99"/>
      <c r="BI9" s="99"/>
      <c r="BJ9" s="99"/>
      <c r="BK9" s="12"/>
      <c r="BL9" s="12"/>
    </row>
    <row r="10" spans="1:256">
      <c r="A10" s="9"/>
      <c r="B10" s="9"/>
      <c r="C10" s="9"/>
      <c r="D10" s="9"/>
      <c r="E10" s="9"/>
      <c r="F10" s="9"/>
      <c r="G10" s="98"/>
      <c r="H10" s="98"/>
      <c r="I10" s="98"/>
      <c r="J10" s="98"/>
      <c r="K10" s="98"/>
      <c r="L10" s="98"/>
      <c r="M10" s="98"/>
      <c r="N10" s="22"/>
      <c r="O10" s="22"/>
      <c r="P10" s="22"/>
      <c r="Q10" s="22"/>
      <c r="R10" s="22"/>
      <c r="S10" s="99"/>
      <c r="T10" s="99"/>
      <c r="U10" s="99"/>
      <c r="V10" s="99"/>
      <c r="W10" s="99"/>
      <c r="X10" s="99"/>
      <c r="Y10" s="99"/>
      <c r="Z10" s="99"/>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99"/>
      <c r="BE10" s="99"/>
      <c r="BF10" s="99"/>
      <c r="BG10" s="99"/>
      <c r="BH10" s="99"/>
      <c r="BI10" s="99"/>
      <c r="BJ10" s="99"/>
      <c r="BK10" s="12"/>
      <c r="BL10" s="12"/>
    </row>
    <row r="11" spans="1:256">
      <c r="A11" s="9"/>
      <c r="B11" s="9"/>
      <c r="C11" s="44" t="s">
        <v>84</v>
      </c>
      <c r="D11" s="9"/>
      <c r="E11" s="9"/>
      <c r="F11" s="9"/>
      <c r="G11" s="35"/>
      <c r="H11" s="35">
        <f>SUM(H12:H41)</f>
        <v>92.96426303575511</v>
      </c>
      <c r="I11" s="35">
        <f t="shared" ref="I11:P11" si="1">SUM(I12:I41)</f>
        <v>107.98250113024804</v>
      </c>
      <c r="J11" s="35">
        <f t="shared" si="1"/>
        <v>104.16422675054928</v>
      </c>
      <c r="K11" s="35">
        <f t="shared" si="1"/>
        <v>122.6697793353366</v>
      </c>
      <c r="L11" s="35">
        <f t="shared" si="1"/>
        <v>150.67888568697393</v>
      </c>
      <c r="M11" s="35">
        <f t="shared" si="1"/>
        <v>120.03637767063027</v>
      </c>
      <c r="N11" s="35">
        <f t="shared" si="1"/>
        <v>0</v>
      </c>
      <c r="O11" s="35">
        <f t="shared" si="1"/>
        <v>0</v>
      </c>
      <c r="P11" s="35">
        <f t="shared" si="1"/>
        <v>0</v>
      </c>
      <c r="Q11" s="35">
        <f>SUM(Q12:Q41)</f>
        <v>0</v>
      </c>
      <c r="R11" s="29"/>
      <c r="S11" s="100"/>
      <c r="T11" s="100"/>
      <c r="U11" s="100"/>
      <c r="V11" s="100"/>
      <c r="W11" s="100"/>
      <c r="X11" s="100"/>
      <c r="Y11" s="100"/>
      <c r="Z11" s="100"/>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00"/>
      <c r="BE11" s="100"/>
      <c r="BF11" s="100"/>
      <c r="BG11" s="100"/>
      <c r="BH11" s="100"/>
      <c r="BI11" s="100"/>
      <c r="BJ11" s="100"/>
      <c r="BK11" s="12"/>
      <c r="BL11" s="12"/>
    </row>
    <row r="12" spans="1:256" hidden="1" outlineLevel="1">
      <c r="A12" s="9"/>
      <c r="B12" s="9"/>
      <c r="C12" s="44"/>
      <c r="D12" s="270" t="str">
        <f>Asset1</f>
        <v>Secondary</v>
      </c>
      <c r="E12" s="9"/>
      <c r="F12" s="9"/>
      <c r="G12" s="121"/>
      <c r="H12" s="111">
        <f>Input!H109*(1+vanilla1)^0.5</f>
        <v>11.740917825673352</v>
      </c>
      <c r="I12" s="111">
        <f>Input!I109*(1+vanilla2)^0.5</f>
        <v>8.5737260888748352</v>
      </c>
      <c r="J12" s="111">
        <f>Input!J109*(1+vanilla3)^0.5</f>
        <v>12.714472115105895</v>
      </c>
      <c r="K12" s="111">
        <f>Input!K109*(1+vanilla4)^0.5</f>
        <v>17.591630065679389</v>
      </c>
      <c r="L12" s="111">
        <f>Input!L109*(1+vanilla5)^0.5</f>
        <v>30.291298381304241</v>
      </c>
      <c r="M12" s="111">
        <f>Input!M109*(1+vanilla6)^0.5</f>
        <v>17.003256927786794</v>
      </c>
      <c r="N12" s="111">
        <f>Input!N109*(1+vanilla7)^0.5</f>
        <v>0</v>
      </c>
      <c r="O12" s="111">
        <f>Input!O109*(1+vanilla8)^0.5</f>
        <v>0</v>
      </c>
      <c r="P12" s="111">
        <f>Input!P109*(1+vanilla9)^0.5</f>
        <v>0</v>
      </c>
      <c r="Q12" s="111">
        <f>Input!Q109*(1+vanilla10)^0.5</f>
        <v>0</v>
      </c>
      <c r="R12" s="29"/>
      <c r="S12" s="100"/>
      <c r="T12" s="100"/>
      <c r="U12" s="100"/>
      <c r="V12" s="100"/>
      <c r="W12" s="100"/>
      <c r="X12" s="100"/>
      <c r="Y12" s="100"/>
      <c r="Z12" s="100"/>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100"/>
      <c r="BE12" s="100"/>
      <c r="BF12" s="100"/>
      <c r="BG12" s="100"/>
      <c r="BH12" s="100"/>
      <c r="BI12" s="100"/>
      <c r="BJ12" s="100"/>
      <c r="BK12" s="12"/>
      <c r="BL12" s="12"/>
    </row>
    <row r="13" spans="1:256" hidden="1" outlineLevel="1">
      <c r="A13" s="9"/>
      <c r="B13" s="9"/>
      <c r="C13" s="44"/>
      <c r="D13" s="270" t="str">
        <f>Asset2</f>
        <v>Switchgear</v>
      </c>
      <c r="E13" s="9"/>
      <c r="F13" s="9"/>
      <c r="G13" s="121"/>
      <c r="H13" s="111">
        <f>Input!H110*(1+vanilla1)^0.5</f>
        <v>29.375754871701851</v>
      </c>
      <c r="I13" s="111">
        <f>Input!I110*(1+vanilla2)^0.5</f>
        <v>37.796029874796162</v>
      </c>
      <c r="J13" s="111">
        <f>Input!J110*(1+vanilla3)^0.5</f>
        <v>29.065119995013276</v>
      </c>
      <c r="K13" s="111">
        <f>Input!K110*(1+vanilla4)^0.5</f>
        <v>26.260052951326177</v>
      </c>
      <c r="L13" s="111">
        <f>Input!L110*(1+vanilla5)^0.5</f>
        <v>36.135438651665858</v>
      </c>
      <c r="M13" s="111">
        <f>Input!M110*(1+vanilla6)^0.5</f>
        <v>36.844856459209886</v>
      </c>
      <c r="N13" s="111">
        <f>Input!N110*(1+vanilla7)^0.5</f>
        <v>0</v>
      </c>
      <c r="O13" s="111">
        <f>Input!O110*(1+vanilla8)^0.5</f>
        <v>0</v>
      </c>
      <c r="P13" s="111">
        <f>Input!P110*(1+vanilla9)^0.5</f>
        <v>0</v>
      </c>
      <c r="Q13" s="111">
        <f>Input!Q110*(1+vanilla10)^0.5</f>
        <v>0</v>
      </c>
      <c r="R13" s="29"/>
      <c r="S13" s="100"/>
      <c r="T13" s="100"/>
      <c r="U13" s="100"/>
      <c r="V13" s="100"/>
      <c r="W13" s="100"/>
      <c r="X13" s="100"/>
      <c r="Y13" s="100"/>
      <c r="Z13" s="100"/>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100"/>
      <c r="BE13" s="100"/>
      <c r="BF13" s="100"/>
      <c r="BG13" s="100"/>
      <c r="BH13" s="100"/>
      <c r="BI13" s="100"/>
      <c r="BJ13" s="100"/>
      <c r="BK13" s="12"/>
      <c r="BL13" s="12"/>
    </row>
    <row r="14" spans="1:256" hidden="1" outlineLevel="1">
      <c r="A14" s="9"/>
      <c r="B14" s="9"/>
      <c r="C14" s="44"/>
      <c r="D14" s="270" t="str">
        <f>Asset3</f>
        <v>Transformers</v>
      </c>
      <c r="E14" s="9"/>
      <c r="F14" s="9"/>
      <c r="G14" s="121"/>
      <c r="H14" s="111">
        <f>Input!H111*(1+vanilla1)^0.5</f>
        <v>11.020941373272574</v>
      </c>
      <c r="I14" s="111">
        <f>Input!I111*(1+vanilla2)^0.5</f>
        <v>6.7142796758055727</v>
      </c>
      <c r="J14" s="111">
        <f>Input!J111*(1+vanilla3)^0.5</f>
        <v>15.759799203596918</v>
      </c>
      <c r="K14" s="111">
        <f>Input!K111*(1+vanilla4)^0.5</f>
        <v>21.694957155134404</v>
      </c>
      <c r="L14" s="111">
        <f>Input!L111*(1+vanilla5)^0.5</f>
        <v>29.805005514019179</v>
      </c>
      <c r="M14" s="111">
        <f>Input!M111*(1+vanilla6)^0.5</f>
        <v>29.678740724868778</v>
      </c>
      <c r="N14" s="111">
        <f>Input!N111*(1+vanilla7)^0.5</f>
        <v>0</v>
      </c>
      <c r="O14" s="111">
        <f>Input!O111*(1+vanilla8)^0.5</f>
        <v>0</v>
      </c>
      <c r="P14" s="111">
        <f>Input!P111*(1+vanilla9)^0.5</f>
        <v>0</v>
      </c>
      <c r="Q14" s="111">
        <f>Input!Q111*(1+vanilla10)^0.5</f>
        <v>0</v>
      </c>
      <c r="R14" s="29"/>
      <c r="S14" s="100"/>
      <c r="T14" s="100"/>
      <c r="U14" s="100"/>
      <c r="V14" s="100"/>
      <c r="W14" s="100"/>
      <c r="X14" s="100"/>
      <c r="Y14" s="100"/>
      <c r="Z14" s="100"/>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100"/>
      <c r="BE14" s="100"/>
      <c r="BF14" s="100"/>
      <c r="BG14" s="100"/>
      <c r="BH14" s="100"/>
      <c r="BI14" s="100"/>
      <c r="BJ14" s="100"/>
      <c r="BK14" s="12"/>
      <c r="BL14" s="12"/>
    </row>
    <row r="15" spans="1:256" hidden="1" outlineLevel="1">
      <c r="A15" s="9"/>
      <c r="B15" s="9"/>
      <c r="C15" s="44"/>
      <c r="D15" s="270" t="str">
        <f>Asset4</f>
        <v>Reactive</v>
      </c>
      <c r="E15" s="9"/>
      <c r="F15" s="9"/>
      <c r="G15" s="121"/>
      <c r="H15" s="111">
        <f>Input!H112*(1+vanilla1)^0.5</f>
        <v>1.9414792831006902</v>
      </c>
      <c r="I15" s="111">
        <f>Input!I112*(1+vanilla2)^0.5</f>
        <v>1.6509142857248194</v>
      </c>
      <c r="J15" s="111">
        <f>Input!J112*(1+vanilla3)^0.5</f>
        <v>0.44530568995631759</v>
      </c>
      <c r="K15" s="111">
        <f>Input!K112*(1+vanilla4)^0.5</f>
        <v>1.4993983959237005</v>
      </c>
      <c r="L15" s="111">
        <f>Input!L112*(1+vanilla5)^0.5</f>
        <v>0.85594474816022659</v>
      </c>
      <c r="M15" s="111">
        <f>Input!M112*(1+vanilla6)^0.5</f>
        <v>0.75459817121399231</v>
      </c>
      <c r="N15" s="111">
        <f>Input!N112*(1+vanilla7)^0.5</f>
        <v>0</v>
      </c>
      <c r="O15" s="111">
        <f>Input!O112*(1+vanilla8)^0.5</f>
        <v>0</v>
      </c>
      <c r="P15" s="111">
        <f>Input!P112*(1+vanilla9)^0.5</f>
        <v>0</v>
      </c>
      <c r="Q15" s="111">
        <f>Input!Q112*(1+vanilla10)^0.5</f>
        <v>0</v>
      </c>
      <c r="R15" s="29"/>
      <c r="S15" s="100"/>
      <c r="T15" s="100"/>
      <c r="U15" s="100"/>
      <c r="V15" s="100"/>
      <c r="W15" s="100"/>
      <c r="X15" s="100"/>
      <c r="Y15" s="100"/>
      <c r="Z15" s="100"/>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100"/>
      <c r="BE15" s="100"/>
      <c r="BF15" s="100"/>
      <c r="BG15" s="100"/>
      <c r="BH15" s="100"/>
      <c r="BI15" s="100"/>
      <c r="BJ15" s="100"/>
      <c r="BK15" s="12"/>
      <c r="BL15" s="12"/>
    </row>
    <row r="16" spans="1:256" hidden="1" outlineLevel="1">
      <c r="A16" s="9"/>
      <c r="B16" s="9"/>
      <c r="C16" s="44"/>
      <c r="D16" s="270" t="str">
        <f>Asset5</f>
        <v>Towers and Conductor</v>
      </c>
      <c r="E16" s="9"/>
      <c r="F16" s="9"/>
      <c r="G16" s="121"/>
      <c r="H16" s="111">
        <f>Input!H113*(1+vanilla1)^0.5</f>
        <v>7.8964184936960091</v>
      </c>
      <c r="I16" s="111">
        <f>Input!I113*(1+vanilla2)^0.5</f>
        <v>14.505489850775861</v>
      </c>
      <c r="J16" s="111">
        <f>Input!J113*(1+vanilla3)^0.5</f>
        <v>24.117604655199308</v>
      </c>
      <c r="K16" s="111">
        <f>Input!K113*(1+vanilla4)^0.5</f>
        <v>30.399033724170099</v>
      </c>
      <c r="L16" s="111">
        <f>Input!L113*(1+vanilla5)^0.5</f>
        <v>21.800090068451759</v>
      </c>
      <c r="M16" s="111">
        <f>Input!M113*(1+vanilla6)^0.5</f>
        <v>4.2888032770310431</v>
      </c>
      <c r="N16" s="111">
        <f>Input!N113*(1+vanilla7)^0.5</f>
        <v>0</v>
      </c>
      <c r="O16" s="111">
        <f>Input!O113*(1+vanilla8)^0.5</f>
        <v>0</v>
      </c>
      <c r="P16" s="111">
        <f>Input!P113*(1+vanilla9)^0.5</f>
        <v>0</v>
      </c>
      <c r="Q16" s="111">
        <f>Input!Q113*(1+vanilla10)^0.5</f>
        <v>0</v>
      </c>
      <c r="R16" s="29"/>
      <c r="S16" s="100"/>
      <c r="T16" s="100"/>
      <c r="U16" s="100"/>
      <c r="V16" s="100"/>
      <c r="W16" s="100"/>
      <c r="X16" s="100"/>
      <c r="Y16" s="100"/>
      <c r="Z16" s="100"/>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100"/>
      <c r="BE16" s="100"/>
      <c r="BF16" s="100"/>
      <c r="BG16" s="100"/>
      <c r="BH16" s="100"/>
      <c r="BI16" s="100"/>
      <c r="BJ16" s="100"/>
      <c r="BK16" s="12"/>
      <c r="BL16" s="12"/>
    </row>
    <row r="17" spans="1:64" hidden="1" outlineLevel="1">
      <c r="A17" s="9"/>
      <c r="B17" s="9"/>
      <c r="C17" s="44"/>
      <c r="D17" s="270" t="str">
        <f>Asset6</f>
        <v>Establishment</v>
      </c>
      <c r="E17" s="9"/>
      <c r="F17" s="9"/>
      <c r="G17" s="121"/>
      <c r="H17" s="111">
        <f>Input!H114*(1+vanilla1)^0.5</f>
        <v>11.252688536312636</v>
      </c>
      <c r="I17" s="111">
        <f>Input!I114*(1+vanilla2)^0.5</f>
        <v>10.668702421403077</v>
      </c>
      <c r="J17" s="111">
        <f>Input!J114*(1+vanilla3)^0.5</f>
        <v>3.7856507112620155</v>
      </c>
      <c r="K17" s="111">
        <f>Input!K114*(1+vanilla4)^0.5</f>
        <v>10.772586654766542</v>
      </c>
      <c r="L17" s="111">
        <f>Input!L114*(1+vanilla5)^0.5</f>
        <v>8.8409424419141693</v>
      </c>
      <c r="M17" s="111">
        <f>Input!M114*(1+vanilla6)^0.5</f>
        <v>7.990791859153898</v>
      </c>
      <c r="N17" s="111">
        <f>Input!N114*(1+vanilla7)^0.5</f>
        <v>0</v>
      </c>
      <c r="O17" s="111">
        <f>Input!O114*(1+vanilla8)^0.5</f>
        <v>0</v>
      </c>
      <c r="P17" s="111">
        <f>Input!P114*(1+vanilla9)^0.5</f>
        <v>0</v>
      </c>
      <c r="Q17" s="111">
        <f>Input!Q114*(1+vanilla10)^0.5</f>
        <v>0</v>
      </c>
      <c r="R17" s="29"/>
      <c r="S17" s="100"/>
      <c r="T17" s="100"/>
      <c r="U17" s="100"/>
      <c r="V17" s="100"/>
      <c r="W17" s="100"/>
      <c r="X17" s="100"/>
      <c r="Y17" s="100"/>
      <c r="Z17" s="100"/>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100"/>
      <c r="BE17" s="100"/>
      <c r="BF17" s="100"/>
      <c r="BG17" s="100"/>
      <c r="BH17" s="100"/>
      <c r="BI17" s="100"/>
      <c r="BJ17" s="100"/>
      <c r="BK17" s="12"/>
      <c r="BL17" s="12"/>
    </row>
    <row r="18" spans="1:64" hidden="1" outlineLevel="1">
      <c r="A18" s="9"/>
      <c r="B18" s="9"/>
      <c r="C18" s="44"/>
      <c r="D18" s="270" t="str">
        <f>Asset7</f>
        <v>Communications</v>
      </c>
      <c r="E18" s="9"/>
      <c r="F18" s="9"/>
      <c r="G18" s="121"/>
      <c r="H18" s="111">
        <f>Input!H115*(1+vanilla1)^0.5</f>
        <v>7.9694860840881097</v>
      </c>
      <c r="I18" s="111">
        <f>Input!I115*(1+vanilla2)^0.5</f>
        <v>19.149102175089883</v>
      </c>
      <c r="J18" s="111">
        <f>Input!J115*(1+vanilla3)^0.5</f>
        <v>4.7136065588800662</v>
      </c>
      <c r="K18" s="111">
        <f>Input!K115*(1+vanilla4)^0.5</f>
        <v>3.7417075102603068</v>
      </c>
      <c r="L18" s="111">
        <f>Input!L115*(1+vanilla5)^0.5</f>
        <v>4.2012061784308923</v>
      </c>
      <c r="M18" s="111">
        <f>Input!M115*(1+vanilla6)^0.5</f>
        <v>4.8109808736291253</v>
      </c>
      <c r="N18" s="111">
        <f>Input!N115*(1+vanilla7)^0.5</f>
        <v>0</v>
      </c>
      <c r="O18" s="111">
        <f>Input!O115*(1+vanilla8)^0.5</f>
        <v>0</v>
      </c>
      <c r="P18" s="111">
        <f>Input!P115*(1+vanilla9)^0.5</f>
        <v>0</v>
      </c>
      <c r="Q18" s="111">
        <f>Input!Q115*(1+vanilla10)^0.5</f>
        <v>0</v>
      </c>
      <c r="R18" s="29"/>
      <c r="S18" s="100"/>
      <c r="T18" s="100"/>
      <c r="U18" s="100"/>
      <c r="V18" s="100"/>
      <c r="W18" s="100"/>
      <c r="X18" s="100"/>
      <c r="Y18" s="100"/>
      <c r="Z18" s="100"/>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00"/>
      <c r="BE18" s="100"/>
      <c r="BF18" s="100"/>
      <c r="BG18" s="100"/>
      <c r="BH18" s="100"/>
      <c r="BI18" s="100"/>
      <c r="BJ18" s="100"/>
      <c r="BK18" s="12"/>
      <c r="BL18" s="12"/>
    </row>
    <row r="19" spans="1:64" hidden="1" outlineLevel="1">
      <c r="A19" s="9"/>
      <c r="B19" s="9"/>
      <c r="C19" s="44"/>
      <c r="D19" s="270" t="str">
        <f>Asset8</f>
        <v>Inventory</v>
      </c>
      <c r="E19" s="9"/>
      <c r="F19" s="9"/>
      <c r="G19" s="121"/>
      <c r="H19" s="111">
        <f>Input!H116*(1+vanilla1)^0.5</f>
        <v>0</v>
      </c>
      <c r="I19" s="111">
        <f>Input!I116*(1+vanilla2)^0.5</f>
        <v>0</v>
      </c>
      <c r="J19" s="111">
        <f>Input!J116*(1+vanilla3)^0.5</f>
        <v>0</v>
      </c>
      <c r="K19" s="111">
        <f>Input!K116*(1+vanilla4)^0.5</f>
        <v>0</v>
      </c>
      <c r="L19" s="111">
        <f>Input!L116*(1+vanilla5)^0.5</f>
        <v>0</v>
      </c>
      <c r="M19" s="111">
        <f>Input!M116*(1+vanilla6)^0.5</f>
        <v>0</v>
      </c>
      <c r="N19" s="111">
        <f>Input!N116*(1+vanilla7)^0.5</f>
        <v>0</v>
      </c>
      <c r="O19" s="111">
        <f>Input!O116*(1+vanilla8)^0.5</f>
        <v>0</v>
      </c>
      <c r="P19" s="111">
        <f>Input!P116*(1+vanilla9)^0.5</f>
        <v>0</v>
      </c>
      <c r="Q19" s="111">
        <f>Input!Q116*(1+vanilla10)^0.5</f>
        <v>0</v>
      </c>
      <c r="R19" s="29"/>
      <c r="S19" s="100"/>
      <c r="T19" s="100"/>
      <c r="U19" s="100"/>
      <c r="V19" s="100"/>
      <c r="W19" s="100"/>
      <c r="X19" s="100"/>
      <c r="Y19" s="100"/>
      <c r="Z19" s="100"/>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100"/>
      <c r="BE19" s="100"/>
      <c r="BF19" s="100"/>
      <c r="BG19" s="100"/>
      <c r="BH19" s="100"/>
      <c r="BI19" s="100"/>
      <c r="BJ19" s="100"/>
      <c r="BK19" s="12"/>
      <c r="BL19" s="12"/>
    </row>
    <row r="20" spans="1:64" hidden="1" outlineLevel="1">
      <c r="A20" s="9"/>
      <c r="B20" s="9"/>
      <c r="C20" s="44"/>
      <c r="D20" s="270" t="str">
        <f>Asset9</f>
        <v>IT</v>
      </c>
      <c r="E20" s="9"/>
      <c r="F20" s="9"/>
      <c r="G20" s="121"/>
      <c r="H20" s="111">
        <f>Input!H117*(1+vanilla1)^0.5</f>
        <v>7.187040854892512</v>
      </c>
      <c r="I20" s="111">
        <f>Input!I117*(1+vanilla2)^0.5</f>
        <v>5.8882435767203791</v>
      </c>
      <c r="J20" s="111">
        <f>Input!J117*(1+vanilla3)^0.5</f>
        <v>11.172884201003987</v>
      </c>
      <c r="K20" s="111">
        <f>Input!K117*(1+vanilla4)^0.5</f>
        <v>10.126869481866187</v>
      </c>
      <c r="L20" s="111">
        <f>Input!L117*(1+vanilla5)^0.5</f>
        <v>15.227581484692488</v>
      </c>
      <c r="M20" s="111">
        <f>Input!M117*(1+vanilla6)^0.5</f>
        <v>15.569827166427041</v>
      </c>
      <c r="N20" s="111">
        <f>Input!N117*(1+vanilla7)^0.5</f>
        <v>0</v>
      </c>
      <c r="O20" s="111">
        <f>Input!O117*(1+vanilla8)^0.5</f>
        <v>0</v>
      </c>
      <c r="P20" s="111">
        <f>Input!P117*(1+vanilla9)^0.5</f>
        <v>0</v>
      </c>
      <c r="Q20" s="111">
        <f>Input!Q117*(1+vanilla10)^0.5</f>
        <v>0</v>
      </c>
      <c r="R20" s="29"/>
      <c r="S20" s="100"/>
      <c r="T20" s="100"/>
      <c r="U20" s="100"/>
      <c r="V20" s="100"/>
      <c r="W20" s="100"/>
      <c r="X20" s="100"/>
      <c r="Y20" s="100"/>
      <c r="Z20" s="100"/>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100"/>
      <c r="BE20" s="100"/>
      <c r="BF20" s="100"/>
      <c r="BG20" s="100"/>
      <c r="BH20" s="100"/>
      <c r="BI20" s="100"/>
      <c r="BJ20" s="100"/>
      <c r="BK20" s="12"/>
      <c r="BL20" s="12"/>
    </row>
    <row r="21" spans="1:64" hidden="1" outlineLevel="1">
      <c r="A21" s="9"/>
      <c r="B21" s="9"/>
      <c r="C21" s="44"/>
      <c r="D21" s="270" t="str">
        <f>Asset10</f>
        <v>Vehicles</v>
      </c>
      <c r="E21" s="9"/>
      <c r="F21" s="9"/>
      <c r="G21" s="121"/>
      <c r="H21" s="111">
        <f>Input!H118*(1+vanilla1)^0.5</f>
        <v>0.50111798383018902</v>
      </c>
      <c r="I21" s="111">
        <f>Input!I118*(1+vanilla2)^0.5</f>
        <v>0.25668342287648971</v>
      </c>
      <c r="J21" s="111">
        <f>Input!J118*(1+vanilla3)^0.5</f>
        <v>-0.14566892525926478</v>
      </c>
      <c r="K21" s="111">
        <f>Input!K118*(1+vanilla4)^0.5</f>
        <v>0.16182406341811192</v>
      </c>
      <c r="L21" s="111">
        <f>Input!L118*(1+vanilla5)^0.5</f>
        <v>1.4275857641899208</v>
      </c>
      <c r="M21" s="111">
        <f>Input!M118*(1+vanilla6)^0.5</f>
        <v>1.4425155127563247</v>
      </c>
      <c r="N21" s="111">
        <f>Input!N118*(1+vanilla7)^0.5</f>
        <v>0</v>
      </c>
      <c r="O21" s="111">
        <f>Input!O118*(1+vanilla8)^0.5</f>
        <v>0</v>
      </c>
      <c r="P21" s="111">
        <f>Input!P118*(1+vanilla9)^0.5</f>
        <v>0</v>
      </c>
      <c r="Q21" s="111">
        <f>Input!Q118*(1+vanilla10)^0.5</f>
        <v>0</v>
      </c>
      <c r="R21" s="29"/>
      <c r="S21" s="100"/>
      <c r="T21" s="100"/>
      <c r="U21" s="100"/>
      <c r="V21" s="100"/>
      <c r="W21" s="100"/>
      <c r="X21" s="100"/>
      <c r="Y21" s="100"/>
      <c r="Z21" s="100"/>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100"/>
      <c r="BE21" s="100"/>
      <c r="BF21" s="100"/>
      <c r="BG21" s="100"/>
      <c r="BH21" s="100"/>
      <c r="BI21" s="100"/>
      <c r="BJ21" s="100"/>
      <c r="BK21" s="12"/>
      <c r="BL21" s="12"/>
    </row>
    <row r="22" spans="1:64" hidden="1" outlineLevel="1">
      <c r="A22" s="9"/>
      <c r="B22" s="9"/>
      <c r="C22" s="44"/>
      <c r="D22" s="270" t="str">
        <f>Asset11</f>
        <v>other</v>
      </c>
      <c r="E22" s="9"/>
      <c r="F22" s="9"/>
      <c r="G22" s="121"/>
      <c r="H22" s="111">
        <f>Input!H119*(1+vanilla1)^0.5</f>
        <v>3.8354751150721054</v>
      </c>
      <c r="I22" s="111">
        <f>Input!I119*(1+vanilla2)^0.5</f>
        <v>2.5575340804499764</v>
      </c>
      <c r="J22" s="111">
        <f>Input!J119*(1+vanilla3)^0.5</f>
        <v>2.8658288664465879</v>
      </c>
      <c r="K22" s="111">
        <f>Input!K119*(1+vanilla4)^0.5</f>
        <v>1.2283759495933781</v>
      </c>
      <c r="L22" s="111">
        <f>Input!L119*(1+vanilla5)^0.5</f>
        <v>1.903447685586561</v>
      </c>
      <c r="M22" s="111">
        <f>Input!M119*(1+vanilla6)^0.5</f>
        <v>1.4596712968525349</v>
      </c>
      <c r="N22" s="111">
        <f>Input!N119*(1+vanilla7)^0.5</f>
        <v>0</v>
      </c>
      <c r="O22" s="111">
        <f>Input!O119*(1+vanilla8)^0.5</f>
        <v>0</v>
      </c>
      <c r="P22" s="111">
        <f>Input!P119*(1+vanilla9)^0.5</f>
        <v>0</v>
      </c>
      <c r="Q22" s="111">
        <f>Input!Q119*(1+vanilla10)^0.5</f>
        <v>0</v>
      </c>
      <c r="R22" s="29"/>
      <c r="S22" s="100"/>
      <c r="T22" s="100"/>
      <c r="U22" s="100"/>
      <c r="V22" s="100"/>
      <c r="W22" s="100"/>
      <c r="X22" s="100"/>
      <c r="Y22" s="100"/>
      <c r="Z22" s="100"/>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100"/>
      <c r="BE22" s="100"/>
      <c r="BF22" s="100"/>
      <c r="BG22" s="100"/>
      <c r="BH22" s="100"/>
      <c r="BI22" s="100"/>
      <c r="BJ22" s="100"/>
      <c r="BK22" s="12"/>
      <c r="BL22" s="12"/>
    </row>
    <row r="23" spans="1:64" hidden="1" outlineLevel="1">
      <c r="A23" s="9"/>
      <c r="B23" s="9"/>
      <c r="C23" s="44"/>
      <c r="D23" s="270" t="str">
        <f>Asset12</f>
        <v>premises</v>
      </c>
      <c r="E23" s="9"/>
      <c r="F23" s="9"/>
      <c r="G23" s="121"/>
      <c r="H23" s="111">
        <f>Input!H120*(1+vanilla1)^0.5</f>
        <v>0.24294261411508886</v>
      </c>
      <c r="I23" s="111">
        <f>Input!I120*(1+vanilla2)^0.5</f>
        <v>0.22179567773096315</v>
      </c>
      <c r="J23" s="111">
        <f>Input!J120*(1+vanilla3)^0.5</f>
        <v>0.1253537501116514</v>
      </c>
      <c r="K23" s="111">
        <f>Input!K120*(1+vanilla4)^0.5</f>
        <v>0.1019418049993676</v>
      </c>
      <c r="L23" s="111">
        <f>Input!L120*(1+vanilla5)^0.5</f>
        <v>0.19034476855865609</v>
      </c>
      <c r="M23" s="111">
        <f>Input!M120*(1+vanilla6)^0.5</f>
        <v>0.19233540170084332</v>
      </c>
      <c r="N23" s="111">
        <f>Input!N120*(1+vanilla7)^0.5</f>
        <v>0</v>
      </c>
      <c r="O23" s="111">
        <f>Input!O120*(1+vanilla8)^0.5</f>
        <v>0</v>
      </c>
      <c r="P23" s="111">
        <f>Input!P120*(1+vanilla9)^0.5</f>
        <v>0</v>
      </c>
      <c r="Q23" s="111">
        <f>Input!Q120*(1+vanilla10)^0.5</f>
        <v>0</v>
      </c>
      <c r="R23" s="29"/>
      <c r="S23" s="100"/>
      <c r="T23" s="100"/>
      <c r="U23" s="100"/>
      <c r="V23" s="100"/>
      <c r="W23" s="100"/>
      <c r="X23" s="100"/>
      <c r="Y23" s="100"/>
      <c r="Z23" s="100"/>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100"/>
      <c r="BE23" s="100"/>
      <c r="BF23" s="100"/>
      <c r="BG23" s="100"/>
      <c r="BH23" s="100"/>
      <c r="BI23" s="100"/>
      <c r="BJ23" s="100"/>
      <c r="BK23" s="12"/>
      <c r="BL23" s="12"/>
    </row>
    <row r="24" spans="1:64" hidden="1" outlineLevel="1">
      <c r="A24" s="9"/>
      <c r="B24" s="9"/>
      <c r="C24" s="44"/>
      <c r="D24" s="270" t="str">
        <f>Asset13</f>
        <v>Land</v>
      </c>
      <c r="E24" s="9"/>
      <c r="F24" s="9"/>
      <c r="G24" s="121"/>
      <c r="H24" s="111">
        <f>Input!H121*(1+vanilla1)^0.5</f>
        <v>0</v>
      </c>
      <c r="I24" s="111">
        <f>Input!I121*(1+vanilla2)^0.5</f>
        <v>0</v>
      </c>
      <c r="J24" s="111">
        <f>Input!J121*(1+vanilla3)^0.5</f>
        <v>-0.45573007076749728</v>
      </c>
      <c r="K24" s="111">
        <f>Input!K121*(1+vanilla4)^0.5</f>
        <v>-0.90859842180109385</v>
      </c>
      <c r="L24" s="111">
        <f>Input!L121*(1+vanilla5)^0.5</f>
        <v>0</v>
      </c>
      <c r="M24" s="111">
        <f>Input!M121*(1+vanilla6)^0.5</f>
        <v>0</v>
      </c>
      <c r="N24" s="111">
        <f>Input!N121*(1+vanilla7)^0.5</f>
        <v>0</v>
      </c>
      <c r="O24" s="111">
        <f>Input!O121*(1+vanilla8)^0.5</f>
        <v>0</v>
      </c>
      <c r="P24" s="111">
        <f>Input!P121*(1+vanilla9)^0.5</f>
        <v>0</v>
      </c>
      <c r="Q24" s="111">
        <f>Input!Q121*(1+vanilla10)^0.5</f>
        <v>0</v>
      </c>
      <c r="R24" s="29"/>
      <c r="S24" s="100"/>
      <c r="T24" s="100"/>
      <c r="U24" s="100"/>
      <c r="V24" s="100"/>
      <c r="W24" s="100"/>
      <c r="X24" s="100"/>
      <c r="Y24" s="100"/>
      <c r="Z24" s="100"/>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100"/>
      <c r="BE24" s="100"/>
      <c r="BF24" s="100"/>
      <c r="BG24" s="100"/>
      <c r="BH24" s="100"/>
      <c r="BI24" s="100"/>
      <c r="BJ24" s="100"/>
      <c r="BK24" s="12"/>
      <c r="BL24" s="12"/>
    </row>
    <row r="25" spans="1:64" hidden="1" outlineLevel="1">
      <c r="A25" s="9"/>
      <c r="B25" s="9"/>
      <c r="C25" s="44"/>
      <c r="D25" s="270" t="str">
        <f>Asset14</f>
        <v>Easements</v>
      </c>
      <c r="E25" s="9"/>
      <c r="F25" s="9"/>
      <c r="G25" s="121"/>
      <c r="H25" s="111">
        <f>Input!H122*(1+vanilla1)^0.5</f>
        <v>0</v>
      </c>
      <c r="I25" s="111">
        <f>Input!I122*(1+vanilla2)^0.5</f>
        <v>0</v>
      </c>
      <c r="J25" s="111">
        <f>Input!J122*(1+vanilla3)^0.5</f>
        <v>0</v>
      </c>
      <c r="K25" s="111">
        <f>Input!K122*(1+vanilla4)^0.5</f>
        <v>0</v>
      </c>
      <c r="L25" s="111">
        <f>Input!L122*(1+vanilla5)^0.5</f>
        <v>0</v>
      </c>
      <c r="M25" s="111">
        <f>Input!M122*(1+vanilla6)^0.5</f>
        <v>0</v>
      </c>
      <c r="N25" s="111">
        <f>Input!N122*(1+vanilla7)^0.5</f>
        <v>0</v>
      </c>
      <c r="O25" s="111">
        <f>Input!O122*(1+vanilla8)^0.5</f>
        <v>0</v>
      </c>
      <c r="P25" s="111">
        <f>Input!P122*(1+vanilla9)^0.5</f>
        <v>0</v>
      </c>
      <c r="Q25" s="111">
        <f>Input!Q122*(1+vanilla10)^0.5</f>
        <v>0</v>
      </c>
      <c r="R25" s="29"/>
      <c r="S25" s="100"/>
      <c r="T25" s="100"/>
      <c r="U25" s="100"/>
      <c r="V25" s="100"/>
      <c r="W25" s="100"/>
      <c r="X25" s="100"/>
      <c r="Y25" s="100"/>
      <c r="Z25" s="100"/>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100"/>
      <c r="BE25" s="100"/>
      <c r="BF25" s="100"/>
      <c r="BG25" s="100"/>
      <c r="BH25" s="100"/>
      <c r="BI25" s="100"/>
      <c r="BJ25" s="100"/>
      <c r="BK25" s="12"/>
      <c r="BL25" s="12"/>
    </row>
    <row r="26" spans="1:64" hidden="1" outlineLevel="1">
      <c r="A26" s="9"/>
      <c r="B26" s="9"/>
      <c r="C26" s="44"/>
      <c r="D26" s="270">
        <f>Asset15</f>
        <v>0</v>
      </c>
      <c r="E26" s="9"/>
      <c r="F26" s="9"/>
      <c r="G26" s="121"/>
      <c r="H26" s="111">
        <f>Input!H123*(1+vanilla1)^0.5</f>
        <v>0</v>
      </c>
      <c r="I26" s="111">
        <f>Input!I123*(1+vanilla2)^0.5</f>
        <v>0</v>
      </c>
      <c r="J26" s="111">
        <f>Input!J123*(1+vanilla3)^0.5</f>
        <v>0</v>
      </c>
      <c r="K26" s="111">
        <f>Input!K123*(1+vanilla4)^0.5</f>
        <v>0</v>
      </c>
      <c r="L26" s="111">
        <f>Input!L123*(1+vanilla5)^0.5</f>
        <v>0</v>
      </c>
      <c r="M26" s="111">
        <f>Input!M123*(1+vanilla6)^0.5</f>
        <v>0</v>
      </c>
      <c r="N26" s="111">
        <f>Input!N123*(1+vanilla7)^0.5</f>
        <v>0</v>
      </c>
      <c r="O26" s="111">
        <f>Input!O123*(1+vanilla8)^0.5</f>
        <v>0</v>
      </c>
      <c r="P26" s="111">
        <f>Input!P123*(1+vanilla9)^0.5</f>
        <v>0</v>
      </c>
      <c r="Q26" s="111">
        <f>Input!Q123*(1+vanilla10)^0.5</f>
        <v>0</v>
      </c>
      <c r="R26" s="29"/>
      <c r="S26" s="100"/>
      <c r="T26" s="100"/>
      <c r="U26" s="100"/>
      <c r="V26" s="100"/>
      <c r="W26" s="100"/>
      <c r="X26" s="100"/>
      <c r="Y26" s="100"/>
      <c r="Z26" s="100"/>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100"/>
      <c r="BE26" s="100"/>
      <c r="BF26" s="100"/>
      <c r="BG26" s="100"/>
      <c r="BH26" s="100"/>
      <c r="BI26" s="100"/>
      <c r="BJ26" s="100"/>
      <c r="BK26" s="12"/>
      <c r="BL26" s="12"/>
    </row>
    <row r="27" spans="1:64" hidden="1" outlineLevel="1">
      <c r="A27" s="9"/>
      <c r="B27" s="9"/>
      <c r="C27" s="44"/>
      <c r="D27" s="270">
        <f>Asset16</f>
        <v>0</v>
      </c>
      <c r="E27" s="9"/>
      <c r="F27" s="9"/>
      <c r="G27" s="121"/>
      <c r="H27" s="111">
        <f>Input!H124*(1+vanilla1)^0.5</f>
        <v>0</v>
      </c>
      <c r="I27" s="111">
        <f>Input!I124*(1+vanilla2)^0.5</f>
        <v>0</v>
      </c>
      <c r="J27" s="111">
        <f>Input!J124*(1+vanilla3)^0.5</f>
        <v>0</v>
      </c>
      <c r="K27" s="111">
        <f>Input!K124*(1+vanilla4)^0.5</f>
        <v>0</v>
      </c>
      <c r="L27" s="111">
        <f>Input!L124*(1+vanilla5)^0.5</f>
        <v>0</v>
      </c>
      <c r="M27" s="111">
        <f>Input!M124*(1+vanilla6)^0.5</f>
        <v>0</v>
      </c>
      <c r="N27" s="111">
        <f>Input!N124*(1+vanilla7)^0.5</f>
        <v>0</v>
      </c>
      <c r="O27" s="111">
        <f>Input!O124*(1+vanilla8)^0.5</f>
        <v>0</v>
      </c>
      <c r="P27" s="111">
        <f>Input!P124*(1+vanilla9)^0.5</f>
        <v>0</v>
      </c>
      <c r="Q27" s="111">
        <f>Input!Q124*(1+vanilla10)^0.5</f>
        <v>0</v>
      </c>
      <c r="R27" s="29"/>
      <c r="S27" s="100"/>
      <c r="T27" s="100"/>
      <c r="U27" s="100"/>
      <c r="V27" s="100"/>
      <c r="W27" s="100"/>
      <c r="X27" s="100"/>
      <c r="Y27" s="100"/>
      <c r="Z27" s="100"/>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100"/>
      <c r="BE27" s="100"/>
      <c r="BF27" s="100"/>
      <c r="BG27" s="100"/>
      <c r="BH27" s="100"/>
      <c r="BI27" s="100"/>
      <c r="BJ27" s="100"/>
      <c r="BK27" s="12"/>
      <c r="BL27" s="12"/>
    </row>
    <row r="28" spans="1:64" hidden="1" outlineLevel="1">
      <c r="A28" s="9"/>
      <c r="B28" s="9"/>
      <c r="C28" s="44"/>
      <c r="D28" s="270">
        <f>Asset17</f>
        <v>0</v>
      </c>
      <c r="E28" s="9"/>
      <c r="F28" s="9"/>
      <c r="G28" s="121"/>
      <c r="H28" s="111">
        <f>Input!H125*(1+vanilla1)^0.5</f>
        <v>0</v>
      </c>
      <c r="I28" s="111">
        <f>Input!I125*(1+vanilla2)^0.5</f>
        <v>0</v>
      </c>
      <c r="J28" s="111">
        <f>Input!J125*(1+vanilla3)^0.5</f>
        <v>0</v>
      </c>
      <c r="K28" s="111">
        <f>Input!K125*(1+vanilla4)^0.5</f>
        <v>0</v>
      </c>
      <c r="L28" s="111">
        <f>Input!L125*(1+vanilla5)^0.5</f>
        <v>0</v>
      </c>
      <c r="M28" s="111">
        <f>Input!M125*(1+vanilla6)^0.5</f>
        <v>0</v>
      </c>
      <c r="N28" s="111">
        <f>Input!N125*(1+vanilla7)^0.5</f>
        <v>0</v>
      </c>
      <c r="O28" s="111">
        <f>Input!O125*(1+vanilla8)^0.5</f>
        <v>0</v>
      </c>
      <c r="P28" s="111">
        <f>Input!P125*(1+vanilla9)^0.5</f>
        <v>0</v>
      </c>
      <c r="Q28" s="111">
        <f>Input!Q125*(1+vanilla10)^0.5</f>
        <v>0</v>
      </c>
      <c r="R28" s="29"/>
      <c r="S28" s="100"/>
      <c r="T28" s="100"/>
      <c r="U28" s="100"/>
      <c r="V28" s="100"/>
      <c r="W28" s="100"/>
      <c r="X28" s="100"/>
      <c r="Y28" s="100"/>
      <c r="Z28" s="100"/>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100"/>
      <c r="BE28" s="100"/>
      <c r="BF28" s="100"/>
      <c r="BG28" s="100"/>
      <c r="BH28" s="100"/>
      <c r="BI28" s="100"/>
      <c r="BJ28" s="100"/>
      <c r="BK28" s="12"/>
      <c r="BL28" s="12"/>
    </row>
    <row r="29" spans="1:64" hidden="1" outlineLevel="1">
      <c r="A29" s="9"/>
      <c r="B29" s="9"/>
      <c r="C29" s="44"/>
      <c r="D29" s="270">
        <f>Asset18</f>
        <v>0</v>
      </c>
      <c r="E29" s="9"/>
      <c r="F29" s="9"/>
      <c r="G29" s="121"/>
      <c r="H29" s="111">
        <f>Input!H126*(1+vanilla1)^0.5</f>
        <v>0</v>
      </c>
      <c r="I29" s="111">
        <f>Input!I126*(1+vanilla2)^0.5</f>
        <v>0</v>
      </c>
      <c r="J29" s="111">
        <f>Input!J126*(1+vanilla3)^0.5</f>
        <v>0</v>
      </c>
      <c r="K29" s="111">
        <f>Input!K126*(1+vanilla4)^0.5</f>
        <v>0</v>
      </c>
      <c r="L29" s="111">
        <f>Input!L126*(1+vanilla5)^0.5</f>
        <v>0</v>
      </c>
      <c r="M29" s="111">
        <f>Input!M126*(1+vanilla6)^0.5</f>
        <v>0</v>
      </c>
      <c r="N29" s="111">
        <f>Input!N126*(1+vanilla7)^0.5</f>
        <v>0</v>
      </c>
      <c r="O29" s="111">
        <f>Input!O126*(1+vanilla8)^0.5</f>
        <v>0</v>
      </c>
      <c r="P29" s="111">
        <f>Input!P126*(1+vanilla9)^0.5</f>
        <v>0</v>
      </c>
      <c r="Q29" s="111">
        <f>Input!Q126*(1+vanilla10)^0.5</f>
        <v>0</v>
      </c>
      <c r="R29" s="29"/>
      <c r="S29" s="100"/>
      <c r="T29" s="100"/>
      <c r="U29" s="100"/>
      <c r="V29" s="100"/>
      <c r="W29" s="100"/>
      <c r="X29" s="100"/>
      <c r="Y29" s="100"/>
      <c r="Z29" s="100"/>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100"/>
      <c r="BE29" s="100"/>
      <c r="BF29" s="100"/>
      <c r="BG29" s="100"/>
      <c r="BH29" s="100"/>
      <c r="BI29" s="100"/>
      <c r="BJ29" s="100"/>
      <c r="BK29" s="12"/>
      <c r="BL29" s="12"/>
    </row>
    <row r="30" spans="1:64" hidden="1" outlineLevel="1">
      <c r="A30" s="9"/>
      <c r="B30" s="9"/>
      <c r="C30" s="44"/>
      <c r="D30" s="270">
        <f>Asset19</f>
        <v>0</v>
      </c>
      <c r="E30" s="9"/>
      <c r="F30" s="9"/>
      <c r="G30" s="121"/>
      <c r="H30" s="111">
        <f>Input!H127*(1+vanilla1)^0.5</f>
        <v>0</v>
      </c>
      <c r="I30" s="111">
        <f>Input!I127*(1+vanilla2)^0.5</f>
        <v>0</v>
      </c>
      <c r="J30" s="111">
        <f>Input!J127*(1+vanilla3)^0.5</f>
        <v>0</v>
      </c>
      <c r="K30" s="111">
        <f>Input!K127*(1+vanilla4)^0.5</f>
        <v>0</v>
      </c>
      <c r="L30" s="111">
        <f>Input!L127*(1+vanilla5)^0.5</f>
        <v>0</v>
      </c>
      <c r="M30" s="111">
        <f>Input!M127*(1+vanilla6)^0.5</f>
        <v>0</v>
      </c>
      <c r="N30" s="111">
        <f>Input!N127*(1+vanilla7)^0.5</f>
        <v>0</v>
      </c>
      <c r="O30" s="111">
        <f>Input!O127*(1+vanilla8)^0.5</f>
        <v>0</v>
      </c>
      <c r="P30" s="111">
        <f>Input!P127*(1+vanilla9)^0.5</f>
        <v>0</v>
      </c>
      <c r="Q30" s="111">
        <f>Input!Q127*(1+vanilla10)^0.5</f>
        <v>0</v>
      </c>
      <c r="R30" s="29"/>
      <c r="S30" s="100"/>
      <c r="T30" s="100"/>
      <c r="U30" s="100"/>
      <c r="V30" s="100"/>
      <c r="W30" s="100"/>
      <c r="X30" s="100"/>
      <c r="Y30" s="100"/>
      <c r="Z30" s="100"/>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100"/>
      <c r="BE30" s="100"/>
      <c r="BF30" s="100"/>
      <c r="BG30" s="100"/>
      <c r="BH30" s="100"/>
      <c r="BI30" s="100"/>
      <c r="BJ30" s="100"/>
      <c r="BK30" s="12"/>
      <c r="BL30" s="12"/>
    </row>
    <row r="31" spans="1:64" hidden="1" outlineLevel="1">
      <c r="A31" s="9"/>
      <c r="B31" s="9"/>
      <c r="C31" s="44"/>
      <c r="D31" s="270">
        <f>Asset20</f>
        <v>0</v>
      </c>
      <c r="E31" s="9"/>
      <c r="F31" s="9"/>
      <c r="G31" s="121"/>
      <c r="H31" s="111">
        <f>Input!H128*(1+vanilla1)^0.5</f>
        <v>0</v>
      </c>
      <c r="I31" s="111">
        <f>Input!I128*(1+vanilla2)^0.5</f>
        <v>0</v>
      </c>
      <c r="J31" s="111">
        <f>Input!J128*(1+vanilla3)^0.5</f>
        <v>0</v>
      </c>
      <c r="K31" s="111">
        <f>Input!K128*(1+vanilla4)^0.5</f>
        <v>0</v>
      </c>
      <c r="L31" s="111">
        <f>Input!L128*(1+vanilla5)^0.5</f>
        <v>0</v>
      </c>
      <c r="M31" s="111">
        <f>Input!M128*(1+vanilla6)^0.5</f>
        <v>0</v>
      </c>
      <c r="N31" s="111">
        <f>Input!N128*(1+vanilla7)^0.5</f>
        <v>0</v>
      </c>
      <c r="O31" s="111">
        <f>Input!O128*(1+vanilla8)^0.5</f>
        <v>0</v>
      </c>
      <c r="P31" s="111">
        <f>Input!P128*(1+vanilla9)^0.5</f>
        <v>0</v>
      </c>
      <c r="Q31" s="111">
        <f>Input!Q128*(1+vanilla10)^0.5</f>
        <v>0</v>
      </c>
      <c r="R31" s="29"/>
      <c r="S31" s="100"/>
      <c r="T31" s="100"/>
      <c r="U31" s="100"/>
      <c r="V31" s="100"/>
      <c r="W31" s="100"/>
      <c r="X31" s="100"/>
      <c r="Y31" s="100"/>
      <c r="Z31" s="100"/>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100"/>
      <c r="BE31" s="100"/>
      <c r="BF31" s="100"/>
      <c r="BG31" s="100"/>
      <c r="BH31" s="100"/>
      <c r="BI31" s="100"/>
      <c r="BJ31" s="100"/>
      <c r="BK31" s="12"/>
      <c r="BL31" s="12"/>
    </row>
    <row r="32" spans="1:64" hidden="1" outlineLevel="1">
      <c r="A32" s="9"/>
      <c r="B32" s="9"/>
      <c r="C32" s="44"/>
      <c r="D32" s="270">
        <f>Asset21</f>
        <v>0</v>
      </c>
      <c r="E32" s="9"/>
      <c r="F32" s="9"/>
      <c r="G32" s="121"/>
      <c r="H32" s="111">
        <f>Input!H129*(1+vanilla1)^0.5</f>
        <v>0</v>
      </c>
      <c r="I32" s="111">
        <f>Input!I129*(1+vanilla2)^0.5</f>
        <v>0</v>
      </c>
      <c r="J32" s="111">
        <f>Input!J129*(1+vanilla3)^0.5</f>
        <v>0</v>
      </c>
      <c r="K32" s="111">
        <f>Input!K129*(1+vanilla4)^0.5</f>
        <v>0</v>
      </c>
      <c r="L32" s="111">
        <f>Input!L129*(1+vanilla5)^0.5</f>
        <v>0</v>
      </c>
      <c r="M32" s="111">
        <f>Input!M129*(1+vanilla6)^0.5</f>
        <v>0</v>
      </c>
      <c r="N32" s="111">
        <f>Input!N129*(1+vanilla7)^0.5</f>
        <v>0</v>
      </c>
      <c r="O32" s="111">
        <f>Input!O129*(1+vanilla8)^0.5</f>
        <v>0</v>
      </c>
      <c r="P32" s="111">
        <f>Input!P129*(1+vanilla9)^0.5</f>
        <v>0</v>
      </c>
      <c r="Q32" s="111">
        <f>Input!Q129*(1+vanilla10)^0.5</f>
        <v>0</v>
      </c>
      <c r="R32" s="29"/>
      <c r="S32" s="100"/>
      <c r="T32" s="100"/>
      <c r="U32" s="100"/>
      <c r="V32" s="100"/>
      <c r="W32" s="100"/>
      <c r="X32" s="100"/>
      <c r="Y32" s="100"/>
      <c r="Z32" s="100"/>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100"/>
      <c r="BE32" s="100"/>
      <c r="BF32" s="100"/>
      <c r="BG32" s="100"/>
      <c r="BH32" s="100"/>
      <c r="BI32" s="100"/>
      <c r="BJ32" s="100"/>
      <c r="BK32" s="12"/>
      <c r="BL32" s="12"/>
    </row>
    <row r="33" spans="1:64" hidden="1" outlineLevel="1">
      <c r="A33" s="9"/>
      <c r="B33" s="9"/>
      <c r="C33" s="44"/>
      <c r="D33" s="270">
        <f>Asset22</f>
        <v>0</v>
      </c>
      <c r="E33" s="9"/>
      <c r="F33" s="9"/>
      <c r="G33" s="121"/>
      <c r="H33" s="111">
        <f>Input!H130*(1+vanilla1)^0.5</f>
        <v>0</v>
      </c>
      <c r="I33" s="111">
        <f>Input!I130*(1+vanilla2)^0.5</f>
        <v>0</v>
      </c>
      <c r="J33" s="111">
        <f>Input!J130*(1+vanilla3)^0.5</f>
        <v>0</v>
      </c>
      <c r="K33" s="111">
        <f>Input!K130*(1+vanilla4)^0.5</f>
        <v>0</v>
      </c>
      <c r="L33" s="111">
        <f>Input!L130*(1+vanilla5)^0.5</f>
        <v>0</v>
      </c>
      <c r="M33" s="111">
        <f>Input!M130*(1+vanilla6)^0.5</f>
        <v>0</v>
      </c>
      <c r="N33" s="111">
        <f>Input!N130*(1+vanilla7)^0.5</f>
        <v>0</v>
      </c>
      <c r="O33" s="111">
        <f>Input!O130*(1+vanilla8)^0.5</f>
        <v>0</v>
      </c>
      <c r="P33" s="111">
        <f>Input!P130*(1+vanilla9)^0.5</f>
        <v>0</v>
      </c>
      <c r="Q33" s="111">
        <f>Input!Q130*(1+vanilla10)^0.5</f>
        <v>0</v>
      </c>
      <c r="R33" s="29"/>
      <c r="S33" s="100"/>
      <c r="T33" s="100"/>
      <c r="U33" s="100"/>
      <c r="V33" s="100"/>
      <c r="W33" s="100"/>
      <c r="X33" s="100"/>
      <c r="Y33" s="100"/>
      <c r="Z33" s="100"/>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100"/>
      <c r="BE33" s="100"/>
      <c r="BF33" s="100"/>
      <c r="BG33" s="100"/>
      <c r="BH33" s="100"/>
      <c r="BI33" s="100"/>
      <c r="BJ33" s="100"/>
      <c r="BK33" s="12"/>
      <c r="BL33" s="12"/>
    </row>
    <row r="34" spans="1:64" hidden="1" outlineLevel="1">
      <c r="A34" s="9"/>
      <c r="B34" s="9"/>
      <c r="C34" s="44"/>
      <c r="D34" s="270">
        <f>Asset23</f>
        <v>0</v>
      </c>
      <c r="E34" s="9"/>
      <c r="F34" s="9"/>
      <c r="G34" s="121"/>
      <c r="H34" s="111">
        <f>Input!H131*(1+vanilla1)^0.5</f>
        <v>0</v>
      </c>
      <c r="I34" s="111">
        <f>Input!I131*(1+vanilla2)^0.5</f>
        <v>0</v>
      </c>
      <c r="J34" s="111">
        <f>Input!J131*(1+vanilla3)^0.5</f>
        <v>0</v>
      </c>
      <c r="K34" s="111">
        <f>Input!K131*(1+vanilla4)^0.5</f>
        <v>0</v>
      </c>
      <c r="L34" s="111">
        <f>Input!L131*(1+vanilla5)^0.5</f>
        <v>0</v>
      </c>
      <c r="M34" s="111">
        <f>Input!M131*(1+vanilla6)^0.5</f>
        <v>0</v>
      </c>
      <c r="N34" s="111">
        <f>Input!N131*(1+vanilla7)^0.5</f>
        <v>0</v>
      </c>
      <c r="O34" s="111">
        <f>Input!O131*(1+vanilla8)^0.5</f>
        <v>0</v>
      </c>
      <c r="P34" s="111">
        <f>Input!P131*(1+vanilla9)^0.5</f>
        <v>0</v>
      </c>
      <c r="Q34" s="111">
        <f>Input!Q131*(1+vanilla10)^0.5</f>
        <v>0</v>
      </c>
      <c r="R34" s="29"/>
      <c r="S34" s="100"/>
      <c r="T34" s="100"/>
      <c r="U34" s="100"/>
      <c r="V34" s="100"/>
      <c r="W34" s="100"/>
      <c r="X34" s="100"/>
      <c r="Y34" s="100"/>
      <c r="Z34" s="100"/>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100"/>
      <c r="BE34" s="100"/>
      <c r="BF34" s="100"/>
      <c r="BG34" s="100"/>
      <c r="BH34" s="100"/>
      <c r="BI34" s="100"/>
      <c r="BJ34" s="100"/>
      <c r="BK34" s="12"/>
      <c r="BL34" s="12"/>
    </row>
    <row r="35" spans="1:64" hidden="1" outlineLevel="1">
      <c r="A35" s="9"/>
      <c r="B35" s="9"/>
      <c r="C35" s="44"/>
      <c r="D35" s="270">
        <f>Asset24</f>
        <v>0</v>
      </c>
      <c r="E35" s="9"/>
      <c r="F35" s="9"/>
      <c r="G35" s="121"/>
      <c r="H35" s="111">
        <f>Input!H132*(1+vanilla1)^0.5</f>
        <v>0</v>
      </c>
      <c r="I35" s="111">
        <f>Input!I132*(1+vanilla2)^0.5</f>
        <v>0</v>
      </c>
      <c r="J35" s="111">
        <f>Input!J132*(1+vanilla3)^0.5</f>
        <v>0</v>
      </c>
      <c r="K35" s="111">
        <f>Input!K132*(1+vanilla4)^0.5</f>
        <v>0</v>
      </c>
      <c r="L35" s="111">
        <f>Input!L132*(1+vanilla5)^0.5</f>
        <v>0</v>
      </c>
      <c r="M35" s="111">
        <f>Input!M132*(1+vanilla6)^0.5</f>
        <v>0</v>
      </c>
      <c r="N35" s="111">
        <f>Input!N132*(1+vanilla7)^0.5</f>
        <v>0</v>
      </c>
      <c r="O35" s="111">
        <f>Input!O132*(1+vanilla8)^0.5</f>
        <v>0</v>
      </c>
      <c r="P35" s="111">
        <f>Input!P132*(1+vanilla9)^0.5</f>
        <v>0</v>
      </c>
      <c r="Q35" s="111">
        <f>Input!Q132*(1+vanilla10)^0.5</f>
        <v>0</v>
      </c>
      <c r="R35" s="29"/>
      <c r="S35" s="100"/>
      <c r="T35" s="100"/>
      <c r="U35" s="100"/>
      <c r="V35" s="100"/>
      <c r="W35" s="100"/>
      <c r="X35" s="100"/>
      <c r="Y35" s="100"/>
      <c r="Z35" s="100"/>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100"/>
      <c r="BE35" s="100"/>
      <c r="BF35" s="100"/>
      <c r="BG35" s="100"/>
      <c r="BH35" s="100"/>
      <c r="BI35" s="100"/>
      <c r="BJ35" s="100"/>
      <c r="BK35" s="12"/>
      <c r="BL35" s="12"/>
    </row>
    <row r="36" spans="1:64" hidden="1" outlineLevel="1">
      <c r="A36" s="9"/>
      <c r="B36" s="9"/>
      <c r="C36" s="44"/>
      <c r="D36" s="270">
        <f>Asset25</f>
        <v>0</v>
      </c>
      <c r="E36" s="9"/>
      <c r="F36" s="9"/>
      <c r="G36" s="121"/>
      <c r="H36" s="111">
        <f>Input!H133*(1+vanilla1)^0.5</f>
        <v>0</v>
      </c>
      <c r="I36" s="111">
        <f>Input!I133*(1+vanilla2)^0.5</f>
        <v>0</v>
      </c>
      <c r="J36" s="111">
        <f>Input!J133*(1+vanilla3)^0.5</f>
        <v>0</v>
      </c>
      <c r="K36" s="111">
        <f>Input!K133*(1+vanilla4)^0.5</f>
        <v>0</v>
      </c>
      <c r="L36" s="111">
        <f>Input!L133*(1+vanilla5)^0.5</f>
        <v>0</v>
      </c>
      <c r="M36" s="111">
        <f>Input!M133*(1+vanilla6)^0.5</f>
        <v>0</v>
      </c>
      <c r="N36" s="111">
        <f>Input!N133*(1+vanilla7)^0.5</f>
        <v>0</v>
      </c>
      <c r="O36" s="111">
        <f>Input!O133*(1+vanilla8)^0.5</f>
        <v>0</v>
      </c>
      <c r="P36" s="111">
        <f>Input!P133*(1+vanilla9)^0.5</f>
        <v>0</v>
      </c>
      <c r="Q36" s="111">
        <f>Input!Q133*(1+vanilla10)^0.5</f>
        <v>0</v>
      </c>
      <c r="R36" s="29"/>
      <c r="S36" s="100"/>
      <c r="T36" s="100"/>
      <c r="U36" s="100"/>
      <c r="V36" s="100"/>
      <c r="W36" s="100"/>
      <c r="X36" s="100"/>
      <c r="Y36" s="100"/>
      <c r="Z36" s="100"/>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100"/>
      <c r="BE36" s="100"/>
      <c r="BF36" s="100"/>
      <c r="BG36" s="100"/>
      <c r="BH36" s="100"/>
      <c r="BI36" s="100"/>
      <c r="BJ36" s="100"/>
      <c r="BK36" s="12"/>
      <c r="BL36" s="12"/>
    </row>
    <row r="37" spans="1:64" hidden="1" outlineLevel="1">
      <c r="A37" s="9"/>
      <c r="B37" s="9"/>
      <c r="C37" s="44"/>
      <c r="D37" s="270">
        <f>Asset26</f>
        <v>0</v>
      </c>
      <c r="E37" s="9"/>
      <c r="F37" s="9"/>
      <c r="G37" s="121"/>
      <c r="H37" s="111">
        <f>Input!H134*(1+vanilla1)^0.5</f>
        <v>0</v>
      </c>
      <c r="I37" s="111">
        <f>Input!I134*(1+vanilla2)^0.5</f>
        <v>0</v>
      </c>
      <c r="J37" s="111">
        <f>Input!J134*(1+vanilla3)^0.5</f>
        <v>0</v>
      </c>
      <c r="K37" s="111">
        <f>Input!K134*(1+vanilla4)^0.5</f>
        <v>0</v>
      </c>
      <c r="L37" s="111">
        <f>Input!L134*(1+vanilla5)^0.5</f>
        <v>0</v>
      </c>
      <c r="M37" s="111">
        <f>Input!M134*(1+vanilla6)^0.5</f>
        <v>0</v>
      </c>
      <c r="N37" s="111">
        <f>Input!N134*(1+vanilla7)^0.5</f>
        <v>0</v>
      </c>
      <c r="O37" s="111">
        <f>Input!O134*(1+vanilla8)^0.5</f>
        <v>0</v>
      </c>
      <c r="P37" s="111">
        <f>Input!P134*(1+vanilla9)^0.5</f>
        <v>0</v>
      </c>
      <c r="Q37" s="111">
        <f>Input!Q134*(1+vanilla10)^0.5</f>
        <v>0</v>
      </c>
      <c r="R37" s="29"/>
      <c r="S37" s="100"/>
      <c r="T37" s="100"/>
      <c r="U37" s="100"/>
      <c r="V37" s="100"/>
      <c r="W37" s="100"/>
      <c r="X37" s="100"/>
      <c r="Y37" s="100"/>
      <c r="Z37" s="100"/>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100"/>
      <c r="BE37" s="100"/>
      <c r="BF37" s="100"/>
      <c r="BG37" s="100"/>
      <c r="BH37" s="100"/>
      <c r="BI37" s="100"/>
      <c r="BJ37" s="100"/>
      <c r="BK37" s="12"/>
      <c r="BL37" s="12"/>
    </row>
    <row r="38" spans="1:64" hidden="1" outlineLevel="1">
      <c r="A38" s="9"/>
      <c r="B38" s="9"/>
      <c r="C38" s="44"/>
      <c r="D38" s="270">
        <f>Asset27</f>
        <v>0</v>
      </c>
      <c r="E38" s="9"/>
      <c r="F38" s="9"/>
      <c r="G38" s="121"/>
      <c r="H38" s="111">
        <f>Input!H135*(1+vanilla1)^0.5</f>
        <v>0</v>
      </c>
      <c r="I38" s="111">
        <f>Input!I135*(1+vanilla2)^0.5</f>
        <v>0</v>
      </c>
      <c r="J38" s="111">
        <f>Input!J135*(1+vanilla3)^0.5</f>
        <v>0</v>
      </c>
      <c r="K38" s="111">
        <f>Input!K135*(1+vanilla4)^0.5</f>
        <v>0</v>
      </c>
      <c r="L38" s="111">
        <f>Input!L135*(1+vanilla5)^0.5</f>
        <v>0</v>
      </c>
      <c r="M38" s="111">
        <f>Input!M135*(1+vanilla6)^0.5</f>
        <v>0</v>
      </c>
      <c r="N38" s="111">
        <f>Input!N135*(1+vanilla7)^0.5</f>
        <v>0</v>
      </c>
      <c r="O38" s="111">
        <f>Input!O135*(1+vanilla8)^0.5</f>
        <v>0</v>
      </c>
      <c r="P38" s="111">
        <f>Input!P135*(1+vanilla9)^0.5</f>
        <v>0</v>
      </c>
      <c r="Q38" s="111">
        <f>Input!Q135*(1+vanilla10)^0.5</f>
        <v>0</v>
      </c>
      <c r="R38" s="29"/>
      <c r="S38" s="100"/>
      <c r="T38" s="100"/>
      <c r="U38" s="100"/>
      <c r="V38" s="100"/>
      <c r="W38" s="100"/>
      <c r="X38" s="100"/>
      <c r="Y38" s="100"/>
      <c r="Z38" s="100"/>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100"/>
      <c r="BE38" s="100"/>
      <c r="BF38" s="100"/>
      <c r="BG38" s="100"/>
      <c r="BH38" s="100"/>
      <c r="BI38" s="100"/>
      <c r="BJ38" s="100"/>
      <c r="BK38" s="12"/>
      <c r="BL38" s="12"/>
    </row>
    <row r="39" spans="1:64" hidden="1" outlineLevel="1">
      <c r="A39" s="9"/>
      <c r="B39" s="9"/>
      <c r="C39" s="44"/>
      <c r="D39" s="270">
        <f>Asset28</f>
        <v>0</v>
      </c>
      <c r="E39" s="9"/>
      <c r="F39" s="9"/>
      <c r="G39" s="121"/>
      <c r="H39" s="111">
        <f>Input!H136*(1+vanilla1)^0.5</f>
        <v>0</v>
      </c>
      <c r="I39" s="111">
        <f>Input!I136*(1+vanilla2)^0.5</f>
        <v>0</v>
      </c>
      <c r="J39" s="111">
        <f>Input!J136*(1+vanilla3)^0.5</f>
        <v>0</v>
      </c>
      <c r="K39" s="111">
        <f>Input!K136*(1+vanilla4)^0.5</f>
        <v>0</v>
      </c>
      <c r="L39" s="111">
        <f>Input!L136*(1+vanilla5)^0.5</f>
        <v>0</v>
      </c>
      <c r="M39" s="111">
        <f>Input!M136*(1+vanilla6)^0.5</f>
        <v>0</v>
      </c>
      <c r="N39" s="111">
        <f>Input!N136*(1+vanilla7)^0.5</f>
        <v>0</v>
      </c>
      <c r="O39" s="111">
        <f>Input!O136*(1+vanilla8)^0.5</f>
        <v>0</v>
      </c>
      <c r="P39" s="111">
        <f>Input!P136*(1+vanilla9)^0.5</f>
        <v>0</v>
      </c>
      <c r="Q39" s="111">
        <f>Input!Q136*(1+vanilla10)^0.5</f>
        <v>0</v>
      </c>
      <c r="R39" s="29"/>
      <c r="S39" s="100"/>
      <c r="T39" s="100"/>
      <c r="U39" s="100"/>
      <c r="V39" s="100"/>
      <c r="W39" s="100"/>
      <c r="X39" s="100"/>
      <c r="Y39" s="100"/>
      <c r="Z39" s="100"/>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100"/>
      <c r="BE39" s="100"/>
      <c r="BF39" s="100"/>
      <c r="BG39" s="100"/>
      <c r="BH39" s="100"/>
      <c r="BI39" s="100"/>
      <c r="BJ39" s="100"/>
      <c r="BK39" s="12"/>
      <c r="BL39" s="12"/>
    </row>
    <row r="40" spans="1:64" hidden="1" outlineLevel="1">
      <c r="A40" s="9"/>
      <c r="B40" s="9"/>
      <c r="C40" s="44"/>
      <c r="D40" s="270">
        <f>Asset29</f>
        <v>0</v>
      </c>
      <c r="E40" s="9"/>
      <c r="F40" s="9"/>
      <c r="G40" s="121"/>
      <c r="H40" s="111">
        <f>Input!H137*(1+vanilla1)^0.5</f>
        <v>0</v>
      </c>
      <c r="I40" s="111">
        <f>Input!I137*(1+vanilla2)^0.5</f>
        <v>0</v>
      </c>
      <c r="J40" s="111">
        <f>Input!J137*(1+vanilla3)^0.5</f>
        <v>0</v>
      </c>
      <c r="K40" s="111">
        <f>Input!K137*(1+vanilla4)^0.5</f>
        <v>0</v>
      </c>
      <c r="L40" s="111">
        <f>Input!L137*(1+vanilla5)^0.5</f>
        <v>0</v>
      </c>
      <c r="M40" s="111">
        <f>Input!M137*(1+vanilla6)^0.5</f>
        <v>0</v>
      </c>
      <c r="N40" s="111">
        <f>Input!N137*(1+vanilla7)^0.5</f>
        <v>0</v>
      </c>
      <c r="O40" s="111">
        <f>Input!O137*(1+vanilla8)^0.5</f>
        <v>0</v>
      </c>
      <c r="P40" s="111">
        <f>Input!P137*(1+vanilla9)^0.5</f>
        <v>0</v>
      </c>
      <c r="Q40" s="111">
        <f>Input!Q137*(1+vanilla10)^0.5</f>
        <v>0</v>
      </c>
      <c r="R40" s="29"/>
      <c r="S40" s="100"/>
      <c r="T40" s="100"/>
      <c r="U40" s="100"/>
      <c r="V40" s="100"/>
      <c r="W40" s="100"/>
      <c r="X40" s="100"/>
      <c r="Y40" s="100"/>
      <c r="Z40" s="100"/>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100"/>
      <c r="BE40" s="100"/>
      <c r="BF40" s="100"/>
      <c r="BG40" s="100"/>
      <c r="BH40" s="100"/>
      <c r="BI40" s="100"/>
      <c r="BJ40" s="100"/>
      <c r="BK40" s="12"/>
      <c r="BL40" s="12"/>
    </row>
    <row r="41" spans="1:64" hidden="1" outlineLevel="1">
      <c r="A41" s="9"/>
      <c r="B41" s="9"/>
      <c r="C41" s="44"/>
      <c r="D41" s="270">
        <f>Asset30</f>
        <v>0</v>
      </c>
      <c r="E41" s="9"/>
      <c r="F41" s="9"/>
      <c r="G41" s="121"/>
      <c r="H41" s="111">
        <f>Input!H138*(1+vanilla1)^0.5</f>
        <v>0</v>
      </c>
      <c r="I41" s="111">
        <f>Input!I138*(1+vanilla2)^0.5</f>
        <v>0</v>
      </c>
      <c r="J41" s="111">
        <f>Input!J138*(1+vanilla3)^0.5</f>
        <v>0</v>
      </c>
      <c r="K41" s="111">
        <f>Input!K138*(1+vanilla4)^0.5</f>
        <v>0</v>
      </c>
      <c r="L41" s="111">
        <f>Input!L138*(1+vanilla5)^0.5</f>
        <v>0</v>
      </c>
      <c r="M41" s="111">
        <f>Input!M138*(1+vanilla6)^0.5</f>
        <v>0</v>
      </c>
      <c r="N41" s="111">
        <f>Input!N138*(1+vanilla7)^0.5</f>
        <v>0</v>
      </c>
      <c r="O41" s="111">
        <f>Input!O138*(1+vanilla8)^0.5</f>
        <v>0</v>
      </c>
      <c r="P41" s="111">
        <f>Input!P138*(1+vanilla9)^0.5</f>
        <v>0</v>
      </c>
      <c r="Q41" s="111">
        <f>Input!Q138*(1+vanilla10)^0.5</f>
        <v>0</v>
      </c>
      <c r="R41" s="29"/>
      <c r="S41" s="100"/>
      <c r="T41" s="100"/>
      <c r="U41" s="100"/>
      <c r="V41" s="100"/>
      <c r="W41" s="100"/>
      <c r="X41" s="100"/>
      <c r="Y41" s="100"/>
      <c r="Z41" s="100"/>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100"/>
      <c r="BE41" s="100"/>
      <c r="BF41" s="100"/>
      <c r="BG41" s="100"/>
      <c r="BH41" s="100"/>
      <c r="BI41" s="100"/>
      <c r="BJ41" s="100"/>
      <c r="BK41" s="12"/>
      <c r="BL41" s="12"/>
    </row>
    <row r="42" spans="1:64" collapsed="1">
      <c r="A42" s="9"/>
      <c r="B42" s="9"/>
      <c r="C42" s="44"/>
      <c r="D42" s="113"/>
      <c r="E42" s="9"/>
      <c r="F42" s="9"/>
      <c r="G42" s="28"/>
      <c r="H42" s="35"/>
      <c r="I42" s="35"/>
      <c r="J42" s="35"/>
      <c r="K42" s="35"/>
      <c r="L42" s="35"/>
      <c r="M42" s="35"/>
      <c r="N42" s="110"/>
      <c r="O42" s="29"/>
      <c r="P42" s="29"/>
      <c r="Q42" s="29"/>
      <c r="R42" s="29"/>
      <c r="S42" s="100"/>
      <c r="T42" s="100"/>
      <c r="U42" s="100"/>
      <c r="V42" s="100"/>
      <c r="W42" s="100"/>
      <c r="X42" s="100"/>
      <c r="Y42" s="100"/>
      <c r="Z42" s="100"/>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100"/>
      <c r="BE42" s="100"/>
      <c r="BF42" s="100"/>
      <c r="BG42" s="100"/>
      <c r="BH42" s="100"/>
      <c r="BI42" s="100"/>
      <c r="BJ42" s="100"/>
      <c r="BK42" s="12"/>
      <c r="BL42" s="12"/>
    </row>
    <row r="43" spans="1:64">
      <c r="A43" s="9"/>
      <c r="B43" s="9"/>
      <c r="C43" s="44" t="s">
        <v>85</v>
      </c>
      <c r="D43" s="9"/>
      <c r="E43" s="9"/>
      <c r="F43" s="9"/>
      <c r="G43" s="35"/>
      <c r="H43" s="35">
        <f>SUM(H44:H73)</f>
        <v>39.930429052289256</v>
      </c>
      <c r="I43" s="35">
        <f t="shared" ref="I43:P43" si="2">SUM(I44:I73)</f>
        <v>81.396707595573773</v>
      </c>
      <c r="J43" s="35">
        <f t="shared" si="2"/>
        <v>101.26206974660201</v>
      </c>
      <c r="K43" s="35">
        <f t="shared" si="2"/>
        <v>110.94263735380672</v>
      </c>
      <c r="L43" s="35">
        <f t="shared" si="2"/>
        <v>125.81964137633511</v>
      </c>
      <c r="M43" s="35">
        <f t="shared" si="2"/>
        <v>122.15199653026671</v>
      </c>
      <c r="N43" s="35">
        <f t="shared" si="2"/>
        <v>0</v>
      </c>
      <c r="O43" s="35">
        <f t="shared" si="2"/>
        <v>0</v>
      </c>
      <c r="P43" s="35">
        <f t="shared" si="2"/>
        <v>0</v>
      </c>
      <c r="Q43" s="35">
        <f>SUM(Q44:Q73)</f>
        <v>0</v>
      </c>
      <c r="R43" s="29"/>
      <c r="S43" s="100"/>
      <c r="T43" s="100"/>
      <c r="U43" s="100"/>
      <c r="V43" s="100"/>
      <c r="W43" s="100"/>
      <c r="X43" s="100"/>
      <c r="Y43" s="100"/>
      <c r="Z43" s="100"/>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100"/>
      <c r="BE43" s="100"/>
      <c r="BF43" s="100"/>
      <c r="BG43" s="100"/>
      <c r="BH43" s="100"/>
      <c r="BI43" s="100"/>
      <c r="BJ43" s="100"/>
      <c r="BK43" s="12"/>
      <c r="BL43" s="12"/>
    </row>
    <row r="44" spans="1:64" hidden="1" outlineLevel="1">
      <c r="A44" s="9"/>
      <c r="B44" s="9"/>
      <c r="C44" s="44"/>
      <c r="D44" s="270" t="str">
        <f>Asset1</f>
        <v>Secondary</v>
      </c>
      <c r="E44" s="9"/>
      <c r="F44" s="9"/>
      <c r="G44" s="121"/>
      <c r="H44" s="111">
        <f>Input!H211*(1+vanilla1)^0.5</f>
        <v>7.2960503118331257</v>
      </c>
      <c r="I44" s="111">
        <f>Input!I211*(1+vanilla2)^0.5</f>
        <v>2.8732755561824637</v>
      </c>
      <c r="J44" s="111">
        <f>Input!J211*(1+vanilla3)^0.5</f>
        <v>10.282218488123988</v>
      </c>
      <c r="K44" s="111">
        <f>Input!K211*(1+vanilla4)^0.5</f>
        <v>11.137803290713249</v>
      </c>
      <c r="L44" s="111">
        <f>Input!L211*(1+vanilla5)^0.5</f>
        <v>26.504882252726148</v>
      </c>
      <c r="M44" s="111">
        <f>Input!M211*(1+vanilla6)^0.5</f>
        <v>17.362936868491428</v>
      </c>
      <c r="N44" s="111">
        <f>Input!N211*(1+vanilla7)^0.5</f>
        <v>0</v>
      </c>
      <c r="O44" s="111">
        <f>Input!O211*(1+vanilla8)^0.5</f>
        <v>0</v>
      </c>
      <c r="P44" s="111">
        <f>Input!P211*(1+vanilla9)^0.5</f>
        <v>0</v>
      </c>
      <c r="Q44" s="111">
        <f>Input!Q211*(1+vanilla10)^0.5</f>
        <v>0</v>
      </c>
      <c r="R44" s="29"/>
      <c r="S44" s="100"/>
      <c r="T44" s="100"/>
      <c r="U44" s="100"/>
      <c r="V44" s="100"/>
      <c r="W44" s="100"/>
      <c r="X44" s="100"/>
      <c r="Y44" s="100"/>
      <c r="Z44" s="100"/>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100"/>
      <c r="BE44" s="100"/>
      <c r="BF44" s="100"/>
      <c r="BG44" s="100"/>
      <c r="BH44" s="100"/>
      <c r="BI44" s="100"/>
      <c r="BJ44" s="100"/>
      <c r="BK44" s="12"/>
      <c r="BL44" s="12"/>
    </row>
    <row r="45" spans="1:64" hidden="1" outlineLevel="1">
      <c r="A45" s="9"/>
      <c r="B45" s="9"/>
      <c r="C45" s="44"/>
      <c r="D45" s="270" t="str">
        <f>Asset2</f>
        <v>Switchgear</v>
      </c>
      <c r="E45" s="9"/>
      <c r="F45" s="9"/>
      <c r="G45" s="121"/>
      <c r="H45" s="111">
        <f>Input!H212*(1+vanilla1)^0.5</f>
        <v>6.3735856016351971</v>
      </c>
      <c r="I45" s="111">
        <f>Input!I212*(1+vanilla2)^0.5</f>
        <v>25.614821511219482</v>
      </c>
      <c r="J45" s="111">
        <f>Input!J212*(1+vanilla3)^0.5</f>
        <v>46.928447846735928</v>
      </c>
      <c r="K45" s="111">
        <f>Input!K212*(1+vanilla4)^0.5</f>
        <v>30.845804526478883</v>
      </c>
      <c r="L45" s="111">
        <f>Input!L212*(1+vanilla5)^0.5</f>
        <v>24.9293907901666</v>
      </c>
      <c r="M45" s="111">
        <f>Input!M212*(1+vanilla6)^0.5</f>
        <v>38.012335080887979</v>
      </c>
      <c r="N45" s="111">
        <f>Input!N212*(1+vanilla7)^0.5</f>
        <v>0</v>
      </c>
      <c r="O45" s="111">
        <f>Input!O212*(1+vanilla8)^0.5</f>
        <v>0</v>
      </c>
      <c r="P45" s="111">
        <f>Input!P212*(1+vanilla9)^0.5</f>
        <v>0</v>
      </c>
      <c r="Q45" s="111">
        <f>Input!Q212*(1+vanilla10)^0.5</f>
        <v>0</v>
      </c>
      <c r="R45" s="29"/>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100"/>
      <c r="BE45" s="100"/>
      <c r="BF45" s="100"/>
      <c r="BG45" s="100"/>
      <c r="BH45" s="100"/>
      <c r="BI45" s="100"/>
      <c r="BJ45" s="100"/>
      <c r="BK45" s="12"/>
      <c r="BL45" s="12"/>
    </row>
    <row r="46" spans="1:64" hidden="1" outlineLevel="1">
      <c r="A46" s="9"/>
      <c r="B46" s="9"/>
      <c r="C46" s="44"/>
      <c r="D46" s="270" t="str">
        <f>Asset3</f>
        <v>Transformers</v>
      </c>
      <c r="E46" s="9"/>
      <c r="F46" s="9"/>
      <c r="G46" s="121"/>
      <c r="H46" s="111">
        <f>Input!H213*(1+vanilla1)^0.5</f>
        <v>4.8747325498041789</v>
      </c>
      <c r="I46" s="111">
        <f>Input!I213*(1+vanilla2)^0.5</f>
        <v>5.9524813447108782</v>
      </c>
      <c r="J46" s="111">
        <f>Input!J213*(1+vanilla3)^0.5</f>
        <v>10.353132740753557</v>
      </c>
      <c r="K46" s="111">
        <f>Input!K213*(1+vanilla4)^0.5</f>
        <v>8.4281837394800601</v>
      </c>
      <c r="L46" s="111">
        <f>Input!L213*(1+vanilla5)^0.5</f>
        <v>22.361556545685922</v>
      </c>
      <c r="M46" s="111">
        <f>Input!M213*(1+vanilla6)^0.5</f>
        <v>30.018654032345133</v>
      </c>
      <c r="N46" s="111">
        <f>Input!N213*(1+vanilla7)^0.5</f>
        <v>0</v>
      </c>
      <c r="O46" s="111">
        <f>Input!O213*(1+vanilla8)^0.5</f>
        <v>0</v>
      </c>
      <c r="P46" s="111">
        <f>Input!P213*(1+vanilla9)^0.5</f>
        <v>0</v>
      </c>
      <c r="Q46" s="111">
        <f>Input!Q213*(1+vanilla10)^0.5</f>
        <v>0</v>
      </c>
      <c r="R46" s="29"/>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100"/>
      <c r="BE46" s="100"/>
      <c r="BF46" s="100"/>
      <c r="BG46" s="100"/>
      <c r="BH46" s="100"/>
      <c r="BI46" s="100"/>
      <c r="BJ46" s="100"/>
      <c r="BK46" s="12"/>
      <c r="BL46" s="12"/>
    </row>
    <row r="47" spans="1:64" hidden="1" outlineLevel="1">
      <c r="A47" s="9"/>
      <c r="B47" s="9"/>
      <c r="C47" s="44"/>
      <c r="D47" s="270" t="str">
        <f>Asset4</f>
        <v>Reactive</v>
      </c>
      <c r="E47" s="9"/>
      <c r="F47" s="9"/>
      <c r="G47" s="121"/>
      <c r="H47" s="111">
        <f>Input!H214*(1+vanilla1)^0.5</f>
        <v>6.1680859474474402E-3</v>
      </c>
      <c r="I47" s="111">
        <f>Input!I214*(1+vanilla2)^0.5</f>
        <v>0.96245291788490428</v>
      </c>
      <c r="J47" s="111">
        <f>Input!J214*(1+vanilla3)^0.5</f>
        <v>4.5355093109366924E-2</v>
      </c>
      <c r="K47" s="111">
        <f>Input!K214*(1+vanilla4)^0.5</f>
        <v>0.49221036916561195</v>
      </c>
      <c r="L47" s="111">
        <f>Input!L214*(1+vanilla5)^0.5</f>
        <v>0.85594474816022659</v>
      </c>
      <c r="M47" s="111">
        <f>Input!M214*(1+vanilla6)^0.5</f>
        <v>0.75459817121399209</v>
      </c>
      <c r="N47" s="111">
        <f>Input!N214*(1+vanilla7)^0.5</f>
        <v>0</v>
      </c>
      <c r="O47" s="111">
        <f>Input!O214*(1+vanilla8)^0.5</f>
        <v>0</v>
      </c>
      <c r="P47" s="111">
        <f>Input!P214*(1+vanilla9)^0.5</f>
        <v>0</v>
      </c>
      <c r="Q47" s="111">
        <f>Input!Q214*(1+vanilla10)^0.5</f>
        <v>0</v>
      </c>
      <c r="R47" s="29"/>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100"/>
      <c r="BE47" s="100"/>
      <c r="BF47" s="100"/>
      <c r="BG47" s="100"/>
      <c r="BH47" s="100"/>
      <c r="BI47" s="100"/>
      <c r="BJ47" s="100"/>
      <c r="BK47" s="12"/>
      <c r="BL47" s="12"/>
    </row>
    <row r="48" spans="1:64" hidden="1" outlineLevel="1">
      <c r="A48" s="9"/>
      <c r="B48" s="9"/>
      <c r="C48" s="44"/>
      <c r="D48" s="270" t="str">
        <f>Asset5</f>
        <v>Towers and Conductor</v>
      </c>
      <c r="E48" s="9"/>
      <c r="F48" s="9"/>
      <c r="G48" s="121"/>
      <c r="H48" s="111">
        <f>Input!H215*(1+vanilla1)^0.5</f>
        <v>5.5092152289746776</v>
      </c>
      <c r="I48" s="111">
        <f>Input!I215*(1+vanilla2)^0.5</f>
        <v>18.501445600105651</v>
      </c>
      <c r="J48" s="111">
        <f>Input!J215*(1+vanilla3)^0.5</f>
        <v>8.7325486867081459</v>
      </c>
      <c r="K48" s="111">
        <f>Input!K215*(1+vanilla4)^0.5</f>
        <v>38.062001583389872</v>
      </c>
      <c r="L48" s="111">
        <f>Input!L215*(1+vanilla5)^0.5</f>
        <v>21.505611797525692</v>
      </c>
      <c r="M48" s="111">
        <f>Input!M215*(1+vanilla6)^0.5</f>
        <v>4.3124747434380541</v>
      </c>
      <c r="N48" s="111">
        <f>Input!N215*(1+vanilla7)^0.5</f>
        <v>0</v>
      </c>
      <c r="O48" s="111">
        <f>Input!O215*(1+vanilla8)^0.5</f>
        <v>0</v>
      </c>
      <c r="P48" s="111">
        <f>Input!P215*(1+vanilla9)^0.5</f>
        <v>0</v>
      </c>
      <c r="Q48" s="111">
        <f>Input!Q215*(1+vanilla10)^0.5</f>
        <v>0</v>
      </c>
      <c r="R48" s="29"/>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100"/>
      <c r="BE48" s="100"/>
      <c r="BF48" s="100"/>
      <c r="BG48" s="100"/>
      <c r="BH48" s="100"/>
      <c r="BI48" s="100"/>
      <c r="BJ48" s="100"/>
      <c r="BK48" s="12"/>
      <c r="BL48" s="12"/>
    </row>
    <row r="49" spans="1:64" hidden="1" outlineLevel="1">
      <c r="A49" s="9"/>
      <c r="B49" s="9"/>
      <c r="C49" s="44"/>
      <c r="D49" s="270" t="str">
        <f>Asset6</f>
        <v>Establishment</v>
      </c>
      <c r="E49" s="9"/>
      <c r="F49" s="9"/>
      <c r="G49" s="121"/>
      <c r="H49" s="111">
        <f>Input!H216*(1+vanilla1)^0.5</f>
        <v>12.520757912695085</v>
      </c>
      <c r="I49" s="111">
        <f>Input!I216*(1+vanilla2)^0.5</f>
        <v>10.855736110147857</v>
      </c>
      <c r="J49" s="111">
        <f>Input!J216*(1+vanilla3)^0.5</f>
        <v>6.2641815098695819</v>
      </c>
      <c r="K49" s="111">
        <f>Input!K216*(1+vanilla4)^0.5</f>
        <v>4.8842133052850549</v>
      </c>
      <c r="L49" s="111">
        <f>Input!L216*(1+vanilla5)^0.5</f>
        <v>6.8475579852818127</v>
      </c>
      <c r="M49" s="111">
        <f>Input!M216*(1+vanilla6)^0.5</f>
        <v>8.2116330839208604</v>
      </c>
      <c r="N49" s="111">
        <f>Input!N216*(1+vanilla7)^0.5</f>
        <v>0</v>
      </c>
      <c r="O49" s="111">
        <f>Input!O216*(1+vanilla8)^0.5</f>
        <v>0</v>
      </c>
      <c r="P49" s="111">
        <f>Input!P216*(1+vanilla9)^0.5</f>
        <v>0</v>
      </c>
      <c r="Q49" s="111">
        <f>Input!Q216*(1+vanilla10)^0.5</f>
        <v>0</v>
      </c>
      <c r="R49" s="29"/>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100"/>
      <c r="BE49" s="100"/>
      <c r="BF49" s="100"/>
      <c r="BG49" s="100"/>
      <c r="BH49" s="100"/>
      <c r="BI49" s="100"/>
      <c r="BJ49" s="100"/>
      <c r="BK49" s="12"/>
      <c r="BL49" s="12"/>
    </row>
    <row r="50" spans="1:64" hidden="1" outlineLevel="1">
      <c r="A50" s="9"/>
      <c r="B50" s="9"/>
      <c r="C50" s="44"/>
      <c r="D50" s="270" t="str">
        <f>Asset7</f>
        <v>Communications</v>
      </c>
      <c r="E50" s="9"/>
      <c r="F50" s="9"/>
      <c r="G50" s="121"/>
      <c r="H50" s="111">
        <f>Input!H217*(1+vanilla1)^0.5</f>
        <v>0.34653666217307927</v>
      </c>
      <c r="I50" s="111">
        <f>Input!I217*(1+vanilla2)^0.5</f>
        <v>2.0134970250896354</v>
      </c>
      <c r="J50" s="111">
        <f>Input!J217*(1+vanilla3)^0.5</f>
        <v>11.341125892493761</v>
      </c>
      <c r="K50" s="111">
        <f>Input!K217*(1+vanilla4)^0.5</f>
        <v>6.2142931170001283</v>
      </c>
      <c r="L50" s="111">
        <f>Input!L217*(1+vanilla5)^0.5</f>
        <v>4.0657375537610765</v>
      </c>
      <c r="M50" s="111">
        <f>Input!M217*(1+vanilla6)^0.5</f>
        <v>4.8150151722325072</v>
      </c>
      <c r="N50" s="111">
        <f>Input!N217*(1+vanilla7)^0.5</f>
        <v>0</v>
      </c>
      <c r="O50" s="111">
        <f>Input!O217*(1+vanilla8)^0.5</f>
        <v>0</v>
      </c>
      <c r="P50" s="111">
        <f>Input!P217*(1+vanilla9)^0.5</f>
        <v>0</v>
      </c>
      <c r="Q50" s="111">
        <f>Input!Q217*(1+vanilla10)^0.5</f>
        <v>0</v>
      </c>
      <c r="R50" s="29"/>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100"/>
      <c r="BE50" s="100"/>
      <c r="BF50" s="100"/>
      <c r="BG50" s="100"/>
      <c r="BH50" s="100"/>
      <c r="BI50" s="100"/>
      <c r="BJ50" s="100"/>
      <c r="BK50" s="12"/>
      <c r="BL50" s="12"/>
    </row>
    <row r="51" spans="1:64" hidden="1" outlineLevel="1">
      <c r="A51" s="9"/>
      <c r="B51" s="9"/>
      <c r="C51" s="44"/>
      <c r="D51" s="270" t="str">
        <f>Asset8</f>
        <v>Inventory</v>
      </c>
      <c r="E51" s="9"/>
      <c r="F51" s="9"/>
      <c r="G51" s="121"/>
      <c r="H51" s="111">
        <f>Input!H218*(1+vanilla1)^0.5</f>
        <v>0</v>
      </c>
      <c r="I51" s="111">
        <f>Input!I218*(1+vanilla2)^0.5</f>
        <v>0</v>
      </c>
      <c r="J51" s="111">
        <f>Input!J218*(1+vanilla3)^0.5</f>
        <v>0</v>
      </c>
      <c r="K51" s="111">
        <f>Input!K218*(1+vanilla4)^0.5</f>
        <v>0</v>
      </c>
      <c r="L51" s="111">
        <f>Input!L218*(1+vanilla5)^0.5</f>
        <v>0</v>
      </c>
      <c r="M51" s="111">
        <f>Input!M218*(1+vanilla6)^0.5</f>
        <v>0</v>
      </c>
      <c r="N51" s="111">
        <f>Input!N218*(1+vanilla7)^0.5</f>
        <v>0</v>
      </c>
      <c r="O51" s="111">
        <f>Input!O218*(1+vanilla8)^0.5</f>
        <v>0</v>
      </c>
      <c r="P51" s="111">
        <f>Input!P218*(1+vanilla9)^0.5</f>
        <v>0</v>
      </c>
      <c r="Q51" s="111">
        <f>Input!Q218*(1+vanilla10)^0.5</f>
        <v>0</v>
      </c>
      <c r="R51" s="29"/>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100"/>
      <c r="BE51" s="100"/>
      <c r="BF51" s="100"/>
      <c r="BG51" s="100"/>
      <c r="BH51" s="100"/>
      <c r="BI51" s="100"/>
      <c r="BJ51" s="100"/>
      <c r="BK51" s="12"/>
      <c r="BL51" s="12"/>
    </row>
    <row r="52" spans="1:64" hidden="1" outlineLevel="1">
      <c r="A52" s="9"/>
      <c r="B52" s="9"/>
      <c r="C52" s="44"/>
      <c r="D52" s="270" t="str">
        <f>Asset9</f>
        <v>IT</v>
      </c>
      <c r="E52" s="9"/>
      <c r="F52" s="9"/>
      <c r="G52" s="121"/>
      <c r="H52" s="111">
        <f>Input!H219*(1+vanilla1)^0.5</f>
        <v>2.6538959086108327</v>
      </c>
      <c r="I52" s="111">
        <f>Input!I219*(1+vanilla2)^0.5</f>
        <v>11.866255279377103</v>
      </c>
      <c r="J52" s="111">
        <f>Input!J219*(1+vanilla3)^0.5</f>
        <v>4.7705422592417097</v>
      </c>
      <c r="K52" s="111">
        <f>Input!K219*(1+vanilla4)^0.5</f>
        <v>7.4983963624280845</v>
      </c>
      <c r="L52" s="111">
        <f>Input!L219*(1+vanilla5)^0.5</f>
        <v>15.227581484692488</v>
      </c>
      <c r="M52" s="111">
        <f>Input!M219*(1+vanilla6)^0.5</f>
        <v>15.569827166427036</v>
      </c>
      <c r="N52" s="111">
        <f>Input!N219*(1+vanilla7)^0.5</f>
        <v>0</v>
      </c>
      <c r="O52" s="111">
        <f>Input!O219*(1+vanilla8)^0.5</f>
        <v>0</v>
      </c>
      <c r="P52" s="111">
        <f>Input!P219*(1+vanilla9)^0.5</f>
        <v>0</v>
      </c>
      <c r="Q52" s="111">
        <f>Input!Q219*(1+vanilla10)^0.5</f>
        <v>0</v>
      </c>
      <c r="R52" s="29"/>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100"/>
      <c r="BE52" s="100"/>
      <c r="BF52" s="100"/>
      <c r="BG52" s="100"/>
      <c r="BH52" s="100"/>
      <c r="BI52" s="100"/>
      <c r="BJ52" s="100"/>
      <c r="BK52" s="12"/>
      <c r="BL52" s="12"/>
    </row>
    <row r="53" spans="1:64" hidden="1" outlineLevel="1">
      <c r="A53" s="9"/>
      <c r="B53" s="9"/>
      <c r="C53" s="44"/>
      <c r="D53" s="270" t="str">
        <f>Asset10</f>
        <v>Vehicles</v>
      </c>
      <c r="E53" s="9"/>
      <c r="F53" s="9"/>
      <c r="G53" s="121"/>
      <c r="H53" s="111">
        <f>Input!H220*(1+vanilla1)^0.5</f>
        <v>-4.9241001368647126E-2</v>
      </c>
      <c r="I53" s="111">
        <f>Input!I220*(1+vanilla2)^0.5</f>
        <v>0.48234765685268371</v>
      </c>
      <c r="J53" s="111">
        <f>Input!J220*(1+vanilla3)^0.5</f>
        <v>-0.14565931070080981</v>
      </c>
      <c r="K53" s="111">
        <f>Input!K220*(1+vanilla4)^0.5</f>
        <v>0.16677817754028773</v>
      </c>
      <c r="L53" s="111">
        <f>Input!L220*(1+vanilla5)^0.5</f>
        <v>1.4275857641899208</v>
      </c>
      <c r="M53" s="111">
        <f>Input!M220*(1+vanilla6)^0.5</f>
        <v>1.4425155127563247</v>
      </c>
      <c r="N53" s="111">
        <f>Input!N220*(1+vanilla7)^0.5</f>
        <v>0</v>
      </c>
      <c r="O53" s="111">
        <f>Input!O220*(1+vanilla8)^0.5</f>
        <v>0</v>
      </c>
      <c r="P53" s="111">
        <f>Input!P220*(1+vanilla9)^0.5</f>
        <v>0</v>
      </c>
      <c r="Q53" s="111">
        <f>Input!Q220*(1+vanilla10)^0.5</f>
        <v>0</v>
      </c>
      <c r="R53" s="29"/>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100"/>
      <c r="BE53" s="100"/>
      <c r="BF53" s="100"/>
      <c r="BG53" s="100"/>
      <c r="BH53" s="100"/>
      <c r="BI53" s="100"/>
      <c r="BJ53" s="100"/>
      <c r="BK53" s="12"/>
      <c r="BL53" s="12"/>
    </row>
    <row r="54" spans="1:64" hidden="1" outlineLevel="1">
      <c r="A54" s="9"/>
      <c r="B54" s="9"/>
      <c r="C54" s="44"/>
      <c r="D54" s="270" t="str">
        <f>Asset11</f>
        <v>other</v>
      </c>
      <c r="E54" s="9"/>
      <c r="F54" s="9"/>
      <c r="G54" s="121"/>
      <c r="H54" s="111">
        <f>Input!H221*(1+vanilla1)^0.5</f>
        <v>0.41886856597281674</v>
      </c>
      <c r="I54" s="111">
        <f>Input!I221*(1+vanilla2)^0.5</f>
        <v>1.7429407125458569</v>
      </c>
      <c r="J54" s="111">
        <f>Input!J221*(1+vanilla3)^0.5</f>
        <v>3.0658476634214145</v>
      </c>
      <c r="K54" s="111">
        <f>Input!K221*(1+vanilla4)^0.5</f>
        <v>3.1153986409096253</v>
      </c>
      <c r="L54" s="111">
        <f>Input!L221*(1+vanilla5)^0.5</f>
        <v>1.903447685586561</v>
      </c>
      <c r="M54" s="111">
        <f>Input!M221*(1+vanilla6)^0.5</f>
        <v>1.4596712968525347</v>
      </c>
      <c r="N54" s="111">
        <f>Input!N221*(1+vanilla7)^0.5</f>
        <v>0</v>
      </c>
      <c r="O54" s="111">
        <f>Input!O221*(1+vanilla8)^0.5</f>
        <v>0</v>
      </c>
      <c r="P54" s="111">
        <f>Input!P221*(1+vanilla9)^0.5</f>
        <v>0</v>
      </c>
      <c r="Q54" s="111">
        <f>Input!Q221*(1+vanilla10)^0.5</f>
        <v>0</v>
      </c>
      <c r="R54" s="29"/>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100"/>
      <c r="BE54" s="100"/>
      <c r="BF54" s="100"/>
      <c r="BG54" s="100"/>
      <c r="BH54" s="100"/>
      <c r="BI54" s="100"/>
      <c r="BJ54" s="100"/>
      <c r="BK54" s="12"/>
      <c r="BL54" s="12"/>
    </row>
    <row r="55" spans="1:64" hidden="1" outlineLevel="1">
      <c r="A55" s="9"/>
      <c r="B55" s="9"/>
      <c r="C55" s="44"/>
      <c r="D55" s="270" t="str">
        <f>Asset12</f>
        <v>premises</v>
      </c>
      <c r="E55" s="9"/>
      <c r="F55" s="9"/>
      <c r="G55" s="121"/>
      <c r="H55" s="111">
        <f>Input!H222*(1+vanilla1)^0.5</f>
        <v>-2.0140773988534415E-2</v>
      </c>
      <c r="I55" s="111">
        <f>Input!I222*(1+vanilla2)^0.5</f>
        <v>0.3437661082704363</v>
      </c>
      <c r="J55" s="111">
        <f>Input!J222*(1+vanilla3)^0.5</f>
        <v>8.0058947612870288E-2</v>
      </c>
      <c r="K55" s="111">
        <f>Input!K222*(1+vanilla4)^0.5</f>
        <v>1.0061526632169373</v>
      </c>
      <c r="L55" s="111">
        <f>Input!L222*(1+vanilla5)^0.5</f>
        <v>0.19034476855865609</v>
      </c>
      <c r="M55" s="111">
        <f>Input!M222*(1+vanilla6)^0.5</f>
        <v>0.19233540170084332</v>
      </c>
      <c r="N55" s="111">
        <f>Input!N222*(1+vanilla7)^0.5</f>
        <v>0</v>
      </c>
      <c r="O55" s="111">
        <f>Input!O222*(1+vanilla8)^0.5</f>
        <v>0</v>
      </c>
      <c r="P55" s="111">
        <f>Input!P222*(1+vanilla9)^0.5</f>
        <v>0</v>
      </c>
      <c r="Q55" s="111">
        <f>Input!Q222*(1+vanilla10)^0.5</f>
        <v>0</v>
      </c>
      <c r="R55" s="29"/>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100"/>
      <c r="BE55" s="100"/>
      <c r="BF55" s="100"/>
      <c r="BG55" s="100"/>
      <c r="BH55" s="100"/>
      <c r="BI55" s="100"/>
      <c r="BJ55" s="100"/>
      <c r="BK55" s="12"/>
      <c r="BL55" s="12"/>
    </row>
    <row r="56" spans="1:64" hidden="1" outlineLevel="1">
      <c r="A56" s="9"/>
      <c r="B56" s="9"/>
      <c r="C56" s="44"/>
      <c r="D56" s="270" t="str">
        <f>Asset13</f>
        <v>Land</v>
      </c>
      <c r="E56" s="9"/>
      <c r="F56" s="9"/>
      <c r="G56" s="121"/>
      <c r="H56" s="111">
        <f>Input!H223*(1+vanilla1)^0.5</f>
        <v>0</v>
      </c>
      <c r="I56" s="111">
        <f>Input!I223*(1+vanilla2)^0.5</f>
        <v>0.18768777318684016</v>
      </c>
      <c r="J56" s="111">
        <f>Input!J223*(1+vanilla3)^0.5</f>
        <v>-0.45573007076749728</v>
      </c>
      <c r="K56" s="111">
        <f>Input!K223*(1+vanilla4)^0.5</f>
        <v>-0.90859842180109385</v>
      </c>
      <c r="L56" s="111">
        <f>Input!L223*(1+vanilla5)^0.5</f>
        <v>0</v>
      </c>
      <c r="M56" s="111">
        <f>Input!M223*(1+vanilla6)^0.5</f>
        <v>0</v>
      </c>
      <c r="N56" s="111">
        <f>Input!N223*(1+vanilla7)^0.5</f>
        <v>0</v>
      </c>
      <c r="O56" s="111">
        <f>Input!O223*(1+vanilla8)^0.5</f>
        <v>0</v>
      </c>
      <c r="P56" s="111">
        <f>Input!P223*(1+vanilla9)^0.5</f>
        <v>0</v>
      </c>
      <c r="Q56" s="111">
        <f>Input!Q223*(1+vanilla10)^0.5</f>
        <v>0</v>
      </c>
      <c r="R56" s="29"/>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100"/>
      <c r="BE56" s="100"/>
      <c r="BF56" s="100"/>
      <c r="BG56" s="100"/>
      <c r="BH56" s="100"/>
      <c r="BI56" s="100"/>
      <c r="BJ56" s="100"/>
      <c r="BK56" s="12"/>
      <c r="BL56" s="12"/>
    </row>
    <row r="57" spans="1:64" hidden="1" outlineLevel="1">
      <c r="A57" s="9"/>
      <c r="B57" s="9"/>
      <c r="C57" s="44"/>
      <c r="D57" s="270" t="str">
        <f>Asset14</f>
        <v>Easements</v>
      </c>
      <c r="E57" s="9"/>
      <c r="F57" s="9"/>
      <c r="G57" s="121"/>
      <c r="H57" s="111">
        <f>Input!H224*(1+vanilla1)^0.5</f>
        <v>0</v>
      </c>
      <c r="I57" s="111">
        <f>Input!I224*(1+vanilla2)^0.5</f>
        <v>0</v>
      </c>
      <c r="J57" s="111">
        <f>Input!J224*(1+vanilla3)^0.5</f>
        <v>0</v>
      </c>
      <c r="K57" s="111">
        <f>Input!K224*(1+vanilla4)^0.5</f>
        <v>0</v>
      </c>
      <c r="L57" s="111">
        <f>Input!L224*(1+vanilla5)^0.5</f>
        <v>0</v>
      </c>
      <c r="M57" s="111">
        <f>Input!M224*(1+vanilla6)^0.5</f>
        <v>0</v>
      </c>
      <c r="N57" s="111">
        <f>Input!N224*(1+vanilla7)^0.5</f>
        <v>0</v>
      </c>
      <c r="O57" s="111">
        <f>Input!O224*(1+vanilla8)^0.5</f>
        <v>0</v>
      </c>
      <c r="P57" s="111">
        <f>Input!P224*(1+vanilla9)^0.5</f>
        <v>0</v>
      </c>
      <c r="Q57" s="111">
        <f>Input!Q224*(1+vanilla10)^0.5</f>
        <v>0</v>
      </c>
      <c r="R57" s="29"/>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100"/>
      <c r="BE57" s="100"/>
      <c r="BF57" s="100"/>
      <c r="BG57" s="100"/>
      <c r="BH57" s="100"/>
      <c r="BI57" s="100"/>
      <c r="BJ57" s="100"/>
      <c r="BK57" s="12"/>
      <c r="BL57" s="12"/>
    </row>
    <row r="58" spans="1:64" hidden="1" outlineLevel="1">
      <c r="A58" s="9"/>
      <c r="B58" s="9"/>
      <c r="C58" s="44"/>
      <c r="D58" s="270">
        <f>Asset15</f>
        <v>0</v>
      </c>
      <c r="E58" s="9"/>
      <c r="F58" s="9"/>
      <c r="G58" s="121"/>
      <c r="H58" s="111">
        <f>Input!H225*(1+vanilla1)^0.5</f>
        <v>0</v>
      </c>
      <c r="I58" s="111">
        <f>Input!I225*(1+vanilla2)^0.5</f>
        <v>0</v>
      </c>
      <c r="J58" s="111">
        <f>Input!J225*(1+vanilla3)^0.5</f>
        <v>0</v>
      </c>
      <c r="K58" s="111">
        <f>Input!K225*(1+vanilla4)^0.5</f>
        <v>0</v>
      </c>
      <c r="L58" s="111">
        <f>Input!L225*(1+vanilla5)^0.5</f>
        <v>0</v>
      </c>
      <c r="M58" s="111">
        <f>Input!M225*(1+vanilla6)^0.5</f>
        <v>0</v>
      </c>
      <c r="N58" s="111">
        <f>Input!N225*(1+vanilla7)^0.5</f>
        <v>0</v>
      </c>
      <c r="O58" s="111">
        <f>Input!O225*(1+vanilla8)^0.5</f>
        <v>0</v>
      </c>
      <c r="P58" s="111">
        <f>Input!P225*(1+vanilla9)^0.5</f>
        <v>0</v>
      </c>
      <c r="Q58" s="111">
        <f>Input!Q225*(1+vanilla10)^0.5</f>
        <v>0</v>
      </c>
      <c r="R58" s="29"/>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100"/>
      <c r="BE58" s="100"/>
      <c r="BF58" s="100"/>
      <c r="BG58" s="100"/>
      <c r="BH58" s="100"/>
      <c r="BI58" s="100"/>
      <c r="BJ58" s="100"/>
      <c r="BK58" s="12"/>
      <c r="BL58" s="12"/>
    </row>
    <row r="59" spans="1:64" hidden="1" outlineLevel="1">
      <c r="A59" s="9"/>
      <c r="B59" s="9"/>
      <c r="C59" s="44"/>
      <c r="D59" s="270">
        <f>Asset16</f>
        <v>0</v>
      </c>
      <c r="E59" s="9"/>
      <c r="F59" s="9"/>
      <c r="G59" s="121"/>
      <c r="H59" s="111">
        <f>Input!H226*(1+vanilla1)^0.5</f>
        <v>0</v>
      </c>
      <c r="I59" s="111">
        <f>Input!I226*(1+vanilla2)^0.5</f>
        <v>0</v>
      </c>
      <c r="J59" s="111">
        <f>Input!J226*(1+vanilla3)^0.5</f>
        <v>0</v>
      </c>
      <c r="K59" s="111">
        <f>Input!K226*(1+vanilla4)^0.5</f>
        <v>0</v>
      </c>
      <c r="L59" s="111">
        <f>Input!L226*(1+vanilla5)^0.5</f>
        <v>0</v>
      </c>
      <c r="M59" s="111">
        <f>Input!M226*(1+vanilla6)^0.5</f>
        <v>0</v>
      </c>
      <c r="N59" s="111">
        <f>Input!N226*(1+vanilla7)^0.5</f>
        <v>0</v>
      </c>
      <c r="O59" s="111">
        <f>Input!O226*(1+vanilla8)^0.5</f>
        <v>0</v>
      </c>
      <c r="P59" s="111">
        <f>Input!P226*(1+vanilla9)^0.5</f>
        <v>0</v>
      </c>
      <c r="Q59" s="111">
        <f>Input!Q226*(1+vanilla10)^0.5</f>
        <v>0</v>
      </c>
      <c r="R59" s="29"/>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100"/>
      <c r="BE59" s="100"/>
      <c r="BF59" s="100"/>
      <c r="BG59" s="100"/>
      <c r="BH59" s="100"/>
      <c r="BI59" s="100"/>
      <c r="BJ59" s="100"/>
      <c r="BK59" s="12"/>
      <c r="BL59" s="12"/>
    </row>
    <row r="60" spans="1:64" hidden="1" outlineLevel="1">
      <c r="A60" s="9"/>
      <c r="B60" s="9"/>
      <c r="C60" s="44"/>
      <c r="D60" s="270">
        <f>Asset17</f>
        <v>0</v>
      </c>
      <c r="E60" s="9"/>
      <c r="F60" s="9"/>
      <c r="G60" s="121"/>
      <c r="H60" s="111">
        <f>Input!H227*(1+vanilla1)^0.5</f>
        <v>0</v>
      </c>
      <c r="I60" s="111">
        <f>Input!I227*(1+vanilla2)^0.5</f>
        <v>0</v>
      </c>
      <c r="J60" s="111">
        <f>Input!J227*(1+vanilla3)^0.5</f>
        <v>0</v>
      </c>
      <c r="K60" s="111">
        <f>Input!K227*(1+vanilla4)^0.5</f>
        <v>0</v>
      </c>
      <c r="L60" s="111">
        <f>Input!L227*(1+vanilla5)^0.5</f>
        <v>0</v>
      </c>
      <c r="M60" s="111">
        <f>Input!M227*(1+vanilla6)^0.5</f>
        <v>0</v>
      </c>
      <c r="N60" s="111">
        <f>Input!N227*(1+vanilla7)^0.5</f>
        <v>0</v>
      </c>
      <c r="O60" s="111">
        <f>Input!O227*(1+vanilla8)^0.5</f>
        <v>0</v>
      </c>
      <c r="P60" s="111">
        <f>Input!P227*(1+vanilla9)^0.5</f>
        <v>0</v>
      </c>
      <c r="Q60" s="111">
        <f>Input!Q227*(1+vanilla10)^0.5</f>
        <v>0</v>
      </c>
      <c r="R60" s="29"/>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100"/>
      <c r="BE60" s="100"/>
      <c r="BF60" s="100"/>
      <c r="BG60" s="100"/>
      <c r="BH60" s="100"/>
      <c r="BI60" s="100"/>
      <c r="BJ60" s="100"/>
      <c r="BK60" s="12"/>
      <c r="BL60" s="12"/>
    </row>
    <row r="61" spans="1:64" hidden="1" outlineLevel="1">
      <c r="A61" s="9"/>
      <c r="B61" s="9"/>
      <c r="C61" s="44"/>
      <c r="D61" s="270">
        <f>Asset18</f>
        <v>0</v>
      </c>
      <c r="E61" s="9"/>
      <c r="F61" s="9"/>
      <c r="G61" s="121"/>
      <c r="H61" s="111">
        <f>Input!H228*(1+vanilla1)^0.5</f>
        <v>0</v>
      </c>
      <c r="I61" s="111">
        <f>Input!I228*(1+vanilla2)^0.5</f>
        <v>0</v>
      </c>
      <c r="J61" s="111">
        <f>Input!J228*(1+vanilla3)^0.5</f>
        <v>0</v>
      </c>
      <c r="K61" s="111">
        <f>Input!K228*(1+vanilla4)^0.5</f>
        <v>0</v>
      </c>
      <c r="L61" s="111">
        <f>Input!L228*(1+vanilla5)^0.5</f>
        <v>0</v>
      </c>
      <c r="M61" s="111">
        <f>Input!M228*(1+vanilla6)^0.5</f>
        <v>0</v>
      </c>
      <c r="N61" s="111">
        <f>Input!N228*(1+vanilla7)^0.5</f>
        <v>0</v>
      </c>
      <c r="O61" s="111">
        <f>Input!O228*(1+vanilla8)^0.5</f>
        <v>0</v>
      </c>
      <c r="P61" s="111">
        <f>Input!P228*(1+vanilla9)^0.5</f>
        <v>0</v>
      </c>
      <c r="Q61" s="111">
        <f>Input!Q228*(1+vanilla10)^0.5</f>
        <v>0</v>
      </c>
      <c r="R61" s="29"/>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100"/>
      <c r="BE61" s="100"/>
      <c r="BF61" s="100"/>
      <c r="BG61" s="100"/>
      <c r="BH61" s="100"/>
      <c r="BI61" s="100"/>
      <c r="BJ61" s="100"/>
      <c r="BK61" s="12"/>
      <c r="BL61" s="12"/>
    </row>
    <row r="62" spans="1:64" hidden="1" outlineLevel="1">
      <c r="A62" s="9"/>
      <c r="B62" s="9"/>
      <c r="C62" s="44"/>
      <c r="D62" s="270">
        <f>Asset19</f>
        <v>0</v>
      </c>
      <c r="E62" s="9"/>
      <c r="F62" s="9"/>
      <c r="G62" s="121"/>
      <c r="H62" s="111">
        <f>Input!H229*(1+vanilla1)^0.5</f>
        <v>0</v>
      </c>
      <c r="I62" s="111">
        <f>Input!I229*(1+vanilla2)^0.5</f>
        <v>0</v>
      </c>
      <c r="J62" s="111">
        <f>Input!J229*(1+vanilla3)^0.5</f>
        <v>0</v>
      </c>
      <c r="K62" s="111">
        <f>Input!K229*(1+vanilla4)^0.5</f>
        <v>0</v>
      </c>
      <c r="L62" s="111">
        <f>Input!L229*(1+vanilla5)^0.5</f>
        <v>0</v>
      </c>
      <c r="M62" s="111">
        <f>Input!M229*(1+vanilla6)^0.5</f>
        <v>0</v>
      </c>
      <c r="N62" s="111">
        <f>Input!N229*(1+vanilla7)^0.5</f>
        <v>0</v>
      </c>
      <c r="O62" s="111">
        <f>Input!O229*(1+vanilla8)^0.5</f>
        <v>0</v>
      </c>
      <c r="P62" s="111">
        <f>Input!P229*(1+vanilla9)^0.5</f>
        <v>0</v>
      </c>
      <c r="Q62" s="111">
        <f>Input!Q229*(1+vanilla10)^0.5</f>
        <v>0</v>
      </c>
      <c r="R62" s="29"/>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100"/>
      <c r="BE62" s="100"/>
      <c r="BF62" s="100"/>
      <c r="BG62" s="100"/>
      <c r="BH62" s="100"/>
      <c r="BI62" s="100"/>
      <c r="BJ62" s="100"/>
      <c r="BK62" s="12"/>
      <c r="BL62" s="12"/>
    </row>
    <row r="63" spans="1:64" hidden="1" outlineLevel="1">
      <c r="A63" s="9"/>
      <c r="B63" s="9"/>
      <c r="C63" s="44"/>
      <c r="D63" s="270">
        <f>Asset20</f>
        <v>0</v>
      </c>
      <c r="E63" s="9"/>
      <c r="F63" s="9"/>
      <c r="G63" s="121"/>
      <c r="H63" s="111">
        <f>Input!H230*(1+vanilla1)^0.5</f>
        <v>0</v>
      </c>
      <c r="I63" s="111">
        <f>Input!I230*(1+vanilla2)^0.5</f>
        <v>0</v>
      </c>
      <c r="J63" s="111">
        <f>Input!J230*(1+vanilla3)^0.5</f>
        <v>0</v>
      </c>
      <c r="K63" s="111">
        <f>Input!K230*(1+vanilla4)^0.5</f>
        <v>0</v>
      </c>
      <c r="L63" s="111">
        <f>Input!L230*(1+vanilla5)^0.5</f>
        <v>0</v>
      </c>
      <c r="M63" s="111">
        <f>Input!M230*(1+vanilla6)^0.5</f>
        <v>0</v>
      </c>
      <c r="N63" s="111">
        <f>Input!N230*(1+vanilla7)^0.5</f>
        <v>0</v>
      </c>
      <c r="O63" s="111">
        <f>Input!O230*(1+vanilla8)^0.5</f>
        <v>0</v>
      </c>
      <c r="P63" s="111">
        <f>Input!P230*(1+vanilla9)^0.5</f>
        <v>0</v>
      </c>
      <c r="Q63" s="111">
        <f>Input!Q230*(1+vanilla10)^0.5</f>
        <v>0</v>
      </c>
      <c r="R63" s="29"/>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100"/>
      <c r="BE63" s="100"/>
      <c r="BF63" s="100"/>
      <c r="BG63" s="100"/>
      <c r="BH63" s="100"/>
      <c r="BI63" s="100"/>
      <c r="BJ63" s="100"/>
      <c r="BK63" s="12"/>
      <c r="BL63" s="12"/>
    </row>
    <row r="64" spans="1:64" hidden="1" outlineLevel="1">
      <c r="A64" s="9"/>
      <c r="B64" s="9"/>
      <c r="C64" s="44"/>
      <c r="D64" s="270">
        <f>Asset21</f>
        <v>0</v>
      </c>
      <c r="E64" s="9"/>
      <c r="F64" s="9"/>
      <c r="G64" s="121"/>
      <c r="H64" s="111">
        <f>Input!H231*(1+vanilla1)^0.5</f>
        <v>0</v>
      </c>
      <c r="I64" s="111">
        <f>Input!I231*(1+vanilla2)^0.5</f>
        <v>0</v>
      </c>
      <c r="J64" s="111">
        <f>Input!J231*(1+vanilla3)^0.5</f>
        <v>0</v>
      </c>
      <c r="K64" s="111">
        <f>Input!K231*(1+vanilla4)^0.5</f>
        <v>0</v>
      </c>
      <c r="L64" s="111">
        <f>Input!L231*(1+vanilla5)^0.5</f>
        <v>0</v>
      </c>
      <c r="M64" s="111">
        <f>Input!M231*(1+vanilla6)^0.5</f>
        <v>0</v>
      </c>
      <c r="N64" s="111">
        <f>Input!N231*(1+vanilla7)^0.5</f>
        <v>0</v>
      </c>
      <c r="O64" s="111">
        <f>Input!O231*(1+vanilla8)^0.5</f>
        <v>0</v>
      </c>
      <c r="P64" s="111">
        <f>Input!P231*(1+vanilla9)^0.5</f>
        <v>0</v>
      </c>
      <c r="Q64" s="111">
        <f>Input!Q231*(1+vanilla10)^0.5</f>
        <v>0</v>
      </c>
      <c r="R64" s="29"/>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100"/>
      <c r="BE64" s="100"/>
      <c r="BF64" s="100"/>
      <c r="BG64" s="100"/>
      <c r="BH64" s="100"/>
      <c r="BI64" s="100"/>
      <c r="BJ64" s="100"/>
      <c r="BK64" s="12"/>
      <c r="BL64" s="12"/>
    </row>
    <row r="65" spans="1:256" hidden="1" outlineLevel="1">
      <c r="A65" s="9"/>
      <c r="B65" s="9"/>
      <c r="C65" s="44"/>
      <c r="D65" s="270">
        <f>Asset22</f>
        <v>0</v>
      </c>
      <c r="E65" s="9"/>
      <c r="F65" s="9"/>
      <c r="G65" s="121"/>
      <c r="H65" s="111">
        <f>Input!H232*(1+vanilla1)^0.5</f>
        <v>0</v>
      </c>
      <c r="I65" s="111">
        <f>Input!I232*(1+vanilla2)^0.5</f>
        <v>0</v>
      </c>
      <c r="J65" s="111">
        <f>Input!J232*(1+vanilla3)^0.5</f>
        <v>0</v>
      </c>
      <c r="K65" s="111">
        <f>Input!K232*(1+vanilla4)^0.5</f>
        <v>0</v>
      </c>
      <c r="L65" s="111">
        <f>Input!L232*(1+vanilla5)^0.5</f>
        <v>0</v>
      </c>
      <c r="M65" s="111">
        <f>Input!M232*(1+vanilla6)^0.5</f>
        <v>0</v>
      </c>
      <c r="N65" s="111">
        <f>Input!N232*(1+vanilla7)^0.5</f>
        <v>0</v>
      </c>
      <c r="O65" s="111">
        <f>Input!O232*(1+vanilla8)^0.5</f>
        <v>0</v>
      </c>
      <c r="P65" s="111">
        <f>Input!P232*(1+vanilla9)^0.5</f>
        <v>0</v>
      </c>
      <c r="Q65" s="111">
        <f>Input!Q232*(1+vanilla10)^0.5</f>
        <v>0</v>
      </c>
      <c r="R65" s="29"/>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100"/>
      <c r="BE65" s="100"/>
      <c r="BF65" s="100"/>
      <c r="BG65" s="100"/>
      <c r="BH65" s="100"/>
      <c r="BI65" s="100"/>
      <c r="BJ65" s="100"/>
      <c r="BK65" s="12"/>
      <c r="BL65" s="12"/>
    </row>
    <row r="66" spans="1:256" hidden="1" outlineLevel="1">
      <c r="A66" s="9"/>
      <c r="B66" s="9"/>
      <c r="C66" s="44"/>
      <c r="D66" s="270">
        <f>Asset23</f>
        <v>0</v>
      </c>
      <c r="E66" s="9"/>
      <c r="F66" s="9"/>
      <c r="G66" s="121"/>
      <c r="H66" s="111">
        <f>Input!H233*(1+vanilla1)^0.5</f>
        <v>0</v>
      </c>
      <c r="I66" s="111">
        <f>Input!I233*(1+vanilla2)^0.5</f>
        <v>0</v>
      </c>
      <c r="J66" s="111">
        <f>Input!J233*(1+vanilla3)^0.5</f>
        <v>0</v>
      </c>
      <c r="K66" s="111">
        <f>Input!K233*(1+vanilla4)^0.5</f>
        <v>0</v>
      </c>
      <c r="L66" s="111">
        <f>Input!L233*(1+vanilla5)^0.5</f>
        <v>0</v>
      </c>
      <c r="M66" s="111">
        <f>Input!M233*(1+vanilla6)^0.5</f>
        <v>0</v>
      </c>
      <c r="N66" s="111">
        <f>Input!N233*(1+vanilla7)^0.5</f>
        <v>0</v>
      </c>
      <c r="O66" s="111">
        <f>Input!O233*(1+vanilla8)^0.5</f>
        <v>0</v>
      </c>
      <c r="P66" s="111">
        <f>Input!P233*(1+vanilla9)^0.5</f>
        <v>0</v>
      </c>
      <c r="Q66" s="111">
        <f>Input!Q233*(1+vanilla10)^0.5</f>
        <v>0</v>
      </c>
      <c r="R66" s="29"/>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100"/>
      <c r="BE66" s="100"/>
      <c r="BF66" s="100"/>
      <c r="BG66" s="100"/>
      <c r="BH66" s="100"/>
      <c r="BI66" s="100"/>
      <c r="BJ66" s="100"/>
      <c r="BK66" s="12"/>
      <c r="BL66" s="12"/>
    </row>
    <row r="67" spans="1:256" hidden="1" outlineLevel="1">
      <c r="A67" s="9"/>
      <c r="B67" s="9"/>
      <c r="C67" s="44"/>
      <c r="D67" s="270">
        <f>Asset24</f>
        <v>0</v>
      </c>
      <c r="E67" s="9"/>
      <c r="F67" s="9"/>
      <c r="G67" s="121"/>
      <c r="H67" s="111">
        <f>Input!H234*(1+vanilla1)^0.5</f>
        <v>0</v>
      </c>
      <c r="I67" s="111">
        <f>Input!I234*(1+vanilla2)^0.5</f>
        <v>0</v>
      </c>
      <c r="J67" s="111">
        <f>Input!J234*(1+vanilla3)^0.5</f>
        <v>0</v>
      </c>
      <c r="K67" s="111">
        <f>Input!K234*(1+vanilla4)^0.5</f>
        <v>0</v>
      </c>
      <c r="L67" s="111">
        <f>Input!L234*(1+vanilla5)^0.5</f>
        <v>0</v>
      </c>
      <c r="M67" s="111">
        <f>Input!M234*(1+vanilla6)^0.5</f>
        <v>0</v>
      </c>
      <c r="N67" s="111">
        <f>Input!N234*(1+vanilla7)^0.5</f>
        <v>0</v>
      </c>
      <c r="O67" s="111">
        <f>Input!O234*(1+vanilla8)^0.5</f>
        <v>0</v>
      </c>
      <c r="P67" s="111">
        <f>Input!P234*(1+vanilla9)^0.5</f>
        <v>0</v>
      </c>
      <c r="Q67" s="111">
        <f>Input!Q234*(1+vanilla10)^0.5</f>
        <v>0</v>
      </c>
      <c r="R67" s="29"/>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100"/>
      <c r="BE67" s="100"/>
      <c r="BF67" s="100"/>
      <c r="BG67" s="100"/>
      <c r="BH67" s="100"/>
      <c r="BI67" s="100"/>
      <c r="BJ67" s="100"/>
      <c r="BK67" s="12"/>
      <c r="BL67" s="12"/>
    </row>
    <row r="68" spans="1:256" hidden="1" outlineLevel="1">
      <c r="A68" s="9"/>
      <c r="B68" s="9"/>
      <c r="C68" s="44"/>
      <c r="D68" s="270">
        <f>Asset25</f>
        <v>0</v>
      </c>
      <c r="E68" s="9"/>
      <c r="F68" s="9"/>
      <c r="G68" s="121"/>
      <c r="H68" s="111">
        <f>Input!H235*(1+vanilla1)^0.5</f>
        <v>0</v>
      </c>
      <c r="I68" s="111">
        <f>Input!I235*(1+vanilla2)^0.5</f>
        <v>0</v>
      </c>
      <c r="J68" s="111">
        <f>Input!J235*(1+vanilla3)^0.5</f>
        <v>0</v>
      </c>
      <c r="K68" s="111">
        <f>Input!K235*(1+vanilla4)^0.5</f>
        <v>0</v>
      </c>
      <c r="L68" s="111">
        <f>Input!L235*(1+vanilla5)^0.5</f>
        <v>0</v>
      </c>
      <c r="M68" s="111">
        <f>Input!M235*(1+vanilla6)^0.5</f>
        <v>0</v>
      </c>
      <c r="N68" s="111">
        <f>Input!N235*(1+vanilla7)^0.5</f>
        <v>0</v>
      </c>
      <c r="O68" s="111">
        <f>Input!O235*(1+vanilla8)^0.5</f>
        <v>0</v>
      </c>
      <c r="P68" s="111">
        <f>Input!P235*(1+vanilla9)^0.5</f>
        <v>0</v>
      </c>
      <c r="Q68" s="111">
        <f>Input!Q235*(1+vanilla10)^0.5</f>
        <v>0</v>
      </c>
      <c r="R68" s="29"/>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100"/>
      <c r="BE68" s="100"/>
      <c r="BF68" s="100"/>
      <c r="BG68" s="100"/>
      <c r="BH68" s="100"/>
      <c r="BI68" s="100"/>
      <c r="BJ68" s="100"/>
      <c r="BK68" s="12"/>
      <c r="BL68" s="12"/>
    </row>
    <row r="69" spans="1:256" hidden="1" outlineLevel="1">
      <c r="A69" s="9"/>
      <c r="B69" s="9"/>
      <c r="C69" s="44"/>
      <c r="D69" s="270">
        <f>Asset26</f>
        <v>0</v>
      </c>
      <c r="E69" s="9"/>
      <c r="F69" s="9"/>
      <c r="G69" s="121"/>
      <c r="H69" s="111">
        <f>Input!H236*(1+vanilla1)^0.5</f>
        <v>0</v>
      </c>
      <c r="I69" s="111">
        <f>Input!I236*(1+vanilla2)^0.5</f>
        <v>0</v>
      </c>
      <c r="J69" s="111">
        <f>Input!J236*(1+vanilla3)^0.5</f>
        <v>0</v>
      </c>
      <c r="K69" s="111">
        <f>Input!K236*(1+vanilla4)^0.5</f>
        <v>0</v>
      </c>
      <c r="L69" s="111">
        <f>Input!L236*(1+vanilla5)^0.5</f>
        <v>0</v>
      </c>
      <c r="M69" s="111">
        <f>Input!M236*(1+vanilla6)^0.5</f>
        <v>0</v>
      </c>
      <c r="N69" s="111">
        <f>Input!N236*(1+vanilla7)^0.5</f>
        <v>0</v>
      </c>
      <c r="O69" s="111">
        <f>Input!O236*(1+vanilla8)^0.5</f>
        <v>0</v>
      </c>
      <c r="P69" s="111">
        <f>Input!P236*(1+vanilla9)^0.5</f>
        <v>0</v>
      </c>
      <c r="Q69" s="111">
        <f>Input!Q236*(1+vanilla10)^0.5</f>
        <v>0</v>
      </c>
      <c r="R69" s="29"/>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100"/>
      <c r="BE69" s="100"/>
      <c r="BF69" s="100"/>
      <c r="BG69" s="100"/>
      <c r="BH69" s="100"/>
      <c r="BI69" s="100"/>
      <c r="BJ69" s="100"/>
      <c r="BK69" s="12"/>
      <c r="BL69" s="12"/>
    </row>
    <row r="70" spans="1:256" hidden="1" outlineLevel="1">
      <c r="A70" s="9"/>
      <c r="B70" s="9"/>
      <c r="C70" s="44"/>
      <c r="D70" s="270">
        <f>Asset27</f>
        <v>0</v>
      </c>
      <c r="E70" s="9"/>
      <c r="F70" s="9"/>
      <c r="G70" s="121"/>
      <c r="H70" s="111">
        <f>Input!H237*(1+vanilla1)^0.5</f>
        <v>0</v>
      </c>
      <c r="I70" s="111">
        <f>Input!I237*(1+vanilla2)^0.5</f>
        <v>0</v>
      </c>
      <c r="J70" s="111">
        <f>Input!J237*(1+vanilla3)^0.5</f>
        <v>0</v>
      </c>
      <c r="K70" s="111">
        <f>Input!K237*(1+vanilla4)^0.5</f>
        <v>0</v>
      </c>
      <c r="L70" s="111">
        <f>Input!L237*(1+vanilla5)^0.5</f>
        <v>0</v>
      </c>
      <c r="M70" s="111">
        <f>Input!M237*(1+vanilla6)^0.5</f>
        <v>0</v>
      </c>
      <c r="N70" s="111">
        <f>Input!N237*(1+vanilla7)^0.5</f>
        <v>0</v>
      </c>
      <c r="O70" s="111">
        <f>Input!O237*(1+vanilla8)^0.5</f>
        <v>0</v>
      </c>
      <c r="P70" s="111">
        <f>Input!P237*(1+vanilla9)^0.5</f>
        <v>0</v>
      </c>
      <c r="Q70" s="111">
        <f>Input!Q237*(1+vanilla10)^0.5</f>
        <v>0</v>
      </c>
      <c r="R70" s="29"/>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100"/>
      <c r="BE70" s="100"/>
      <c r="BF70" s="100"/>
      <c r="BG70" s="100"/>
      <c r="BH70" s="100"/>
      <c r="BI70" s="100"/>
      <c r="BJ70" s="100"/>
      <c r="BK70" s="12"/>
      <c r="BL70" s="12"/>
    </row>
    <row r="71" spans="1:256" hidden="1" outlineLevel="1">
      <c r="A71" s="9"/>
      <c r="B71" s="9"/>
      <c r="C71" s="44"/>
      <c r="D71" s="270">
        <f>Asset28</f>
        <v>0</v>
      </c>
      <c r="E71" s="9"/>
      <c r="F71" s="9"/>
      <c r="G71" s="121"/>
      <c r="H71" s="111">
        <f>Input!H238*(1+vanilla1)^0.5</f>
        <v>0</v>
      </c>
      <c r="I71" s="111">
        <f>Input!I238*(1+vanilla2)^0.5</f>
        <v>0</v>
      </c>
      <c r="J71" s="111">
        <f>Input!J238*(1+vanilla3)^0.5</f>
        <v>0</v>
      </c>
      <c r="K71" s="111">
        <f>Input!K238*(1+vanilla4)^0.5</f>
        <v>0</v>
      </c>
      <c r="L71" s="111">
        <f>Input!L238*(1+vanilla5)^0.5</f>
        <v>0</v>
      </c>
      <c r="M71" s="111">
        <f>Input!M238*(1+vanilla6)^0.5</f>
        <v>0</v>
      </c>
      <c r="N71" s="111">
        <f>Input!N238*(1+vanilla7)^0.5</f>
        <v>0</v>
      </c>
      <c r="O71" s="111">
        <f>Input!O238*(1+vanilla8)^0.5</f>
        <v>0</v>
      </c>
      <c r="P71" s="111">
        <f>Input!P238*(1+vanilla9)^0.5</f>
        <v>0</v>
      </c>
      <c r="Q71" s="111">
        <f>Input!Q238*(1+vanilla10)^0.5</f>
        <v>0</v>
      </c>
      <c r="R71" s="29"/>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100"/>
      <c r="BE71" s="100"/>
      <c r="BF71" s="100"/>
      <c r="BG71" s="100"/>
      <c r="BH71" s="100"/>
      <c r="BI71" s="100"/>
      <c r="BJ71" s="100"/>
      <c r="BK71" s="12"/>
      <c r="BL71" s="12"/>
    </row>
    <row r="72" spans="1:256" hidden="1" outlineLevel="1">
      <c r="A72" s="9"/>
      <c r="B72" s="9"/>
      <c r="C72" s="44"/>
      <c r="D72" s="270">
        <f>Asset29</f>
        <v>0</v>
      </c>
      <c r="E72" s="9"/>
      <c r="F72" s="9"/>
      <c r="G72" s="121"/>
      <c r="H72" s="111">
        <f>Input!H239*(1+vanilla1)^0.5</f>
        <v>0</v>
      </c>
      <c r="I72" s="111">
        <f>Input!I239*(1+vanilla2)^0.5</f>
        <v>0</v>
      </c>
      <c r="J72" s="111">
        <f>Input!J239*(1+vanilla3)^0.5</f>
        <v>0</v>
      </c>
      <c r="K72" s="111">
        <f>Input!K239*(1+vanilla4)^0.5</f>
        <v>0</v>
      </c>
      <c r="L72" s="111">
        <f>Input!L239*(1+vanilla5)^0.5</f>
        <v>0</v>
      </c>
      <c r="M72" s="111">
        <f>Input!M239*(1+vanilla6)^0.5</f>
        <v>0</v>
      </c>
      <c r="N72" s="111">
        <f>Input!N239*(1+vanilla7)^0.5</f>
        <v>0</v>
      </c>
      <c r="O72" s="111">
        <f>Input!O239*(1+vanilla8)^0.5</f>
        <v>0</v>
      </c>
      <c r="P72" s="111">
        <f>Input!P239*(1+vanilla9)^0.5</f>
        <v>0</v>
      </c>
      <c r="Q72" s="111">
        <f>Input!Q239*(1+vanilla10)^0.5</f>
        <v>0</v>
      </c>
      <c r="R72" s="29"/>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100"/>
      <c r="BE72" s="100"/>
      <c r="BF72" s="100"/>
      <c r="BG72" s="100"/>
      <c r="BH72" s="100"/>
      <c r="BI72" s="100"/>
      <c r="BJ72" s="100"/>
      <c r="BK72" s="12"/>
      <c r="BL72" s="12"/>
    </row>
    <row r="73" spans="1:256" hidden="1" outlineLevel="1">
      <c r="A73" s="9"/>
      <c r="B73" s="9"/>
      <c r="C73" s="44"/>
      <c r="D73" s="270">
        <f>Asset30</f>
        <v>0</v>
      </c>
      <c r="E73" s="9"/>
      <c r="F73" s="9"/>
      <c r="G73" s="121"/>
      <c r="H73" s="111">
        <f>Input!H240*(1+vanilla1)^0.5</f>
        <v>0</v>
      </c>
      <c r="I73" s="111">
        <f>Input!I240*(1+vanilla2)^0.5</f>
        <v>0</v>
      </c>
      <c r="J73" s="111">
        <f>Input!J240*(1+vanilla3)^0.5</f>
        <v>0</v>
      </c>
      <c r="K73" s="111">
        <f>Input!K240*(1+vanilla4)^0.5</f>
        <v>0</v>
      </c>
      <c r="L73" s="111">
        <f>Input!L240*(1+vanilla5)^0.5</f>
        <v>0</v>
      </c>
      <c r="M73" s="111">
        <f>Input!M240*(1+vanilla6)^0.5</f>
        <v>0</v>
      </c>
      <c r="N73" s="111">
        <f>Input!N240*(1+vanilla7)^0.5</f>
        <v>0</v>
      </c>
      <c r="O73" s="111">
        <f>Input!O240*(1+vanilla8)^0.5</f>
        <v>0</v>
      </c>
      <c r="P73" s="111">
        <f>Input!P240*(1+vanilla9)^0.5</f>
        <v>0</v>
      </c>
      <c r="Q73" s="111">
        <f>Input!Q240*(1+vanilla10)^0.5</f>
        <v>0</v>
      </c>
      <c r="R73" s="29"/>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100"/>
      <c r="BE73" s="100"/>
      <c r="BF73" s="100"/>
      <c r="BG73" s="100"/>
      <c r="BH73" s="100"/>
      <c r="BI73" s="100"/>
      <c r="BJ73" s="100"/>
      <c r="BK73" s="12"/>
      <c r="BL73" s="12"/>
    </row>
    <row r="74" spans="1:256" collapsed="1">
      <c r="A74" s="9"/>
      <c r="B74" s="9"/>
      <c r="C74" s="44"/>
      <c r="D74" s="127"/>
      <c r="E74" s="9"/>
      <c r="F74" s="9"/>
      <c r="G74" s="121"/>
      <c r="H74" s="111"/>
      <c r="I74" s="111"/>
      <c r="J74" s="111"/>
      <c r="K74" s="111"/>
      <c r="L74" s="111"/>
      <c r="M74" s="111"/>
      <c r="N74" s="111"/>
      <c r="O74" s="111"/>
      <c r="P74" s="111"/>
      <c r="Q74" s="111"/>
      <c r="R74" s="29"/>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100"/>
      <c r="BE74" s="100"/>
      <c r="BF74" s="100"/>
      <c r="BG74" s="100"/>
      <c r="BH74" s="100"/>
      <c r="BI74" s="100"/>
      <c r="BJ74" s="100"/>
      <c r="BK74" s="12"/>
      <c r="BL74" s="12"/>
    </row>
    <row r="75" spans="1:256">
      <c r="A75" s="9"/>
      <c r="B75" s="9"/>
      <c r="C75" s="9" t="s">
        <v>30</v>
      </c>
      <c r="D75" s="9"/>
      <c r="E75" s="9"/>
      <c r="F75" s="9"/>
      <c r="G75" s="115"/>
      <c r="H75" s="337">
        <f>H88+H101+H114+H127+H140+H153+H166+H179+H192+H205+H218+H231+H244+H257+H270+H283+H296+H309+H322+H335+H348+H361+H374+H387+H400+H413+H426+H439+H452+H465</f>
        <v>-87.356436846088698</v>
      </c>
      <c r="I75" s="337">
        <f>I88+I101+I114+I127+I140+I153+I166+I179+I192+I205+I218+I231+I244+I257+I270+I283+I296+I309+I322+I335+I348+I361+I374+I387+I400+I413+I426+I439+I452+I465</f>
        <v>-89.049736322788448</v>
      </c>
      <c r="J75" s="337">
        <f t="shared" ref="J75:P75" si="3">J88+J101+J114+J127+J140+J153+J166+J179+J192+J205+J218+J231+J244+J257+J270+J283+J296+J309+J322+J335+J348+J361+J374+J387+J400+J413+J426+J439+J452+J465</f>
        <v>-93.301502656480523</v>
      </c>
      <c r="K75" s="337">
        <f t="shared" si="3"/>
        <v>-97.549753990563744</v>
      </c>
      <c r="L75" s="337">
        <f t="shared" si="3"/>
        <v>-102.27018559511274</v>
      </c>
      <c r="M75" s="337">
        <f>M88+M101+M114+M127+M140+M153+M166+M179+M192+M205+M218+M231+M244+M257+M270+M283+M296+M309+M322+M335+M348+M361+M374+M387+M400+M413+M426+M439+M452+M465</f>
        <v>-109.34996665937524</v>
      </c>
      <c r="N75" s="337">
        <f t="shared" si="3"/>
        <v>0</v>
      </c>
      <c r="O75" s="337">
        <f t="shared" si="3"/>
        <v>0</v>
      </c>
      <c r="P75" s="337">
        <f t="shared" si="3"/>
        <v>0</v>
      </c>
      <c r="Q75" s="337">
        <f>Q88+Q101+Q114+Q127+Q140+Q153+Q166+Q179+Q192+Q205+Q218+Q231+Q244+Q257+Q270+Q283+Q296+Q309+Q322+Q335+Q348+Q361+Q374+Q387+Q400+Q413+Q426+Q439+Q452+Q465</f>
        <v>0</v>
      </c>
      <c r="R75" s="9"/>
      <c r="S75" s="9"/>
      <c r="U75" s="9"/>
      <c r="V75" s="9"/>
      <c r="W75" s="9"/>
      <c r="X75" s="9"/>
      <c r="Y75" s="9"/>
      <c r="Z75" s="9"/>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9"/>
      <c r="BE75" s="9"/>
      <c r="BF75" s="9"/>
      <c r="BG75" s="9"/>
      <c r="BH75" s="9"/>
      <c r="BI75" s="9"/>
      <c r="BJ75" s="9"/>
      <c r="BK75" s="9"/>
      <c r="BL75" s="9"/>
    </row>
    <row r="76" spans="1:256" s="5" customFormat="1" ht="12.75" hidden="1" customHeight="1" outlineLevel="2">
      <c r="A76" s="9"/>
      <c r="B76" s="9"/>
      <c r="C76" s="272" t="str">
        <f>Asset1</f>
        <v>Secondary</v>
      </c>
      <c r="D76" s="31"/>
      <c r="E76" s="32" t="s">
        <v>26</v>
      </c>
      <c r="F76" s="31"/>
      <c r="G76" s="33"/>
      <c r="H76" s="338">
        <f>IF(H$3&gt;A1remlife,A1value-$G$630-SUM($G76:G76),IF(A1remlife="N/A","n/a",(A1value-$G$630)/A1remlife))</f>
        <v>14.36615889304078</v>
      </c>
      <c r="I76" s="68">
        <f>IF(I$3&gt;A1remlife,A1value-$G$630-SUM($G76:H76),IF(A1remlife="N/A","n/a",(A1value-$G$630)/A1remlife))</f>
        <v>14.36615889304078</v>
      </c>
      <c r="J76" s="68">
        <f>IF(J$3&gt;A1remlife,A1value-$G$630-SUM($G76:I76),IF(A1remlife="N/A","n/a",(A1value-$G$630)/A1remlife))</f>
        <v>14.36615889304078</v>
      </c>
      <c r="K76" s="68">
        <f>IF(K$3&gt;A1remlife,A1value-$G$630-SUM($G76:J76),IF(A1remlife="N/A","n/a",(A1value-$G$630)/A1remlife))</f>
        <v>14.36615889304078</v>
      </c>
      <c r="L76" s="68">
        <f>IF(L$3&gt;A1remlife,A1value-$G$630-SUM($G76:K76),IF(A1remlife="N/A","n/a",(A1value-$G$630)/A1remlife))</f>
        <v>14.36615889304078</v>
      </c>
      <c r="M76" s="68">
        <f>IF(M$3&gt;A1remlife,A1value-$G$630-SUM($G76:L76),IF(A1remlife="N/A","n/a",(A1value-$G$630)/A1remlife))</f>
        <v>14.36615889304078</v>
      </c>
      <c r="N76" s="68">
        <f>IF(N$3&gt;A1remlife,A1value-$G$630-SUM($G76:M76),IF(A1remlife="N/A","n/a",(A1value-$G$630)/A1remlife))</f>
        <v>14.36615889304078</v>
      </c>
      <c r="O76" s="68">
        <f>IF(O$3&gt;A1remlife,A1value-$G$630-SUM($G76:N76),IF(A1remlife="N/A","n/a",(A1value-$G$630)/A1remlife))</f>
        <v>14.36615889304078</v>
      </c>
      <c r="P76" s="68">
        <f>IF(P$3&gt;A1remlife,A1value-$G$630-SUM($G76:O76),IF(A1remlife="N/A","n/a",(A1value-$G$630)/A1remlife))</f>
        <v>14.36615889304078</v>
      </c>
      <c r="Q76" s="68">
        <f>IF(Q$3&gt;A1remlife,A1value-$G$630-SUM($G76:P76),IF(A1remlife="N/A","n/a",(A1value-$G$630)/A1remlife))</f>
        <v>13.40402299559176</v>
      </c>
      <c r="R76" s="34"/>
      <c r="S76" s="101"/>
      <c r="T76" s="35"/>
      <c r="U76" s="101"/>
      <c r="V76" s="101"/>
      <c r="W76" s="101"/>
      <c r="X76" s="101"/>
      <c r="Y76" s="101"/>
      <c r="Z76" s="10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101"/>
      <c r="BE76" s="101"/>
      <c r="BF76" s="101"/>
      <c r="BG76" s="101"/>
      <c r="BH76" s="101"/>
      <c r="BI76" s="101"/>
      <c r="BJ76" s="101"/>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26"/>
      <c r="D77" s="25"/>
      <c r="E77" s="391" t="s">
        <v>82</v>
      </c>
      <c r="F77" s="87"/>
      <c r="G77" s="27"/>
      <c r="H77" s="116"/>
      <c r="I77" s="116"/>
      <c r="J77" s="116"/>
      <c r="K77" s="116"/>
      <c r="L77" s="116"/>
      <c r="M77" s="116"/>
      <c r="N77" s="45"/>
      <c r="O77" s="45"/>
      <c r="P77" s="45"/>
      <c r="Q77" s="45"/>
      <c r="R77" s="45"/>
      <c r="S77" s="101"/>
      <c r="T77" s="101"/>
      <c r="U77" s="101"/>
      <c r="V77" s="101"/>
      <c r="W77" s="101"/>
      <c r="X77" s="101"/>
      <c r="Y77" s="101"/>
      <c r="Z77" s="10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101"/>
      <c r="BE77" s="101"/>
      <c r="BF77" s="101"/>
      <c r="BG77" s="101"/>
      <c r="BH77" s="101"/>
      <c r="BI77" s="101"/>
      <c r="BJ77" s="101"/>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26"/>
      <c r="D78" s="25"/>
      <c r="E78" s="392"/>
      <c r="F78" s="87">
        <v>1</v>
      </c>
      <c r="G78" s="27"/>
      <c r="H78" s="145"/>
      <c r="I78" s="353">
        <f>IF(A1stdlife="n/a","n/a",IF(I$3&gt;(A1stdlife+$F78),(Input!$H$211*(1+vanilla1)^0.5)-SUM($H78:H78),(Input!$H$211*(1+vanilla1)^0.5)/A1stdlife))</f>
        <v>0.48640335412220836</v>
      </c>
      <c r="J78" s="69">
        <f>IF(A1stdlife="n/a","n/a",IF(J$3&gt;(A1stdlife+$F78),(Input!$H$211*(1+vanilla1)^0.5)-SUM($H78:I78),(Input!$H$211*(1+vanilla1)^0.5)/A1stdlife))</f>
        <v>0.48640335412220836</v>
      </c>
      <c r="K78" s="69">
        <f>IF(A1stdlife="n/a","n/a",IF(K$3&gt;(A1stdlife+$F78),(Input!$H$211*(1+vanilla1)^0.5)-SUM($H78:J78),(Input!$H$211*(1+vanilla1)^0.5)/A1stdlife))</f>
        <v>0.48640335412220836</v>
      </c>
      <c r="L78" s="69">
        <f>IF(A1stdlife="n/a","n/a",IF(L$3&gt;(A1stdlife+$F78),(Input!$H$211*(1+vanilla1)^0.5)-SUM($H78:K78),(Input!$H$211*(1+vanilla1)^0.5)/A1stdlife))</f>
        <v>0.48640335412220836</v>
      </c>
      <c r="M78" s="69">
        <f>IF(A1stdlife="n/a","n/a",IF(M$3&gt;(A1stdlife+$F78),(Input!$H$211*(1+vanilla1)^0.5)-SUM($H78:L78),(Input!$H$211*(1+vanilla1)^0.5)/A1stdlife))</f>
        <v>0.48640335412220836</v>
      </c>
      <c r="N78" s="69">
        <f>IF(A1stdlife="n/a","n/a",IF(N$3&gt;(A1stdlife+$F78),(Input!$H$211*(1+vanilla1)^0.5)-SUM($H78:M78),(Input!$H$211*(1+vanilla1)^0.5)/A1stdlife))</f>
        <v>0.48640335412220836</v>
      </c>
      <c r="O78" s="69">
        <f>IF(A1stdlife="n/a","n/a",IF(O$3&gt;(A1stdlife+$F78),(Input!$H$211*(1+vanilla1)^0.5)-SUM($H78:N78),(Input!$H$211*(1+vanilla1)^0.5)/A1stdlife))</f>
        <v>0.48640335412220836</v>
      </c>
      <c r="P78" s="69">
        <f>IF(A1stdlife="n/a","n/a",IF(P$3&gt;(A1stdlife+$F78),(Input!$H$211*(1+vanilla1)^0.5)-SUM($H78:O78),(Input!$H$211*(1+vanilla1)^0.5)/A1stdlife))</f>
        <v>0.48640335412220836</v>
      </c>
      <c r="Q78" s="69">
        <f>IF(A1stdlife="n/a","n/a",IF(Q$3&gt;(A1stdlife+$F78),(Input!$H$211*(1+vanilla1)^0.5)-SUM($H78:P78),(Input!$H$211*(1+vanilla1)^0.5)/A1stdlife))</f>
        <v>0.48640335412220836</v>
      </c>
      <c r="R78" s="30"/>
      <c r="S78" s="101"/>
      <c r="T78" s="101"/>
      <c r="U78" s="101"/>
      <c r="V78" s="101"/>
      <c r="W78" s="101"/>
      <c r="X78" s="101"/>
      <c r="Y78" s="101"/>
      <c r="Z78" s="10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101"/>
      <c r="BE78" s="101"/>
      <c r="BF78" s="101"/>
      <c r="BG78" s="101"/>
      <c r="BH78" s="101"/>
      <c r="BI78" s="101"/>
      <c r="BJ78" s="101"/>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26"/>
      <c r="D79" s="25"/>
      <c r="E79" s="392"/>
      <c r="F79" s="87">
        <v>2</v>
      </c>
      <c r="G79" s="27"/>
      <c r="H79" s="146"/>
      <c r="I79" s="147"/>
      <c r="J79" s="353">
        <f>IF(A1stdlife="n/a","n/a",IF(J$3&gt;(A1stdlife+$F79),(Input!$I$211*(1+vanilla2)^0.5)-SUM($I79:I79),(Input!$I$211*(1+vanilla2)^0.5)/A1stdlife))</f>
        <v>0.19155170374549757</v>
      </c>
      <c r="K79" s="69">
        <f>IF(A1stdlife="n/a","n/a",IF(K$3&gt;(A1stdlife+$F79),(Input!$I$211*(1+vanilla2)^0.5)-SUM($I79:J79),(Input!$I$211*(1+vanilla2)^0.5)/A1stdlife))</f>
        <v>0.19155170374549757</v>
      </c>
      <c r="L79" s="69">
        <f>IF(A1stdlife="n/a","n/a",IF(L$3&gt;(A1stdlife+$F79),(Input!$I$211*(1+vanilla2)^0.5)-SUM($I79:K79),(Input!$I$211*(1+vanilla2)^0.5)/A1stdlife))</f>
        <v>0.19155170374549757</v>
      </c>
      <c r="M79" s="69">
        <f>IF(A1stdlife="n/a","n/a",IF(M$3&gt;(A1stdlife+$F79),(Input!$I$211*(1+vanilla2)^0.5)-SUM($I79:L79),(Input!$I$211*(1+vanilla2)^0.5)/A1stdlife))</f>
        <v>0.19155170374549757</v>
      </c>
      <c r="N79" s="69">
        <f>IF(A1stdlife="n/a","n/a",IF(N$3&gt;(A1stdlife+$F79),(Input!$I$211*(1+vanilla2)^0.5)-SUM($I79:M79),(Input!$I$211*(1+vanilla2)^0.5)/A1stdlife))</f>
        <v>0.19155170374549757</v>
      </c>
      <c r="O79" s="69">
        <f>IF(A1stdlife="n/a","n/a",IF(O$3&gt;(A1stdlife+$F79),(Input!$I$211*(1+vanilla2)^0.5)-SUM($I79:N79),(Input!$I$211*(1+vanilla2)^0.5)/A1stdlife))</f>
        <v>0.19155170374549757</v>
      </c>
      <c r="P79" s="69">
        <f>IF(A1stdlife="n/a","n/a",IF(P$3&gt;(A1stdlife+$F79),(Input!$I$211*(1+vanilla2)^0.5)-SUM($I79:O79),(Input!$I$211*(1+vanilla2)^0.5)/A1stdlife))</f>
        <v>0.19155170374549757</v>
      </c>
      <c r="Q79" s="69">
        <f>IF(A1stdlife="n/a","n/a",IF(Q$3&gt;(A1stdlife+$F79),(Input!$I$211*(1+vanilla2)^0.5)-SUM($I79:P79),(Input!$I$211*(1+vanilla2)^0.5)/A1stdlife))</f>
        <v>0.19155170374549757</v>
      </c>
      <c r="R79" s="30"/>
      <c r="S79" s="101"/>
      <c r="T79" s="101"/>
      <c r="U79" s="101"/>
      <c r="V79" s="101"/>
      <c r="W79" s="101"/>
      <c r="X79" s="101"/>
      <c r="Y79" s="101"/>
      <c r="Z79" s="10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101"/>
      <c r="BE79" s="101"/>
      <c r="BF79" s="101"/>
      <c r="BG79" s="101"/>
      <c r="BH79" s="101"/>
      <c r="BI79" s="101"/>
      <c r="BJ79" s="101"/>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26"/>
      <c r="D80" s="25"/>
      <c r="E80" s="392"/>
      <c r="F80" s="87">
        <v>3</v>
      </c>
      <c r="G80" s="27"/>
      <c r="H80" s="146"/>
      <c r="I80" s="148"/>
      <c r="J80" s="147"/>
      <c r="K80" s="69">
        <f>IF(A1stdlife="n/a","n/a",IF(K$3&gt;(A1stdlife+$F80),(Input!$J$211*(1+vanilla3)^0.5)-SUM($J80:J80),(Input!$J$211*(1+vanilla3)^0.5)/A1stdlife))</f>
        <v>0.68548123254159921</v>
      </c>
      <c r="L80" s="69">
        <f>IF(A1stdlife="n/a","n/a",IF(L$3&gt;(A1stdlife+$F80),(Input!$J$211*(1+vanilla3)^0.5)-SUM($J80:K80),(Input!$J$211*(1+vanilla3)^0.5)/A1stdlife))</f>
        <v>0.68548123254159921</v>
      </c>
      <c r="M80" s="69">
        <f>IF(A1stdlife="n/a","n/a",IF(M$3&gt;(A1stdlife+$F80),(Input!$J$211*(1+vanilla3)^0.5)-SUM($J80:L80),(Input!$J$211*(1+vanilla3)^0.5)/A1stdlife))</f>
        <v>0.68548123254159921</v>
      </c>
      <c r="N80" s="69">
        <f>IF(A1stdlife="n/a","n/a",IF(N$3&gt;(A1stdlife+$F80),(Input!$J$211*(1+vanilla3)^0.5)-SUM($J80:M80),(Input!$J$211*(1+vanilla3)^0.5)/A1stdlife))</f>
        <v>0.68548123254159921</v>
      </c>
      <c r="O80" s="69">
        <f>IF(A1stdlife="n/a","n/a",IF(O$3&gt;(A1stdlife+$F80),(Input!$J$211*(1+vanilla3)^0.5)-SUM($J80:N80),(Input!$J$211*(1+vanilla3)^0.5)/A1stdlife))</f>
        <v>0.68548123254159921</v>
      </c>
      <c r="P80" s="69">
        <f>IF(A1stdlife="n/a","n/a",IF(P$3&gt;(A1stdlife+$F80),(Input!$J$211*(1+vanilla3)^0.5)-SUM($J80:O80),(Input!$J$211*(1+vanilla3)^0.5)/A1stdlife))</f>
        <v>0.68548123254159921</v>
      </c>
      <c r="Q80" s="69">
        <f>IF(A1stdlife="n/a","n/a",IF(Q$3&gt;(A1stdlife+$F80),(Input!$J$211*(1+vanilla3)^0.5)-SUM($J80:P80),(Input!$J$211*(1+vanilla3)^0.5)/A1stdlife))</f>
        <v>0.68548123254159921</v>
      </c>
      <c r="R80" s="30"/>
      <c r="S80" s="101"/>
      <c r="T80" s="101"/>
      <c r="U80" s="101"/>
      <c r="V80" s="101"/>
      <c r="W80" s="101"/>
      <c r="X80" s="101"/>
      <c r="Y80" s="101"/>
      <c r="Z80" s="10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101"/>
      <c r="BE80" s="101"/>
      <c r="BF80" s="101"/>
      <c r="BG80" s="101"/>
      <c r="BH80" s="101"/>
      <c r="BI80" s="101"/>
      <c r="BJ80" s="101"/>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26"/>
      <c r="D81" s="25"/>
      <c r="E81" s="392"/>
      <c r="F81" s="87">
        <v>4</v>
      </c>
      <c r="G81" s="27"/>
      <c r="H81" s="146"/>
      <c r="I81" s="148"/>
      <c r="J81" s="148"/>
      <c r="K81" s="147"/>
      <c r="L81" s="69">
        <f>IF(A1stdlife="n/a","n/a",IF(L$3&gt;(A1stdlife+$F81),(Input!$K$211*(1+vanilla4)^0.5)-SUM($K81:K81),(Input!$K$211*(1+vanilla4)^0.5)/A1stdlife))</f>
        <v>0.74252021938088331</v>
      </c>
      <c r="M81" s="69">
        <f>IF(A1stdlife="n/a","n/a",IF(M$3&gt;(A1stdlife+$F81),(Input!$K$211*(1+vanilla4)^0.5)-SUM($K81:L81),(Input!$K$211*(1+vanilla4)^0.5)/A1stdlife))</f>
        <v>0.74252021938088331</v>
      </c>
      <c r="N81" s="69">
        <f>IF(A1stdlife="n/a","n/a",IF(N$3&gt;(A1stdlife+$F81),(Input!$K$211*(1+vanilla4)^0.5)-SUM($K81:M81),(Input!$K$211*(1+vanilla4)^0.5)/A1stdlife))</f>
        <v>0.74252021938088331</v>
      </c>
      <c r="O81" s="69">
        <f>IF(A1stdlife="n/a","n/a",IF(O$3&gt;(A1stdlife+$F81),(Input!$K$211*(1+vanilla4)^0.5)-SUM($K81:N81),(Input!$K$211*(1+vanilla4)^0.5)/A1stdlife))</f>
        <v>0.74252021938088331</v>
      </c>
      <c r="P81" s="69">
        <f>IF(A1stdlife="n/a","n/a",IF(P$3&gt;(A1stdlife+$F81),(Input!$K$211*(1+vanilla4)^0.5)-SUM($K81:O81),(Input!$K$211*(1+vanilla4)^0.5)/A1stdlife))</f>
        <v>0.74252021938088331</v>
      </c>
      <c r="Q81" s="69">
        <f>IF(A1stdlife="n/a","n/a",IF(Q$3&gt;(A1stdlife+$F81),(Input!$K$211*(1+vanilla4)^0.5)-SUM($K81:P81),(Input!$K$211*(1+vanilla4)^0.5)/A1stdlife))</f>
        <v>0.74252021938088331</v>
      </c>
      <c r="R81" s="30"/>
      <c r="S81" s="101"/>
      <c r="T81" s="101"/>
      <c r="U81" s="101"/>
      <c r="V81" s="101"/>
      <c r="W81" s="101"/>
      <c r="X81" s="101"/>
      <c r="Y81" s="101"/>
      <c r="Z81" s="10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101"/>
      <c r="BE81" s="101"/>
      <c r="BF81" s="101"/>
      <c r="BG81" s="101"/>
      <c r="BH81" s="101"/>
      <c r="BI81" s="101"/>
      <c r="BJ81" s="101"/>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hidden="1" customHeight="1" outlineLevel="2">
      <c r="A82" s="9"/>
      <c r="B82" s="9"/>
      <c r="C82" s="26"/>
      <c r="D82" s="25"/>
      <c r="E82" s="392"/>
      <c r="F82" s="87">
        <v>5</v>
      </c>
      <c r="G82" s="27"/>
      <c r="H82" s="223"/>
      <c r="I82" s="224"/>
      <c r="J82" s="224"/>
      <c r="K82" s="224"/>
      <c r="L82" s="225"/>
      <c r="M82" s="30">
        <f>IF(A1stdlife="n/a","n/a",IF(M$3&gt;(A1stdlife+$F82),(Input!$L$211*(1+vanilla5)^0.5)-SUM($L82:L82),(Input!$L$211*(1+vanilla5)^0.5)/A1stdlife))</f>
        <v>1.7669921501817432</v>
      </c>
      <c r="N82" s="30">
        <f>IF(A1stdlife="n/a","n/a",IF(N$3&gt;(A1stdlife+$F82),(Input!$L$211*(1+vanilla5)^0.5)-SUM($L82:M82),(Input!$L$211*(1+vanilla5)^0.5)/A1stdlife))</f>
        <v>1.7669921501817432</v>
      </c>
      <c r="O82" s="30">
        <f>IF(A1stdlife="n/a","n/a",IF(O$3&gt;(A1stdlife+$F82),(Input!$L$211*(1+vanilla5)^0.5)-SUM($L82:N82),(Input!$L$211*(1+vanilla5)^0.5)/A1stdlife))</f>
        <v>1.7669921501817432</v>
      </c>
      <c r="P82" s="30">
        <f>IF(A1stdlife="n/a","n/a",IF(P$3&gt;(A1stdlife+$F82),(Input!$L$211*(1+vanilla5)^0.5)-SUM($L82:O82),(Input!$L$211*(1+vanilla5)^0.5)/A1stdlife))</f>
        <v>1.7669921501817432</v>
      </c>
      <c r="Q82" s="30">
        <f>IF(A1stdlife="n/a","n/a",IF(Q$3&gt;(A1stdlife+$F82),(Input!$L$211*(1+vanilla5)^0.5)-SUM($L82:P82),(Input!$L$211*(1+vanilla5)^0.5)/A1stdlife))</f>
        <v>1.7669921501817432</v>
      </c>
      <c r="R82" s="30"/>
      <c r="S82" s="101"/>
      <c r="T82" s="101"/>
      <c r="U82" s="101"/>
      <c r="V82" s="101"/>
      <c r="W82" s="101"/>
      <c r="X82" s="101"/>
      <c r="Y82" s="101"/>
      <c r="Z82" s="10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101"/>
      <c r="BE82" s="101"/>
      <c r="BF82" s="101"/>
      <c r="BG82" s="101"/>
      <c r="BH82" s="101"/>
      <c r="BI82" s="101"/>
      <c r="BJ82" s="101"/>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26"/>
      <c r="D83" s="25"/>
      <c r="E83" s="392"/>
      <c r="F83" s="87">
        <v>6</v>
      </c>
      <c r="G83" s="27"/>
      <c r="H83" s="223"/>
      <c r="I83" s="224"/>
      <c r="J83" s="224"/>
      <c r="K83" s="224"/>
      <c r="L83" s="224"/>
      <c r="M83" s="225"/>
      <c r="N83" s="30">
        <f>IF(A1stdlife="n/a","n/a",IF(N$3&gt;(A1stdlife+$F83),(Input!$M$211*(1+vanilla6)^0.5)-SUM($M83:M83),(Input!$M$211*(1+vanilla6)^0.5)/A1stdlife))</f>
        <v>1.1575291245660952</v>
      </c>
      <c r="O83" s="30">
        <f>IF(A1stdlife="n/a","n/a",IF(O$3&gt;(A1stdlife+$F83),(Input!$M$211*(1+vanilla6)^0.5)-SUM($M83:N83),(Input!$M$211*(1+vanilla6)^0.5)/A1stdlife))</f>
        <v>1.1575291245660952</v>
      </c>
      <c r="P83" s="30">
        <f>IF(A1stdlife="n/a","n/a",IF(P$3&gt;(A1stdlife+$F83),(Input!$M$211*(1+vanilla6)^0.5)-SUM($M83:O83),(Input!$M$211*(1+vanilla6)^0.5)/A1stdlife))</f>
        <v>1.1575291245660952</v>
      </c>
      <c r="Q83" s="30">
        <f>IF(A1stdlife="n/a","n/a",IF(Q$3&gt;(A1stdlife+$F83),(Input!$M$211*(1+vanilla6)^0.5)-SUM($M83:P83),(Input!$M$211*(1+vanilla6)^0.5)/A1stdlife))</f>
        <v>1.1575291245660952</v>
      </c>
      <c r="R83" s="30"/>
      <c r="S83" s="101"/>
      <c r="T83" s="101"/>
      <c r="U83" s="101"/>
      <c r="V83" s="101"/>
      <c r="W83" s="101"/>
      <c r="X83" s="101"/>
      <c r="Y83" s="101"/>
      <c r="Z83" s="10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101"/>
      <c r="BE83" s="101"/>
      <c r="BF83" s="101"/>
      <c r="BG83" s="101"/>
      <c r="BH83" s="101"/>
      <c r="BI83" s="101"/>
      <c r="BJ83" s="101"/>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26"/>
      <c r="D84" s="25"/>
      <c r="E84" s="392"/>
      <c r="F84" s="87">
        <v>7</v>
      </c>
      <c r="G84" s="27"/>
      <c r="H84" s="223"/>
      <c r="I84" s="224"/>
      <c r="J84" s="224"/>
      <c r="K84" s="224"/>
      <c r="L84" s="224"/>
      <c r="M84" s="224"/>
      <c r="N84" s="225"/>
      <c r="O84" s="30">
        <f>IF(A1stdlife="n/a","n/a",IF(O$3&gt;(A1stdlife+$F84),(Input!$N$211*(1+vanilla7)^0.5)-SUM($N84:N84),(Input!$N$211*(1+vanilla7)^0.5)/A1stdlife))</f>
        <v>0</v>
      </c>
      <c r="P84" s="30">
        <f>IF(A1stdlife="n/a","n/a",IF(P$3&gt;(A1stdlife+$F84),(Input!$N$211*(1+vanilla7)^0.5)-SUM($N84:O84),(Input!$N$211*(1+vanilla7)^0.5)/A1stdlife))</f>
        <v>0</v>
      </c>
      <c r="Q84" s="30">
        <f>IF(A1stdlife="n/a","n/a",IF(Q$3&gt;(A1stdlife+$F84),(Input!$N$211*(1+vanilla7)^0.5)-SUM($N84:P84),(Input!$N$211*(1+vanilla7)^0.5)/A1stdlife))</f>
        <v>0</v>
      </c>
      <c r="R84" s="30"/>
      <c r="S84" s="101"/>
      <c r="T84" s="101"/>
      <c r="U84" s="101"/>
      <c r="V84" s="101"/>
      <c r="W84" s="101"/>
      <c r="X84" s="101"/>
      <c r="Y84" s="101"/>
      <c r="Z84" s="10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101"/>
      <c r="BE84" s="101"/>
      <c r="BF84" s="101"/>
      <c r="BG84" s="101"/>
      <c r="BH84" s="101"/>
      <c r="BI84" s="101"/>
      <c r="BJ84" s="101"/>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26"/>
      <c r="D85" s="25"/>
      <c r="E85" s="392"/>
      <c r="F85" s="87">
        <v>8</v>
      </c>
      <c r="G85" s="27"/>
      <c r="H85" s="223"/>
      <c r="I85" s="224"/>
      <c r="J85" s="224"/>
      <c r="K85" s="224"/>
      <c r="L85" s="224"/>
      <c r="M85" s="224"/>
      <c r="N85" s="224"/>
      <c r="O85" s="225"/>
      <c r="P85" s="30">
        <f>IF(A1stdlife="n/a","n/a",IF(P$3&gt;(A1stdlife+$F85),(Input!$O$211*(1+vanilla8)^0.5)-SUM($O85:O85),(Input!$O$211*(1+vanilla8)^0.5)/A1stdlife))</f>
        <v>0</v>
      </c>
      <c r="Q85" s="30">
        <f>IF(A1stdlife="n/a","n/a",IF(Q$3&gt;(A1stdlife+$F85),(Input!$O$211*(1+vanilla8)^0.5)-SUM($O85:P85),(Input!$O$211*(1+vanilla8)^0.5)/A1stdlife))</f>
        <v>0</v>
      </c>
      <c r="R85" s="30"/>
      <c r="S85" s="101"/>
      <c r="T85" s="101"/>
      <c r="U85" s="101"/>
      <c r="V85" s="101"/>
      <c r="W85" s="101"/>
      <c r="X85" s="101"/>
      <c r="Y85" s="101"/>
      <c r="Z85" s="10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101"/>
      <c r="BE85" s="101"/>
      <c r="BF85" s="101"/>
      <c r="BG85" s="101"/>
      <c r="BH85" s="101"/>
      <c r="BI85" s="101"/>
      <c r="BJ85" s="101"/>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26"/>
      <c r="D86" s="25"/>
      <c r="E86" s="392"/>
      <c r="F86" s="87">
        <v>9</v>
      </c>
      <c r="G86" s="27"/>
      <c r="H86" s="223"/>
      <c r="I86" s="224"/>
      <c r="J86" s="224"/>
      <c r="K86" s="224"/>
      <c r="L86" s="224"/>
      <c r="M86" s="224"/>
      <c r="N86" s="224"/>
      <c r="O86" s="224"/>
      <c r="P86" s="225"/>
      <c r="Q86" s="30">
        <f>IF(A1stdlife="n/a","n/a",IF(Q$3&gt;(A1stdlife+$F86),(Input!$P$211*(1+vanilla9)^0.5)-SUM($P86:P86),(Input!$P$211*(1+vanilla9)^0.5)/A1stdlife))</f>
        <v>0</v>
      </c>
      <c r="R86" s="30"/>
      <c r="S86" s="101"/>
      <c r="T86" s="101"/>
      <c r="U86" s="101"/>
      <c r="V86" s="101"/>
      <c r="W86" s="101"/>
      <c r="X86" s="101"/>
      <c r="Y86" s="101"/>
      <c r="Z86" s="10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101"/>
      <c r="BE86" s="101"/>
      <c r="BF86" s="101"/>
      <c r="BG86" s="101"/>
      <c r="BH86" s="101"/>
      <c r="BI86" s="101"/>
      <c r="BJ86" s="101"/>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26"/>
      <c r="D87" s="25"/>
      <c r="E87" s="392"/>
      <c r="F87" s="88">
        <v>10</v>
      </c>
      <c r="G87" s="27"/>
      <c r="H87" s="223"/>
      <c r="I87" s="224"/>
      <c r="J87" s="224"/>
      <c r="K87" s="224"/>
      <c r="L87" s="224"/>
      <c r="M87" s="224"/>
      <c r="N87" s="224"/>
      <c r="O87" s="224"/>
      <c r="P87" s="224"/>
      <c r="Q87" s="225"/>
      <c r="R87" s="30"/>
      <c r="S87" s="101"/>
      <c r="T87" s="101"/>
      <c r="U87" s="101"/>
      <c r="V87" s="101"/>
      <c r="W87" s="101"/>
      <c r="X87" s="101"/>
      <c r="Y87" s="101"/>
      <c r="Z87" s="10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101"/>
      <c r="BE87" s="101"/>
      <c r="BF87" s="101"/>
      <c r="BG87" s="101"/>
      <c r="BH87" s="101"/>
      <c r="BI87" s="101"/>
      <c r="BJ87" s="101"/>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ollapsed="1">
      <c r="A88" s="9"/>
      <c r="B88" s="9"/>
      <c r="C88" s="9"/>
      <c r="D88" s="271" t="str">
        <f>Asset1</f>
        <v>Secondary</v>
      </c>
      <c r="E88" s="9"/>
      <c r="F88" s="9"/>
      <c r="G88" s="121"/>
      <c r="H88" s="161">
        <f t="shared" ref="H88:M88" si="4">-SUM(H76:H87)</f>
        <v>-14.36615889304078</v>
      </c>
      <c r="I88" s="161">
        <f t="shared" si="4"/>
        <v>-14.852562247162988</v>
      </c>
      <c r="J88" s="161">
        <f t="shared" si="4"/>
        <v>-15.044113950908486</v>
      </c>
      <c r="K88" s="161">
        <f t="shared" si="4"/>
        <v>-15.729595183450085</v>
      </c>
      <c r="L88" s="161">
        <f t="shared" si="4"/>
        <v>-16.472115402830969</v>
      </c>
      <c r="M88" s="161">
        <f t="shared" si="4"/>
        <v>-18.239107553012712</v>
      </c>
      <c r="N88" s="161">
        <f>IF(COUNT($H88:M88)&gt;=Input!$Y$7,0, -SUM(N76:N87))</f>
        <v>0</v>
      </c>
      <c r="O88" s="161">
        <f>IF(COUNT($H88:N88)&gt;=Input!$Y$7,0, -SUM(O76:O87))</f>
        <v>0</v>
      </c>
      <c r="P88" s="161">
        <f>IF(COUNT($H88:O88)&gt;=Input!$Y$7,0, -SUM(P76:P87))</f>
        <v>0</v>
      </c>
      <c r="Q88" s="161">
        <f>IF(COUNT($H88:P88)&gt;=Input!$Y$7,0, -SUM(Q76:Q87))</f>
        <v>0</v>
      </c>
      <c r="R88" s="65"/>
      <c r="S88" s="102"/>
      <c r="T88" s="101"/>
      <c r="U88" s="102"/>
      <c r="V88" s="102"/>
      <c r="W88" s="102"/>
      <c r="X88" s="102"/>
      <c r="Y88" s="102"/>
      <c r="Z88" s="102"/>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102"/>
      <c r="BE88" s="102"/>
      <c r="BF88" s="102"/>
      <c r="BG88" s="102"/>
      <c r="BH88" s="102"/>
      <c r="BI88" s="102"/>
      <c r="BJ88" s="102"/>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272" t="str">
        <f>Asset2</f>
        <v>Switchgear</v>
      </c>
      <c r="D89" s="158"/>
      <c r="E89" s="32" t="s">
        <v>26</v>
      </c>
      <c r="F89" s="31"/>
      <c r="G89" s="177"/>
      <c r="H89" s="68">
        <f>IF(H$3&gt;A2remlife,A2value-$G$631-SUM($G89:G89),IF(A2remlife="N/A","n/a",(A2value-$G$631)/A2remlife))</f>
        <v>12.519047793330843</v>
      </c>
      <c r="I89" s="68">
        <f>IF(I$3&gt;A2remlife,A2value-$G$631-SUM($G89:H89),IF(A2remlife="N/A","n/a",(A2value-$G$631)/A2remlife))</f>
        <v>12.519047793330843</v>
      </c>
      <c r="J89" s="68">
        <f>IF(J$3&gt;A2remlife,A2value-$G$631-SUM($G89:I89),IF(A2remlife="N/A","n/a",(A2value-$G$631)/A2remlife))</f>
        <v>12.519047793330843</v>
      </c>
      <c r="K89" s="68">
        <f>IF(K$3&gt;A2remlife,A2value-$G$631-SUM($G89:J89),IF(A2remlife="N/A","n/a",(A2value-$G$631)/A2remlife))</f>
        <v>12.519047793330843</v>
      </c>
      <c r="L89" s="68">
        <f>IF(L$3&gt;A2remlife,A2value-$G$631-SUM($G89:K89),IF(A2remlife="N/A","n/a",(A2value-$G$631)/A2remlife))</f>
        <v>12.519047793330843</v>
      </c>
      <c r="M89" s="68">
        <f>IF(M$3&gt;A2remlife,A2value-$G$631-SUM($G89:L89),IF(A2remlife="N/A","n/a",(A2value-$G$631)/A2remlife))</f>
        <v>12.519047793330843</v>
      </c>
      <c r="N89" s="68">
        <f>IF(N$3&gt;A2remlife,A2value-$G$631-SUM($G89:M89),IF(A2remlife="N/A","n/a",(A2value-$G$631)/A2remlife))</f>
        <v>12.519047793330843</v>
      </c>
      <c r="O89" s="68">
        <f>IF(O$3&gt;A2remlife,A2value-$G$631-SUM($G89:N89),IF(A2remlife="N/A","n/a",(A2value-$G$631)/A2remlife))</f>
        <v>12.519047793330843</v>
      </c>
      <c r="P89" s="68">
        <f>IF(P$3&gt;A2remlife,A2value-$G$631-SUM($G89:O89),IF(A2remlife="N/A","n/a",(A2value-$G$631)/A2remlife))</f>
        <v>12.519047793330843</v>
      </c>
      <c r="Q89" s="68">
        <f>IF(Q$3&gt;A2remlife,A2value-$G$631-SUM($G89:P89),IF(A2remlife="N/A","n/a",(A2value-$G$631)/A2remlife))</f>
        <v>12.519047793330843</v>
      </c>
      <c r="R89" s="68"/>
      <c r="S89" s="103"/>
      <c r="T89" s="103"/>
      <c r="U89" s="103"/>
      <c r="V89" s="103"/>
      <c r="W89" s="103"/>
      <c r="X89" s="103"/>
      <c r="Y89" s="103"/>
      <c r="Z89" s="103"/>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6"/>
      <c r="E90" s="391" t="s">
        <v>82</v>
      </c>
      <c r="F90" s="87"/>
      <c r="G90" s="121"/>
      <c r="H90" s="69"/>
      <c r="I90" s="69"/>
      <c r="J90" s="69"/>
      <c r="K90" s="69"/>
      <c r="L90" s="69"/>
      <c r="M90" s="160"/>
      <c r="N90" s="112"/>
      <c r="O90" s="69"/>
      <c r="P90" s="69"/>
      <c r="Q90" s="69"/>
      <c r="R90" s="69"/>
      <c r="S90" s="103"/>
      <c r="T90" s="103"/>
      <c r="U90" s="103"/>
      <c r="V90" s="103"/>
      <c r="W90" s="103"/>
      <c r="X90" s="103"/>
      <c r="Y90" s="103"/>
      <c r="Z90" s="103"/>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92"/>
      <c r="F91" s="87">
        <v>1</v>
      </c>
      <c r="G91" s="121"/>
      <c r="H91" s="145"/>
      <c r="I91" s="69">
        <f>IF(A2stdlife="n/a","n/a",IF(I$3&gt;(A2stdlife+$F91),(Input!$H$212*(1+vanilla1)^0.5)-SUM($H91:H91),(Input!$H$212*(1+vanilla1)^0.5)/A2stdlife))</f>
        <v>0.14163523559189325</v>
      </c>
      <c r="J91" s="69">
        <f>IF(A2stdlife="n/a","n/a",IF(J$3&gt;(A2stdlife+$F91),(Input!$H$212*(1+vanilla1)^0.5)-SUM($H91:I91),(Input!$H$212*(1+vanilla1)^0.5)/A2stdlife))</f>
        <v>0.14163523559189325</v>
      </c>
      <c r="K91" s="69">
        <f>IF(A2stdlife="n/a","n/a",IF(K$3&gt;(A2stdlife+$F91),(Input!$H$212*(1+vanilla1)^0.5)-SUM($H91:J91),(Input!$H$212*(1+vanilla1)^0.5)/A2stdlife))</f>
        <v>0.14163523559189325</v>
      </c>
      <c r="L91" s="69">
        <f>IF(A2stdlife="n/a","n/a",IF(L$3&gt;(A2stdlife+$F91),(Input!$H$212*(1+vanilla1)^0.5)-SUM($H91:K91),(Input!$H$212*(1+vanilla1)^0.5)/A2stdlife))</f>
        <v>0.14163523559189325</v>
      </c>
      <c r="M91" s="69">
        <f>IF(A2stdlife="n/a","n/a",IF(M$3&gt;(A2stdlife+$F91),(Input!$H$212*(1+vanilla1)^0.5)-SUM($H91:L91),(Input!$H$212*(1+vanilla1)^0.5)/A2stdlife))</f>
        <v>0.14163523559189325</v>
      </c>
      <c r="N91" s="69">
        <f>IF(A2stdlife="n/a","n/a",IF(N$3&gt;(A2stdlife+$F91),(Input!$H$212*(1+vanilla1)^0.5)-SUM($H91:M91),(Input!$H$212*(1+vanilla1)^0.5)/A2stdlife))</f>
        <v>0.14163523559189325</v>
      </c>
      <c r="O91" s="69">
        <f>IF(A2stdlife="n/a","n/a",IF(O$3&gt;(A2stdlife+$F91),(Input!$H$212*(1+vanilla1)^0.5)-SUM($H91:N91),(Input!$H$212*(1+vanilla1)^0.5)/A2stdlife))</f>
        <v>0.14163523559189325</v>
      </c>
      <c r="P91" s="69">
        <f>IF(A2stdlife="n/a","n/a",IF(P$3&gt;(A2stdlife+$F91),(Input!$H$212*(1+vanilla1)^0.5)-SUM($H91:O91),(Input!$H$212*(1+vanilla1)^0.5)/A2stdlife))</f>
        <v>0.14163523559189325</v>
      </c>
      <c r="Q91" s="69">
        <f>IF(A2stdlife="n/a","n/a",IF(Q$3&gt;(A2stdlife+$F91),(Input!$H$212*(1+vanilla1)^0.5)-SUM($H91:P91),(Input!$H$212*(1+vanilla1)^0.5)/A2stdlife))</f>
        <v>0.14163523559189325</v>
      </c>
      <c r="R91" s="69"/>
      <c r="S91" s="103"/>
      <c r="T91" s="103"/>
      <c r="U91" s="103"/>
      <c r="V91" s="103"/>
      <c r="W91" s="103"/>
      <c r="X91" s="103"/>
      <c r="Y91" s="103"/>
      <c r="Z91" s="103"/>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92"/>
      <c r="F92" s="87">
        <v>2</v>
      </c>
      <c r="G92" s="121"/>
      <c r="H92" s="146"/>
      <c r="I92" s="147"/>
      <c r="J92" s="69">
        <f>IF(A2stdlife="n/a","n/a",IF(J$3&gt;(A2stdlife+$F92),(Input!$I$212*(1+vanilla2)^0.5)-SUM($I92:I92),(Input!$I$212*(1+vanilla2)^0.5)/A2stdlife))</f>
        <v>0.56921825580487739</v>
      </c>
      <c r="K92" s="69">
        <f>IF(A2stdlife="n/a","n/a",IF(K$3&gt;(A2stdlife+$F92),(Input!$I$212*(1+vanilla2)^0.5)-SUM($I92:J92),(Input!$I$212*(1+vanilla2)^0.5)/A2stdlife))</f>
        <v>0.56921825580487739</v>
      </c>
      <c r="L92" s="69">
        <f>IF(A2stdlife="n/a","n/a",IF(L$3&gt;(A2stdlife+$F92),(Input!$I$212*(1+vanilla2)^0.5)-SUM($I92:K92),(Input!$I$212*(1+vanilla2)^0.5)/A2stdlife))</f>
        <v>0.56921825580487739</v>
      </c>
      <c r="M92" s="69">
        <f>IF(A2stdlife="n/a","n/a",IF(M$3&gt;(A2stdlife+$F92),(Input!$I$212*(1+vanilla2)^0.5)-SUM($I92:L92),(Input!$I$212*(1+vanilla2)^0.5)/A2stdlife))</f>
        <v>0.56921825580487739</v>
      </c>
      <c r="N92" s="69">
        <f>IF(A2stdlife="n/a","n/a",IF(N$3&gt;(A2stdlife+$F92),(Input!$I$212*(1+vanilla2)^0.5)-SUM($I92:M92),(Input!$I$212*(1+vanilla2)^0.5)/A2stdlife))</f>
        <v>0.56921825580487739</v>
      </c>
      <c r="O92" s="69">
        <f>IF(A2stdlife="n/a","n/a",IF(O$3&gt;(A2stdlife+$F92),(Input!$I$212*(1+vanilla2)^0.5)-SUM($I92:N92),(Input!$I$212*(1+vanilla2)^0.5)/A2stdlife))</f>
        <v>0.56921825580487739</v>
      </c>
      <c r="P92" s="69">
        <f>IF(A2stdlife="n/a","n/a",IF(P$3&gt;(A2stdlife+$F92),(Input!$I$212*(1+vanilla2)^0.5)-SUM($I92:O92),(Input!$I$212*(1+vanilla2)^0.5)/A2stdlife))</f>
        <v>0.56921825580487739</v>
      </c>
      <c r="Q92" s="69">
        <f>IF(A2stdlife="n/a","n/a",IF(Q$3&gt;(A2stdlife+$F92),(Input!$I$212*(1+vanilla2)^0.5)-SUM($I92:P92),(Input!$I$212*(1+vanilla2)^0.5)/A2stdlife))</f>
        <v>0.56921825580487739</v>
      </c>
      <c r="R92" s="69"/>
      <c r="S92" s="103"/>
      <c r="T92" s="103"/>
      <c r="U92" s="103"/>
      <c r="V92" s="103"/>
      <c r="W92" s="103"/>
      <c r="X92" s="103"/>
      <c r="Y92" s="103"/>
      <c r="Z92" s="103"/>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92"/>
      <c r="F93" s="87">
        <v>3</v>
      </c>
      <c r="G93" s="121"/>
      <c r="H93" s="146"/>
      <c r="I93" s="148"/>
      <c r="J93" s="147"/>
      <c r="K93" s="69">
        <f>IF(A2stdlife="n/a","n/a",IF(K$3&gt;(A2stdlife+$F93),(Input!$J$212*(1+vanilla3)^0.5)-SUM($J93:J93),(Input!$J$212*(1+vanilla3)^0.5)/A2stdlife))</f>
        <v>1.0428543965941317</v>
      </c>
      <c r="L93" s="69">
        <f>IF(A2stdlife="n/a","n/a",IF(L$3&gt;(A2stdlife+$F93),(Input!$J$212*(1+vanilla3)^0.5)-SUM($J93:K93),(Input!$J$212*(1+vanilla3)^0.5)/A2stdlife))</f>
        <v>1.0428543965941317</v>
      </c>
      <c r="M93" s="69">
        <f>IF(A2stdlife="n/a","n/a",IF(M$3&gt;(A2stdlife+$F93),(Input!$J$212*(1+vanilla3)^0.5)-SUM($J93:L93),(Input!$J$212*(1+vanilla3)^0.5)/A2stdlife))</f>
        <v>1.0428543965941317</v>
      </c>
      <c r="N93" s="69">
        <f>IF(A2stdlife="n/a","n/a",IF(N$3&gt;(A2stdlife+$F93),(Input!$J$212*(1+vanilla3)^0.5)-SUM($J93:M93),(Input!$J$212*(1+vanilla3)^0.5)/A2stdlife))</f>
        <v>1.0428543965941317</v>
      </c>
      <c r="O93" s="69">
        <f>IF(A2stdlife="n/a","n/a",IF(O$3&gt;(A2stdlife+$F93),(Input!$J$212*(1+vanilla3)^0.5)-SUM($J93:N93),(Input!$J$212*(1+vanilla3)^0.5)/A2stdlife))</f>
        <v>1.0428543965941317</v>
      </c>
      <c r="P93" s="69">
        <f>IF(A2stdlife="n/a","n/a",IF(P$3&gt;(A2stdlife+$F93),(Input!$J$212*(1+vanilla3)^0.5)-SUM($J93:O93),(Input!$J$212*(1+vanilla3)^0.5)/A2stdlife))</f>
        <v>1.0428543965941317</v>
      </c>
      <c r="Q93" s="69">
        <f>IF(A2stdlife="n/a","n/a",IF(Q$3&gt;(A2stdlife+$F93),(Input!$J$212*(1+vanilla3)^0.5)-SUM($J93:P93),(Input!$J$212*(1+vanilla3)^0.5)/A2stdlife))</f>
        <v>1.0428543965941317</v>
      </c>
      <c r="R93" s="69"/>
      <c r="S93" s="103"/>
      <c r="T93" s="103"/>
      <c r="U93" s="103"/>
      <c r="V93" s="103"/>
      <c r="W93" s="103"/>
      <c r="X93" s="103"/>
      <c r="Y93" s="103"/>
      <c r="Z93" s="103"/>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92"/>
      <c r="F94" s="87">
        <v>4</v>
      </c>
      <c r="G94" s="121"/>
      <c r="H94" s="146"/>
      <c r="I94" s="148"/>
      <c r="J94" s="148"/>
      <c r="K94" s="147"/>
      <c r="L94" s="69">
        <f>IF(A2stdlife="n/a","n/a",IF(L$3&gt;(A2stdlife+$F94),(Input!$K$212*(1+vanilla4)^0.5)-SUM($K94:K94),(Input!$K$212*(1+vanilla4)^0.5)/A2stdlife))</f>
        <v>0.68546232281064179</v>
      </c>
      <c r="M94" s="69">
        <f>IF(A2stdlife="n/a","n/a",IF(M$3&gt;(A2stdlife+$F94),(Input!$K$212*(1+vanilla4)^0.5)-SUM($K94:L94),(Input!$K$212*(1+vanilla4)^0.5)/A2stdlife))</f>
        <v>0.68546232281064179</v>
      </c>
      <c r="N94" s="69">
        <f>IF(A2stdlife="n/a","n/a",IF(N$3&gt;(A2stdlife+$F94),(Input!$K$212*(1+vanilla4)^0.5)-SUM($K94:M94),(Input!$K$212*(1+vanilla4)^0.5)/A2stdlife))</f>
        <v>0.68546232281064179</v>
      </c>
      <c r="O94" s="69">
        <f>IF(A2stdlife="n/a","n/a",IF(O$3&gt;(A2stdlife+$F94),(Input!$K$212*(1+vanilla4)^0.5)-SUM($K94:N94),(Input!$K$212*(1+vanilla4)^0.5)/A2stdlife))</f>
        <v>0.68546232281064179</v>
      </c>
      <c r="P94" s="69">
        <f>IF(A2stdlife="n/a","n/a",IF(P$3&gt;(A2stdlife+$F94),(Input!$K$212*(1+vanilla4)^0.5)-SUM($K94:O94),(Input!$K$212*(1+vanilla4)^0.5)/A2stdlife))</f>
        <v>0.68546232281064179</v>
      </c>
      <c r="Q94" s="69">
        <f>IF(A2stdlife="n/a","n/a",IF(Q$3&gt;(A2stdlife+$F94),(Input!$K$212*(1+vanilla4)^0.5)-SUM($K94:P94),(Input!$K$212*(1+vanilla4)^0.5)/A2stdlife))</f>
        <v>0.68546232281064179</v>
      </c>
      <c r="R94" s="69"/>
      <c r="S94" s="103"/>
      <c r="T94" s="103"/>
      <c r="U94" s="103"/>
      <c r="V94" s="103"/>
      <c r="W94" s="103"/>
      <c r="X94" s="103"/>
      <c r="Y94" s="103"/>
      <c r="Z94" s="103"/>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9"/>
      <c r="B95" s="9"/>
      <c r="C95" s="9"/>
      <c r="D95" s="26"/>
      <c r="E95" s="392"/>
      <c r="F95" s="87">
        <v>5</v>
      </c>
      <c r="G95" s="121"/>
      <c r="H95" s="146"/>
      <c r="I95" s="148"/>
      <c r="J95" s="148"/>
      <c r="K95" s="148"/>
      <c r="L95" s="147"/>
      <c r="M95" s="69">
        <f>IF(A2stdlife="n/a","n/a",IF(M$3&gt;(A2stdlife+$F95),(Input!$L$212*(1+vanilla5)^0.5)-SUM($L95:L95),(Input!$L$212*(1+vanilla5)^0.5)/A2stdlife))</f>
        <v>0.55398646200370227</v>
      </c>
      <c r="N95" s="69">
        <f>IF(A2stdlife="n/a","n/a",IF(N$3&gt;(A2stdlife+$F95),(Input!$L$212*(1+vanilla5)^0.5)-SUM($L95:M95),(Input!$L$212*(1+vanilla5)^0.5)/A2stdlife))</f>
        <v>0.55398646200370227</v>
      </c>
      <c r="O95" s="69">
        <f>IF(A2stdlife="n/a","n/a",IF(O$3&gt;(A2stdlife+$F95),(Input!$L$212*(1+vanilla5)^0.5)-SUM($L95:N95),(Input!$L$212*(1+vanilla5)^0.5)/A2stdlife))</f>
        <v>0.55398646200370227</v>
      </c>
      <c r="P95" s="69">
        <f>IF(A2stdlife="n/a","n/a",IF(P$3&gt;(A2stdlife+$F95),(Input!$L$212*(1+vanilla5)^0.5)-SUM($L95:O95),(Input!$L$212*(1+vanilla5)^0.5)/A2stdlife))</f>
        <v>0.55398646200370227</v>
      </c>
      <c r="Q95" s="69">
        <f>IF(A2stdlife="n/a","n/a",IF(Q$3&gt;(A2stdlife+$F95),(Input!$L$212*(1+vanilla5)^0.5)-SUM($L95:P95),(Input!$L$212*(1+vanilla5)^0.5)/A2stdlife))</f>
        <v>0.55398646200370227</v>
      </c>
      <c r="R95" s="69"/>
      <c r="S95" s="103"/>
      <c r="T95" s="103"/>
      <c r="U95" s="103"/>
      <c r="V95" s="103"/>
      <c r="W95" s="103"/>
      <c r="X95" s="103"/>
      <c r="Y95" s="103"/>
      <c r="Z95" s="103"/>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103"/>
      <c r="BE95" s="103"/>
      <c r="BF95" s="103"/>
      <c r="BG95" s="103"/>
      <c r="BH95" s="103"/>
      <c r="BI95" s="103"/>
      <c r="BJ95" s="103"/>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9"/>
      <c r="D96" s="26"/>
      <c r="E96" s="392"/>
      <c r="F96" s="87">
        <v>6</v>
      </c>
      <c r="G96" s="121"/>
      <c r="H96" s="146"/>
      <c r="I96" s="148"/>
      <c r="J96" s="148"/>
      <c r="K96" s="148"/>
      <c r="L96" s="148"/>
      <c r="M96" s="147"/>
      <c r="N96" s="69">
        <f>IF(A2stdlife="n/a","n/a",IF(N$3&gt;(A2stdlife+$F96),(Input!$M$212*(1+vanilla6)^0.5)-SUM($M96:M96),(Input!$M$212*(1+vanilla6)^0.5)/A2stdlife))</f>
        <v>0.84471855735306622</v>
      </c>
      <c r="O96" s="69">
        <f>IF(A2stdlife="n/a","n/a",IF(O$3&gt;(A2stdlife+$F96),(Input!$M$212*(1+vanilla6)^0.5)-SUM($M96:N96),(Input!$M$212*(1+vanilla6)^0.5)/A2stdlife))</f>
        <v>0.84471855735306622</v>
      </c>
      <c r="P96" s="69">
        <f>IF(A2stdlife="n/a","n/a",IF(P$3&gt;(A2stdlife+$F96),(Input!$M$212*(1+vanilla6)^0.5)-SUM($M96:O96),(Input!$M$212*(1+vanilla6)^0.5)/A2stdlife))</f>
        <v>0.84471855735306622</v>
      </c>
      <c r="Q96" s="69">
        <f>IF(A2stdlife="n/a","n/a",IF(Q$3&gt;(A2stdlife+$F96),(Input!$M$212*(1+vanilla6)^0.5)-SUM($M96:P96),(Input!$M$212*(1+vanilla6)^0.5)/A2stdlife))</f>
        <v>0.84471855735306622</v>
      </c>
      <c r="R96" s="69"/>
      <c r="S96" s="103"/>
      <c r="T96" s="103"/>
      <c r="U96" s="103"/>
      <c r="V96" s="103"/>
      <c r="W96" s="103"/>
      <c r="X96" s="103"/>
      <c r="Y96" s="103"/>
      <c r="Z96" s="103"/>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c r="A97" s="9"/>
      <c r="B97" s="9"/>
      <c r="C97" s="9"/>
      <c r="D97" s="26"/>
      <c r="E97" s="392"/>
      <c r="F97" s="87">
        <v>7</v>
      </c>
      <c r="G97" s="121"/>
      <c r="H97" s="146"/>
      <c r="I97" s="148"/>
      <c r="J97" s="148"/>
      <c r="K97" s="148"/>
      <c r="L97" s="148"/>
      <c r="M97" s="148"/>
      <c r="N97" s="147"/>
      <c r="O97" s="69">
        <f>IF(A2stdlife="n/a","n/a",IF(O$3&gt;(A2stdlife+$F97),(Input!$N$212*(1+vanilla7)^0.5)-SUM($N97:N97),(Input!$N$212*(1+vanilla7)^0.5)/A2stdlife))</f>
        <v>0</v>
      </c>
      <c r="P97" s="69">
        <f>IF(A2stdlife="n/a","n/a",IF(P$3&gt;(A2stdlife+$F97),(Input!$N$212*(1+vanilla7)^0.5)-SUM($N97:O97),(Input!$N$212*(1+vanilla7)^0.5)/A2stdlife))</f>
        <v>0</v>
      </c>
      <c r="Q97" s="69">
        <f>IF(A2stdlife="n/a","n/a",IF(Q$3&gt;(A2stdlife+$F97),(Input!$N$212*(1+vanilla7)^0.5)-SUM($N97:P97),(Input!$N$212*(1+vanilla7)^0.5)/A2stdlife))</f>
        <v>0</v>
      </c>
      <c r="R97" s="69"/>
      <c r="S97" s="103"/>
      <c r="T97" s="103"/>
      <c r="U97" s="103"/>
      <c r="V97" s="103"/>
      <c r="W97" s="103"/>
      <c r="X97" s="103"/>
      <c r="Y97" s="103"/>
      <c r="Z97" s="103"/>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92"/>
      <c r="F98" s="87">
        <v>8</v>
      </c>
      <c r="G98" s="121"/>
      <c r="H98" s="146"/>
      <c r="I98" s="148"/>
      <c r="J98" s="148"/>
      <c r="K98" s="148"/>
      <c r="L98" s="148"/>
      <c r="M98" s="148"/>
      <c r="N98" s="148"/>
      <c r="O98" s="147"/>
      <c r="P98" s="69">
        <f>IF(A2stdlife="n/a","n/a",IF(P$3&gt;(A2stdlife+$F98),(Input!$O$212*(1+vanilla8)^0.5)-SUM($O98:O98),(Input!$O$212*(1+vanilla8)^0.5)/A2stdlife))</f>
        <v>0</v>
      </c>
      <c r="Q98" s="69">
        <f>IF(A2stdlife="n/a","n/a",IF(Q$3&gt;(A2stdlife+$F98),(Input!$O$212*(1+vanilla8)^0.5)-SUM($O98:P98),(Input!$O$212*(1+vanilla8)^0.5)/A2stdlife))</f>
        <v>0</v>
      </c>
      <c r="R98" s="69"/>
      <c r="S98" s="103"/>
      <c r="T98" s="103"/>
      <c r="U98" s="103"/>
      <c r="V98" s="103"/>
      <c r="W98" s="103"/>
      <c r="X98" s="103"/>
      <c r="Y98" s="103"/>
      <c r="Z98" s="103"/>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92"/>
      <c r="F99" s="87">
        <v>9</v>
      </c>
      <c r="G99" s="121"/>
      <c r="H99" s="146"/>
      <c r="I99" s="148"/>
      <c r="J99" s="148"/>
      <c r="K99" s="148"/>
      <c r="L99" s="148"/>
      <c r="M99" s="148"/>
      <c r="N99" s="148"/>
      <c r="O99" s="148"/>
      <c r="P99" s="147"/>
      <c r="Q99" s="69">
        <f>IF(A2stdlife="n/a","n/a",IF(Q$3&gt;(A2stdlife+$F99),(Input!$P$212*(1+vanilla9)^0.5)-SUM($P99:P99),(Input!$P$212*(1+vanilla9)^0.5)/A2stdlife))</f>
        <v>0</v>
      </c>
      <c r="R99" s="69"/>
      <c r="S99" s="103"/>
      <c r="T99" s="103"/>
      <c r="U99" s="103"/>
      <c r="V99" s="103"/>
      <c r="W99" s="103"/>
      <c r="X99" s="103"/>
      <c r="Y99" s="103"/>
      <c r="Z99" s="103"/>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92"/>
      <c r="F100" s="88">
        <v>10</v>
      </c>
      <c r="G100" s="121"/>
      <c r="H100" s="146"/>
      <c r="I100" s="148"/>
      <c r="J100" s="148"/>
      <c r="K100" s="148"/>
      <c r="L100" s="148"/>
      <c r="M100" s="148"/>
      <c r="N100" s="148"/>
      <c r="O100" s="148"/>
      <c r="P100" s="148"/>
      <c r="Q100" s="147"/>
      <c r="R100" s="69"/>
      <c r="S100" s="103"/>
      <c r="T100" s="103"/>
      <c r="U100" s="103"/>
      <c r="V100" s="103"/>
      <c r="W100" s="103"/>
      <c r="X100" s="103"/>
      <c r="Y100" s="103"/>
      <c r="Z100" s="103"/>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 r="A101" s="9"/>
      <c r="B101" s="9"/>
      <c r="C101" s="9"/>
      <c r="D101" s="271" t="str">
        <f>Asset2</f>
        <v>Switchgear</v>
      </c>
      <c r="E101" s="9"/>
      <c r="F101" s="9"/>
      <c r="G101" s="121"/>
      <c r="H101" s="69">
        <f t="shared" ref="H101:M101" si="5">-SUM(H89:H100)</f>
        <v>-12.519047793330843</v>
      </c>
      <c r="I101" s="69">
        <f t="shared" si="5"/>
        <v>-12.660683028922737</v>
      </c>
      <c r="J101" s="69">
        <f t="shared" si="5"/>
        <v>-13.229901284727614</v>
      </c>
      <c r="K101" s="69">
        <f t="shared" si="5"/>
        <v>-14.272755681321746</v>
      </c>
      <c r="L101" s="69">
        <f t="shared" si="5"/>
        <v>-14.958218004132387</v>
      </c>
      <c r="M101" s="69">
        <f t="shared" si="5"/>
        <v>-15.51220446613609</v>
      </c>
      <c r="N101" s="69">
        <f>IF(COUNT($H101:M101)&gt;=Input!$Y$7,0, -SUM(N89:N100))</f>
        <v>0</v>
      </c>
      <c r="O101" s="69">
        <f>IF(COUNT($H101:N101)&gt;=Input!$Y$7,0, -SUM(O89:O100))</f>
        <v>0</v>
      </c>
      <c r="P101" s="69">
        <f>IF(COUNT($H101:O101)&gt;=Input!$Y$7,0, -SUM(P89:P100))</f>
        <v>0</v>
      </c>
      <c r="Q101" s="69">
        <f>IF(COUNT($H101:P101)&gt;=Input!$Y$7,0, -SUM(Q89:Q100))</f>
        <v>0</v>
      </c>
      <c r="R101" s="66"/>
      <c r="S101" s="104"/>
      <c r="T101" s="104"/>
      <c r="U101" s="104"/>
      <c r="V101" s="104"/>
      <c r="W101" s="104"/>
      <c r="X101" s="104"/>
      <c r="Y101" s="104"/>
      <c r="Z101" s="104"/>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9"/>
      <c r="B102" s="9"/>
      <c r="C102" s="272" t="str">
        <f>Asset3</f>
        <v>Transformers</v>
      </c>
      <c r="D102" s="158"/>
      <c r="E102" s="32" t="s">
        <v>26</v>
      </c>
      <c r="F102" s="31"/>
      <c r="G102" s="177"/>
      <c r="H102" s="68">
        <f>IF(H$3&gt;A3remlife,A3value-$G$632-SUM($G102:G102),IF(A3remlife="N/A","n/a",(A3value-$G$632)/A3remlife))</f>
        <v>7.9918787881872451</v>
      </c>
      <c r="I102" s="68">
        <f>IF(I$3&gt;A3remlife,A3value-$G$632-SUM($G102:H102),IF(A3remlife="N/A","n/a",(A3value-$G$632)/A3remlife))</f>
        <v>7.9918787881872451</v>
      </c>
      <c r="J102" s="68">
        <f>IF(J$3&gt;A3remlife,A3value-$G$632-SUM($G102:I102),IF(A3remlife="N/A","n/a",(A3value-$G$632)/A3remlife))</f>
        <v>7.9918787881872451</v>
      </c>
      <c r="K102" s="68">
        <f>IF(K$3&gt;A3remlife,A3value-$G$632-SUM($G102:J102),IF(A3remlife="N/A","n/a",(A3value-$G$632)/A3remlife))</f>
        <v>7.9918787881872451</v>
      </c>
      <c r="L102" s="68">
        <f>IF(L$3&gt;A3remlife,A3value-$G$632-SUM($G102:K102),IF(A3remlife="N/A","n/a",(A3value-$G$632)/A3remlife))</f>
        <v>7.9918787881872451</v>
      </c>
      <c r="M102" s="68">
        <f>IF(M$3&gt;A3remlife,A3value-$G$632-SUM($G102:L102),IF(A3remlife="N/A","n/a",(A3value-$G$632)/A3remlife))</f>
        <v>7.9918787881872451</v>
      </c>
      <c r="N102" s="68">
        <f>IF(N$3&gt;A3remlife,A3value-$G$632-SUM($G102:M102),IF(A3remlife="N/A","n/a",(A3value-$G$632)/A3remlife))</f>
        <v>7.9918787881872451</v>
      </c>
      <c r="O102" s="68">
        <f>IF(O$3&gt;A3remlife,A3value-$G$632-SUM($G102:N102),IF(A3remlife="N/A","n/a",(A3value-$G$632)/A3remlife))</f>
        <v>7.9918787881872451</v>
      </c>
      <c r="P102" s="68">
        <f>IF(P$3&gt;A3remlife,A3value-$G$632-SUM($G102:O102),IF(A3remlife="N/A","n/a",(A3value-$G$632)/A3remlife))</f>
        <v>7.9918787881872451</v>
      </c>
      <c r="Q102" s="68">
        <f>IF(Q$3&gt;A3remlife,A3value-$G$632-SUM($G102:P102),IF(A3remlife="N/A","n/a",(A3value-$G$632)/A3remlife))</f>
        <v>7.9918787881872451</v>
      </c>
      <c r="R102" s="68"/>
      <c r="S102" s="103"/>
      <c r="T102" s="103"/>
      <c r="U102" s="103"/>
      <c r="V102" s="103"/>
      <c r="W102" s="103"/>
      <c r="X102" s="103"/>
      <c r="Y102" s="103"/>
      <c r="Z102" s="103"/>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6"/>
      <c r="E103" s="391" t="s">
        <v>82</v>
      </c>
      <c r="F103" s="87"/>
      <c r="G103" s="121"/>
      <c r="H103" s="69"/>
      <c r="I103" s="69"/>
      <c r="J103" s="69"/>
      <c r="K103" s="69"/>
      <c r="L103" s="69"/>
      <c r="M103" s="160"/>
      <c r="N103" s="112"/>
      <c r="O103" s="69"/>
      <c r="P103" s="69"/>
      <c r="Q103" s="69"/>
      <c r="R103" s="69"/>
      <c r="S103" s="103"/>
      <c r="T103" s="103"/>
      <c r="U103" s="103"/>
      <c r="V103" s="103"/>
      <c r="W103" s="103"/>
      <c r="X103" s="103"/>
      <c r="Y103" s="103"/>
      <c r="Z103" s="103"/>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9"/>
      <c r="B104" s="9"/>
      <c r="C104" s="9"/>
      <c r="D104" s="26"/>
      <c r="E104" s="392"/>
      <c r="F104" s="87">
        <v>1</v>
      </c>
      <c r="G104" s="121"/>
      <c r="H104" s="145"/>
      <c r="I104" s="69">
        <f>IF(A3stdlife="n/a","n/a",IF(I$3&gt;(A3stdlife+$F104),(Input!$H$213*(1+vanilla1)^0.5)-SUM($H104:H104),(Input!$H$213*(1+vanilla1)^0.5)/A3stdlife))</f>
        <v>0.10832738999564842</v>
      </c>
      <c r="J104" s="69">
        <f>IF(A3stdlife="n/a","n/a",IF(J$3&gt;(A3stdlife+$F104),(Input!$H$213*(1+vanilla1)^0.5)-SUM($H104:I104),(Input!$H$213*(1+vanilla1)^0.5)/A3stdlife))</f>
        <v>0.10832738999564842</v>
      </c>
      <c r="K104" s="69">
        <f>IF(A3stdlife="n/a","n/a",IF(K$3&gt;(A3stdlife+$F104),(Input!$H$213*(1+vanilla1)^0.5)-SUM($H104:J104),(Input!$H$213*(1+vanilla1)^0.5)/A3stdlife))</f>
        <v>0.10832738999564842</v>
      </c>
      <c r="L104" s="69">
        <f>IF(A3stdlife="n/a","n/a",IF(L$3&gt;(A3stdlife+$F104),(Input!$H$213*(1+vanilla1)^0.5)-SUM($H104:K104),(Input!$H$213*(1+vanilla1)^0.5)/A3stdlife))</f>
        <v>0.10832738999564842</v>
      </c>
      <c r="M104" s="69">
        <f>IF(A3stdlife="n/a","n/a",IF(M$3&gt;(A3stdlife+$F104),(Input!$H$213*(1+vanilla1)^0.5)-SUM($H104:L104),(Input!$H$213*(1+vanilla1)^0.5)/A3stdlife))</f>
        <v>0.10832738999564842</v>
      </c>
      <c r="N104" s="69">
        <f>IF(A3stdlife="n/a","n/a",IF(N$3&gt;(A3stdlife+$F104),(Input!$H$213*(1+vanilla1)^0.5)-SUM($H104:M104),(Input!$H$213*(1+vanilla1)^0.5)/A3stdlife))</f>
        <v>0.10832738999564842</v>
      </c>
      <c r="O104" s="69">
        <f>IF(A3stdlife="n/a","n/a",IF(O$3&gt;(A3stdlife+$F104),(Input!$H$213*(1+vanilla1)^0.5)-SUM($H104:N104),(Input!$H$213*(1+vanilla1)^0.5)/A3stdlife))</f>
        <v>0.10832738999564842</v>
      </c>
      <c r="P104" s="69">
        <f>IF(A3stdlife="n/a","n/a",IF(P$3&gt;(A3stdlife+$F104),(Input!$H$213*(1+vanilla1)^0.5)-SUM($H104:O104),(Input!$H$213*(1+vanilla1)^0.5)/A3stdlife))</f>
        <v>0.10832738999564842</v>
      </c>
      <c r="Q104" s="69">
        <f>IF(A3stdlife="n/a","n/a",IF(Q$3&gt;(A3stdlife+$F104),(Input!$H$213*(1+vanilla1)^0.5)-SUM($H104:P104),(Input!$H$213*(1+vanilla1)^0.5)/A3stdlife))</f>
        <v>0.10832738999564842</v>
      </c>
      <c r="R104" s="69"/>
      <c r="S104" s="103"/>
      <c r="T104" s="103"/>
      <c r="U104" s="103"/>
      <c r="V104" s="103"/>
      <c r="W104" s="103"/>
      <c r="X104" s="103"/>
      <c r="Y104" s="103"/>
      <c r="Z104" s="103"/>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9"/>
      <c r="B105" s="9"/>
      <c r="C105" s="9"/>
      <c r="D105" s="26"/>
      <c r="E105" s="392"/>
      <c r="F105" s="87">
        <v>2</v>
      </c>
      <c r="G105" s="121"/>
      <c r="H105" s="146"/>
      <c r="I105" s="147"/>
      <c r="J105" s="69">
        <f>IF(A3stdlife="n/a","n/a",IF(J$3&gt;(A3stdlife+$F105),(Input!$I$213*(1+vanilla2)^0.5)-SUM($I105:I105),(Input!$I$213*(1+vanilla2)^0.5)/A3stdlife))</f>
        <v>0.13227736321579731</v>
      </c>
      <c r="K105" s="69">
        <f>IF(A3stdlife="n/a","n/a",IF(K$3&gt;(A3stdlife+$F105),(Input!$I$213*(1+vanilla2)^0.5)-SUM($I105:J105),(Input!$I$213*(1+vanilla2)^0.5)/A3stdlife))</f>
        <v>0.13227736321579731</v>
      </c>
      <c r="L105" s="69">
        <f>IF(A3stdlife="n/a","n/a",IF(L$3&gt;(A3stdlife+$F105),(Input!$I$213*(1+vanilla2)^0.5)-SUM($I105:K105),(Input!$I$213*(1+vanilla2)^0.5)/A3stdlife))</f>
        <v>0.13227736321579731</v>
      </c>
      <c r="M105" s="69">
        <f>IF(A3stdlife="n/a","n/a",IF(M$3&gt;(A3stdlife+$F105),(Input!$I$213*(1+vanilla2)^0.5)-SUM($I105:L105),(Input!$I$213*(1+vanilla2)^0.5)/A3stdlife))</f>
        <v>0.13227736321579731</v>
      </c>
      <c r="N105" s="69">
        <f>IF(A3stdlife="n/a","n/a",IF(N$3&gt;(A3stdlife+$F105),(Input!$I$213*(1+vanilla2)^0.5)-SUM($I105:M105),(Input!$I$213*(1+vanilla2)^0.5)/A3stdlife))</f>
        <v>0.13227736321579731</v>
      </c>
      <c r="O105" s="69">
        <f>IF(A3stdlife="n/a","n/a",IF(O$3&gt;(A3stdlife+$F105),(Input!$I$213*(1+vanilla2)^0.5)-SUM($I105:N105),(Input!$I$213*(1+vanilla2)^0.5)/A3stdlife))</f>
        <v>0.13227736321579731</v>
      </c>
      <c r="P105" s="69">
        <f>IF(A3stdlife="n/a","n/a",IF(P$3&gt;(A3stdlife+$F105),(Input!$I$213*(1+vanilla2)^0.5)-SUM($I105:O105),(Input!$I$213*(1+vanilla2)^0.5)/A3stdlife))</f>
        <v>0.13227736321579731</v>
      </c>
      <c r="Q105" s="69">
        <f>IF(A3stdlife="n/a","n/a",IF(Q$3&gt;(A3stdlife+$F105),(Input!$I$213*(1+vanilla2)^0.5)-SUM($I105:P105),(Input!$I$213*(1+vanilla2)^0.5)/A3stdlife))</f>
        <v>0.13227736321579731</v>
      </c>
      <c r="R105" s="69"/>
      <c r="S105" s="103"/>
      <c r="T105" s="103"/>
      <c r="U105" s="103"/>
      <c r="V105" s="103"/>
      <c r="W105" s="103"/>
      <c r="X105" s="103"/>
      <c r="Y105" s="103"/>
      <c r="Z105" s="103"/>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9"/>
      <c r="B106" s="9"/>
      <c r="C106" s="9"/>
      <c r="D106" s="26"/>
      <c r="E106" s="392"/>
      <c r="F106" s="87">
        <v>3</v>
      </c>
      <c r="G106" s="121"/>
      <c r="H106" s="146"/>
      <c r="I106" s="148"/>
      <c r="J106" s="147"/>
      <c r="K106" s="69">
        <f>IF(A3stdlife="n/a","n/a",IF(K$3&gt;(A3stdlife+$F106),(Input!$J$213*(1+vanilla3)^0.5)-SUM($J106:J106),(Input!$J$213*(1+vanilla3)^0.5)/A3stdlife))</f>
        <v>0.23006961646119015</v>
      </c>
      <c r="L106" s="69">
        <f>IF(A3stdlife="n/a","n/a",IF(L$3&gt;(A3stdlife+$F106),(Input!$J$213*(1+vanilla3)^0.5)-SUM($J106:K106),(Input!$J$213*(1+vanilla3)^0.5)/A3stdlife))</f>
        <v>0.23006961646119015</v>
      </c>
      <c r="M106" s="69">
        <f>IF(A3stdlife="n/a","n/a",IF(M$3&gt;(A3stdlife+$F106),(Input!$J$213*(1+vanilla3)^0.5)-SUM($J106:L106),(Input!$J$213*(1+vanilla3)^0.5)/A3stdlife))</f>
        <v>0.23006961646119015</v>
      </c>
      <c r="N106" s="69">
        <f>IF(A3stdlife="n/a","n/a",IF(N$3&gt;(A3stdlife+$F106),(Input!$J$213*(1+vanilla3)^0.5)-SUM($J106:M106),(Input!$J$213*(1+vanilla3)^0.5)/A3stdlife))</f>
        <v>0.23006961646119015</v>
      </c>
      <c r="O106" s="69">
        <f>IF(A3stdlife="n/a","n/a",IF(O$3&gt;(A3stdlife+$F106),(Input!$J$213*(1+vanilla3)^0.5)-SUM($J106:N106),(Input!$J$213*(1+vanilla3)^0.5)/A3stdlife))</f>
        <v>0.23006961646119015</v>
      </c>
      <c r="P106" s="69">
        <f>IF(A3stdlife="n/a","n/a",IF(P$3&gt;(A3stdlife+$F106),(Input!$J$213*(1+vanilla3)^0.5)-SUM($J106:O106),(Input!$J$213*(1+vanilla3)^0.5)/A3stdlife))</f>
        <v>0.23006961646119015</v>
      </c>
      <c r="Q106" s="69">
        <f>IF(A3stdlife="n/a","n/a",IF(Q$3&gt;(A3stdlife+$F106),(Input!$J$213*(1+vanilla3)^0.5)-SUM($J106:P106),(Input!$J$213*(1+vanilla3)^0.5)/A3stdlife))</f>
        <v>0.23006961646119015</v>
      </c>
      <c r="R106" s="69"/>
      <c r="S106" s="103"/>
      <c r="T106" s="103"/>
      <c r="U106" s="103"/>
      <c r="V106" s="103"/>
      <c r="W106" s="103"/>
      <c r="X106" s="103"/>
      <c r="Y106" s="103"/>
      <c r="Z106" s="103"/>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9"/>
      <c r="B107" s="9"/>
      <c r="C107" s="9"/>
      <c r="D107" s="26"/>
      <c r="E107" s="392"/>
      <c r="F107" s="87">
        <v>4</v>
      </c>
      <c r="G107" s="121"/>
      <c r="H107" s="146"/>
      <c r="I107" s="148"/>
      <c r="J107" s="148"/>
      <c r="K107" s="147"/>
      <c r="L107" s="69">
        <f>IF(A3stdlife="n/a","n/a",IF(L$3&gt;(A3stdlife+$F107),(Input!$K$213*(1+vanilla4)^0.5)-SUM($K107:K107),(Input!$K$213*(1+vanilla4)^0.5)/A3stdlife))</f>
        <v>0.18729297198844577</v>
      </c>
      <c r="M107" s="69">
        <f>IF(A3stdlife="n/a","n/a",IF(M$3&gt;(A3stdlife+$F107),(Input!$K$213*(1+vanilla4)^0.5)-SUM($K107:L107),(Input!$K$213*(1+vanilla4)^0.5)/A3stdlife))</f>
        <v>0.18729297198844577</v>
      </c>
      <c r="N107" s="69">
        <f>IF(A3stdlife="n/a","n/a",IF(N$3&gt;(A3stdlife+$F107),(Input!$K$213*(1+vanilla4)^0.5)-SUM($K107:M107),(Input!$K$213*(1+vanilla4)^0.5)/A3stdlife))</f>
        <v>0.18729297198844577</v>
      </c>
      <c r="O107" s="69">
        <f>IF(A3stdlife="n/a","n/a",IF(O$3&gt;(A3stdlife+$F107),(Input!$K$213*(1+vanilla4)^0.5)-SUM($K107:N107),(Input!$K$213*(1+vanilla4)^0.5)/A3stdlife))</f>
        <v>0.18729297198844577</v>
      </c>
      <c r="P107" s="69">
        <f>IF(A3stdlife="n/a","n/a",IF(P$3&gt;(A3stdlife+$F107),(Input!$K$213*(1+vanilla4)^0.5)-SUM($K107:O107),(Input!$K$213*(1+vanilla4)^0.5)/A3stdlife))</f>
        <v>0.18729297198844577</v>
      </c>
      <c r="Q107" s="69">
        <f>IF(A3stdlife="n/a","n/a",IF(Q$3&gt;(A3stdlife+$F107),(Input!$K$213*(1+vanilla4)^0.5)-SUM($K107:P107),(Input!$K$213*(1+vanilla4)^0.5)/A3stdlife))</f>
        <v>0.18729297198844577</v>
      </c>
      <c r="R107" s="69"/>
      <c r="S107" s="103"/>
      <c r="T107" s="103"/>
      <c r="U107" s="103"/>
      <c r="V107" s="103"/>
      <c r="W107" s="103"/>
      <c r="X107" s="103"/>
      <c r="Y107" s="103"/>
      <c r="Z107" s="103"/>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9"/>
      <c r="B108" s="9"/>
      <c r="C108" s="9"/>
      <c r="D108" s="26"/>
      <c r="E108" s="392"/>
      <c r="F108" s="87">
        <v>5</v>
      </c>
      <c r="G108" s="121"/>
      <c r="H108" s="146"/>
      <c r="I108" s="148"/>
      <c r="J108" s="148"/>
      <c r="K108" s="148"/>
      <c r="L108" s="147"/>
      <c r="M108" s="69">
        <f>IF(A3stdlife="n/a","n/a",IF(M$3&gt;(A3stdlife+$F108),(Input!$L$213*(1+vanilla5)^0.5)-SUM($L108:L108),(Input!$L$213*(1+vanilla5)^0.5)/A3stdlife))</f>
        <v>0.49692347879302046</v>
      </c>
      <c r="N108" s="69">
        <f>IF(A3stdlife="n/a","n/a",IF(N$3&gt;(A3stdlife+$F108),(Input!$L$213*(1+vanilla5)^0.5)-SUM($L108:M108),(Input!$L$213*(1+vanilla5)^0.5)/A3stdlife))</f>
        <v>0.49692347879302046</v>
      </c>
      <c r="O108" s="69">
        <f>IF(A3stdlife="n/a","n/a",IF(O$3&gt;(A3stdlife+$F108),(Input!$L$213*(1+vanilla5)^0.5)-SUM($L108:N108),(Input!$L$213*(1+vanilla5)^0.5)/A3stdlife))</f>
        <v>0.49692347879302046</v>
      </c>
      <c r="P108" s="69">
        <f>IF(A3stdlife="n/a","n/a",IF(P$3&gt;(A3stdlife+$F108),(Input!$L$213*(1+vanilla5)^0.5)-SUM($L108:O108),(Input!$L$213*(1+vanilla5)^0.5)/A3stdlife))</f>
        <v>0.49692347879302046</v>
      </c>
      <c r="Q108" s="69">
        <f>IF(A3stdlife="n/a","n/a",IF(Q$3&gt;(A3stdlife+$F108),(Input!$L$213*(1+vanilla5)^0.5)-SUM($L108:P108),(Input!$L$213*(1+vanilla5)^0.5)/A3stdlife))</f>
        <v>0.49692347879302046</v>
      </c>
      <c r="R108" s="69"/>
      <c r="S108" s="103"/>
      <c r="T108" s="103"/>
      <c r="U108" s="103"/>
      <c r="V108" s="103"/>
      <c r="W108" s="103"/>
      <c r="X108" s="103"/>
      <c r="Y108" s="103"/>
      <c r="Z108" s="103"/>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103"/>
      <c r="BE108" s="103"/>
      <c r="BF108" s="103"/>
      <c r="BG108" s="103"/>
      <c r="BH108" s="103"/>
      <c r="BI108" s="103"/>
      <c r="BJ108" s="103"/>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9"/>
      <c r="D109" s="26"/>
      <c r="E109" s="392"/>
      <c r="F109" s="87">
        <v>6</v>
      </c>
      <c r="G109" s="121"/>
      <c r="H109" s="146"/>
      <c r="I109" s="148"/>
      <c r="J109" s="148"/>
      <c r="K109" s="148"/>
      <c r="L109" s="148"/>
      <c r="M109" s="147"/>
      <c r="N109" s="69">
        <f>IF(A3stdlife="n/a","n/a",IF(N$3&gt;(A3stdlife+$F109),(Input!$M$213*(1+vanilla6)^0.5)-SUM($M109:M109),(Input!$M$213*(1+vanilla6)^0.5)/A3stdlife))</f>
        <v>0.66708120071878074</v>
      </c>
      <c r="O109" s="69">
        <f>IF(A3stdlife="n/a","n/a",IF(O$3&gt;(A3stdlife+$F109),(Input!$M$213*(1+vanilla6)^0.5)-SUM($M109:N109),(Input!$M$213*(1+vanilla6)^0.5)/A3stdlife))</f>
        <v>0.66708120071878074</v>
      </c>
      <c r="P109" s="69">
        <f>IF(A3stdlife="n/a","n/a",IF(P$3&gt;(A3stdlife+$F109),(Input!$M$213*(1+vanilla6)^0.5)-SUM($M109:O109),(Input!$M$213*(1+vanilla6)^0.5)/A3stdlife))</f>
        <v>0.66708120071878074</v>
      </c>
      <c r="Q109" s="69">
        <f>IF(A3stdlife="n/a","n/a",IF(Q$3&gt;(A3stdlife+$F109),(Input!$M$213*(1+vanilla6)^0.5)-SUM($M109:P109),(Input!$M$213*(1+vanilla6)^0.5)/A3stdlife))</f>
        <v>0.66708120071878074</v>
      </c>
      <c r="R109" s="69"/>
      <c r="S109" s="103"/>
      <c r="T109" s="103"/>
      <c r="U109" s="103"/>
      <c r="V109" s="103"/>
      <c r="W109" s="103"/>
      <c r="X109" s="103"/>
      <c r="Y109" s="103"/>
      <c r="Z109" s="103"/>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c r="A110" s="9"/>
      <c r="B110" s="9"/>
      <c r="C110" s="9"/>
      <c r="D110" s="26"/>
      <c r="E110" s="392"/>
      <c r="F110" s="87">
        <v>7</v>
      </c>
      <c r="G110" s="121"/>
      <c r="H110" s="146"/>
      <c r="I110" s="148"/>
      <c r="J110" s="148"/>
      <c r="K110" s="148"/>
      <c r="L110" s="148"/>
      <c r="M110" s="148"/>
      <c r="N110" s="147"/>
      <c r="O110" s="69">
        <f>IF(A3stdlife="n/a","n/a",IF(O$3&gt;(A3stdlife+$F110),(Input!$N$213*(1+vanilla7)^0.5)-SUM($N110:N110),(Input!$N$213*(1+vanilla7)^0.5)/A3stdlife))</f>
        <v>0</v>
      </c>
      <c r="P110" s="69">
        <f>IF(A3stdlife="n/a","n/a",IF(P$3&gt;(A3stdlife+$F110),(Input!$N$213*(1+vanilla7)^0.5)-SUM($N110:O110),(Input!$N$213*(1+vanilla7)^0.5)/A3stdlife))</f>
        <v>0</v>
      </c>
      <c r="Q110" s="69">
        <f>IF(A3stdlife="n/a","n/a",IF(Q$3&gt;(A3stdlife+$F110),(Input!$N$213*(1+vanilla7)^0.5)-SUM($N110:P110),(Input!$N$213*(1+vanilla7)^0.5)/A3stdlife))</f>
        <v>0</v>
      </c>
      <c r="R110" s="69"/>
      <c r="S110" s="103"/>
      <c r="T110" s="103"/>
      <c r="U110" s="103"/>
      <c r="V110" s="103"/>
      <c r="W110" s="103"/>
      <c r="X110" s="103"/>
      <c r="Y110" s="103"/>
      <c r="Z110" s="103"/>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92"/>
      <c r="F111" s="87">
        <v>8</v>
      </c>
      <c r="G111" s="121"/>
      <c r="H111" s="146"/>
      <c r="I111" s="148"/>
      <c r="J111" s="148"/>
      <c r="K111" s="148"/>
      <c r="L111" s="148"/>
      <c r="M111" s="148"/>
      <c r="N111" s="148"/>
      <c r="O111" s="147"/>
      <c r="P111" s="69">
        <f>IF(A3stdlife="n/a","n/a",IF(P$3&gt;(A3stdlife+$F111),(Input!$O$213*(1+vanilla8)^0.5)-SUM($O111:O111),(Input!$O$213*(1+vanilla8)^0.5)/A3stdlife))</f>
        <v>0</v>
      </c>
      <c r="Q111" s="69">
        <f>IF(A3stdlife="n/a","n/a",IF(Q$3&gt;(A3stdlife+$F111),(Input!$O$213*(1+vanilla8)^0.5)-SUM($O111:P111),(Input!$O$213*(1+vanilla8)^0.5)/A3stdlife))</f>
        <v>0</v>
      </c>
      <c r="R111" s="69"/>
      <c r="S111" s="103"/>
      <c r="T111" s="103"/>
      <c r="U111" s="103"/>
      <c r="V111" s="103"/>
      <c r="W111" s="103"/>
      <c r="X111" s="103"/>
      <c r="Y111" s="103"/>
      <c r="Z111" s="103"/>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92"/>
      <c r="F112" s="87">
        <v>9</v>
      </c>
      <c r="G112" s="121"/>
      <c r="H112" s="146"/>
      <c r="I112" s="148"/>
      <c r="J112" s="148"/>
      <c r="K112" s="148"/>
      <c r="L112" s="148"/>
      <c r="M112" s="148"/>
      <c r="N112" s="148"/>
      <c r="O112" s="148"/>
      <c r="P112" s="147"/>
      <c r="Q112" s="69">
        <f>IF(A3stdlife="n/a","n/a",IF(Q$3&gt;(A3stdlife+$F112),(Input!$P$213*(1+vanilla9)^0.5)-SUM($P112:P112),(Input!$P$213*(1+vanilla9)^0.5)/A3stdlife))</f>
        <v>0</v>
      </c>
      <c r="R112" s="69"/>
      <c r="S112" s="103"/>
      <c r="T112" s="103"/>
      <c r="U112" s="103"/>
      <c r="V112" s="103"/>
      <c r="W112" s="103"/>
      <c r="X112" s="103"/>
      <c r="Y112" s="103"/>
      <c r="Z112" s="103"/>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92"/>
      <c r="F113" s="88">
        <v>10</v>
      </c>
      <c r="G113" s="121"/>
      <c r="H113" s="146"/>
      <c r="I113" s="148"/>
      <c r="J113" s="148"/>
      <c r="K113" s="148"/>
      <c r="L113" s="148"/>
      <c r="M113" s="148"/>
      <c r="N113" s="148"/>
      <c r="O113" s="148"/>
      <c r="P113" s="148"/>
      <c r="Q113" s="147"/>
      <c r="R113" s="69"/>
      <c r="S113" s="103"/>
      <c r="T113" s="103"/>
      <c r="U113" s="103"/>
      <c r="V113" s="103"/>
      <c r="W113" s="103"/>
      <c r="X113" s="103"/>
      <c r="Y113" s="103"/>
      <c r="Z113" s="103"/>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ollapsed="1">
      <c r="A114" s="9"/>
      <c r="B114" s="9"/>
      <c r="C114" s="9"/>
      <c r="D114" s="271" t="str">
        <f>Asset3</f>
        <v>Transformers</v>
      </c>
      <c r="E114" s="9"/>
      <c r="F114" s="9"/>
      <c r="G114" s="121"/>
      <c r="H114" s="162">
        <f t="shared" ref="H114:M114" si="6">-SUM(H102:H113)</f>
        <v>-7.9918787881872451</v>
      </c>
      <c r="I114" s="162">
        <f t="shared" si="6"/>
        <v>-8.1002061781828942</v>
      </c>
      <c r="J114" s="162">
        <f t="shared" si="6"/>
        <v>-8.2324835413986914</v>
      </c>
      <c r="K114" s="162">
        <f t="shared" si="6"/>
        <v>-8.4625531578598814</v>
      </c>
      <c r="L114" s="162">
        <f t="shared" si="6"/>
        <v>-8.6498461298483278</v>
      </c>
      <c r="M114" s="162">
        <f t="shared" si="6"/>
        <v>-9.1467696086413479</v>
      </c>
      <c r="N114" s="69">
        <f>IF(COUNT($H114:M114)&gt;=Input!$Y$7,0, -SUM(N102:N113))</f>
        <v>0</v>
      </c>
      <c r="O114" s="69">
        <f>IF(COUNT($H114:N114)&gt;=Input!$Y$7,0, -SUM(O102:O113))</f>
        <v>0</v>
      </c>
      <c r="P114" s="69">
        <f>IF(COUNT($H114:O114)&gt;=Input!$Y$7,0, -SUM(P102:P113))</f>
        <v>0</v>
      </c>
      <c r="Q114" s="69">
        <f>IF(COUNT($H114:P114)&gt;=Input!$Y$7,0, -SUM(Q102:Q113))</f>
        <v>0</v>
      </c>
      <c r="R114" s="67"/>
      <c r="S114" s="105"/>
      <c r="T114" s="105"/>
      <c r="U114" s="105"/>
      <c r="V114" s="105"/>
      <c r="W114" s="105"/>
      <c r="X114" s="105"/>
      <c r="Y114" s="105"/>
      <c r="Z114" s="105"/>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272" t="str">
        <f>Asset4</f>
        <v>Reactive</v>
      </c>
      <c r="D115" s="158"/>
      <c r="E115" s="32" t="s">
        <v>26</v>
      </c>
      <c r="F115" s="31"/>
      <c r="G115" s="177"/>
      <c r="H115" s="68">
        <f>IF(H$3&gt;A4remlife,A4value-$G$633-SUM($G115:G115),IF(A4remlife="N/A","n/a",(A4value-$G$633)/A4remlife))</f>
        <v>3.9295596205450427</v>
      </c>
      <c r="I115" s="68">
        <f>IF(I$3&gt;A4remlife,A4value-$G$633-SUM($G115:H115),IF(A4remlife="N/A","n/a",(A4value-$G$633)/A4remlife))</f>
        <v>3.9295596205450427</v>
      </c>
      <c r="J115" s="68">
        <f>IF(J$3&gt;A4remlife,A4value-$G$633-SUM($G115:I115),IF(A4remlife="N/A","n/a",(A4value-$G$633)/A4remlife))</f>
        <v>3.9295596205450427</v>
      </c>
      <c r="K115" s="68">
        <f>IF(K$3&gt;A4remlife,A4value-$G$633-SUM($G115:J115),IF(A4remlife="N/A","n/a",(A4value-$G$633)/A4remlife))</f>
        <v>3.9295596205450427</v>
      </c>
      <c r="L115" s="68">
        <f>IF(L$3&gt;A4remlife,A4value-$G$633-SUM($G115:K115),IF(A4remlife="N/A","n/a",(A4value-$G$633)/A4remlife))</f>
        <v>3.9295596205450427</v>
      </c>
      <c r="M115" s="68">
        <f>IF(M$3&gt;A4remlife,A4value-$G$633-SUM($G115:L115),IF(A4remlife="N/A","n/a",(A4value-$G$633)/A4remlife))</f>
        <v>3.9295596205450427</v>
      </c>
      <c r="N115" s="68">
        <f>IF(N$3&gt;A4remlife,A4value-$G$633-SUM($G115:M115),IF(A4remlife="N/A","n/a",(A4value-$G$633)/A4remlife))</f>
        <v>3.9295596205450427</v>
      </c>
      <c r="O115" s="68">
        <f>IF(O$3&gt;A4remlife,A4value-$G$633-SUM($G115:N115),IF(A4remlife="N/A","n/a",(A4value-$G$633)/A4remlife))</f>
        <v>3.9295596205450427</v>
      </c>
      <c r="P115" s="68">
        <f>IF(P$3&gt;A4remlife,A4value-$G$633-SUM($G115:O115),IF(A4remlife="N/A","n/a",(A4value-$G$633)/A4remlife))</f>
        <v>3.9295596205450427</v>
      </c>
      <c r="Q115" s="68">
        <f>IF(Q$3&gt;A4remlife,A4value-$G$633-SUM($G115:P115),IF(A4remlife="N/A","n/a",(A4value-$G$633)/A4remlife))</f>
        <v>3.9295596205450427</v>
      </c>
      <c r="R115" s="68"/>
      <c r="S115" s="103"/>
      <c r="T115" s="103"/>
      <c r="U115" s="103"/>
      <c r="V115" s="103"/>
      <c r="W115" s="103"/>
      <c r="X115" s="103"/>
      <c r="Y115" s="103"/>
      <c r="Z115" s="103"/>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6"/>
      <c r="E116" s="391" t="s">
        <v>82</v>
      </c>
      <c r="F116" s="87"/>
      <c r="G116" s="121"/>
      <c r="H116" s="69"/>
      <c r="I116" s="69"/>
      <c r="J116" s="69"/>
      <c r="K116" s="69"/>
      <c r="L116" s="69"/>
      <c r="M116" s="160"/>
      <c r="N116" s="112"/>
      <c r="O116" s="69"/>
      <c r="P116" s="69"/>
      <c r="Q116" s="69"/>
      <c r="R116" s="69"/>
      <c r="S116" s="103"/>
      <c r="T116" s="103"/>
      <c r="U116" s="103"/>
      <c r="V116" s="103"/>
      <c r="W116" s="103"/>
      <c r="X116" s="103"/>
      <c r="Y116" s="103"/>
      <c r="Z116" s="103"/>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92"/>
      <c r="F117" s="87">
        <v>1</v>
      </c>
      <c r="G117" s="121"/>
      <c r="H117" s="145"/>
      <c r="I117" s="69">
        <f>IF(A4stdlife="n/a","n/a",IF(I$3&gt;(A4stdlife+$F117),(Input!$H$214*(1+vanilla1)^0.5)-SUM($H117:H117),(Input!$H$214*(1+vanilla1)^0.5)/A4stdlife))</f>
        <v>1.5420214868618602E-4</v>
      </c>
      <c r="J117" s="69">
        <f>IF(A4stdlife="n/a","n/a",IF(J$3&gt;(A4stdlife+$F117),(Input!$H$214*(1+vanilla1)^0.5)-SUM($H117:I117),(Input!$H$214*(1+vanilla1)^0.5)/A4stdlife))</f>
        <v>1.5420214868618602E-4</v>
      </c>
      <c r="K117" s="69">
        <f>IF(A4stdlife="n/a","n/a",IF(K$3&gt;(A4stdlife+$F117),(Input!$H$214*(1+vanilla1)^0.5)-SUM($H117:J117),(Input!$H$214*(1+vanilla1)^0.5)/A4stdlife))</f>
        <v>1.5420214868618602E-4</v>
      </c>
      <c r="L117" s="69">
        <f>IF(A4stdlife="n/a","n/a",IF(L$3&gt;(A4stdlife+$F117),(Input!$H$214*(1+vanilla1)^0.5)-SUM($H117:K117),(Input!$H$214*(1+vanilla1)^0.5)/A4stdlife))</f>
        <v>1.5420214868618602E-4</v>
      </c>
      <c r="M117" s="69">
        <f>IF(A4stdlife="n/a","n/a",IF(M$3&gt;(A4stdlife+$F117),(Input!$H$214*(1+vanilla1)^0.5)-SUM($H117:L117),(Input!$H$214*(1+vanilla1)^0.5)/A4stdlife))</f>
        <v>1.5420214868618602E-4</v>
      </c>
      <c r="N117" s="69">
        <f>IF(A4stdlife="n/a","n/a",IF(N$3&gt;(A4stdlife+$F117),(Input!$H$214*(1+vanilla1)^0.5)-SUM($H117:M117),(Input!$H$214*(1+vanilla1)^0.5)/A4stdlife))</f>
        <v>1.5420214868618602E-4</v>
      </c>
      <c r="O117" s="69">
        <f>IF(A4stdlife="n/a","n/a",IF(O$3&gt;(A4stdlife+$F117),(Input!$H$214*(1+vanilla1)^0.5)-SUM($H117:N117),(Input!$H$214*(1+vanilla1)^0.5)/A4stdlife))</f>
        <v>1.5420214868618602E-4</v>
      </c>
      <c r="P117" s="69">
        <f>IF(A4stdlife="n/a","n/a",IF(P$3&gt;(A4stdlife+$F117),(Input!$H$214*(1+vanilla1)^0.5)-SUM($H117:O117),(Input!$H$214*(1+vanilla1)^0.5)/A4stdlife))</f>
        <v>1.5420214868618602E-4</v>
      </c>
      <c r="Q117" s="69">
        <f>IF(A4stdlife="n/a","n/a",IF(Q$3&gt;(A4stdlife+$F117),(Input!$H$214*(1+vanilla1)^0.5)-SUM($H117:P117),(Input!$H$214*(1+vanilla1)^0.5)/A4stdlife))</f>
        <v>1.5420214868618602E-4</v>
      </c>
      <c r="R117" s="69"/>
      <c r="S117" s="103"/>
      <c r="T117" s="103"/>
      <c r="U117" s="103"/>
      <c r="V117" s="103"/>
      <c r="W117" s="103"/>
      <c r="X117" s="103"/>
      <c r="Y117" s="103"/>
      <c r="Z117" s="103"/>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92"/>
      <c r="F118" s="87">
        <v>2</v>
      </c>
      <c r="G118" s="121"/>
      <c r="H118" s="146"/>
      <c r="I118" s="147"/>
      <c r="J118" s="69">
        <f>IF(A4stdlife="n/a","n/a",IF(J$3&gt;(A4stdlife+$F118),(Input!$I$214*(1+vanilla2)^0.5)-SUM($I118:I118),(Input!$I$214*(1+vanilla2)^0.5)/A4stdlife))</f>
        <v>2.4061322947122606E-2</v>
      </c>
      <c r="K118" s="69">
        <f>IF(A4stdlife="n/a","n/a",IF(K$3&gt;(A4stdlife+$F118),(Input!$I$214*(1+vanilla2)^0.5)-SUM($I118:J118),(Input!$I$214*(1+vanilla2)^0.5)/A4stdlife))</f>
        <v>2.4061322947122606E-2</v>
      </c>
      <c r="L118" s="69">
        <f>IF(A4stdlife="n/a","n/a",IF(L$3&gt;(A4stdlife+$F118),(Input!$I$214*(1+vanilla2)^0.5)-SUM($I118:K118),(Input!$I$214*(1+vanilla2)^0.5)/A4stdlife))</f>
        <v>2.4061322947122606E-2</v>
      </c>
      <c r="M118" s="69">
        <f>IF(A4stdlife="n/a","n/a",IF(M$3&gt;(A4stdlife+$F118),(Input!$I$214*(1+vanilla2)^0.5)-SUM($I118:L118),(Input!$I$214*(1+vanilla2)^0.5)/A4stdlife))</f>
        <v>2.4061322947122606E-2</v>
      </c>
      <c r="N118" s="69">
        <f>IF(A4stdlife="n/a","n/a",IF(N$3&gt;(A4stdlife+$F118),(Input!$I$214*(1+vanilla2)^0.5)-SUM($I118:M118),(Input!$I$214*(1+vanilla2)^0.5)/A4stdlife))</f>
        <v>2.4061322947122606E-2</v>
      </c>
      <c r="O118" s="69">
        <f>IF(A4stdlife="n/a","n/a",IF(O$3&gt;(A4stdlife+$F118),(Input!$I$214*(1+vanilla2)^0.5)-SUM($I118:N118),(Input!$I$214*(1+vanilla2)^0.5)/A4stdlife))</f>
        <v>2.4061322947122606E-2</v>
      </c>
      <c r="P118" s="69">
        <f>IF(A4stdlife="n/a","n/a",IF(P$3&gt;(A4stdlife+$F118),(Input!$I$214*(1+vanilla2)^0.5)-SUM($I118:O118),(Input!$I$214*(1+vanilla2)^0.5)/A4stdlife))</f>
        <v>2.4061322947122606E-2</v>
      </c>
      <c r="Q118" s="69">
        <f>IF(A4stdlife="n/a","n/a",IF(Q$3&gt;(A4stdlife+$F118),(Input!$I$214*(1+vanilla2)^0.5)-SUM($I118:P118),(Input!$I$214*(1+vanilla2)^0.5)/A4stdlife))</f>
        <v>2.4061322947122606E-2</v>
      </c>
      <c r="R118" s="69"/>
      <c r="S118" s="103"/>
      <c r="T118" s="103"/>
      <c r="U118" s="103"/>
      <c r="V118" s="103"/>
      <c r="W118" s="103"/>
      <c r="X118" s="103"/>
      <c r="Y118" s="103"/>
      <c r="Z118" s="103"/>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92"/>
      <c r="F119" s="87">
        <v>3</v>
      </c>
      <c r="G119" s="121"/>
      <c r="H119" s="146"/>
      <c r="I119" s="148"/>
      <c r="J119" s="147"/>
      <c r="K119" s="69">
        <f>IF(A4stdlife="n/a","n/a",IF(K$3&gt;(A4stdlife+$F119),(Input!$J$214*(1+vanilla3)^0.5)-SUM($J119:J119),(Input!$J$214*(1+vanilla3)^0.5)/A4stdlife))</f>
        <v>1.1338773277341731E-3</v>
      </c>
      <c r="L119" s="69">
        <f>IF(A4stdlife="n/a","n/a",IF(L$3&gt;(A4stdlife+$F119),(Input!$J$214*(1+vanilla3)^0.5)-SUM($J119:K119),(Input!$J$214*(1+vanilla3)^0.5)/A4stdlife))</f>
        <v>1.1338773277341731E-3</v>
      </c>
      <c r="M119" s="69">
        <f>IF(A4stdlife="n/a","n/a",IF(M$3&gt;(A4stdlife+$F119),(Input!$J$214*(1+vanilla3)^0.5)-SUM($J119:L119),(Input!$J$214*(1+vanilla3)^0.5)/A4stdlife))</f>
        <v>1.1338773277341731E-3</v>
      </c>
      <c r="N119" s="69">
        <f>IF(A4stdlife="n/a","n/a",IF(N$3&gt;(A4stdlife+$F119),(Input!$J$214*(1+vanilla3)^0.5)-SUM($J119:M119),(Input!$J$214*(1+vanilla3)^0.5)/A4stdlife))</f>
        <v>1.1338773277341731E-3</v>
      </c>
      <c r="O119" s="69">
        <f>IF(A4stdlife="n/a","n/a",IF(O$3&gt;(A4stdlife+$F119),(Input!$J$214*(1+vanilla3)^0.5)-SUM($J119:N119),(Input!$J$214*(1+vanilla3)^0.5)/A4stdlife))</f>
        <v>1.1338773277341731E-3</v>
      </c>
      <c r="P119" s="69">
        <f>IF(A4stdlife="n/a","n/a",IF(P$3&gt;(A4stdlife+$F119),(Input!$J$214*(1+vanilla3)^0.5)-SUM($J119:O119),(Input!$J$214*(1+vanilla3)^0.5)/A4stdlife))</f>
        <v>1.1338773277341731E-3</v>
      </c>
      <c r="Q119" s="69">
        <f>IF(A4stdlife="n/a","n/a",IF(Q$3&gt;(A4stdlife+$F119),(Input!$J$214*(1+vanilla3)^0.5)-SUM($J119:P119),(Input!$J$214*(1+vanilla3)^0.5)/A4stdlife))</f>
        <v>1.1338773277341731E-3</v>
      </c>
      <c r="R119" s="69"/>
      <c r="S119" s="103"/>
      <c r="T119" s="103"/>
      <c r="U119" s="103"/>
      <c r="V119" s="103"/>
      <c r="W119" s="103"/>
      <c r="X119" s="103"/>
      <c r="Y119" s="103"/>
      <c r="Z119" s="103"/>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92"/>
      <c r="F120" s="87">
        <v>4</v>
      </c>
      <c r="G120" s="121"/>
      <c r="H120" s="146"/>
      <c r="I120" s="148"/>
      <c r="J120" s="148"/>
      <c r="K120" s="147"/>
      <c r="L120" s="69">
        <f>IF(A4stdlife="n/a","n/a",IF(L$3&gt;(A4stdlife+$F120),(Input!$K$214*(1+vanilla4)^0.5)-SUM($K120:K120),(Input!$K$214*(1+vanilla4)^0.5)/A4stdlife))</f>
        <v>1.2305259229140299E-2</v>
      </c>
      <c r="M120" s="69">
        <f>IF(A4stdlife="n/a","n/a",IF(M$3&gt;(A4stdlife+$F120),(Input!$K$214*(1+vanilla4)^0.5)-SUM($K120:L120),(Input!$K$214*(1+vanilla4)^0.5)/A4stdlife))</f>
        <v>1.2305259229140299E-2</v>
      </c>
      <c r="N120" s="69">
        <f>IF(A4stdlife="n/a","n/a",IF(N$3&gt;(A4stdlife+$F120),(Input!$K$214*(1+vanilla4)^0.5)-SUM($K120:M120),(Input!$K$214*(1+vanilla4)^0.5)/A4stdlife))</f>
        <v>1.2305259229140299E-2</v>
      </c>
      <c r="O120" s="69">
        <f>IF(A4stdlife="n/a","n/a",IF(O$3&gt;(A4stdlife+$F120),(Input!$K$214*(1+vanilla4)^0.5)-SUM($K120:N120),(Input!$K$214*(1+vanilla4)^0.5)/A4stdlife))</f>
        <v>1.2305259229140299E-2</v>
      </c>
      <c r="P120" s="69">
        <f>IF(A4stdlife="n/a","n/a",IF(P$3&gt;(A4stdlife+$F120),(Input!$K$214*(1+vanilla4)^0.5)-SUM($K120:O120),(Input!$K$214*(1+vanilla4)^0.5)/A4stdlife))</f>
        <v>1.2305259229140299E-2</v>
      </c>
      <c r="Q120" s="69">
        <f>IF(A4stdlife="n/a","n/a",IF(Q$3&gt;(A4stdlife+$F120),(Input!$K$214*(1+vanilla4)^0.5)-SUM($K120:P120),(Input!$K$214*(1+vanilla4)^0.5)/A4stdlife))</f>
        <v>1.2305259229140299E-2</v>
      </c>
      <c r="R120" s="69"/>
      <c r="S120" s="103"/>
      <c r="T120" s="103"/>
      <c r="U120" s="103"/>
      <c r="V120" s="103"/>
      <c r="W120" s="103"/>
      <c r="X120" s="103"/>
      <c r="Y120" s="103"/>
      <c r="Z120" s="103"/>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c r="A121" s="9"/>
      <c r="B121" s="9"/>
      <c r="C121" s="9"/>
      <c r="D121" s="26"/>
      <c r="E121" s="392"/>
      <c r="F121" s="87">
        <v>5</v>
      </c>
      <c r="G121" s="121"/>
      <c r="H121" s="146"/>
      <c r="I121" s="148"/>
      <c r="J121" s="148"/>
      <c r="K121" s="148"/>
      <c r="L121" s="147"/>
      <c r="M121" s="69">
        <f>IF(A4stdlife="n/a","n/a",IF(M$3&gt;(A4stdlife+$F121),(Input!$L$214*(1+vanilla5)^0.5)-SUM($L121:L121),(Input!$L$214*(1+vanilla5)^0.5)/A4stdlife))</f>
        <v>2.1398618704005664E-2</v>
      </c>
      <c r="N121" s="69">
        <f>IF(A4stdlife="n/a","n/a",IF(N$3&gt;(A4stdlife+$F121),(Input!$L$214*(1+vanilla5)^0.5)-SUM($L121:M121),(Input!$L$214*(1+vanilla5)^0.5)/A4stdlife))</f>
        <v>2.1398618704005664E-2</v>
      </c>
      <c r="O121" s="69">
        <f>IF(A4stdlife="n/a","n/a",IF(O$3&gt;(A4stdlife+$F121),(Input!$L$214*(1+vanilla5)^0.5)-SUM($L121:N121),(Input!$L$214*(1+vanilla5)^0.5)/A4stdlife))</f>
        <v>2.1398618704005664E-2</v>
      </c>
      <c r="P121" s="69">
        <f>IF(A4stdlife="n/a","n/a",IF(P$3&gt;(A4stdlife+$F121),(Input!$L$214*(1+vanilla5)^0.5)-SUM($L121:O121),(Input!$L$214*(1+vanilla5)^0.5)/A4stdlife))</f>
        <v>2.1398618704005664E-2</v>
      </c>
      <c r="Q121" s="69">
        <f>IF(A4stdlife="n/a","n/a",IF(Q$3&gt;(A4stdlife+$F121),(Input!$L$214*(1+vanilla5)^0.5)-SUM($L121:P121),(Input!$L$214*(1+vanilla5)^0.5)/A4stdlife))</f>
        <v>2.1398618704005664E-2</v>
      </c>
      <c r="R121" s="69"/>
      <c r="S121" s="103"/>
      <c r="T121" s="103"/>
      <c r="U121" s="103"/>
      <c r="V121" s="103"/>
      <c r="W121" s="103"/>
      <c r="X121" s="103"/>
      <c r="Y121" s="103"/>
      <c r="Z121" s="103"/>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103"/>
      <c r="BE121" s="103"/>
      <c r="BF121" s="103"/>
      <c r="BG121" s="103"/>
      <c r="BH121" s="103"/>
      <c r="BI121" s="103"/>
      <c r="BJ121" s="103"/>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9"/>
      <c r="D122" s="26"/>
      <c r="E122" s="392"/>
      <c r="F122" s="87">
        <v>6</v>
      </c>
      <c r="G122" s="121"/>
      <c r="H122" s="146"/>
      <c r="I122" s="148"/>
      <c r="J122" s="148"/>
      <c r="K122" s="148"/>
      <c r="L122" s="148"/>
      <c r="M122" s="147"/>
      <c r="N122" s="69">
        <f>IF(A4stdlife="n/a","n/a",IF(N$3&gt;(A4stdlife+$F122),(Input!$M$214*(1+vanilla6)^0.5)-SUM($M122:M122),(Input!$M$214*(1+vanilla6)^0.5)/A4stdlife))</f>
        <v>1.8864954280349802E-2</v>
      </c>
      <c r="O122" s="69">
        <f>IF(A4stdlife="n/a","n/a",IF(O$3&gt;(A4stdlife+$F122),(Input!$M$214*(1+vanilla6)^0.5)-SUM($M122:N122),(Input!$M$214*(1+vanilla6)^0.5)/A4stdlife))</f>
        <v>1.8864954280349802E-2</v>
      </c>
      <c r="P122" s="69">
        <f>IF(A4stdlife="n/a","n/a",IF(P$3&gt;(A4stdlife+$F122),(Input!$M$214*(1+vanilla6)^0.5)-SUM($M122:O122),(Input!$M$214*(1+vanilla6)^0.5)/A4stdlife))</f>
        <v>1.8864954280349802E-2</v>
      </c>
      <c r="Q122" s="69">
        <f>IF(A4stdlife="n/a","n/a",IF(Q$3&gt;(A4stdlife+$F122),(Input!$M$214*(1+vanilla6)^0.5)-SUM($M122:P122),(Input!$M$214*(1+vanilla6)^0.5)/A4stdlife))</f>
        <v>1.8864954280349802E-2</v>
      </c>
      <c r="R122" s="69"/>
      <c r="S122" s="103"/>
      <c r="T122" s="103"/>
      <c r="U122" s="103"/>
      <c r="V122" s="103"/>
      <c r="W122" s="103"/>
      <c r="X122" s="103"/>
      <c r="Y122" s="103"/>
      <c r="Z122" s="103"/>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c r="A123" s="9"/>
      <c r="B123" s="9"/>
      <c r="C123" s="9"/>
      <c r="D123" s="26"/>
      <c r="E123" s="392"/>
      <c r="F123" s="87">
        <v>7</v>
      </c>
      <c r="G123" s="121"/>
      <c r="H123" s="146"/>
      <c r="I123" s="148"/>
      <c r="J123" s="148"/>
      <c r="K123" s="148"/>
      <c r="L123" s="148"/>
      <c r="M123" s="148"/>
      <c r="N123" s="147"/>
      <c r="O123" s="69">
        <f>IF(A4stdlife="n/a","n/a",IF(O$3&gt;(A4stdlife+$F123),(Input!$N$214*(1+vanilla7)^0.5)-SUM($N123:N123),(Input!$N$214*(1+vanilla7)^0.5)/A4stdlife))</f>
        <v>0</v>
      </c>
      <c r="P123" s="69">
        <f>IF(A4stdlife="n/a","n/a",IF(P$3&gt;(A4stdlife+$F123),(Input!$N$214*(1+vanilla7)^0.5)-SUM($N123:O123),(Input!$N$214*(1+vanilla7)^0.5)/A4stdlife))</f>
        <v>0</v>
      </c>
      <c r="Q123" s="69">
        <f>IF(A4stdlife="n/a","n/a",IF(Q$3&gt;(A4stdlife+$F123),(Input!$N$214*(1+vanilla7)^0.5)-SUM($N123:P123),(Input!$N$214*(1+vanilla7)^0.5)/A4stdlife))</f>
        <v>0</v>
      </c>
      <c r="R123" s="69"/>
      <c r="S123" s="103"/>
      <c r="T123" s="103"/>
      <c r="U123" s="103"/>
      <c r="V123" s="103"/>
      <c r="W123" s="103"/>
      <c r="X123" s="103"/>
      <c r="Y123" s="103"/>
      <c r="Z123" s="103"/>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92"/>
      <c r="F124" s="87">
        <v>8</v>
      </c>
      <c r="G124" s="121"/>
      <c r="H124" s="146"/>
      <c r="I124" s="148"/>
      <c r="J124" s="148"/>
      <c r="K124" s="148"/>
      <c r="L124" s="148"/>
      <c r="M124" s="148"/>
      <c r="N124" s="148"/>
      <c r="O124" s="147"/>
      <c r="P124" s="69">
        <f>IF(A4stdlife="n/a","n/a",IF(P$3&gt;(A4stdlife+$F124),(Input!$O$214*(1+vanilla8)^0.5)-SUM($O124:O124),(Input!$O$214*(1+vanilla8)^0.5)/A4stdlife))</f>
        <v>0</v>
      </c>
      <c r="Q124" s="69">
        <f>IF(A4stdlife="n/a","n/a",IF(Q$3&gt;(A4stdlife+$F124),(Input!$O$214*(1+vanilla8)^0.5)-SUM($O124:P124),(Input!$O$214*(1+vanilla8)^0.5)/A4stdlife))</f>
        <v>0</v>
      </c>
      <c r="R124" s="69"/>
      <c r="S124" s="103"/>
      <c r="T124" s="103"/>
      <c r="U124" s="103"/>
      <c r="V124" s="103"/>
      <c r="W124" s="103"/>
      <c r="X124" s="103"/>
      <c r="Y124" s="103"/>
      <c r="Z124" s="103"/>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92"/>
      <c r="F125" s="87">
        <v>9</v>
      </c>
      <c r="G125" s="121"/>
      <c r="H125" s="146"/>
      <c r="I125" s="148"/>
      <c r="J125" s="148"/>
      <c r="K125" s="148"/>
      <c r="L125" s="148"/>
      <c r="M125" s="148"/>
      <c r="N125" s="148"/>
      <c r="O125" s="148"/>
      <c r="P125" s="147"/>
      <c r="Q125" s="69">
        <f>IF(A4stdlife="n/a","n/a",IF(Q$3&gt;(A4stdlife+$F125),(Input!$P$214*(1+vanilla9)^0.5)-SUM($P125:P125),(Input!$P$214*(1+vanilla9)^0.5)/A4stdlife))</f>
        <v>0</v>
      </c>
      <c r="R125" s="69"/>
      <c r="S125" s="103"/>
      <c r="T125" s="103"/>
      <c r="U125" s="103"/>
      <c r="V125" s="103"/>
      <c r="W125" s="103"/>
      <c r="X125" s="103"/>
      <c r="Y125" s="103"/>
      <c r="Z125" s="103"/>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92"/>
      <c r="F126" s="88">
        <v>10</v>
      </c>
      <c r="G126" s="121"/>
      <c r="H126" s="146"/>
      <c r="I126" s="148"/>
      <c r="J126" s="148"/>
      <c r="K126" s="148"/>
      <c r="L126" s="148"/>
      <c r="M126" s="148"/>
      <c r="N126" s="148"/>
      <c r="O126" s="148"/>
      <c r="P126" s="148"/>
      <c r="Q126" s="147"/>
      <c r="R126" s="69"/>
      <c r="S126" s="103"/>
      <c r="T126" s="103"/>
      <c r="U126" s="103"/>
      <c r="V126" s="103"/>
      <c r="W126" s="103"/>
      <c r="X126" s="103"/>
      <c r="Y126" s="103"/>
      <c r="Z126" s="103"/>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ollapsed="1">
      <c r="A127" s="9"/>
      <c r="B127" s="9"/>
      <c r="C127" s="9"/>
      <c r="D127" s="271" t="str">
        <f>Asset4</f>
        <v>Reactive</v>
      </c>
      <c r="E127" s="9"/>
      <c r="F127" s="9"/>
      <c r="G127" s="121"/>
      <c r="H127" s="162">
        <f t="shared" ref="H127:M127" si="7">-SUM(H115:H126)</f>
        <v>-3.9295596205450427</v>
      </c>
      <c r="I127" s="162">
        <f t="shared" si="7"/>
        <v>-3.9297138226937287</v>
      </c>
      <c r="J127" s="162">
        <f t="shared" si="7"/>
        <v>-3.9537751456408512</v>
      </c>
      <c r="K127" s="162">
        <f t="shared" si="7"/>
        <v>-3.9549090229685855</v>
      </c>
      <c r="L127" s="162">
        <f t="shared" si="7"/>
        <v>-3.9672142821977259</v>
      </c>
      <c r="M127" s="162">
        <f t="shared" si="7"/>
        <v>-3.9886129009017317</v>
      </c>
      <c r="N127" s="69">
        <f>IF(COUNT($H127:M127)&gt;=Input!$Y$7,0, -SUM(N115:N126))</f>
        <v>0</v>
      </c>
      <c r="O127" s="69">
        <f>IF(COUNT($H127:N127)&gt;=Input!$Y$7,0, -SUM(O115:O126))</f>
        <v>0</v>
      </c>
      <c r="P127" s="69">
        <f>IF(COUNT($H127:O127)&gt;=Input!$Y$7,0, -SUM(P115:P126))</f>
        <v>0</v>
      </c>
      <c r="Q127" s="69">
        <f>IF(COUNT($H127:P127)&gt;=Input!$Y$7,0, -SUM(Q115:Q126))</f>
        <v>0</v>
      </c>
      <c r="R127" s="67"/>
      <c r="S127" s="105"/>
      <c r="T127" s="105"/>
      <c r="U127" s="105"/>
      <c r="V127" s="105"/>
      <c r="W127" s="105"/>
      <c r="X127" s="105"/>
      <c r="Y127" s="105"/>
      <c r="Z127" s="105"/>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272" t="str">
        <f>Asset5</f>
        <v>Towers and Conductor</v>
      </c>
      <c r="D128" s="158"/>
      <c r="E128" s="32" t="s">
        <v>26</v>
      </c>
      <c r="F128" s="31"/>
      <c r="G128" s="177"/>
      <c r="H128" s="68">
        <f>IF(H$3&gt;A5remlife,A5value-$G$634-SUM($G128:G128),IF(A5remlife="N/A","n/a",(A5value-$G$634)/A5remlife))</f>
        <v>35.302266465515046</v>
      </c>
      <c r="I128" s="68">
        <f>IF(I$3&gt;A5remlife,A5value-$G$634-SUM($G128:H128),IF(A5remlife="N/A","n/a",(A5value-$G$634)/A5remlife))</f>
        <v>35.302266465515046</v>
      </c>
      <c r="J128" s="68">
        <f>IF(J$3&gt;A5remlife,A5value-$G$634-SUM($G128:I128),IF(A5remlife="N/A","n/a",(A5value-$G$634)/A5remlife))</f>
        <v>35.302266465515046</v>
      </c>
      <c r="K128" s="68">
        <f>IF(K$3&gt;A5remlife,A5value-$G$634-SUM($G128:J128),IF(A5remlife="N/A","n/a",(A5value-$G$634)/A5remlife))</f>
        <v>35.302266465515046</v>
      </c>
      <c r="L128" s="68">
        <f>IF(L$3&gt;A5remlife,A5value-$G$634-SUM($G128:K128),IF(A5remlife="N/A","n/a",(A5value-$G$634)/A5remlife))</f>
        <v>35.302266465515046</v>
      </c>
      <c r="M128" s="68">
        <f>IF(M$3&gt;A5remlife,A5value-$G$634-SUM($G128:L128),IF(A5remlife="N/A","n/a",(A5value-$G$634)/A5remlife))</f>
        <v>35.302266465515046</v>
      </c>
      <c r="N128" s="68">
        <f>IF(N$3&gt;A5remlife,A5value-$G$634-SUM($G128:M128),IF(A5remlife="N/A","n/a",(A5value-$G$634)/A5remlife))</f>
        <v>35.302266465515046</v>
      </c>
      <c r="O128" s="68">
        <f>IF(O$3&gt;A5remlife,A5value-$G$634-SUM($G128:N128),IF(A5remlife="N/A","n/a",(A5value-$G$634)/A5remlife))</f>
        <v>35.302266465515046</v>
      </c>
      <c r="P128" s="68">
        <f>IF(P$3&gt;A5remlife,A5value-$G$634-SUM($G128:O128),IF(A5remlife="N/A","n/a",(A5value-$G$634)/A5remlife))</f>
        <v>35.302266465515046</v>
      </c>
      <c r="Q128" s="68">
        <f>IF(Q$3&gt;A5remlife,A5value-$G$634-SUM($G128:P128),IF(A5remlife="N/A","n/a",(A5value-$G$634)/A5remlife))</f>
        <v>35.302266465515046</v>
      </c>
      <c r="R128" s="68"/>
      <c r="S128" s="103"/>
      <c r="T128" s="103"/>
      <c r="U128" s="103"/>
      <c r="V128" s="103"/>
      <c r="W128" s="103"/>
      <c r="X128" s="103"/>
      <c r="Y128" s="103"/>
      <c r="Z128" s="103"/>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6"/>
      <c r="E129" s="391" t="s">
        <v>82</v>
      </c>
      <c r="F129" s="87"/>
      <c r="G129" s="121"/>
      <c r="H129" s="69"/>
      <c r="I129" s="69"/>
      <c r="J129" s="69"/>
      <c r="K129" s="69"/>
      <c r="L129" s="69"/>
      <c r="M129" s="160"/>
      <c r="N129" s="112"/>
      <c r="O129" s="69"/>
      <c r="P129" s="69"/>
      <c r="Q129" s="69"/>
      <c r="R129" s="69"/>
      <c r="S129" s="103"/>
      <c r="T129" s="103"/>
      <c r="U129" s="103"/>
      <c r="V129" s="103"/>
      <c r="W129" s="103"/>
      <c r="X129" s="103"/>
      <c r="Y129" s="103"/>
      <c r="Z129" s="103"/>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92"/>
      <c r="F130" s="87">
        <v>1</v>
      </c>
      <c r="G130" s="121"/>
      <c r="H130" s="145"/>
      <c r="I130" s="69">
        <f>IF(A5stdlife="n/a","n/a",IF(I$3&gt;(A5stdlife+$F130),(Input!$H$215*(1+vanilla1)^0.5)-SUM($H130:H130),(Input!$H$215*(1+vanilla1)^0.5)/A5stdlife))</f>
        <v>9.1820253816244632E-2</v>
      </c>
      <c r="J130" s="69">
        <f>IF(A5stdlife="n/a","n/a",IF(J$3&gt;(A5stdlife+$F130),(Input!$H$215*(1+vanilla1)^0.5)-SUM($H130:I130),(Input!$H$215*(1+vanilla1)^0.5)/A5stdlife))</f>
        <v>9.1820253816244632E-2</v>
      </c>
      <c r="K130" s="69">
        <f>IF(A5stdlife="n/a","n/a",IF(K$3&gt;(A5stdlife+$F130),(Input!$H$215*(1+vanilla1)^0.5)-SUM($H130:J130),(Input!$H$215*(1+vanilla1)^0.5)/A5stdlife))</f>
        <v>9.1820253816244632E-2</v>
      </c>
      <c r="L130" s="69">
        <f>IF(A5stdlife="n/a","n/a",IF(L$3&gt;(A5stdlife+$F130),(Input!$H$215*(1+vanilla1)^0.5)-SUM($H130:K130),(Input!$H$215*(1+vanilla1)^0.5)/A5stdlife))</f>
        <v>9.1820253816244632E-2</v>
      </c>
      <c r="M130" s="69">
        <f>IF(A5stdlife="n/a","n/a",IF(M$3&gt;(A5stdlife+$F130),(Input!$H$215*(1+vanilla1)^0.5)-SUM($H130:L130),(Input!$H$215*(1+vanilla1)^0.5)/A5stdlife))</f>
        <v>9.1820253816244632E-2</v>
      </c>
      <c r="N130" s="69">
        <f>IF(A5stdlife="n/a","n/a",IF(N$3&gt;(A5stdlife+$F130),(Input!$H$215*(1+vanilla1)^0.5)-SUM($H130:M130),(Input!$H$215*(1+vanilla1)^0.5)/A5stdlife))</f>
        <v>9.1820253816244632E-2</v>
      </c>
      <c r="O130" s="69">
        <f>IF(A5stdlife="n/a","n/a",IF(O$3&gt;(A5stdlife+$F130),(Input!$H$215*(1+vanilla1)^0.5)-SUM($H130:N130),(Input!$H$215*(1+vanilla1)^0.5)/A5stdlife))</f>
        <v>9.1820253816244632E-2</v>
      </c>
      <c r="P130" s="69">
        <f>IF(A5stdlife="n/a","n/a",IF(P$3&gt;(A5stdlife+$F130),(Input!$H$215*(1+vanilla1)^0.5)-SUM($H130:O130),(Input!$H$215*(1+vanilla1)^0.5)/A5stdlife))</f>
        <v>9.1820253816244632E-2</v>
      </c>
      <c r="Q130" s="69">
        <f>IF(A5stdlife="n/a","n/a",IF(Q$3&gt;(A5stdlife+$F130),(Input!$H$215*(1+vanilla1)^0.5)-SUM($H130:P130),(Input!$H$215*(1+vanilla1)^0.5)/A5stdlife))</f>
        <v>9.1820253816244632E-2</v>
      </c>
      <c r="R130" s="69"/>
      <c r="S130" s="103"/>
      <c r="T130" s="103"/>
      <c r="U130" s="103"/>
      <c r="V130" s="103"/>
      <c r="W130" s="103"/>
      <c r="X130" s="103"/>
      <c r="Y130" s="103"/>
      <c r="Z130" s="103"/>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92"/>
      <c r="F131" s="87">
        <v>2</v>
      </c>
      <c r="G131" s="121"/>
      <c r="H131" s="146"/>
      <c r="I131" s="147"/>
      <c r="J131" s="69">
        <f>IF(A5stdlife="n/a","n/a",IF(J$3&gt;(A5stdlife+$F131),(Input!$I$215*(1+vanilla2)^0.5)-SUM($I131:I131),(Input!$I$215*(1+vanilla2)^0.5)/A5stdlife))</f>
        <v>0.30835742666842753</v>
      </c>
      <c r="K131" s="69">
        <f>IF(A5stdlife="n/a","n/a",IF(K$3&gt;(A5stdlife+$F131),(Input!$I$215*(1+vanilla2)^0.5)-SUM($I131:J131),(Input!$I$215*(1+vanilla2)^0.5)/A5stdlife))</f>
        <v>0.30835742666842753</v>
      </c>
      <c r="L131" s="69">
        <f>IF(A5stdlife="n/a","n/a",IF(L$3&gt;(A5stdlife+$F131),(Input!$I$215*(1+vanilla2)^0.5)-SUM($I131:K131),(Input!$I$215*(1+vanilla2)^0.5)/A5stdlife))</f>
        <v>0.30835742666842753</v>
      </c>
      <c r="M131" s="69">
        <f>IF(A5stdlife="n/a","n/a",IF(M$3&gt;(A5stdlife+$F131),(Input!$I$215*(1+vanilla2)^0.5)-SUM($I131:L131),(Input!$I$215*(1+vanilla2)^0.5)/A5stdlife))</f>
        <v>0.30835742666842753</v>
      </c>
      <c r="N131" s="69">
        <f>IF(A5stdlife="n/a","n/a",IF(N$3&gt;(A5stdlife+$F131),(Input!$I$215*(1+vanilla2)^0.5)-SUM($I131:M131),(Input!$I$215*(1+vanilla2)^0.5)/A5stdlife))</f>
        <v>0.30835742666842753</v>
      </c>
      <c r="O131" s="69">
        <f>IF(A5stdlife="n/a","n/a",IF(O$3&gt;(A5stdlife+$F131),(Input!$I$215*(1+vanilla2)^0.5)-SUM($I131:N131),(Input!$I$215*(1+vanilla2)^0.5)/A5stdlife))</f>
        <v>0.30835742666842753</v>
      </c>
      <c r="P131" s="69">
        <f>IF(A5stdlife="n/a","n/a",IF(P$3&gt;(A5stdlife+$F131),(Input!$I$215*(1+vanilla2)^0.5)-SUM($I131:O131),(Input!$I$215*(1+vanilla2)^0.5)/A5stdlife))</f>
        <v>0.30835742666842753</v>
      </c>
      <c r="Q131" s="69">
        <f>IF(A5stdlife="n/a","n/a",IF(Q$3&gt;(A5stdlife+$F131),(Input!$I$215*(1+vanilla2)^0.5)-SUM($I131:P131),(Input!$I$215*(1+vanilla2)^0.5)/A5stdlife))</f>
        <v>0.30835742666842753</v>
      </c>
      <c r="R131" s="69"/>
      <c r="S131" s="103"/>
      <c r="T131" s="103"/>
      <c r="U131" s="103"/>
      <c r="V131" s="103"/>
      <c r="W131" s="103"/>
      <c r="X131" s="103"/>
      <c r="Y131" s="103"/>
      <c r="Z131" s="103"/>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92"/>
      <c r="F132" s="87">
        <v>3</v>
      </c>
      <c r="G132" s="121"/>
      <c r="H132" s="146"/>
      <c r="I132" s="148"/>
      <c r="J132" s="147"/>
      <c r="K132" s="69">
        <f>IF(A5stdlife="n/a","n/a",IF(K$3&gt;(A5stdlife+$F132),(Input!$J$215*(1+vanilla3)^0.5)-SUM($J132:J132),(Input!$J$215*(1+vanilla3)^0.5)/A5stdlife))</f>
        <v>0.14554247811180243</v>
      </c>
      <c r="L132" s="69">
        <f>IF(A5stdlife="n/a","n/a",IF(L$3&gt;(A5stdlife+$F132),(Input!$J$215*(1+vanilla3)^0.5)-SUM($J132:K132),(Input!$J$215*(1+vanilla3)^0.5)/A5stdlife))</f>
        <v>0.14554247811180243</v>
      </c>
      <c r="M132" s="69">
        <f>IF(A5stdlife="n/a","n/a",IF(M$3&gt;(A5stdlife+$F132),(Input!$J$215*(1+vanilla3)^0.5)-SUM($J132:L132),(Input!$J$215*(1+vanilla3)^0.5)/A5stdlife))</f>
        <v>0.14554247811180243</v>
      </c>
      <c r="N132" s="69">
        <f>IF(A5stdlife="n/a","n/a",IF(N$3&gt;(A5stdlife+$F132),(Input!$J$215*(1+vanilla3)^0.5)-SUM($J132:M132),(Input!$J$215*(1+vanilla3)^0.5)/A5stdlife))</f>
        <v>0.14554247811180243</v>
      </c>
      <c r="O132" s="69">
        <f>IF(A5stdlife="n/a","n/a",IF(O$3&gt;(A5stdlife+$F132),(Input!$J$215*(1+vanilla3)^0.5)-SUM($J132:N132),(Input!$J$215*(1+vanilla3)^0.5)/A5stdlife))</f>
        <v>0.14554247811180243</v>
      </c>
      <c r="P132" s="69">
        <f>IF(A5stdlife="n/a","n/a",IF(P$3&gt;(A5stdlife+$F132),(Input!$J$215*(1+vanilla3)^0.5)-SUM($J132:O132),(Input!$J$215*(1+vanilla3)^0.5)/A5stdlife))</f>
        <v>0.14554247811180243</v>
      </c>
      <c r="Q132" s="69">
        <f>IF(A5stdlife="n/a","n/a",IF(Q$3&gt;(A5stdlife+$F132),(Input!$J$215*(1+vanilla3)^0.5)-SUM($J132:P132),(Input!$J$215*(1+vanilla3)^0.5)/A5stdlife))</f>
        <v>0.14554247811180243</v>
      </c>
      <c r="R132" s="69"/>
      <c r="S132" s="103"/>
      <c r="T132" s="103"/>
      <c r="U132" s="103"/>
      <c r="V132" s="103"/>
      <c r="W132" s="103"/>
      <c r="X132" s="103"/>
      <c r="Y132" s="103"/>
      <c r="Z132" s="103"/>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92"/>
      <c r="F133" s="87">
        <v>4</v>
      </c>
      <c r="G133" s="121"/>
      <c r="H133" s="146"/>
      <c r="I133" s="148"/>
      <c r="J133" s="148"/>
      <c r="K133" s="147"/>
      <c r="L133" s="69">
        <f>IF(A5stdlife="n/a","n/a",IF(L$3&gt;(A5stdlife+$F133),(Input!$K$215*(1+vanilla4)^0.5)-SUM($K133:K133),(Input!$K$215*(1+vanilla4)^0.5)/A5stdlife))</f>
        <v>0.63436669305649784</v>
      </c>
      <c r="M133" s="69">
        <f>IF(A5stdlife="n/a","n/a",IF(M$3&gt;(A5stdlife+$F133),(Input!$K$215*(1+vanilla4)^0.5)-SUM($K133:L133),(Input!$K$215*(1+vanilla4)^0.5)/A5stdlife))</f>
        <v>0.63436669305649784</v>
      </c>
      <c r="N133" s="69">
        <f>IF(A5stdlife="n/a","n/a",IF(N$3&gt;(A5stdlife+$F133),(Input!$K$215*(1+vanilla4)^0.5)-SUM($K133:M133),(Input!$K$215*(1+vanilla4)^0.5)/A5stdlife))</f>
        <v>0.63436669305649784</v>
      </c>
      <c r="O133" s="69">
        <f>IF(A5stdlife="n/a","n/a",IF(O$3&gt;(A5stdlife+$F133),(Input!$K$215*(1+vanilla4)^0.5)-SUM($K133:N133),(Input!$K$215*(1+vanilla4)^0.5)/A5stdlife))</f>
        <v>0.63436669305649784</v>
      </c>
      <c r="P133" s="69">
        <f>IF(A5stdlife="n/a","n/a",IF(P$3&gt;(A5stdlife+$F133),(Input!$K$215*(1+vanilla4)^0.5)-SUM($K133:O133),(Input!$K$215*(1+vanilla4)^0.5)/A5stdlife))</f>
        <v>0.63436669305649784</v>
      </c>
      <c r="Q133" s="69">
        <f>IF(A5stdlife="n/a","n/a",IF(Q$3&gt;(A5stdlife+$F133),(Input!$K$215*(1+vanilla4)^0.5)-SUM($K133:P133),(Input!$K$215*(1+vanilla4)^0.5)/A5stdlife))</f>
        <v>0.63436669305649784</v>
      </c>
      <c r="R133" s="69"/>
      <c r="S133" s="103"/>
      <c r="T133" s="103"/>
      <c r="U133" s="103"/>
      <c r="V133" s="103"/>
      <c r="W133" s="103"/>
      <c r="X133" s="103"/>
      <c r="Y133" s="103"/>
      <c r="Z133" s="103"/>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hidden="1" customHeight="1" outlineLevel="2">
      <c r="A134" s="9"/>
      <c r="B134" s="9"/>
      <c r="C134" s="9"/>
      <c r="D134" s="26"/>
      <c r="E134" s="392"/>
      <c r="F134" s="87">
        <v>5</v>
      </c>
      <c r="G134" s="121"/>
      <c r="H134" s="146"/>
      <c r="I134" s="148"/>
      <c r="J134" s="148"/>
      <c r="K134" s="148"/>
      <c r="L134" s="147"/>
      <c r="M134" s="69">
        <f>IF(A5stdlife="n/a","n/a",IF(M$3&gt;(A5stdlife+$F134),(Input!$L$215*(1+vanilla5)^0.5)-SUM($L134:L134),(Input!$L$215*(1+vanilla5)^0.5)/A5stdlife))</f>
        <v>0.35842686329209489</v>
      </c>
      <c r="N134" s="69">
        <f>IF(A5stdlife="n/a","n/a",IF(N$3&gt;(A5stdlife+$F134),(Input!$L$215*(1+vanilla5)^0.5)-SUM($L134:M134),(Input!$L$215*(1+vanilla5)^0.5)/A5stdlife))</f>
        <v>0.35842686329209489</v>
      </c>
      <c r="O134" s="69">
        <f>IF(A5stdlife="n/a","n/a",IF(O$3&gt;(A5stdlife+$F134),(Input!$L$215*(1+vanilla5)^0.5)-SUM($L134:N134),(Input!$L$215*(1+vanilla5)^0.5)/A5stdlife))</f>
        <v>0.35842686329209489</v>
      </c>
      <c r="P134" s="69">
        <f>IF(A5stdlife="n/a","n/a",IF(P$3&gt;(A5stdlife+$F134),(Input!$L$215*(1+vanilla5)^0.5)-SUM($L134:O134),(Input!$L$215*(1+vanilla5)^0.5)/A5stdlife))</f>
        <v>0.35842686329209489</v>
      </c>
      <c r="Q134" s="69">
        <f>IF(A5stdlife="n/a","n/a",IF(Q$3&gt;(A5stdlife+$F134),(Input!$L$215*(1+vanilla5)^0.5)-SUM($L134:P134),(Input!$L$215*(1+vanilla5)^0.5)/A5stdlife))</f>
        <v>0.35842686329209489</v>
      </c>
      <c r="R134" s="69"/>
      <c r="S134" s="103"/>
      <c r="T134" s="103"/>
      <c r="U134" s="103"/>
      <c r="V134" s="103"/>
      <c r="W134" s="103"/>
      <c r="X134" s="103"/>
      <c r="Y134" s="103"/>
      <c r="Z134" s="103"/>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103"/>
      <c r="BE134" s="103"/>
      <c r="BF134" s="103"/>
      <c r="BG134" s="103"/>
      <c r="BH134" s="103"/>
      <c r="BI134" s="103"/>
      <c r="BJ134" s="103"/>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hidden="1" customHeight="1" outlineLevel="2">
      <c r="A135" s="9"/>
      <c r="B135" s="9"/>
      <c r="C135" s="9"/>
      <c r="D135" s="26"/>
      <c r="E135" s="392"/>
      <c r="F135" s="87">
        <v>6</v>
      </c>
      <c r="G135" s="121"/>
      <c r="H135" s="146"/>
      <c r="I135" s="148"/>
      <c r="J135" s="148"/>
      <c r="K135" s="148"/>
      <c r="L135" s="148"/>
      <c r="M135" s="147"/>
      <c r="N135" s="69">
        <f>IF(A5stdlife="n/a","n/a",IF(N$3&gt;(A5stdlife+$F135),(Input!$M$215*(1+vanilla6)^0.5)-SUM($M135:M135),(Input!$M$215*(1+vanilla6)^0.5)/A5stdlife))</f>
        <v>7.1874579057300908E-2</v>
      </c>
      <c r="O135" s="69">
        <f>IF(A5stdlife="n/a","n/a",IF(O$3&gt;(A5stdlife+$F135),(Input!$M$215*(1+vanilla6)^0.5)-SUM($M135:N135),(Input!$M$215*(1+vanilla6)^0.5)/A5stdlife))</f>
        <v>7.1874579057300908E-2</v>
      </c>
      <c r="P135" s="69">
        <f>IF(A5stdlife="n/a","n/a",IF(P$3&gt;(A5stdlife+$F135),(Input!$M$215*(1+vanilla6)^0.5)-SUM($M135:O135),(Input!$M$215*(1+vanilla6)^0.5)/A5stdlife))</f>
        <v>7.1874579057300908E-2</v>
      </c>
      <c r="Q135" s="69">
        <f>IF(A5stdlife="n/a","n/a",IF(Q$3&gt;(A5stdlife+$F135),(Input!$M$215*(1+vanilla6)^0.5)-SUM($M135:P135),(Input!$M$215*(1+vanilla6)^0.5)/A5stdlife))</f>
        <v>7.1874579057300908E-2</v>
      </c>
      <c r="R135" s="69"/>
      <c r="S135" s="103"/>
      <c r="T135" s="103"/>
      <c r="U135" s="103"/>
      <c r="V135" s="103"/>
      <c r="W135" s="103"/>
      <c r="X135" s="103"/>
      <c r="Y135" s="103"/>
      <c r="Z135" s="103"/>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hidden="1" customHeight="1" outlineLevel="2">
      <c r="A136" s="9"/>
      <c r="B136" s="9"/>
      <c r="C136" s="9"/>
      <c r="D136" s="26"/>
      <c r="E136" s="392"/>
      <c r="F136" s="87">
        <v>7</v>
      </c>
      <c r="G136" s="121"/>
      <c r="H136" s="146"/>
      <c r="I136" s="148"/>
      <c r="J136" s="148"/>
      <c r="K136" s="148"/>
      <c r="L136" s="148"/>
      <c r="M136" s="148"/>
      <c r="N136" s="147"/>
      <c r="O136" s="69">
        <f>IF(A5stdlife="n/a","n/a",IF(O$3&gt;(A5stdlife+$F136),(Input!$N$215*(1+vanilla7)^0.5)-SUM($N136:N136),(Input!$N$215*(1+vanilla7)^0.5)/A5stdlife))</f>
        <v>0</v>
      </c>
      <c r="P136" s="69">
        <f>IF(A5stdlife="n/a","n/a",IF(P$3&gt;(A5stdlife+$F136),(Input!$N$215*(1+vanilla7)^0.5)-SUM($N136:O136),(Input!$N$215*(1+vanilla7)^0.5)/A5stdlife))</f>
        <v>0</v>
      </c>
      <c r="Q136" s="69">
        <f>IF(A5stdlife="n/a","n/a",IF(Q$3&gt;(A5stdlife+$F136),(Input!$N$215*(1+vanilla7)^0.5)-SUM($N136:P136),(Input!$N$215*(1+vanilla7)^0.5)/A5stdlife))</f>
        <v>0</v>
      </c>
      <c r="R136" s="69"/>
      <c r="S136" s="103"/>
      <c r="T136" s="103"/>
      <c r="U136" s="103"/>
      <c r="V136" s="103"/>
      <c r="W136" s="103"/>
      <c r="X136" s="103"/>
      <c r="Y136" s="103"/>
      <c r="Z136" s="103"/>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hidden="1" customHeight="1" outlineLevel="2">
      <c r="A137" s="9"/>
      <c r="B137" s="9"/>
      <c r="C137" s="9"/>
      <c r="D137" s="26"/>
      <c r="E137" s="392"/>
      <c r="F137" s="87">
        <v>8</v>
      </c>
      <c r="G137" s="121"/>
      <c r="H137" s="146"/>
      <c r="I137" s="148"/>
      <c r="J137" s="148"/>
      <c r="K137" s="148"/>
      <c r="L137" s="148"/>
      <c r="M137" s="148"/>
      <c r="N137" s="148"/>
      <c r="O137" s="147"/>
      <c r="P137" s="69">
        <f>IF(A5stdlife="n/a","n/a",IF(P$3&gt;(A5stdlife+$F137),(Input!$O$215*(1+vanilla8)^0.5)-SUM($O137:O137),(Input!$O$215*(1+vanilla8)^0.5)/A5stdlife))</f>
        <v>0</v>
      </c>
      <c r="Q137" s="69">
        <f>IF(A5stdlife="n/a","n/a",IF(Q$3&gt;(A5stdlife+$F137),(Input!$O$215*(1+vanilla8)^0.5)-SUM($O137:P137),(Input!$O$215*(1+vanilla8)^0.5)/A5stdlife))</f>
        <v>0</v>
      </c>
      <c r="R137" s="69"/>
      <c r="S137" s="103"/>
      <c r="T137" s="103"/>
      <c r="U137" s="103"/>
      <c r="V137" s="103"/>
      <c r="W137" s="103"/>
      <c r="X137" s="103"/>
      <c r="Y137" s="103"/>
      <c r="Z137" s="103"/>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hidden="1" customHeight="1" outlineLevel="2">
      <c r="A138" s="9"/>
      <c r="B138" s="9"/>
      <c r="C138" s="9"/>
      <c r="D138" s="26"/>
      <c r="E138" s="392"/>
      <c r="F138" s="87">
        <v>9</v>
      </c>
      <c r="G138" s="121"/>
      <c r="H138" s="146"/>
      <c r="I138" s="148"/>
      <c r="J138" s="148"/>
      <c r="K138" s="148"/>
      <c r="L138" s="148"/>
      <c r="M138" s="148"/>
      <c r="N138" s="148"/>
      <c r="O138" s="148"/>
      <c r="P138" s="147"/>
      <c r="Q138" s="69">
        <f>IF(A5stdlife="n/a","n/a",IF(Q$3&gt;(A5stdlife+$F138),(Input!$P$215*(1+vanilla9)^0.5)-SUM($P138:P138),(Input!$P$215*(1+vanilla9)^0.5)/A5stdlife))</f>
        <v>0</v>
      </c>
      <c r="R138" s="69"/>
      <c r="S138" s="103"/>
      <c r="T138" s="103"/>
      <c r="U138" s="103"/>
      <c r="V138" s="103"/>
      <c r="W138" s="103"/>
      <c r="X138" s="103"/>
      <c r="Y138" s="103"/>
      <c r="Z138" s="103"/>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hidden="1" customHeight="1" outlineLevel="2">
      <c r="A139" s="9"/>
      <c r="B139" s="9"/>
      <c r="C139" s="9"/>
      <c r="D139" s="26"/>
      <c r="E139" s="392"/>
      <c r="F139" s="88">
        <v>10</v>
      </c>
      <c r="G139" s="121"/>
      <c r="H139" s="146"/>
      <c r="I139" s="148"/>
      <c r="J139" s="148"/>
      <c r="K139" s="148"/>
      <c r="L139" s="148"/>
      <c r="M139" s="148"/>
      <c r="N139" s="148"/>
      <c r="O139" s="148"/>
      <c r="P139" s="148"/>
      <c r="Q139" s="147"/>
      <c r="R139" s="69"/>
      <c r="S139" s="103"/>
      <c r="T139" s="103"/>
      <c r="U139" s="103"/>
      <c r="V139" s="103"/>
      <c r="W139" s="103"/>
      <c r="X139" s="103"/>
      <c r="Y139" s="103"/>
      <c r="Z139" s="103"/>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ollapsed="1">
      <c r="A140" s="9"/>
      <c r="B140" s="9"/>
      <c r="C140" s="9"/>
      <c r="D140" s="271" t="str">
        <f>Asset5</f>
        <v>Towers and Conductor</v>
      </c>
      <c r="E140" s="9"/>
      <c r="F140" s="9"/>
      <c r="G140" s="121"/>
      <c r="H140" s="162">
        <f t="shared" ref="H140:M140" si="8">-SUM(H128:H139)</f>
        <v>-35.302266465515046</v>
      </c>
      <c r="I140" s="162">
        <f t="shared" si="8"/>
        <v>-35.394086719331291</v>
      </c>
      <c r="J140" s="162">
        <f t="shared" si="8"/>
        <v>-35.702444145999721</v>
      </c>
      <c r="K140" s="162">
        <f t="shared" si="8"/>
        <v>-35.84798662411152</v>
      </c>
      <c r="L140" s="162">
        <f t="shared" si="8"/>
        <v>-36.48235331716802</v>
      </c>
      <c r="M140" s="162">
        <f t="shared" si="8"/>
        <v>-36.840780180460115</v>
      </c>
      <c r="N140" s="69">
        <f>IF(COUNT($H140:M140)&gt;=Input!$Y$7,0, -SUM(N128:N139))</f>
        <v>0</v>
      </c>
      <c r="O140" s="69">
        <f>IF(COUNT($H140:N140)&gt;=Input!$Y$7,0, -SUM(O128:O139))</f>
        <v>0</v>
      </c>
      <c r="P140" s="69">
        <f>IF(COUNT($H140:O140)&gt;=Input!$Y$7,0, -SUM(P128:P139))</f>
        <v>0</v>
      </c>
      <c r="Q140" s="69">
        <f>IF(COUNT($H140:P140)&gt;=Input!$Y$7,0, -SUM(Q128:Q139))</f>
        <v>0</v>
      </c>
      <c r="R140" s="67"/>
      <c r="S140" s="105"/>
      <c r="T140" s="105"/>
      <c r="U140" s="105"/>
      <c r="V140" s="105"/>
      <c r="W140" s="105"/>
      <c r="X140" s="105"/>
      <c r="Y140" s="105"/>
      <c r="Z140" s="105"/>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272" t="str">
        <f>Asset6</f>
        <v>Establishment</v>
      </c>
      <c r="D141" s="158"/>
      <c r="E141" s="32" t="s">
        <v>26</v>
      </c>
      <c r="F141" s="31"/>
      <c r="G141" s="177"/>
      <c r="H141" s="68">
        <f>IF(H$3&gt;A6remlife,A6value-$G$635-SUM($G141:G141),IF(A6remlife="N/A","n/a",(A6value-$G$635)/A6remlife))</f>
        <v>2.8782382699829383</v>
      </c>
      <c r="I141" s="68">
        <f>IF(I$3&gt;A6remlife,A6value-$G$635-SUM($G141:H141),IF(A6remlife="N/A","n/a",(A6value-$G$635)/A6remlife))</f>
        <v>2.8782382699829383</v>
      </c>
      <c r="J141" s="68">
        <f>IF(J$3&gt;A6remlife,A6value-$G$635-SUM($G141:I141),IF(A6remlife="N/A","n/a",(A6value-$G$635)/A6remlife))</f>
        <v>2.8782382699829383</v>
      </c>
      <c r="K141" s="68">
        <f>IF(K$3&gt;A6remlife,A6value-$G$635-SUM($G141:J141),IF(A6remlife="N/A","n/a",(A6value-$G$635)/A6remlife))</f>
        <v>2.8782382699829383</v>
      </c>
      <c r="L141" s="68">
        <f>IF(L$3&gt;A6remlife,A6value-$G$635-SUM($G141:K141),IF(A6remlife="N/A","n/a",(A6value-$G$635)/A6remlife))</f>
        <v>2.8782382699829383</v>
      </c>
      <c r="M141" s="68">
        <f>IF(M$3&gt;A6remlife,A6value-$G$635-SUM($G141:L141),IF(A6remlife="N/A","n/a",(A6value-$G$635)/A6remlife))</f>
        <v>2.8782382699829383</v>
      </c>
      <c r="N141" s="68">
        <f>IF(N$3&gt;A6remlife,A6value-$G$635-SUM($G141:M141),IF(A6remlife="N/A","n/a",(A6value-$G$635)/A6remlife))</f>
        <v>2.8782382699829383</v>
      </c>
      <c r="O141" s="68">
        <f>IF(O$3&gt;A6remlife,A6value-$G$635-SUM($G141:N141),IF(A6remlife="N/A","n/a",(A6value-$G$635)/A6remlife))</f>
        <v>2.8782382699829383</v>
      </c>
      <c r="P141" s="68">
        <f>IF(P$3&gt;A6remlife,A6value-$G$635-SUM($G141:O141),IF(A6remlife="N/A","n/a",(A6value-$G$635)/A6remlife))</f>
        <v>2.8782382699829383</v>
      </c>
      <c r="Q141" s="68">
        <f>IF(Q$3&gt;A6remlife,A6value-$G$635-SUM($G141:P141),IF(A6remlife="N/A","n/a",(A6value-$G$635)/A6remlife))</f>
        <v>2.8782382699829383</v>
      </c>
      <c r="R141" s="68"/>
      <c r="S141" s="103"/>
      <c r="T141" s="103"/>
      <c r="U141" s="103"/>
      <c r="V141" s="103"/>
      <c r="W141" s="103"/>
      <c r="X141" s="103"/>
      <c r="Y141" s="103"/>
      <c r="Z141" s="103"/>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6"/>
      <c r="E142" s="391" t="s">
        <v>82</v>
      </c>
      <c r="F142" s="87"/>
      <c r="G142" s="121"/>
      <c r="H142" s="69"/>
      <c r="I142" s="69"/>
      <c r="J142" s="69"/>
      <c r="K142" s="69"/>
      <c r="L142" s="69"/>
      <c r="M142" s="160"/>
      <c r="N142" s="112"/>
      <c r="O142" s="69"/>
      <c r="P142" s="69"/>
      <c r="Q142" s="69"/>
      <c r="R142" s="69"/>
      <c r="S142" s="103"/>
      <c r="T142" s="103"/>
      <c r="U142" s="103"/>
      <c r="V142" s="103"/>
      <c r="W142" s="103"/>
      <c r="X142" s="103"/>
      <c r="Y142" s="103"/>
      <c r="Z142" s="103"/>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92"/>
      <c r="F143" s="87">
        <v>1</v>
      </c>
      <c r="G143" s="121"/>
      <c r="H143" s="145"/>
      <c r="I143" s="69">
        <f>IF(A6stdlife="n/a","n/a",IF(I$3&gt;(A6stdlife+$F143),(Input!$H$216*(1+vanilla1)^0.5)-SUM($H143:H143),(Input!$H$216*(1+vanilla1)^0.5)/A6stdlife))</f>
        <v>0.27823906472655746</v>
      </c>
      <c r="J143" s="69">
        <f>IF(A6stdlife="n/a","n/a",IF(J$3&gt;(A6stdlife+$F143),(Input!$H$216*(1+vanilla1)^0.5)-SUM($H143:I143),(Input!$H$216*(1+vanilla1)^0.5)/A6stdlife))</f>
        <v>0.27823906472655746</v>
      </c>
      <c r="K143" s="69">
        <f>IF(A6stdlife="n/a","n/a",IF(K$3&gt;(A6stdlife+$F143),(Input!$H$216*(1+vanilla1)^0.5)-SUM($H143:J143),(Input!$H$216*(1+vanilla1)^0.5)/A6stdlife))</f>
        <v>0.27823906472655746</v>
      </c>
      <c r="L143" s="69">
        <f>IF(A6stdlife="n/a","n/a",IF(L$3&gt;(A6stdlife+$F143),(Input!$H$216*(1+vanilla1)^0.5)-SUM($H143:K143),(Input!$H$216*(1+vanilla1)^0.5)/A6stdlife))</f>
        <v>0.27823906472655746</v>
      </c>
      <c r="M143" s="69">
        <f>IF(A6stdlife="n/a","n/a",IF(M$3&gt;(A6stdlife+$F143),(Input!$H$216*(1+vanilla1)^0.5)-SUM($H143:L143),(Input!$H$216*(1+vanilla1)^0.5)/A6stdlife))</f>
        <v>0.27823906472655746</v>
      </c>
      <c r="N143" s="69">
        <f>IF(A6stdlife="n/a","n/a",IF(N$3&gt;(A6stdlife+$F143),(Input!$H$216*(1+vanilla1)^0.5)-SUM($H143:M143),(Input!$H$216*(1+vanilla1)^0.5)/A6stdlife))</f>
        <v>0.27823906472655746</v>
      </c>
      <c r="O143" s="69">
        <f>IF(A6stdlife="n/a","n/a",IF(O$3&gt;(A6stdlife+$F143),(Input!$H$216*(1+vanilla1)^0.5)-SUM($H143:N143),(Input!$H$216*(1+vanilla1)^0.5)/A6stdlife))</f>
        <v>0.27823906472655746</v>
      </c>
      <c r="P143" s="69">
        <f>IF(A6stdlife="n/a","n/a",IF(P$3&gt;(A6stdlife+$F143),(Input!$H$216*(1+vanilla1)^0.5)-SUM($H143:O143),(Input!$H$216*(1+vanilla1)^0.5)/A6stdlife))</f>
        <v>0.27823906472655746</v>
      </c>
      <c r="Q143" s="69">
        <f>IF(A6stdlife="n/a","n/a",IF(Q$3&gt;(A6stdlife+$F143),(Input!$H$216*(1+vanilla1)^0.5)-SUM($H143:P143),(Input!$H$216*(1+vanilla1)^0.5)/A6stdlife))</f>
        <v>0.27823906472655746</v>
      </c>
      <c r="R143" s="69"/>
      <c r="S143" s="103"/>
      <c r="T143" s="103"/>
      <c r="U143" s="103"/>
      <c r="V143" s="103"/>
      <c r="W143" s="103"/>
      <c r="X143" s="103"/>
      <c r="Y143" s="103"/>
      <c r="Z143" s="103"/>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92"/>
      <c r="F144" s="87">
        <v>2</v>
      </c>
      <c r="G144" s="121"/>
      <c r="H144" s="146"/>
      <c r="I144" s="147"/>
      <c r="J144" s="69">
        <f>IF(A6stdlife="n/a","n/a",IF(J$3&gt;(A6stdlife+$F144),(Input!$I$216*(1+vanilla2)^0.5)-SUM($I144:I144),(Input!$I$216*(1+vanilla2)^0.5)/A6stdlife))</f>
        <v>0.24123858022550795</v>
      </c>
      <c r="K144" s="69">
        <f>IF(A6stdlife="n/a","n/a",IF(K$3&gt;(A6stdlife+$F144),(Input!$I$216*(1+vanilla2)^0.5)-SUM($I144:J144),(Input!$I$216*(1+vanilla2)^0.5)/A6stdlife))</f>
        <v>0.24123858022550795</v>
      </c>
      <c r="L144" s="69">
        <f>IF(A6stdlife="n/a","n/a",IF(L$3&gt;(A6stdlife+$F144),(Input!$I$216*(1+vanilla2)^0.5)-SUM($I144:K144),(Input!$I$216*(1+vanilla2)^0.5)/A6stdlife))</f>
        <v>0.24123858022550795</v>
      </c>
      <c r="M144" s="69">
        <f>IF(A6stdlife="n/a","n/a",IF(M$3&gt;(A6stdlife+$F144),(Input!$I$216*(1+vanilla2)^0.5)-SUM($I144:L144),(Input!$I$216*(1+vanilla2)^0.5)/A6stdlife))</f>
        <v>0.24123858022550795</v>
      </c>
      <c r="N144" s="69">
        <f>IF(A6stdlife="n/a","n/a",IF(N$3&gt;(A6stdlife+$F144),(Input!$I$216*(1+vanilla2)^0.5)-SUM($I144:M144),(Input!$I$216*(1+vanilla2)^0.5)/A6stdlife))</f>
        <v>0.24123858022550795</v>
      </c>
      <c r="O144" s="69">
        <f>IF(A6stdlife="n/a","n/a",IF(O$3&gt;(A6stdlife+$F144),(Input!$I$216*(1+vanilla2)^0.5)-SUM($I144:N144),(Input!$I$216*(1+vanilla2)^0.5)/A6stdlife))</f>
        <v>0.24123858022550795</v>
      </c>
      <c r="P144" s="69">
        <f>IF(A6stdlife="n/a","n/a",IF(P$3&gt;(A6stdlife+$F144),(Input!$I$216*(1+vanilla2)^0.5)-SUM($I144:O144),(Input!$I$216*(1+vanilla2)^0.5)/A6stdlife))</f>
        <v>0.24123858022550795</v>
      </c>
      <c r="Q144" s="69">
        <f>IF(A6stdlife="n/a","n/a",IF(Q$3&gt;(A6stdlife+$F144),(Input!$I$216*(1+vanilla2)^0.5)-SUM($I144:P144),(Input!$I$216*(1+vanilla2)^0.5)/A6stdlife))</f>
        <v>0.24123858022550795</v>
      </c>
      <c r="R144" s="69"/>
      <c r="S144" s="103"/>
      <c r="T144" s="103"/>
      <c r="U144" s="103"/>
      <c r="V144" s="103"/>
      <c r="W144" s="103"/>
      <c r="X144" s="103"/>
      <c r="Y144" s="103"/>
      <c r="Z144" s="103"/>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92"/>
      <c r="F145" s="87">
        <v>3</v>
      </c>
      <c r="G145" s="121"/>
      <c r="H145" s="146"/>
      <c r="I145" s="148"/>
      <c r="J145" s="147"/>
      <c r="K145" s="69">
        <f>IF(A6stdlife="n/a","n/a",IF(K$3&gt;(A6stdlife+$F145),(Input!$J$216*(1+vanilla3)^0.5)-SUM($J145:J145),(Input!$J$216*(1+vanilla3)^0.5)/A6stdlife))</f>
        <v>0.13920403355265737</v>
      </c>
      <c r="L145" s="69">
        <f>IF(A6stdlife="n/a","n/a",IF(L$3&gt;(A6stdlife+$F145),(Input!$J$216*(1+vanilla3)^0.5)-SUM($J145:K145),(Input!$J$216*(1+vanilla3)^0.5)/A6stdlife))</f>
        <v>0.13920403355265737</v>
      </c>
      <c r="M145" s="69">
        <f>IF(A6stdlife="n/a","n/a",IF(M$3&gt;(A6stdlife+$F145),(Input!$J$216*(1+vanilla3)^0.5)-SUM($J145:L145),(Input!$J$216*(1+vanilla3)^0.5)/A6stdlife))</f>
        <v>0.13920403355265737</v>
      </c>
      <c r="N145" s="69">
        <f>IF(A6stdlife="n/a","n/a",IF(N$3&gt;(A6stdlife+$F145),(Input!$J$216*(1+vanilla3)^0.5)-SUM($J145:M145),(Input!$J$216*(1+vanilla3)^0.5)/A6stdlife))</f>
        <v>0.13920403355265737</v>
      </c>
      <c r="O145" s="69">
        <f>IF(A6stdlife="n/a","n/a",IF(O$3&gt;(A6stdlife+$F145),(Input!$J$216*(1+vanilla3)^0.5)-SUM($J145:N145),(Input!$J$216*(1+vanilla3)^0.5)/A6stdlife))</f>
        <v>0.13920403355265737</v>
      </c>
      <c r="P145" s="69">
        <f>IF(A6stdlife="n/a","n/a",IF(P$3&gt;(A6stdlife+$F145),(Input!$J$216*(1+vanilla3)^0.5)-SUM($J145:O145),(Input!$J$216*(1+vanilla3)^0.5)/A6stdlife))</f>
        <v>0.13920403355265737</v>
      </c>
      <c r="Q145" s="69">
        <f>IF(A6stdlife="n/a","n/a",IF(Q$3&gt;(A6stdlife+$F145),(Input!$J$216*(1+vanilla3)^0.5)-SUM($J145:P145),(Input!$J$216*(1+vanilla3)^0.5)/A6stdlife))</f>
        <v>0.13920403355265737</v>
      </c>
      <c r="R145" s="69"/>
      <c r="S145" s="103"/>
      <c r="T145" s="103"/>
      <c r="U145" s="103"/>
      <c r="V145" s="103"/>
      <c r="W145" s="103"/>
      <c r="X145" s="103"/>
      <c r="Y145" s="103"/>
      <c r="Z145" s="103"/>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92"/>
      <c r="F146" s="87">
        <v>4</v>
      </c>
      <c r="G146" s="121"/>
      <c r="H146" s="146"/>
      <c r="I146" s="148"/>
      <c r="J146" s="148"/>
      <c r="K146" s="147"/>
      <c r="L146" s="69">
        <f>IF(A6stdlife="n/a","n/a",IF(L$3&gt;(A6stdlife+$F146),(Input!$K$216*(1+vanilla4)^0.5)-SUM($K146:K146),(Input!$K$216*(1+vanilla4)^0.5)/A6stdlife))</f>
        <v>0.108538073450779</v>
      </c>
      <c r="M146" s="69">
        <f>IF(A6stdlife="n/a","n/a",IF(M$3&gt;(A6stdlife+$F146),(Input!$K$216*(1+vanilla4)^0.5)-SUM($K146:L146),(Input!$K$216*(1+vanilla4)^0.5)/A6stdlife))</f>
        <v>0.108538073450779</v>
      </c>
      <c r="N146" s="69">
        <f>IF(A6stdlife="n/a","n/a",IF(N$3&gt;(A6stdlife+$F146),(Input!$K$216*(1+vanilla4)^0.5)-SUM($K146:M146),(Input!$K$216*(1+vanilla4)^0.5)/A6stdlife))</f>
        <v>0.108538073450779</v>
      </c>
      <c r="O146" s="69">
        <f>IF(A6stdlife="n/a","n/a",IF(O$3&gt;(A6stdlife+$F146),(Input!$K$216*(1+vanilla4)^0.5)-SUM($K146:N146),(Input!$K$216*(1+vanilla4)^0.5)/A6stdlife))</f>
        <v>0.108538073450779</v>
      </c>
      <c r="P146" s="69">
        <f>IF(A6stdlife="n/a","n/a",IF(P$3&gt;(A6stdlife+$F146),(Input!$K$216*(1+vanilla4)^0.5)-SUM($K146:O146),(Input!$K$216*(1+vanilla4)^0.5)/A6stdlife))</f>
        <v>0.108538073450779</v>
      </c>
      <c r="Q146" s="69">
        <f>IF(A6stdlife="n/a","n/a",IF(Q$3&gt;(A6stdlife+$F146),(Input!$K$216*(1+vanilla4)^0.5)-SUM($K146:P146),(Input!$K$216*(1+vanilla4)^0.5)/A6stdlife))</f>
        <v>0.108538073450779</v>
      </c>
      <c r="R146" s="69"/>
      <c r="S146" s="103"/>
      <c r="T146" s="103"/>
      <c r="U146" s="103"/>
      <c r="V146" s="103"/>
      <c r="W146" s="103"/>
      <c r="X146" s="103"/>
      <c r="Y146" s="103"/>
      <c r="Z146" s="103"/>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9"/>
      <c r="B147" s="9"/>
      <c r="C147" s="9"/>
      <c r="D147" s="26"/>
      <c r="E147" s="392"/>
      <c r="F147" s="87">
        <v>5</v>
      </c>
      <c r="G147" s="121"/>
      <c r="H147" s="146"/>
      <c r="I147" s="148"/>
      <c r="J147" s="148"/>
      <c r="K147" s="148"/>
      <c r="L147" s="147"/>
      <c r="M147" s="69">
        <f>IF(A6stdlife="n/a","n/a",IF(M$3&gt;(A6stdlife+$F147),(Input!$L$216*(1+vanilla5)^0.5)-SUM($L147:L147),(Input!$L$216*(1+vanilla5)^0.5)/A6stdlife))</f>
        <v>0.15216795522848472</v>
      </c>
      <c r="N147" s="69">
        <f>IF(A6stdlife="n/a","n/a",IF(N$3&gt;(A6stdlife+$F147),(Input!$L$216*(1+vanilla5)^0.5)-SUM($L147:M147),(Input!$L$216*(1+vanilla5)^0.5)/A6stdlife))</f>
        <v>0.15216795522848472</v>
      </c>
      <c r="O147" s="69">
        <f>IF(A6stdlife="n/a","n/a",IF(O$3&gt;(A6stdlife+$F147),(Input!$L$216*(1+vanilla5)^0.5)-SUM($L147:N147),(Input!$L$216*(1+vanilla5)^0.5)/A6stdlife))</f>
        <v>0.15216795522848472</v>
      </c>
      <c r="P147" s="69">
        <f>IF(A6stdlife="n/a","n/a",IF(P$3&gt;(A6stdlife+$F147),(Input!$L$216*(1+vanilla5)^0.5)-SUM($L147:O147),(Input!$L$216*(1+vanilla5)^0.5)/A6stdlife))</f>
        <v>0.15216795522848472</v>
      </c>
      <c r="Q147" s="69">
        <f>IF(A6stdlife="n/a","n/a",IF(Q$3&gt;(A6stdlife+$F147),(Input!$L$216*(1+vanilla5)^0.5)-SUM($L147:P147),(Input!$L$216*(1+vanilla5)^0.5)/A6stdlife))</f>
        <v>0.15216795522848472</v>
      </c>
      <c r="R147" s="69"/>
      <c r="S147" s="103"/>
      <c r="T147" s="103"/>
      <c r="U147" s="103"/>
      <c r="V147" s="103"/>
      <c r="W147" s="103"/>
      <c r="X147" s="103"/>
      <c r="Y147" s="103"/>
      <c r="Z147" s="103"/>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103"/>
      <c r="BE147" s="103"/>
      <c r="BF147" s="103"/>
      <c r="BG147" s="103"/>
      <c r="BH147" s="103"/>
      <c r="BI147" s="103"/>
      <c r="BJ147" s="103"/>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9"/>
      <c r="D148" s="26"/>
      <c r="E148" s="392"/>
      <c r="F148" s="87">
        <v>6</v>
      </c>
      <c r="G148" s="121"/>
      <c r="H148" s="146"/>
      <c r="I148" s="148"/>
      <c r="J148" s="148"/>
      <c r="K148" s="148"/>
      <c r="L148" s="148"/>
      <c r="M148" s="147"/>
      <c r="N148" s="69">
        <f>IF(A6stdlife="n/a","n/a",IF(N$3&gt;(A6stdlife+$F148),(Input!$M$216*(1+vanilla6)^0.5)-SUM($M148:M148),(Input!$M$216*(1+vanilla6)^0.5)/A6stdlife))</f>
        <v>0.18248073519824135</v>
      </c>
      <c r="O148" s="69">
        <f>IF(A6stdlife="n/a","n/a",IF(O$3&gt;(A6stdlife+$F148),(Input!$M$216*(1+vanilla6)^0.5)-SUM($M148:N148),(Input!$M$216*(1+vanilla6)^0.5)/A6stdlife))</f>
        <v>0.18248073519824135</v>
      </c>
      <c r="P148" s="69">
        <f>IF(A6stdlife="n/a","n/a",IF(P$3&gt;(A6stdlife+$F148),(Input!$M$216*(1+vanilla6)^0.5)-SUM($M148:O148),(Input!$M$216*(1+vanilla6)^0.5)/A6stdlife))</f>
        <v>0.18248073519824135</v>
      </c>
      <c r="Q148" s="69">
        <f>IF(A6stdlife="n/a","n/a",IF(Q$3&gt;(A6stdlife+$F148),(Input!$M$216*(1+vanilla6)^0.5)-SUM($M148:P148),(Input!$M$216*(1+vanilla6)^0.5)/A6stdlife))</f>
        <v>0.18248073519824135</v>
      </c>
      <c r="R148" s="69"/>
      <c r="S148" s="103"/>
      <c r="T148" s="103"/>
      <c r="U148" s="103"/>
      <c r="V148" s="103"/>
      <c r="W148" s="103"/>
      <c r="X148" s="103"/>
      <c r="Y148" s="103"/>
      <c r="Z148" s="103"/>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c r="A149" s="9"/>
      <c r="B149" s="9"/>
      <c r="C149" s="9"/>
      <c r="D149" s="26"/>
      <c r="E149" s="392"/>
      <c r="F149" s="87">
        <v>7</v>
      </c>
      <c r="G149" s="121"/>
      <c r="H149" s="146"/>
      <c r="I149" s="148"/>
      <c r="J149" s="148"/>
      <c r="K149" s="148"/>
      <c r="L149" s="148"/>
      <c r="M149" s="148"/>
      <c r="N149" s="147"/>
      <c r="O149" s="69">
        <f>IF(A6stdlife="n/a","n/a",IF(O$3&gt;(A6stdlife+$F149),(Input!$N$216*(1+vanilla7)^0.5)-SUM($N149:N149),(Input!$N$216*(1+vanilla7)^0.5)/A6stdlife))</f>
        <v>0</v>
      </c>
      <c r="P149" s="69">
        <f>IF(A6stdlife="n/a","n/a",IF(P$3&gt;(A6stdlife+$F149),(Input!$N$216*(1+vanilla7)^0.5)-SUM($N149:O149),(Input!$N$216*(1+vanilla7)^0.5)/A6stdlife))</f>
        <v>0</v>
      </c>
      <c r="Q149" s="69">
        <f>IF(A6stdlife="n/a","n/a",IF(Q$3&gt;(A6stdlife+$F149),(Input!$N$216*(1+vanilla7)^0.5)-SUM($N149:P149),(Input!$N$216*(1+vanilla7)^0.5)/A6stdlife))</f>
        <v>0</v>
      </c>
      <c r="R149" s="69"/>
      <c r="S149" s="103"/>
      <c r="T149" s="103"/>
      <c r="U149" s="103"/>
      <c r="V149" s="103"/>
      <c r="W149" s="103"/>
      <c r="X149" s="103"/>
      <c r="Y149" s="103"/>
      <c r="Z149" s="103"/>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92"/>
      <c r="F150" s="87">
        <v>8</v>
      </c>
      <c r="G150" s="121"/>
      <c r="H150" s="146"/>
      <c r="I150" s="148"/>
      <c r="J150" s="148"/>
      <c r="K150" s="148"/>
      <c r="L150" s="148"/>
      <c r="M150" s="148"/>
      <c r="N150" s="148"/>
      <c r="O150" s="147"/>
      <c r="P150" s="69">
        <f>IF(A6stdlife="n/a","n/a",IF(P$3&gt;(A6stdlife+$F150),(Input!$O$216*(1+vanilla8)^0.5)-SUM($O150:O150),(Input!$O$216*(1+vanilla8)^0.5)/A6stdlife))</f>
        <v>0</v>
      </c>
      <c r="Q150" s="69">
        <f>IF(A6stdlife="n/a","n/a",IF(Q$3&gt;(A6stdlife+$F150),(Input!$O$216*(1+vanilla8)^0.5)-SUM($O150:P150),(Input!$O$216*(1+vanilla8)^0.5)/A6stdlife))</f>
        <v>0</v>
      </c>
      <c r="R150" s="69"/>
      <c r="S150" s="103"/>
      <c r="T150" s="103"/>
      <c r="U150" s="103"/>
      <c r="V150" s="103"/>
      <c r="W150" s="103"/>
      <c r="X150" s="103"/>
      <c r="Y150" s="103"/>
      <c r="Z150" s="103"/>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92"/>
      <c r="F151" s="87">
        <v>9</v>
      </c>
      <c r="G151" s="121"/>
      <c r="H151" s="146"/>
      <c r="I151" s="148"/>
      <c r="J151" s="148"/>
      <c r="K151" s="148"/>
      <c r="L151" s="148"/>
      <c r="M151" s="148"/>
      <c r="N151" s="148"/>
      <c r="O151" s="148"/>
      <c r="P151" s="147"/>
      <c r="Q151" s="69">
        <f>IF(A6stdlife="n/a","n/a",IF(Q$3&gt;(A6stdlife+$F151),(Input!$P$216*(1+vanilla9)^0.5)-SUM($P151:P151),(Input!$P$216*(1+vanilla9)^0.5)/A6stdlife))</f>
        <v>0</v>
      </c>
      <c r="R151" s="69"/>
      <c r="S151" s="103"/>
      <c r="T151" s="103"/>
      <c r="U151" s="103"/>
      <c r="V151" s="103"/>
      <c r="W151" s="103"/>
      <c r="X151" s="103"/>
      <c r="Y151" s="103"/>
      <c r="Z151" s="103"/>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92"/>
      <c r="F152" s="88">
        <v>10</v>
      </c>
      <c r="G152" s="121"/>
      <c r="H152" s="146"/>
      <c r="I152" s="148"/>
      <c r="J152" s="148"/>
      <c r="K152" s="148"/>
      <c r="L152" s="148"/>
      <c r="M152" s="148"/>
      <c r="N152" s="148"/>
      <c r="O152" s="148"/>
      <c r="P152" s="148"/>
      <c r="Q152" s="147"/>
      <c r="R152" s="69"/>
      <c r="S152" s="103"/>
      <c r="T152" s="103"/>
      <c r="U152" s="103"/>
      <c r="V152" s="103"/>
      <c r="W152" s="103"/>
      <c r="X152" s="103"/>
      <c r="Y152" s="103"/>
      <c r="Z152" s="103"/>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ollapsed="1">
      <c r="A153" s="9"/>
      <c r="B153" s="9"/>
      <c r="C153" s="9"/>
      <c r="D153" s="271" t="str">
        <f>Asset6</f>
        <v>Establishment</v>
      </c>
      <c r="E153" s="9"/>
      <c r="F153" s="9"/>
      <c r="G153" s="121"/>
      <c r="H153" s="162">
        <f t="shared" ref="H153:M153" si="9">-SUM(H141:H152)</f>
        <v>-2.8782382699829383</v>
      </c>
      <c r="I153" s="162">
        <f t="shared" si="9"/>
        <v>-3.1564773347094959</v>
      </c>
      <c r="J153" s="162">
        <f t="shared" si="9"/>
        <v>-3.397715914935004</v>
      </c>
      <c r="K153" s="162">
        <f t="shared" si="9"/>
        <v>-3.5369199484876614</v>
      </c>
      <c r="L153" s="162">
        <f t="shared" si="9"/>
        <v>-3.6454580219384405</v>
      </c>
      <c r="M153" s="162">
        <f t="shared" si="9"/>
        <v>-3.7976259771669252</v>
      </c>
      <c r="N153" s="69">
        <f>IF(COUNT($H153:M153)&gt;=Input!$Y$7,0, -SUM(N141:N152))</f>
        <v>0</v>
      </c>
      <c r="O153" s="69">
        <f>IF(COUNT($H153:N153)&gt;=Input!$Y$7,0, -SUM(O141:O152))</f>
        <v>0</v>
      </c>
      <c r="P153" s="69">
        <f>IF(COUNT($H153:O153)&gt;=Input!$Y$7,0, -SUM(P141:P152))</f>
        <v>0</v>
      </c>
      <c r="Q153" s="69">
        <f>IF(COUNT($H153:P153)&gt;=Input!$Y$7,0, -SUM(Q141:Q152))</f>
        <v>0</v>
      </c>
      <c r="R153" s="67"/>
      <c r="S153" s="105"/>
      <c r="T153" s="105"/>
      <c r="U153" s="105"/>
      <c r="V153" s="105"/>
      <c r="W153" s="105"/>
      <c r="X153" s="105"/>
      <c r="Y153" s="105"/>
      <c r="Z153" s="105"/>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272" t="str">
        <f>Asset7</f>
        <v>Communications</v>
      </c>
      <c r="D154" s="158"/>
      <c r="E154" s="32" t="s">
        <v>26</v>
      </c>
      <c r="F154" s="31"/>
      <c r="G154" s="177"/>
      <c r="H154" s="68">
        <f>IF(H$3&gt;A7remlife,A7value-$G$636-SUM($G154:G154),IF(A7remlife="N/A","n/a",(A7value-$G$636)/A7remlife))</f>
        <v>0.80288438929012207</v>
      </c>
      <c r="I154" s="68">
        <f>IF(I$3&gt;A7remlife,A7value-$G$636-SUM($G154:H154),IF(A7remlife="N/A","n/a",(A7value-$G$636)/A7remlife))</f>
        <v>0.80288438929012207</v>
      </c>
      <c r="J154" s="68">
        <f>IF(J$3&gt;A7remlife,A7value-$G$636-SUM($G154:I154),IF(A7remlife="N/A","n/a",(A7value-$G$636)/A7remlife))</f>
        <v>0.80288438929012207</v>
      </c>
      <c r="K154" s="68">
        <f>IF(K$3&gt;A7remlife,A7value-$G$636-SUM($G154:J154),IF(A7remlife="N/A","n/a",(A7value-$G$636)/A7remlife))</f>
        <v>0.80288438929012207</v>
      </c>
      <c r="L154" s="68">
        <f>IF(L$3&gt;A7remlife,A7value-$G$636-SUM($G154:K154),IF(A7remlife="N/A","n/a",(A7value-$G$636)/A7remlife))</f>
        <v>0.80288438929012207</v>
      </c>
      <c r="M154" s="68">
        <f>IF(M$3&gt;A7remlife,A7value-$G$636-SUM($G154:L154),IF(A7remlife="N/A","n/a",(A7value-$G$636)/A7remlife))</f>
        <v>0.80288438929012207</v>
      </c>
      <c r="N154" s="68">
        <f>IF(N$3&gt;A7remlife,A7value-$G$636-SUM($G154:M154),IF(A7remlife="N/A","n/a",(A7value-$G$636)/A7remlife))</f>
        <v>0.80288438929012207</v>
      </c>
      <c r="O154" s="68">
        <f>IF(O$3&gt;A7remlife,A7value-$G$636-SUM($G154:N154),IF(A7remlife="N/A","n/a",(A7value-$G$636)/A7remlife))</f>
        <v>0.80288438929012207</v>
      </c>
      <c r="P154" s="68">
        <f>IF(P$3&gt;A7remlife,A7value-$G$636-SUM($G154:O154),IF(A7remlife="N/A","n/a",(A7value-$G$636)/A7remlife))</f>
        <v>0.44206343605296716</v>
      </c>
      <c r="Q154" s="68">
        <f>IF(Q$3&gt;A7remlife,A7value-$G$636-SUM($G154:P154),IF(A7remlife="N/A","n/a",(A7value-$G$636)/A7remlife))</f>
        <v>0</v>
      </c>
      <c r="R154" s="68"/>
      <c r="S154" s="103"/>
      <c r="T154" s="103"/>
      <c r="U154" s="103"/>
      <c r="V154" s="103"/>
      <c r="W154" s="103"/>
      <c r="X154" s="103"/>
      <c r="Y154" s="103"/>
      <c r="Z154" s="103"/>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6"/>
      <c r="E155" s="391" t="s">
        <v>82</v>
      </c>
      <c r="F155" s="87"/>
      <c r="G155" s="121"/>
      <c r="H155" s="69"/>
      <c r="I155" s="69"/>
      <c r="J155" s="69"/>
      <c r="K155" s="69"/>
      <c r="L155" s="69"/>
      <c r="M155" s="160"/>
      <c r="N155" s="112"/>
      <c r="O155" s="69"/>
      <c r="P155" s="69"/>
      <c r="Q155" s="69"/>
      <c r="R155" s="69"/>
      <c r="S155" s="103"/>
      <c r="T155" s="103"/>
      <c r="U155" s="103"/>
      <c r="V155" s="103"/>
      <c r="W155" s="103"/>
      <c r="X155" s="103"/>
      <c r="Y155" s="103"/>
      <c r="Z155" s="103"/>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92"/>
      <c r="F156" s="87">
        <v>1</v>
      </c>
      <c r="G156" s="121"/>
      <c r="H156" s="145"/>
      <c r="I156" s="69">
        <f>IF(A7stdlife="n/a","n/a",IF(I$3&gt;(A7stdlife+$F156),(Input!$H$217*(1+vanilla1)^0.5)-SUM($H156:H156),(Input!$H$217*(1+vanilla1)^0.5)/A7stdlife))</f>
        <v>2.3102444144871951E-2</v>
      </c>
      <c r="J156" s="69">
        <f>IF(A7stdlife="n/a","n/a",IF(J$3&gt;(A7stdlife+$F156),(Input!$H$217*(1+vanilla1)^0.5)-SUM($H156:I156),(Input!$H$217*(1+vanilla1)^0.5)/A7stdlife))</f>
        <v>2.3102444144871951E-2</v>
      </c>
      <c r="K156" s="69">
        <f>IF(A7stdlife="n/a","n/a",IF(K$3&gt;(A7stdlife+$F156),(Input!$H$217*(1+vanilla1)^0.5)-SUM($H156:J156),(Input!$H$217*(1+vanilla1)^0.5)/A7stdlife))</f>
        <v>2.3102444144871951E-2</v>
      </c>
      <c r="L156" s="69">
        <f>IF(A7stdlife="n/a","n/a",IF(L$3&gt;(A7stdlife+$F156),(Input!$H$217*(1+vanilla1)^0.5)-SUM($H156:K156),(Input!$H$217*(1+vanilla1)^0.5)/A7stdlife))</f>
        <v>2.3102444144871951E-2</v>
      </c>
      <c r="M156" s="69">
        <f>IF(A7stdlife="n/a","n/a",IF(M$3&gt;(A7stdlife+$F156),(Input!$H$217*(1+vanilla1)^0.5)-SUM($H156:L156),(Input!$H$217*(1+vanilla1)^0.5)/A7stdlife))</f>
        <v>2.3102444144871951E-2</v>
      </c>
      <c r="N156" s="69">
        <f>IF(A7stdlife="n/a","n/a",IF(N$3&gt;(A7stdlife+$F156),(Input!$H$217*(1+vanilla1)^0.5)-SUM($H156:M156),(Input!$H$217*(1+vanilla1)^0.5)/A7stdlife))</f>
        <v>2.3102444144871951E-2</v>
      </c>
      <c r="O156" s="69">
        <f>IF(A7stdlife="n/a","n/a",IF(O$3&gt;(A7stdlife+$F156),(Input!$H$217*(1+vanilla1)^0.5)-SUM($H156:N156),(Input!$H$217*(1+vanilla1)^0.5)/A7stdlife))</f>
        <v>2.3102444144871951E-2</v>
      </c>
      <c r="P156" s="69">
        <f>IF(A7stdlife="n/a","n/a",IF(P$3&gt;(A7stdlife+$F156),(Input!$H$217*(1+vanilla1)^0.5)-SUM($H156:O156),(Input!$H$217*(1+vanilla1)^0.5)/A7stdlife))</f>
        <v>2.3102444144871951E-2</v>
      </c>
      <c r="Q156" s="69">
        <f>IF(A7stdlife="n/a","n/a",IF(Q$3&gt;(A7stdlife+$F156),(Input!$H$217*(1+vanilla1)^0.5)-SUM($H156:P156),(Input!$H$217*(1+vanilla1)^0.5)/A7stdlife))</f>
        <v>2.3102444144871951E-2</v>
      </c>
      <c r="R156" s="69"/>
      <c r="S156" s="103"/>
      <c r="T156" s="103"/>
      <c r="U156" s="103"/>
      <c r="V156" s="103"/>
      <c r="W156" s="103"/>
      <c r="X156" s="103"/>
      <c r="Y156" s="103"/>
      <c r="Z156" s="103"/>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92"/>
      <c r="F157" s="87">
        <v>2</v>
      </c>
      <c r="G157" s="121"/>
      <c r="H157" s="146"/>
      <c r="I157" s="147"/>
      <c r="J157" s="69">
        <f>IF(A7stdlife="n/a","n/a",IF(J$3&gt;(A7stdlife+$F157),(Input!$I$217*(1+vanilla2)^0.5)-SUM($I157:I157),(Input!$I$217*(1+vanilla2)^0.5)/A7stdlife))</f>
        <v>0.1342331350059757</v>
      </c>
      <c r="K157" s="69">
        <f>IF(A7stdlife="n/a","n/a",IF(K$3&gt;(A7stdlife+$F157),(Input!$I$217*(1+vanilla2)^0.5)-SUM($I157:J157),(Input!$I$217*(1+vanilla2)^0.5)/A7stdlife))</f>
        <v>0.1342331350059757</v>
      </c>
      <c r="L157" s="69">
        <f>IF(A7stdlife="n/a","n/a",IF(L$3&gt;(A7stdlife+$F157),(Input!$I$217*(1+vanilla2)^0.5)-SUM($I157:K157),(Input!$I$217*(1+vanilla2)^0.5)/A7stdlife))</f>
        <v>0.1342331350059757</v>
      </c>
      <c r="M157" s="69">
        <f>IF(A7stdlife="n/a","n/a",IF(M$3&gt;(A7stdlife+$F157),(Input!$I$217*(1+vanilla2)^0.5)-SUM($I157:L157),(Input!$I$217*(1+vanilla2)^0.5)/A7stdlife))</f>
        <v>0.1342331350059757</v>
      </c>
      <c r="N157" s="69">
        <f>IF(A7stdlife="n/a","n/a",IF(N$3&gt;(A7stdlife+$F157),(Input!$I$217*(1+vanilla2)^0.5)-SUM($I157:M157),(Input!$I$217*(1+vanilla2)^0.5)/A7stdlife))</f>
        <v>0.1342331350059757</v>
      </c>
      <c r="O157" s="69">
        <f>IF(A7stdlife="n/a","n/a",IF(O$3&gt;(A7stdlife+$F157),(Input!$I$217*(1+vanilla2)^0.5)-SUM($I157:N157),(Input!$I$217*(1+vanilla2)^0.5)/A7stdlife))</f>
        <v>0.1342331350059757</v>
      </c>
      <c r="P157" s="69">
        <f>IF(A7stdlife="n/a","n/a",IF(P$3&gt;(A7stdlife+$F157),(Input!$I$217*(1+vanilla2)^0.5)-SUM($I157:O157),(Input!$I$217*(1+vanilla2)^0.5)/A7stdlife))</f>
        <v>0.1342331350059757</v>
      </c>
      <c r="Q157" s="69">
        <f>IF(A7stdlife="n/a","n/a",IF(Q$3&gt;(A7stdlife+$F157),(Input!$I$217*(1+vanilla2)^0.5)-SUM($I157:P157),(Input!$I$217*(1+vanilla2)^0.5)/A7stdlife))</f>
        <v>0.1342331350059757</v>
      </c>
      <c r="R157" s="69"/>
      <c r="S157" s="103"/>
      <c r="T157" s="103"/>
      <c r="U157" s="103"/>
      <c r="V157" s="103"/>
      <c r="W157" s="103"/>
      <c r="X157" s="103"/>
      <c r="Y157" s="103"/>
      <c r="Z157" s="103"/>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92"/>
      <c r="F158" s="87">
        <v>3</v>
      </c>
      <c r="G158" s="121"/>
      <c r="H158" s="146"/>
      <c r="I158" s="148"/>
      <c r="J158" s="147"/>
      <c r="K158" s="69">
        <f>IF(A7stdlife="n/a","n/a",IF(K$3&gt;(A7stdlife+$F158),(Input!$J$217*(1+vanilla3)^0.5)-SUM($J158:J158),(Input!$J$217*(1+vanilla3)^0.5)/A7stdlife))</f>
        <v>0.75607505949958409</v>
      </c>
      <c r="L158" s="69">
        <f>IF(A7stdlife="n/a","n/a",IF(L$3&gt;(A7stdlife+$F158),(Input!$J$217*(1+vanilla3)^0.5)-SUM($J158:K158),(Input!$J$217*(1+vanilla3)^0.5)/A7stdlife))</f>
        <v>0.75607505949958409</v>
      </c>
      <c r="M158" s="69">
        <f>IF(A7stdlife="n/a","n/a",IF(M$3&gt;(A7stdlife+$F158),(Input!$J$217*(1+vanilla3)^0.5)-SUM($J158:L158),(Input!$J$217*(1+vanilla3)^0.5)/A7stdlife))</f>
        <v>0.75607505949958409</v>
      </c>
      <c r="N158" s="69">
        <f>IF(A7stdlife="n/a","n/a",IF(N$3&gt;(A7stdlife+$F158),(Input!$J$217*(1+vanilla3)^0.5)-SUM($J158:M158),(Input!$J$217*(1+vanilla3)^0.5)/A7stdlife))</f>
        <v>0.75607505949958409</v>
      </c>
      <c r="O158" s="69">
        <f>IF(A7stdlife="n/a","n/a",IF(O$3&gt;(A7stdlife+$F158),(Input!$J$217*(1+vanilla3)^0.5)-SUM($J158:N158),(Input!$J$217*(1+vanilla3)^0.5)/A7stdlife))</f>
        <v>0.75607505949958409</v>
      </c>
      <c r="P158" s="69">
        <f>IF(A7stdlife="n/a","n/a",IF(P$3&gt;(A7stdlife+$F158),(Input!$J$217*(1+vanilla3)^0.5)-SUM($J158:O158),(Input!$J$217*(1+vanilla3)^0.5)/A7stdlife))</f>
        <v>0.75607505949958409</v>
      </c>
      <c r="Q158" s="69">
        <f>IF(A7stdlife="n/a","n/a",IF(Q$3&gt;(A7stdlife+$F158),(Input!$J$217*(1+vanilla3)^0.5)-SUM($J158:P158),(Input!$J$217*(1+vanilla3)^0.5)/A7stdlife))</f>
        <v>0.75607505949958409</v>
      </c>
      <c r="R158" s="69"/>
      <c r="S158" s="103"/>
      <c r="T158" s="103"/>
      <c r="U158" s="103"/>
      <c r="V158" s="103"/>
      <c r="W158" s="103"/>
      <c r="X158" s="103"/>
      <c r="Y158" s="103"/>
      <c r="Z158" s="103"/>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92"/>
      <c r="F159" s="87">
        <v>4</v>
      </c>
      <c r="G159" s="121"/>
      <c r="H159" s="146"/>
      <c r="I159" s="148"/>
      <c r="J159" s="148"/>
      <c r="K159" s="147"/>
      <c r="L159" s="69">
        <f>IF(A7stdlife="n/a","n/a",IF(L$3&gt;(A7stdlife+$F159),(Input!$K$217*(1+vanilla4)^0.5)-SUM($K159:K159),(Input!$K$217*(1+vanilla4)^0.5)/A7stdlife))</f>
        <v>0.41428620780000858</v>
      </c>
      <c r="M159" s="69">
        <f>IF(A7stdlife="n/a","n/a",IF(M$3&gt;(A7stdlife+$F159),(Input!$K$217*(1+vanilla4)^0.5)-SUM($K159:L159),(Input!$K$217*(1+vanilla4)^0.5)/A7stdlife))</f>
        <v>0.41428620780000858</v>
      </c>
      <c r="N159" s="69">
        <f>IF(A7stdlife="n/a","n/a",IF(N$3&gt;(A7stdlife+$F159),(Input!$K$217*(1+vanilla4)^0.5)-SUM($K159:M159),(Input!$K$217*(1+vanilla4)^0.5)/A7stdlife))</f>
        <v>0.41428620780000858</v>
      </c>
      <c r="O159" s="69">
        <f>IF(A7stdlife="n/a","n/a",IF(O$3&gt;(A7stdlife+$F159),(Input!$K$217*(1+vanilla4)^0.5)-SUM($K159:N159),(Input!$K$217*(1+vanilla4)^0.5)/A7stdlife))</f>
        <v>0.41428620780000858</v>
      </c>
      <c r="P159" s="69">
        <f>IF(A7stdlife="n/a","n/a",IF(P$3&gt;(A7stdlife+$F159),(Input!$K$217*(1+vanilla4)^0.5)-SUM($K159:O159),(Input!$K$217*(1+vanilla4)^0.5)/A7stdlife))</f>
        <v>0.41428620780000858</v>
      </c>
      <c r="Q159" s="69">
        <f>IF(A7stdlife="n/a","n/a",IF(Q$3&gt;(A7stdlife+$F159),(Input!$K$217*(1+vanilla4)^0.5)-SUM($K159:P159),(Input!$K$217*(1+vanilla4)^0.5)/A7stdlife))</f>
        <v>0.41428620780000858</v>
      </c>
      <c r="R159" s="69"/>
      <c r="S159" s="103"/>
      <c r="T159" s="103"/>
      <c r="U159" s="103"/>
      <c r="V159" s="103"/>
      <c r="W159" s="103"/>
      <c r="X159" s="103"/>
      <c r="Y159" s="103"/>
      <c r="Z159" s="103"/>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9"/>
      <c r="B160" s="9"/>
      <c r="C160" s="9"/>
      <c r="D160" s="26"/>
      <c r="E160" s="392"/>
      <c r="F160" s="87">
        <v>5</v>
      </c>
      <c r="G160" s="121"/>
      <c r="H160" s="146"/>
      <c r="I160" s="148"/>
      <c r="J160" s="148"/>
      <c r="K160" s="148"/>
      <c r="L160" s="147"/>
      <c r="M160" s="69">
        <f>IF(A7stdlife="n/a","n/a",IF(M$3&gt;(A7stdlife+$F160),(Input!$L$217*(1+vanilla5)^0.5)-SUM($L160:L160),(Input!$L$217*(1+vanilla5)^0.5)/A7stdlife))</f>
        <v>0.27104917025073844</v>
      </c>
      <c r="N160" s="69">
        <f>IF(A7stdlife="n/a","n/a",IF(N$3&gt;(A7stdlife+$F160),(Input!$L$217*(1+vanilla5)^0.5)-SUM($L160:M160),(Input!$L$217*(1+vanilla5)^0.5)/A7stdlife))</f>
        <v>0.27104917025073844</v>
      </c>
      <c r="O160" s="69">
        <f>IF(A7stdlife="n/a","n/a",IF(O$3&gt;(A7stdlife+$F160),(Input!$L$217*(1+vanilla5)^0.5)-SUM($L160:N160),(Input!$L$217*(1+vanilla5)^0.5)/A7stdlife))</f>
        <v>0.27104917025073844</v>
      </c>
      <c r="P160" s="69">
        <f>IF(A7stdlife="n/a","n/a",IF(P$3&gt;(A7stdlife+$F160),(Input!$L$217*(1+vanilla5)^0.5)-SUM($L160:O160),(Input!$L$217*(1+vanilla5)^0.5)/A7stdlife))</f>
        <v>0.27104917025073844</v>
      </c>
      <c r="Q160" s="69">
        <f>IF(A7stdlife="n/a","n/a",IF(Q$3&gt;(A7stdlife+$F160),(Input!$L$217*(1+vanilla5)^0.5)-SUM($L160:P160),(Input!$L$217*(1+vanilla5)^0.5)/A7stdlife))</f>
        <v>0.27104917025073844</v>
      </c>
      <c r="R160" s="69"/>
      <c r="S160" s="103"/>
      <c r="T160" s="103"/>
      <c r="U160" s="103"/>
      <c r="V160" s="103"/>
      <c r="W160" s="103"/>
      <c r="X160" s="103"/>
      <c r="Y160" s="103"/>
      <c r="Z160" s="103"/>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103"/>
      <c r="BE160" s="103"/>
      <c r="BF160" s="103"/>
      <c r="BG160" s="103"/>
      <c r="BH160" s="103"/>
      <c r="BI160" s="103"/>
      <c r="BJ160" s="103"/>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9"/>
      <c r="D161" s="26"/>
      <c r="E161" s="392"/>
      <c r="F161" s="87">
        <v>6</v>
      </c>
      <c r="G161" s="121"/>
      <c r="H161" s="146"/>
      <c r="I161" s="148"/>
      <c r="J161" s="148"/>
      <c r="K161" s="148"/>
      <c r="L161" s="148"/>
      <c r="M161" s="147"/>
      <c r="N161" s="69">
        <f>IF(A7stdlife="n/a","n/a",IF(N$3&gt;(A7stdlife+$F161),(Input!$M$217*(1+vanilla6)^0.5)-SUM($M161:M161),(Input!$M$217*(1+vanilla6)^0.5)/A7stdlife))</f>
        <v>0.32100101148216714</v>
      </c>
      <c r="O161" s="69">
        <f>IF(A7stdlife="n/a","n/a",IF(O$3&gt;(A7stdlife+$F161),(Input!$M$217*(1+vanilla6)^0.5)-SUM($M161:N161),(Input!$M$217*(1+vanilla6)^0.5)/A7stdlife))</f>
        <v>0.32100101148216714</v>
      </c>
      <c r="P161" s="69">
        <f>IF(A7stdlife="n/a","n/a",IF(P$3&gt;(A7stdlife+$F161),(Input!$M$217*(1+vanilla6)^0.5)-SUM($M161:O161),(Input!$M$217*(1+vanilla6)^0.5)/A7stdlife))</f>
        <v>0.32100101148216714</v>
      </c>
      <c r="Q161" s="69">
        <f>IF(A7stdlife="n/a","n/a",IF(Q$3&gt;(A7stdlife+$F161),(Input!$M$217*(1+vanilla6)^0.5)-SUM($M161:P161),(Input!$M$217*(1+vanilla6)^0.5)/A7stdlife))</f>
        <v>0.32100101148216714</v>
      </c>
      <c r="R161" s="69"/>
      <c r="S161" s="103"/>
      <c r="T161" s="103"/>
      <c r="U161" s="103"/>
      <c r="V161" s="103"/>
      <c r="W161" s="103"/>
      <c r="X161" s="103"/>
      <c r="Y161" s="103"/>
      <c r="Z161" s="103"/>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c r="A162" s="9"/>
      <c r="B162" s="9"/>
      <c r="C162" s="9"/>
      <c r="D162" s="26"/>
      <c r="E162" s="392"/>
      <c r="F162" s="87">
        <v>7</v>
      </c>
      <c r="G162" s="121"/>
      <c r="H162" s="146"/>
      <c r="I162" s="148"/>
      <c r="J162" s="148"/>
      <c r="K162" s="148"/>
      <c r="L162" s="148"/>
      <c r="M162" s="148"/>
      <c r="N162" s="147"/>
      <c r="O162" s="69">
        <f>IF(A7stdlife="n/a","n/a",IF(O$3&gt;(A7stdlife+$F162),(Input!$N$217*(1+vanilla7)^0.5)-SUM($N162:N162),(Input!$N$217*(1+vanilla7)^0.5)/A7stdlife))</f>
        <v>0</v>
      </c>
      <c r="P162" s="69">
        <f>IF(A7stdlife="n/a","n/a",IF(P$3&gt;(A7stdlife+$F162),(Input!$N$217*(1+vanilla7)^0.5)-SUM($N162:O162),(Input!$N$217*(1+vanilla7)^0.5)/A7stdlife))</f>
        <v>0</v>
      </c>
      <c r="Q162" s="69">
        <f>IF(A7stdlife="n/a","n/a",IF(Q$3&gt;(A7stdlife+$F162),(Input!$N$217*(1+vanilla7)^0.5)-SUM($N162:P162),(Input!$N$217*(1+vanilla7)^0.5)/A7stdlife))</f>
        <v>0</v>
      </c>
      <c r="R162" s="69"/>
      <c r="S162" s="103"/>
      <c r="T162" s="103"/>
      <c r="U162" s="103"/>
      <c r="V162" s="103"/>
      <c r="W162" s="103"/>
      <c r="X162" s="103"/>
      <c r="Y162" s="103"/>
      <c r="Z162" s="103"/>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92"/>
      <c r="F163" s="87">
        <v>8</v>
      </c>
      <c r="G163" s="121"/>
      <c r="H163" s="146"/>
      <c r="I163" s="148"/>
      <c r="J163" s="148"/>
      <c r="K163" s="148"/>
      <c r="L163" s="148"/>
      <c r="M163" s="148"/>
      <c r="N163" s="148"/>
      <c r="O163" s="147"/>
      <c r="P163" s="69">
        <f>IF(A7stdlife="n/a","n/a",IF(P$3&gt;(A7stdlife+$F163),(Input!$O$217*(1+vanilla8)^0.5)-SUM($O163:O163),(Input!$O$217*(1+vanilla8)^0.5)/A7stdlife))</f>
        <v>0</v>
      </c>
      <c r="Q163" s="69">
        <f>IF(A7stdlife="n/a","n/a",IF(Q$3&gt;(A7stdlife+$F163),(Input!$O$217*(1+vanilla8)^0.5)-SUM($O163:P163),(Input!$O$217*(1+vanilla8)^0.5)/A7stdlife))</f>
        <v>0</v>
      </c>
      <c r="R163" s="69"/>
      <c r="S163" s="103"/>
      <c r="T163" s="103"/>
      <c r="U163" s="103"/>
      <c r="V163" s="103"/>
      <c r="W163" s="103"/>
      <c r="X163" s="103"/>
      <c r="Y163" s="103"/>
      <c r="Z163" s="103"/>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92"/>
      <c r="F164" s="87">
        <v>9</v>
      </c>
      <c r="G164" s="121"/>
      <c r="H164" s="146"/>
      <c r="I164" s="148"/>
      <c r="J164" s="148"/>
      <c r="K164" s="148"/>
      <c r="L164" s="148"/>
      <c r="M164" s="148"/>
      <c r="N164" s="148"/>
      <c r="O164" s="148"/>
      <c r="P164" s="147"/>
      <c r="Q164" s="69">
        <f>IF(A7stdlife="n/a","n/a",IF(Q$3&gt;(A7stdlife+$F164),(Input!$P$217*(1+vanilla9)^0.5)-SUM($P164:P164),(Input!$P$217*(1+vanilla9)^0.5)/A7stdlife))</f>
        <v>0</v>
      </c>
      <c r="R164" s="69"/>
      <c r="S164" s="103"/>
      <c r="T164" s="103"/>
      <c r="U164" s="103"/>
      <c r="V164" s="103"/>
      <c r="W164" s="103"/>
      <c r="X164" s="103"/>
      <c r="Y164" s="103"/>
      <c r="Z164" s="103"/>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92"/>
      <c r="F165" s="88">
        <v>10</v>
      </c>
      <c r="G165" s="121"/>
      <c r="H165" s="146"/>
      <c r="I165" s="148"/>
      <c r="J165" s="148"/>
      <c r="K165" s="148"/>
      <c r="L165" s="148"/>
      <c r="M165" s="148"/>
      <c r="N165" s="148"/>
      <c r="O165" s="148"/>
      <c r="P165" s="148"/>
      <c r="Q165" s="147"/>
      <c r="R165" s="69"/>
      <c r="S165" s="103"/>
      <c r="T165" s="103"/>
      <c r="U165" s="103"/>
      <c r="V165" s="103"/>
      <c r="W165" s="103"/>
      <c r="X165" s="103"/>
      <c r="Y165" s="103"/>
      <c r="Z165" s="103"/>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ollapsed="1">
      <c r="A166" s="9"/>
      <c r="B166" s="9"/>
      <c r="C166" s="9"/>
      <c r="D166" s="271" t="str">
        <f>Asset7</f>
        <v>Communications</v>
      </c>
      <c r="E166" s="9"/>
      <c r="F166" s="9"/>
      <c r="G166" s="121"/>
      <c r="H166" s="162">
        <f t="shared" ref="H166:M166" si="10">-SUM(H154:H165)</f>
        <v>-0.80288438929012207</v>
      </c>
      <c r="I166" s="162">
        <f t="shared" si="10"/>
        <v>-0.82598683343499402</v>
      </c>
      <c r="J166" s="162">
        <f t="shared" si="10"/>
        <v>-0.96021996844096968</v>
      </c>
      <c r="K166" s="162">
        <f t="shared" si="10"/>
        <v>-1.7162950279405538</v>
      </c>
      <c r="L166" s="162">
        <f t="shared" si="10"/>
        <v>-2.1305812357405625</v>
      </c>
      <c r="M166" s="162">
        <f t="shared" si="10"/>
        <v>-2.401630405991301</v>
      </c>
      <c r="N166" s="69">
        <f>IF(COUNT($H166:M166)&gt;=Input!$Y$7,0, -SUM(N154:N165))</f>
        <v>0</v>
      </c>
      <c r="O166" s="69">
        <f>IF(COUNT($H166:N166)&gt;=Input!$Y$7,0, -SUM(O154:O165))</f>
        <v>0</v>
      </c>
      <c r="P166" s="69">
        <f>IF(COUNT($H166:O166)&gt;=Input!$Y$7,0, -SUM(P154:P165))</f>
        <v>0</v>
      </c>
      <c r="Q166" s="69">
        <f>IF(COUNT($H166:P166)&gt;=Input!$Y$7,0, -SUM(Q154:Q165))</f>
        <v>0</v>
      </c>
      <c r="R166" s="67"/>
      <c r="S166" s="105"/>
      <c r="T166" s="105"/>
      <c r="U166" s="105"/>
      <c r="V166" s="105"/>
      <c r="W166" s="105"/>
      <c r="X166" s="105"/>
      <c r="Y166" s="105"/>
      <c r="Z166" s="105"/>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272" t="str">
        <f>Asset8</f>
        <v>Inventory</v>
      </c>
      <c r="D167" s="158"/>
      <c r="E167" s="32" t="s">
        <v>26</v>
      </c>
      <c r="F167" s="31"/>
      <c r="G167" s="177"/>
      <c r="H167" s="68" t="str">
        <f>IF(H$3&gt;A8remlife,A8value-$G$637-SUM($G167:G167),IF(A8remlife="N/A","n/a",(A8value-$G$637)/A8remlife))</f>
        <v>n/a</v>
      </c>
      <c r="I167" s="68" t="str">
        <f>IF(I$3&gt;A8remlife,A8value-$G$637-SUM($G167:H167),IF(A8remlife="N/A","n/a",(A8value-$G$637)/A8remlife))</f>
        <v>n/a</v>
      </c>
      <c r="J167" s="68" t="str">
        <f>IF(J$3&gt;A8remlife,A8value-$G$637-SUM($G167:I167),IF(A8remlife="N/A","n/a",(A8value-$G$637)/A8remlife))</f>
        <v>n/a</v>
      </c>
      <c r="K167" s="68" t="str">
        <f>IF(K$3&gt;A8remlife,A8value-$G$637-SUM($G167:J167),IF(A8remlife="N/A","n/a",(A8value-$G$637)/A8remlife))</f>
        <v>n/a</v>
      </c>
      <c r="L167" s="68" t="str">
        <f>IF(L$3&gt;A8remlife,A8value-$G$637-SUM($G167:K167),IF(A8remlife="N/A","n/a",(A8value-$G$637)/A8remlife))</f>
        <v>n/a</v>
      </c>
      <c r="M167" s="68" t="str">
        <f>IF(M$3&gt;A8remlife,A8value-$G$637-SUM($G167:L167),IF(A8remlife="N/A","n/a",(A8value-$G$637)/A8remlife))</f>
        <v>n/a</v>
      </c>
      <c r="N167" s="68" t="str">
        <f>IF(N$3&gt;A8remlife,A8value-$G$637-SUM($G167:M167),IF(A8remlife="N/A","n/a",(A8value-$G$637)/A8remlife))</f>
        <v>n/a</v>
      </c>
      <c r="O167" s="68" t="str">
        <f>IF(O$3&gt;A8remlife,A8value-$G$637-SUM($G167:N167),IF(A8remlife="N/A","n/a",(A8value-$G$637)/A8remlife))</f>
        <v>n/a</v>
      </c>
      <c r="P167" s="68" t="str">
        <f>IF(P$3&gt;A8remlife,A8value-$G$637-SUM($G167:O167),IF(A8remlife="N/A","n/a",(A8value-$G$637)/A8remlife))</f>
        <v>n/a</v>
      </c>
      <c r="Q167" s="68" t="str">
        <f>IF(Q$3&gt;A8remlife,A8value-$G$637-SUM($G167:P167),IF(A8remlife="N/A","n/a",(A8value-$G$637)/A8remlife))</f>
        <v>n/a</v>
      </c>
      <c r="R167" s="68"/>
      <c r="S167" s="103"/>
      <c r="T167" s="103"/>
      <c r="U167" s="103"/>
      <c r="V167" s="103"/>
      <c r="W167" s="103"/>
      <c r="X167" s="103"/>
      <c r="Y167" s="103"/>
      <c r="Z167" s="103"/>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6"/>
      <c r="E168" s="391" t="s">
        <v>82</v>
      </c>
      <c r="F168" s="87"/>
      <c r="G168" s="121"/>
      <c r="H168" s="69"/>
      <c r="I168" s="69"/>
      <c r="J168" s="69"/>
      <c r="K168" s="69"/>
      <c r="L168" s="69"/>
      <c r="M168" s="160"/>
      <c r="N168" s="112"/>
      <c r="O168" s="69"/>
      <c r="P168" s="69"/>
      <c r="Q168" s="69"/>
      <c r="R168" s="69"/>
      <c r="S168" s="103"/>
      <c r="T168" s="103"/>
      <c r="U168" s="103"/>
      <c r="V168" s="103"/>
      <c r="W168" s="103"/>
      <c r="X168" s="103"/>
      <c r="Y168" s="103"/>
      <c r="Z168" s="103"/>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92"/>
      <c r="F169" s="87">
        <v>1</v>
      </c>
      <c r="G169" s="121"/>
      <c r="H169" s="145"/>
      <c r="I169" s="69" t="str">
        <f>IF(A8stdlife="n/a","n/a",IF(I$3&gt;(A8stdlife+$F169),(Input!$H$218*(1+vanilla1)^0.5)-SUM($H169:H169),(Input!$H$218*(1+vanilla1)^0.5)/A8stdlife))</f>
        <v>n/a</v>
      </c>
      <c r="J169" s="69" t="str">
        <f>IF(A8stdlife="n/a","n/a",IF(J$3&gt;(A8stdlife+$F169),(Input!$H$218*(1+vanilla1)^0.5)-SUM($H169:I169),(Input!$H$218*(1+vanilla1)^0.5)/A8stdlife))</f>
        <v>n/a</v>
      </c>
      <c r="K169" s="69" t="str">
        <f>IF(A8stdlife="n/a","n/a",IF(K$3&gt;(A8stdlife+$F169),(Input!$H$218*(1+vanilla1)^0.5)-SUM($H169:J169),(Input!$H$218*(1+vanilla1)^0.5)/A8stdlife))</f>
        <v>n/a</v>
      </c>
      <c r="L169" s="69" t="str">
        <f>IF(A8stdlife="n/a","n/a",IF(L$3&gt;(A8stdlife+$F169),(Input!$H$218*(1+vanilla1)^0.5)-SUM($H169:K169),(Input!$H$218*(1+vanilla1)^0.5)/A8stdlife))</f>
        <v>n/a</v>
      </c>
      <c r="M169" s="69" t="str">
        <f>IF(A8stdlife="n/a","n/a",IF(M$3&gt;(A8stdlife+$F169),(Input!$H$218*(1+vanilla1)^0.5)-SUM($H169:L169),(Input!$H$218*(1+vanilla1)^0.5)/A8stdlife))</f>
        <v>n/a</v>
      </c>
      <c r="N169" s="69" t="str">
        <f>IF(A8stdlife="n/a","n/a",IF(N$3&gt;(A8stdlife+$F169),(Input!$H$218*(1+vanilla1)^0.5)-SUM($H169:M169),(Input!$H$218*(1+vanilla1)^0.5)/A8stdlife))</f>
        <v>n/a</v>
      </c>
      <c r="O169" s="69" t="str">
        <f>IF(A8stdlife="n/a","n/a",IF(O$3&gt;(A8stdlife+$F169),(Input!$H$218*(1+vanilla1)^0.5)-SUM($H169:N169),(Input!$H$218*(1+vanilla1)^0.5)/A8stdlife))</f>
        <v>n/a</v>
      </c>
      <c r="P169" s="69" t="str">
        <f>IF(A8stdlife="n/a","n/a",IF(P$3&gt;(A8stdlife+$F169),(Input!$H$218*(1+vanilla1)^0.5)-SUM($H169:O169),(Input!$H$218*(1+vanilla1)^0.5)/A8stdlife))</f>
        <v>n/a</v>
      </c>
      <c r="Q169" s="69" t="str">
        <f>IF(A8stdlife="n/a","n/a",IF(Q$3&gt;(A8stdlife+$F169),(Input!$H$218*(1+vanilla1)^0.5)-SUM($H169:P169),(Input!$H$218*(1+vanilla1)^0.5)/A8stdlife))</f>
        <v>n/a</v>
      </c>
      <c r="R169" s="69"/>
      <c r="S169" s="103"/>
      <c r="T169" s="103"/>
      <c r="U169" s="103"/>
      <c r="V169" s="103"/>
      <c r="W169" s="103"/>
      <c r="X169" s="103"/>
      <c r="Y169" s="103"/>
      <c r="Z169" s="103"/>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92"/>
      <c r="F170" s="87">
        <v>2</v>
      </c>
      <c r="G170" s="121"/>
      <c r="H170" s="146"/>
      <c r="I170" s="147"/>
      <c r="J170" s="69" t="str">
        <f>IF(A8stdlife="n/a","n/a",IF(J$3&gt;(A8stdlife+$F170),(Input!$I$218*(1+vanilla2)^0.5)-SUM($I170:I170),(Input!$I$218*(1+vanilla2)^0.5)/A8stdlife))</f>
        <v>n/a</v>
      </c>
      <c r="K170" s="69" t="str">
        <f>IF(A8stdlife="n/a","n/a",IF(K$3&gt;(A8stdlife+$F170),(Input!$I$218*(1+vanilla2)^0.5)-SUM($I170:J170),(Input!$I$218*(1+vanilla2)^0.5)/A8stdlife))</f>
        <v>n/a</v>
      </c>
      <c r="L170" s="69" t="str">
        <f>IF(A8stdlife="n/a","n/a",IF(L$3&gt;(A8stdlife+$F170),(Input!$I$218*(1+vanilla2)^0.5)-SUM($I170:K170),(Input!$I$218*(1+vanilla2)^0.5)/A8stdlife))</f>
        <v>n/a</v>
      </c>
      <c r="M170" s="69" t="str">
        <f>IF(A8stdlife="n/a","n/a",IF(M$3&gt;(A8stdlife+$F170),(Input!$I$218*(1+vanilla2)^0.5)-SUM($I170:L170),(Input!$I$218*(1+vanilla2)^0.5)/A8stdlife))</f>
        <v>n/a</v>
      </c>
      <c r="N170" s="69" t="str">
        <f>IF(A8stdlife="n/a","n/a",IF(N$3&gt;(A8stdlife+$F170),(Input!$I$218*(1+vanilla2)^0.5)-SUM($I170:M170),(Input!$I$218*(1+vanilla2)^0.5)/A8stdlife))</f>
        <v>n/a</v>
      </c>
      <c r="O170" s="69" t="str">
        <f>IF(A8stdlife="n/a","n/a",IF(O$3&gt;(A8stdlife+$F170),(Input!$I$218*(1+vanilla2)^0.5)-SUM($I170:N170),(Input!$I$218*(1+vanilla2)^0.5)/A8stdlife))</f>
        <v>n/a</v>
      </c>
      <c r="P170" s="69" t="str">
        <f>IF(A8stdlife="n/a","n/a",IF(P$3&gt;(A8stdlife+$F170),(Input!$I$218*(1+vanilla2)^0.5)-SUM($I170:O170),(Input!$I$218*(1+vanilla2)^0.5)/A8stdlife))</f>
        <v>n/a</v>
      </c>
      <c r="Q170" s="69" t="str">
        <f>IF(A8stdlife="n/a","n/a",IF(Q$3&gt;(A8stdlife+$F170),(Input!$I$218*(1+vanilla2)^0.5)-SUM($I170:P170),(Input!$I$218*(1+vanilla2)^0.5)/A8stdlife))</f>
        <v>n/a</v>
      </c>
      <c r="R170" s="69"/>
      <c r="S170" s="103"/>
      <c r="T170" s="103"/>
      <c r="U170" s="103"/>
      <c r="V170" s="103"/>
      <c r="W170" s="103"/>
      <c r="X170" s="103"/>
      <c r="Y170" s="103"/>
      <c r="Z170" s="103"/>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92"/>
      <c r="F171" s="87">
        <v>3</v>
      </c>
      <c r="G171" s="121"/>
      <c r="H171" s="146"/>
      <c r="I171" s="148"/>
      <c r="J171" s="147"/>
      <c r="K171" s="69" t="str">
        <f>IF(A8stdlife="n/a","n/a",IF(K$3&gt;(A8stdlife+$F171),(Input!$J$218*(1+vanilla3)^0.5)-SUM($J171:J171),(Input!$J$218*(1+vanilla3)^0.5)/A8stdlife))</f>
        <v>n/a</v>
      </c>
      <c r="L171" s="69" t="str">
        <f>IF(A8stdlife="n/a","n/a",IF(L$3&gt;(A8stdlife+$F171),(Input!$J$218*(1+vanilla3)^0.5)-SUM($J171:K171),(Input!$J$218*(1+vanilla3)^0.5)/A8stdlife))</f>
        <v>n/a</v>
      </c>
      <c r="M171" s="69" t="str">
        <f>IF(A8stdlife="n/a","n/a",IF(M$3&gt;(A8stdlife+$F171),(Input!$J$218*(1+vanilla3)^0.5)-SUM($J171:L171),(Input!$J$218*(1+vanilla3)^0.5)/A8stdlife))</f>
        <v>n/a</v>
      </c>
      <c r="N171" s="69" t="str">
        <f>IF(A8stdlife="n/a","n/a",IF(N$3&gt;(A8stdlife+$F171),(Input!$J$218*(1+vanilla3)^0.5)-SUM($J171:M171),(Input!$J$218*(1+vanilla3)^0.5)/A8stdlife))</f>
        <v>n/a</v>
      </c>
      <c r="O171" s="69" t="str">
        <f>IF(A8stdlife="n/a","n/a",IF(O$3&gt;(A8stdlife+$F171),(Input!$J$218*(1+vanilla3)^0.5)-SUM($J171:N171),(Input!$J$218*(1+vanilla3)^0.5)/A8stdlife))</f>
        <v>n/a</v>
      </c>
      <c r="P171" s="69" t="str">
        <f>IF(A8stdlife="n/a","n/a",IF(P$3&gt;(A8stdlife+$F171),(Input!$J$218*(1+vanilla3)^0.5)-SUM($J171:O171),(Input!$J$218*(1+vanilla3)^0.5)/A8stdlife))</f>
        <v>n/a</v>
      </c>
      <c r="Q171" s="69" t="str">
        <f>IF(A8stdlife="n/a","n/a",IF(Q$3&gt;(A8stdlife+$F171),(Input!$J$218*(1+vanilla3)^0.5)-SUM($J171:P171),(Input!$J$218*(1+vanilla3)^0.5)/A8stdlife))</f>
        <v>n/a</v>
      </c>
      <c r="R171" s="69"/>
      <c r="S171" s="103"/>
      <c r="T171" s="103"/>
      <c r="U171" s="103"/>
      <c r="V171" s="103"/>
      <c r="W171" s="103"/>
      <c r="X171" s="103"/>
      <c r="Y171" s="103"/>
      <c r="Z171" s="103"/>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92"/>
      <c r="F172" s="87">
        <v>4</v>
      </c>
      <c r="G172" s="121"/>
      <c r="H172" s="146"/>
      <c r="I172" s="148"/>
      <c r="J172" s="148"/>
      <c r="K172" s="147"/>
      <c r="L172" s="69" t="str">
        <f>IF(A8stdlife="n/a","n/a",IF(L$3&gt;(A8stdlife+$F172),(Input!$K$218*(1+vanilla4)^0.5)-SUM($K172:K172),(Input!$K$218*(1+vanilla4)^0.5)/A8stdlife))</f>
        <v>n/a</v>
      </c>
      <c r="M172" s="69" t="str">
        <f>IF(A8stdlife="n/a","n/a",IF(M$3&gt;(A8stdlife+$F172),(Input!$K$218*(1+vanilla4)^0.5)-SUM($K172:L172),(Input!$K$218*(1+vanilla4)^0.5)/A8stdlife))</f>
        <v>n/a</v>
      </c>
      <c r="N172" s="69" t="str">
        <f>IF(A8stdlife="n/a","n/a",IF(N$3&gt;(A8stdlife+$F172),(Input!$K$218*(1+vanilla4)^0.5)-SUM($K172:M172),(Input!$K$218*(1+vanilla4)^0.5)/A8stdlife))</f>
        <v>n/a</v>
      </c>
      <c r="O172" s="69" t="str">
        <f>IF(A8stdlife="n/a","n/a",IF(O$3&gt;(A8stdlife+$F172),(Input!$K$218*(1+vanilla4)^0.5)-SUM($K172:N172),(Input!$K$218*(1+vanilla4)^0.5)/A8stdlife))</f>
        <v>n/a</v>
      </c>
      <c r="P172" s="69" t="str">
        <f>IF(A8stdlife="n/a","n/a",IF(P$3&gt;(A8stdlife+$F172),(Input!$K$218*(1+vanilla4)^0.5)-SUM($K172:O172),(Input!$K$218*(1+vanilla4)^0.5)/A8stdlife))</f>
        <v>n/a</v>
      </c>
      <c r="Q172" s="69" t="str">
        <f>IF(A8stdlife="n/a","n/a",IF(Q$3&gt;(A8stdlife+$F172),(Input!$K$218*(1+vanilla4)^0.5)-SUM($K172:P172),(Input!$K$218*(1+vanilla4)^0.5)/A8stdlife))</f>
        <v>n/a</v>
      </c>
      <c r="R172" s="69"/>
      <c r="S172" s="103"/>
      <c r="T172" s="103"/>
      <c r="U172" s="103"/>
      <c r="V172" s="103"/>
      <c r="W172" s="103"/>
      <c r="X172" s="103"/>
      <c r="Y172" s="103"/>
      <c r="Z172" s="103"/>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9"/>
      <c r="B173" s="9"/>
      <c r="C173" s="9"/>
      <c r="D173" s="26"/>
      <c r="E173" s="392"/>
      <c r="F173" s="87">
        <v>5</v>
      </c>
      <c r="G173" s="121"/>
      <c r="H173" s="146"/>
      <c r="I173" s="148"/>
      <c r="J173" s="148"/>
      <c r="K173" s="148"/>
      <c r="L173" s="147"/>
      <c r="M173" s="69" t="str">
        <f>IF(A8stdlife="n/a","n/a",IF(M$3&gt;(A8stdlife+$F173),(Input!$L$218*(1+vanilla5)^0.5)-SUM($L173:L173),(Input!$L$218*(1+vanilla5)^0.5)/A8stdlife))</f>
        <v>n/a</v>
      </c>
      <c r="N173" s="69" t="str">
        <f>IF(A8stdlife="n/a","n/a",IF(N$3&gt;(A8stdlife+$F173),(Input!$L$218*(1+vanilla5)^0.5)-SUM($L173:M173),(Input!$L$218*(1+vanilla5)^0.5)/A8stdlife))</f>
        <v>n/a</v>
      </c>
      <c r="O173" s="69" t="str">
        <f>IF(A8stdlife="n/a","n/a",IF(O$3&gt;(A8stdlife+$F173),(Input!$L$218*(1+vanilla5)^0.5)-SUM($L173:N173),(Input!$L$218*(1+vanilla5)^0.5)/A8stdlife))</f>
        <v>n/a</v>
      </c>
      <c r="P173" s="69" t="str">
        <f>IF(A8stdlife="n/a","n/a",IF(P$3&gt;(A8stdlife+$F173),(Input!$L$218*(1+vanilla5)^0.5)-SUM($L173:O173),(Input!$L$218*(1+vanilla5)^0.5)/A8stdlife))</f>
        <v>n/a</v>
      </c>
      <c r="Q173" s="69" t="str">
        <f>IF(A8stdlife="n/a","n/a",IF(Q$3&gt;(A8stdlife+$F173),(Input!$L$218*(1+vanilla5)^0.5)-SUM($L173:P173),(Input!$L$218*(1+vanilla5)^0.5)/A8stdlife))</f>
        <v>n/a</v>
      </c>
      <c r="R173" s="69"/>
      <c r="S173" s="103"/>
      <c r="T173" s="103"/>
      <c r="U173" s="103"/>
      <c r="V173" s="103"/>
      <c r="W173" s="103"/>
      <c r="X173" s="103"/>
      <c r="Y173" s="103"/>
      <c r="Z173" s="103"/>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103"/>
      <c r="BE173" s="103"/>
      <c r="BF173" s="103"/>
      <c r="BG173" s="103"/>
      <c r="BH173" s="103"/>
      <c r="BI173" s="103"/>
      <c r="BJ173" s="103"/>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9"/>
      <c r="D174" s="26"/>
      <c r="E174" s="392"/>
      <c r="F174" s="87">
        <v>6</v>
      </c>
      <c r="G174" s="121"/>
      <c r="H174" s="146"/>
      <c r="I174" s="148"/>
      <c r="J174" s="148"/>
      <c r="K174" s="148"/>
      <c r="L174" s="148"/>
      <c r="M174" s="147"/>
      <c r="N174" s="69" t="str">
        <f>IF(A8stdlife="n/a","n/a",IF(N$3&gt;(A8stdlife+$F174),(Input!$M$218*(1+vanilla6)^0.5)-SUM($M174:M174),(Input!$M$218*(1+vanilla6)^0.5)/A8stdlife))</f>
        <v>n/a</v>
      </c>
      <c r="O174" s="69" t="str">
        <f>IF(A8stdlife="n/a","n/a",IF(O$3&gt;(A8stdlife+$F174),(Input!$M$218*(1+vanilla6)^0.5)-SUM($M174:N174),(Input!$M$218*(1+vanilla6)^0.5)/A8stdlife))</f>
        <v>n/a</v>
      </c>
      <c r="P174" s="69" t="str">
        <f>IF(A8stdlife="n/a","n/a",IF(P$3&gt;(A8stdlife+$F174),(Input!$M$218*(1+vanilla6)^0.5)-SUM($M174:O174),(Input!$M$218*(1+vanilla6)^0.5)/A8stdlife))</f>
        <v>n/a</v>
      </c>
      <c r="Q174" s="69" t="str">
        <f>IF(A8stdlife="n/a","n/a",IF(Q$3&gt;(A8stdlife+$F174),(Input!$M$218*(1+vanilla6)^0.5)-SUM($M174:P174),(Input!$M$218*(1+vanilla6)^0.5)/A8stdlife))</f>
        <v>n/a</v>
      </c>
      <c r="R174" s="69"/>
      <c r="S174" s="103"/>
      <c r="T174" s="103"/>
      <c r="U174" s="103"/>
      <c r="V174" s="103"/>
      <c r="W174" s="103"/>
      <c r="X174" s="103"/>
      <c r="Y174" s="103"/>
      <c r="Z174" s="103"/>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c r="A175" s="9"/>
      <c r="B175" s="9"/>
      <c r="C175" s="9"/>
      <c r="D175" s="26"/>
      <c r="E175" s="392"/>
      <c r="F175" s="87">
        <v>7</v>
      </c>
      <c r="G175" s="121"/>
      <c r="H175" s="146"/>
      <c r="I175" s="148"/>
      <c r="J175" s="148"/>
      <c r="K175" s="148"/>
      <c r="L175" s="148"/>
      <c r="M175" s="148"/>
      <c r="N175" s="147"/>
      <c r="O175" s="69" t="str">
        <f>IF(A8stdlife="n/a","n/a",IF(O$3&gt;(A8stdlife+$F175),(Input!$N$218*(1+vanilla7)^0.5)-SUM($N175:N175),(Input!$N$218*(1+vanilla7)^0.5)/A8stdlife))</f>
        <v>n/a</v>
      </c>
      <c r="P175" s="69" t="str">
        <f>IF(A8stdlife="n/a","n/a",IF(P$3&gt;(A8stdlife+$F175),(Input!$N$218*(1+vanilla7)^0.5)-SUM($N175:O175),(Input!$N$218*(1+vanilla7)^0.5)/A8stdlife))</f>
        <v>n/a</v>
      </c>
      <c r="Q175" s="69" t="str">
        <f>IF(A8stdlife="n/a","n/a",IF(Q$3&gt;(A8stdlife+$F175),(Input!$N$218*(1+vanilla7)^0.5)-SUM($N175:P175),(Input!$N$218*(1+vanilla7)^0.5)/A8stdlife))</f>
        <v>n/a</v>
      </c>
      <c r="R175" s="69"/>
      <c r="S175" s="103"/>
      <c r="T175" s="103"/>
      <c r="U175" s="103"/>
      <c r="V175" s="103"/>
      <c r="W175" s="103"/>
      <c r="X175" s="103"/>
      <c r="Y175" s="103"/>
      <c r="Z175" s="103"/>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92"/>
      <c r="F176" s="87">
        <v>8</v>
      </c>
      <c r="G176" s="121"/>
      <c r="H176" s="146"/>
      <c r="I176" s="148"/>
      <c r="J176" s="148"/>
      <c r="K176" s="148"/>
      <c r="L176" s="148"/>
      <c r="M176" s="148"/>
      <c r="N176" s="148"/>
      <c r="O176" s="147"/>
      <c r="P176" s="69" t="str">
        <f>IF(A8stdlife="n/a","n/a",IF(P$3&gt;(A8stdlife+$F176),(Input!$O$218*(1+vanilla8)^0.5)-SUM($O176:O176),(Input!$O$218*(1+vanilla8)^0.5)/A8stdlife))</f>
        <v>n/a</v>
      </c>
      <c r="Q176" s="69" t="str">
        <f>IF(A8stdlife="n/a","n/a",IF(Q$3&gt;(A8stdlife+$F176),(Input!$O$218*(1+vanilla8)^0.5)-SUM($O176:P176),(Input!$O$218*(1+vanilla8)^0.5)/A8stdlife))</f>
        <v>n/a</v>
      </c>
      <c r="R176" s="69"/>
      <c r="S176" s="103"/>
      <c r="T176" s="103"/>
      <c r="U176" s="103"/>
      <c r="V176" s="103"/>
      <c r="W176" s="103"/>
      <c r="X176" s="103"/>
      <c r="Y176" s="103"/>
      <c r="Z176" s="103"/>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92"/>
      <c r="F177" s="87">
        <v>9</v>
      </c>
      <c r="G177" s="121"/>
      <c r="H177" s="146"/>
      <c r="I177" s="148"/>
      <c r="J177" s="148"/>
      <c r="K177" s="148"/>
      <c r="L177" s="148"/>
      <c r="M177" s="148"/>
      <c r="N177" s="148"/>
      <c r="O177" s="148"/>
      <c r="P177" s="147"/>
      <c r="Q177" s="69" t="str">
        <f>IF(A8stdlife="n/a","n/a",IF(Q$3&gt;(A8stdlife+$F177),(Input!$P$218*(1+vanilla9)^0.5)-SUM($P177:P177),(Input!$P$218*(1+vanilla9)^0.5)/A8stdlife))</f>
        <v>n/a</v>
      </c>
      <c r="R177" s="69"/>
      <c r="S177" s="103"/>
      <c r="T177" s="103"/>
      <c r="U177" s="103"/>
      <c r="V177" s="103"/>
      <c r="W177" s="103"/>
      <c r="X177" s="103"/>
      <c r="Y177" s="103"/>
      <c r="Z177" s="103"/>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92"/>
      <c r="F178" s="88">
        <v>10</v>
      </c>
      <c r="G178" s="121"/>
      <c r="H178" s="146"/>
      <c r="I178" s="148"/>
      <c r="J178" s="148"/>
      <c r="K178" s="148"/>
      <c r="L178" s="148"/>
      <c r="M178" s="148"/>
      <c r="N178" s="148"/>
      <c r="O178" s="148"/>
      <c r="P178" s="148"/>
      <c r="Q178" s="147"/>
      <c r="R178" s="69"/>
      <c r="S178" s="103"/>
      <c r="T178" s="103"/>
      <c r="U178" s="103"/>
      <c r="V178" s="103"/>
      <c r="W178" s="103"/>
      <c r="X178" s="103"/>
      <c r="Y178" s="103"/>
      <c r="Z178" s="103"/>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ollapsed="1">
      <c r="A179" s="9"/>
      <c r="B179" s="9"/>
      <c r="C179" s="9"/>
      <c r="D179" s="271" t="str">
        <f>Asset8</f>
        <v>Inventory</v>
      </c>
      <c r="E179" s="9"/>
      <c r="F179" s="9"/>
      <c r="G179" s="121"/>
      <c r="H179" s="162">
        <f t="shared" ref="H179:M179" si="11">-SUM(H167:H178)</f>
        <v>0</v>
      </c>
      <c r="I179" s="162">
        <f t="shared" si="11"/>
        <v>0</v>
      </c>
      <c r="J179" s="162">
        <f t="shared" si="11"/>
        <v>0</v>
      </c>
      <c r="K179" s="162">
        <f t="shared" si="11"/>
        <v>0</v>
      </c>
      <c r="L179" s="162">
        <f t="shared" si="11"/>
        <v>0</v>
      </c>
      <c r="M179" s="162">
        <f t="shared" si="11"/>
        <v>0</v>
      </c>
      <c r="N179" s="69">
        <f>IF(COUNT($H179:M179)&gt;=Input!$Y$7,0, -SUM(N167:N178))</f>
        <v>0</v>
      </c>
      <c r="O179" s="69">
        <f>IF(COUNT($H179:N179)&gt;=Input!$Y$7,0, -SUM(O167:O178))</f>
        <v>0</v>
      </c>
      <c r="P179" s="69">
        <f>IF(COUNT($H179:O179)&gt;=Input!$Y$7,0, -SUM(P167:P178))</f>
        <v>0</v>
      </c>
      <c r="Q179" s="69">
        <f>IF(COUNT($H179:P179)&gt;=Input!$Y$7,0, -SUM(Q167:Q178))</f>
        <v>0</v>
      </c>
      <c r="R179" s="67"/>
      <c r="S179" s="105"/>
      <c r="T179" s="105"/>
      <c r="U179" s="105"/>
      <c r="V179" s="105"/>
      <c r="W179" s="105"/>
      <c r="X179" s="105"/>
      <c r="Y179" s="105"/>
      <c r="Z179" s="105"/>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272" t="str">
        <f>Asset9</f>
        <v>IT</v>
      </c>
      <c r="D180" s="158"/>
      <c r="E180" s="32" t="s">
        <v>26</v>
      </c>
      <c r="F180" s="31"/>
      <c r="G180" s="177"/>
      <c r="H180" s="68">
        <f>IF(H$3&gt;A9remlife,A9value-$G$638-SUM($G180:G180),IF(A9remlife="N/A","n/a",(A9value-$G$638)/A9remlife))</f>
        <v>5.80997471242293</v>
      </c>
      <c r="I180" s="68">
        <f>IF(I$3&gt;A9remlife,A9value-$G$638-SUM($G180:H180),IF(A9remlife="N/A","n/a",(A9value-$G$638)/A9remlife))</f>
        <v>5.80997471242293</v>
      </c>
      <c r="J180" s="68">
        <f>IF(J$3&gt;A9remlife,A9value-$G$638-SUM($G180:I180),IF(A9remlife="N/A","n/a",(A9value-$G$638)/A9remlife))</f>
        <v>5.80997471242293</v>
      </c>
      <c r="K180" s="68">
        <f>IF(K$3&gt;A9remlife,A9value-$G$638-SUM($G180:J180),IF(A9remlife="N/A","n/a",(A9value-$G$638)/A9remlife))</f>
        <v>5.80997471242293</v>
      </c>
      <c r="L180" s="68">
        <f>IF(L$3&gt;A9remlife,A9value-$G$638-SUM($G180:K180),IF(A9remlife="N/A","n/a",(A9value-$G$638)/A9remlife))</f>
        <v>5.80997471242293</v>
      </c>
      <c r="M180" s="68">
        <f>IF(M$3&gt;A9remlife,A9value-$G$638-SUM($G180:L180),IF(A9remlife="N/A","n/a",(A9value-$G$638)/A9remlife))</f>
        <v>5.80997471242293</v>
      </c>
      <c r="N180" s="68">
        <f>IF(N$3&gt;A9remlife,A9value-$G$638-SUM($G180:M180),IF(A9remlife="N/A","n/a",(A9value-$G$638)/A9remlife))</f>
        <v>5.80997471242293</v>
      </c>
      <c r="O180" s="68">
        <f>IF(O$3&gt;A9remlife,A9value-$G$638-SUM($G180:N180),IF(A9remlife="N/A","n/a",(A9value-$G$638)/A9remlife))</f>
        <v>1.9611228180524733</v>
      </c>
      <c r="P180" s="68">
        <f>IF(P$3&gt;A9remlife,A9value-$G$638-SUM($G180:O180),IF(A9remlife="N/A","n/a",(A9value-$G$638)/A9remlife))</f>
        <v>0</v>
      </c>
      <c r="Q180" s="68">
        <f>IF(Q$3&gt;A9remlife,A9value-$G$638-SUM($G180:P180),IF(A9remlife="N/A","n/a",(A9value-$G$638)/A9remlife))</f>
        <v>0</v>
      </c>
      <c r="R180" s="68"/>
      <c r="S180" s="103"/>
      <c r="T180" s="103"/>
      <c r="U180" s="103"/>
      <c r="V180" s="103"/>
      <c r="W180" s="103"/>
      <c r="X180" s="103"/>
      <c r="Y180" s="103"/>
      <c r="Z180" s="103"/>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6"/>
      <c r="E181" s="391" t="s">
        <v>82</v>
      </c>
      <c r="F181" s="87"/>
      <c r="G181" s="121"/>
      <c r="H181" s="69"/>
      <c r="I181" s="69"/>
      <c r="J181" s="69"/>
      <c r="K181" s="69"/>
      <c r="L181" s="69"/>
      <c r="M181" s="160"/>
      <c r="N181" s="112"/>
      <c r="O181" s="69"/>
      <c r="P181" s="69"/>
      <c r="Q181" s="69"/>
      <c r="R181" s="69"/>
      <c r="S181" s="103"/>
      <c r="T181" s="103"/>
      <c r="U181" s="103"/>
      <c r="V181" s="103"/>
      <c r="W181" s="103"/>
      <c r="X181" s="103"/>
      <c r="Y181" s="103"/>
      <c r="Z181" s="103"/>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92"/>
      <c r="F182" s="87">
        <v>1</v>
      </c>
      <c r="G182" s="121"/>
      <c r="H182" s="145"/>
      <c r="I182" s="69">
        <f>IF(A9stdlife="n/a","n/a",IF(I$3&gt;(A9stdlife+$F182),(Input!$H$219*(1+vanilla1)^0.5)-SUM($H182:H182),(Input!$H$219*(1+vanilla1)^0.5)/A9stdlife))</f>
        <v>0.53077918172216654</v>
      </c>
      <c r="J182" s="69">
        <f>IF(A9stdlife="n/a","n/a",IF(J$3&gt;(A9stdlife+$F182),(Input!$H$219*(1+vanilla1)^0.5)-SUM($H182:I182),(Input!$H$219*(1+vanilla1)^0.5)/A9stdlife))</f>
        <v>0.53077918172216654</v>
      </c>
      <c r="K182" s="69">
        <f>IF(A9stdlife="n/a","n/a",IF(K$3&gt;(A9stdlife+$F182),(Input!$H$219*(1+vanilla1)^0.5)-SUM($H182:J182),(Input!$H$219*(1+vanilla1)^0.5)/A9stdlife))</f>
        <v>0.53077918172216654</v>
      </c>
      <c r="L182" s="69">
        <f>IF(A9stdlife="n/a","n/a",IF(L$3&gt;(A9stdlife+$F182),(Input!$H$219*(1+vanilla1)^0.5)-SUM($H182:K182),(Input!$H$219*(1+vanilla1)^0.5)/A9stdlife))</f>
        <v>0.53077918172216654</v>
      </c>
      <c r="M182" s="69">
        <f>IF(A9stdlife="n/a","n/a",IF(M$3&gt;(A9stdlife+$F182),(Input!$H$219*(1+vanilla1)^0.5)-SUM($H182:L182),(Input!$H$219*(1+vanilla1)^0.5)/A9stdlife))</f>
        <v>0.53077918172216654</v>
      </c>
      <c r="N182" s="69">
        <f>IF(A9stdlife="n/a","n/a",IF(N$3&gt;(A9stdlife+$F182),(Input!$H$219*(1+vanilla1)^0.5)-SUM($H182:M182),(Input!$H$219*(1+vanilla1)^0.5)/A9stdlife))</f>
        <v>0</v>
      </c>
      <c r="O182" s="69">
        <f>IF(A9stdlife="n/a","n/a",IF(O$3&gt;(A9stdlife+$F182),(Input!$H$219*(1+vanilla1)^0.5)-SUM($H182:N182),(Input!$H$219*(1+vanilla1)^0.5)/A9stdlife))</f>
        <v>0</v>
      </c>
      <c r="P182" s="69">
        <f>IF(A9stdlife="n/a","n/a",IF(P$3&gt;(A9stdlife+$F182),(Input!$H$219*(1+vanilla1)^0.5)-SUM($H182:O182),(Input!$H$219*(1+vanilla1)^0.5)/A9stdlife))</f>
        <v>0</v>
      </c>
      <c r="Q182" s="69">
        <f>IF(A9stdlife="n/a","n/a",IF(Q$3&gt;(A9stdlife+$F182),(Input!$H$219*(1+vanilla1)^0.5)-SUM($H182:P182),(Input!$H$219*(1+vanilla1)^0.5)/A9stdlife))</f>
        <v>0</v>
      </c>
      <c r="R182" s="69"/>
      <c r="S182" s="103"/>
      <c r="T182" s="103"/>
      <c r="U182" s="103"/>
      <c r="V182" s="103"/>
      <c r="W182" s="103"/>
      <c r="X182" s="103"/>
      <c r="Y182" s="103"/>
      <c r="Z182" s="103"/>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92"/>
      <c r="F183" s="87">
        <v>2</v>
      </c>
      <c r="G183" s="121"/>
      <c r="H183" s="146"/>
      <c r="I183" s="147"/>
      <c r="J183" s="69">
        <f>IF(A9stdlife="n/a","n/a",IF(J$3&gt;(A9stdlife+$F183),(Input!$I$219*(1+vanilla2)^0.5)-SUM($I183:I183),(Input!$I$219*(1+vanilla2)^0.5)/A9stdlife))</f>
        <v>2.3732510558754205</v>
      </c>
      <c r="K183" s="69">
        <f>IF(A9stdlife="n/a","n/a",IF(K$3&gt;(A9stdlife+$F183),(Input!$I$219*(1+vanilla2)^0.5)-SUM($I183:J183),(Input!$I$219*(1+vanilla2)^0.5)/A9stdlife))</f>
        <v>2.3732510558754205</v>
      </c>
      <c r="L183" s="69">
        <f>IF(A9stdlife="n/a","n/a",IF(L$3&gt;(A9stdlife+$F183),(Input!$I$219*(1+vanilla2)^0.5)-SUM($I183:K183),(Input!$I$219*(1+vanilla2)^0.5)/A9stdlife))</f>
        <v>2.3732510558754205</v>
      </c>
      <c r="M183" s="69">
        <f>IF(A9stdlife="n/a","n/a",IF(M$3&gt;(A9stdlife+$F183),(Input!$I$219*(1+vanilla2)^0.5)-SUM($I183:L183),(Input!$I$219*(1+vanilla2)^0.5)/A9stdlife))</f>
        <v>2.3732510558754205</v>
      </c>
      <c r="N183" s="69">
        <f>IF(A9stdlife="n/a","n/a",IF(N$3&gt;(A9stdlife+$F183),(Input!$I$219*(1+vanilla2)^0.5)-SUM($I183:M183),(Input!$I$219*(1+vanilla2)^0.5)/A9stdlife))</f>
        <v>2.3732510558754205</v>
      </c>
      <c r="O183" s="69">
        <f>IF(A9stdlife="n/a","n/a",IF(O$3&gt;(A9stdlife+$F183),(Input!$I$219*(1+vanilla2)^0.5)-SUM($I183:N183),(Input!$I$219*(1+vanilla2)^0.5)/A9stdlife))</f>
        <v>0</v>
      </c>
      <c r="P183" s="69">
        <f>IF(A9stdlife="n/a","n/a",IF(P$3&gt;(A9stdlife+$F183),(Input!$I$219*(1+vanilla2)^0.5)-SUM($I183:O183),(Input!$I$219*(1+vanilla2)^0.5)/A9stdlife))</f>
        <v>0</v>
      </c>
      <c r="Q183" s="69">
        <f>IF(A9stdlife="n/a","n/a",IF(Q$3&gt;(A9stdlife+$F183),(Input!$I$219*(1+vanilla2)^0.5)-SUM($I183:P183),(Input!$I$219*(1+vanilla2)^0.5)/A9stdlife))</f>
        <v>0</v>
      </c>
      <c r="R183" s="69"/>
      <c r="S183" s="103"/>
      <c r="T183" s="103"/>
      <c r="U183" s="103"/>
      <c r="V183" s="103"/>
      <c r="W183" s="103"/>
      <c r="X183" s="103"/>
      <c r="Y183" s="103"/>
      <c r="Z183" s="103"/>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92"/>
      <c r="F184" s="87">
        <v>3</v>
      </c>
      <c r="G184" s="121"/>
      <c r="H184" s="146"/>
      <c r="I184" s="148"/>
      <c r="J184" s="147"/>
      <c r="K184" s="69">
        <f>IF(A9stdlife="n/a","n/a",IF(K$3&gt;(A9stdlife+$F184),(Input!$J$219*(1+vanilla3)^0.5)-SUM($J184:J184),(Input!$J$219*(1+vanilla3)^0.5)/A9stdlife))</f>
        <v>0.95410845184834192</v>
      </c>
      <c r="L184" s="69">
        <f>IF(A9stdlife="n/a","n/a",IF(L$3&gt;(A9stdlife+$F184),(Input!$J$219*(1+vanilla3)^0.5)-SUM($J184:K184),(Input!$J$219*(1+vanilla3)^0.5)/A9stdlife))</f>
        <v>0.95410845184834192</v>
      </c>
      <c r="M184" s="69">
        <f>IF(A9stdlife="n/a","n/a",IF(M$3&gt;(A9stdlife+$F184),(Input!$J$219*(1+vanilla3)^0.5)-SUM($J184:L184),(Input!$J$219*(1+vanilla3)^0.5)/A9stdlife))</f>
        <v>0.95410845184834192</v>
      </c>
      <c r="N184" s="69">
        <f>IF(A9stdlife="n/a","n/a",IF(N$3&gt;(A9stdlife+$F184),(Input!$J$219*(1+vanilla3)^0.5)-SUM($J184:M184),(Input!$J$219*(1+vanilla3)^0.5)/A9stdlife))</f>
        <v>0.95410845184834192</v>
      </c>
      <c r="O184" s="69">
        <f>IF(A9stdlife="n/a","n/a",IF(O$3&gt;(A9stdlife+$F184),(Input!$J$219*(1+vanilla3)^0.5)-SUM($J184:N184),(Input!$J$219*(1+vanilla3)^0.5)/A9stdlife))</f>
        <v>0.95410845184834192</v>
      </c>
      <c r="P184" s="69">
        <f>IF(A9stdlife="n/a","n/a",IF(P$3&gt;(A9stdlife+$F184),(Input!$J$219*(1+vanilla3)^0.5)-SUM($J184:O184),(Input!$J$219*(1+vanilla3)^0.5)/A9stdlife))</f>
        <v>0</v>
      </c>
      <c r="Q184" s="69">
        <f>IF(A9stdlife="n/a","n/a",IF(Q$3&gt;(A9stdlife+$F184),(Input!$J$219*(1+vanilla3)^0.5)-SUM($J184:P184),(Input!$J$219*(1+vanilla3)^0.5)/A9stdlife))</f>
        <v>0</v>
      </c>
      <c r="R184" s="69"/>
      <c r="S184" s="103"/>
      <c r="T184" s="103"/>
      <c r="U184" s="103"/>
      <c r="V184" s="103"/>
      <c r="W184" s="103"/>
      <c r="X184" s="103"/>
      <c r="Y184" s="103"/>
      <c r="Z184" s="103"/>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92"/>
      <c r="F185" s="87">
        <v>4</v>
      </c>
      <c r="G185" s="121"/>
      <c r="H185" s="146"/>
      <c r="I185" s="148"/>
      <c r="J185" s="148"/>
      <c r="K185" s="147"/>
      <c r="L185" s="69">
        <f>IF(A9stdlife="n/a","n/a",IF(L$3&gt;(A9stdlife+$F185),(Input!$K$219*(1+vanilla4)^0.5)-SUM($K185:K185),(Input!$K$219*(1+vanilla4)^0.5)/A9stdlife))</f>
        <v>1.4996792724856169</v>
      </c>
      <c r="M185" s="69">
        <f>IF(A9stdlife="n/a","n/a",IF(M$3&gt;(A9stdlife+$F185),(Input!$K$219*(1+vanilla4)^0.5)-SUM($K185:L185),(Input!$K$219*(1+vanilla4)^0.5)/A9stdlife))</f>
        <v>1.4996792724856169</v>
      </c>
      <c r="N185" s="69">
        <f>IF(A9stdlife="n/a","n/a",IF(N$3&gt;(A9stdlife+$F185),(Input!$K$219*(1+vanilla4)^0.5)-SUM($K185:M185),(Input!$K$219*(1+vanilla4)^0.5)/A9stdlife))</f>
        <v>1.4996792724856169</v>
      </c>
      <c r="O185" s="69">
        <f>IF(A9stdlife="n/a","n/a",IF(O$3&gt;(A9stdlife+$F185),(Input!$K$219*(1+vanilla4)^0.5)-SUM($K185:N185),(Input!$K$219*(1+vanilla4)^0.5)/A9stdlife))</f>
        <v>1.4996792724856169</v>
      </c>
      <c r="P185" s="69">
        <f>IF(A9stdlife="n/a","n/a",IF(P$3&gt;(A9stdlife+$F185),(Input!$K$219*(1+vanilla4)^0.5)-SUM($K185:O185),(Input!$K$219*(1+vanilla4)^0.5)/A9stdlife))</f>
        <v>1.4996792724856169</v>
      </c>
      <c r="Q185" s="69">
        <f>IF(A9stdlife="n/a","n/a",IF(Q$3&gt;(A9stdlife+$F185),(Input!$K$219*(1+vanilla4)^0.5)-SUM($K185:P185),(Input!$K$219*(1+vanilla4)^0.5)/A9stdlife))</f>
        <v>0</v>
      </c>
      <c r="R185" s="69"/>
      <c r="S185" s="103"/>
      <c r="T185" s="103"/>
      <c r="U185" s="103"/>
      <c r="V185" s="103"/>
      <c r="W185" s="103"/>
      <c r="X185" s="103"/>
      <c r="Y185" s="103"/>
      <c r="Z185" s="103"/>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2">
      <c r="A186" s="9"/>
      <c r="B186" s="9"/>
      <c r="C186" s="9"/>
      <c r="D186" s="26"/>
      <c r="E186" s="392"/>
      <c r="F186" s="87">
        <v>5</v>
      </c>
      <c r="G186" s="121"/>
      <c r="H186" s="146"/>
      <c r="I186" s="148"/>
      <c r="J186" s="148"/>
      <c r="K186" s="148"/>
      <c r="L186" s="147"/>
      <c r="M186" s="69">
        <f>IF(A9stdlife="n/a","n/a",IF(M$3&gt;(A9stdlife+$F186),(Input!$L$219*(1+vanilla5)^0.5)-SUM($L186:L186),(Input!$L$219*(1+vanilla5)^0.5)/A9stdlife))</f>
        <v>3.0455162969384975</v>
      </c>
      <c r="N186" s="69">
        <f>IF(A9stdlife="n/a","n/a",IF(N$3&gt;(A9stdlife+$F186),(Input!$L$219*(1+vanilla5)^0.5)-SUM($L186:M186),(Input!$L$219*(1+vanilla5)^0.5)/A9stdlife))</f>
        <v>3.0455162969384975</v>
      </c>
      <c r="O186" s="69">
        <f>IF(A9stdlife="n/a","n/a",IF(O$3&gt;(A9stdlife+$F186),(Input!$L$219*(1+vanilla5)^0.5)-SUM($L186:N186),(Input!$L$219*(1+vanilla5)^0.5)/A9stdlife))</f>
        <v>3.0455162969384975</v>
      </c>
      <c r="P186" s="69">
        <f>IF(A9stdlife="n/a","n/a",IF(P$3&gt;(A9stdlife+$F186),(Input!$L$219*(1+vanilla5)^0.5)-SUM($L186:O186),(Input!$L$219*(1+vanilla5)^0.5)/A9stdlife))</f>
        <v>3.0455162969384975</v>
      </c>
      <c r="Q186" s="69">
        <f>IF(A9stdlife="n/a","n/a",IF(Q$3&gt;(A9stdlife+$F186),(Input!$L$219*(1+vanilla5)^0.5)-SUM($L186:P186),(Input!$L$219*(1+vanilla5)^0.5)/A9stdlife))</f>
        <v>3.0455162969384975</v>
      </c>
      <c r="R186" s="69"/>
      <c r="S186" s="103"/>
      <c r="T186" s="103"/>
      <c r="U186" s="103"/>
      <c r="V186" s="103"/>
      <c r="W186" s="103"/>
      <c r="X186" s="103"/>
      <c r="Y186" s="103"/>
      <c r="Z186" s="103"/>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103"/>
      <c r="BE186" s="103"/>
      <c r="BF186" s="103"/>
      <c r="BG186" s="103"/>
      <c r="BH186" s="103"/>
      <c r="BI186" s="103"/>
      <c r="BJ186" s="103"/>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9"/>
      <c r="D187" s="26"/>
      <c r="E187" s="392"/>
      <c r="F187" s="87">
        <v>6</v>
      </c>
      <c r="G187" s="121"/>
      <c r="H187" s="146"/>
      <c r="I187" s="148"/>
      <c r="J187" s="148"/>
      <c r="K187" s="148"/>
      <c r="L187" s="148"/>
      <c r="M187" s="147"/>
      <c r="N187" s="69">
        <f>IF(A9stdlife="n/a","n/a",IF(N$3&gt;(A9stdlife+$F187),(Input!$M$219*(1+vanilla6)^0.5)-SUM($M187:M187),(Input!$M$219*(1+vanilla6)^0.5)/A9stdlife))</f>
        <v>3.113965433285407</v>
      </c>
      <c r="O187" s="69">
        <f>IF(A9stdlife="n/a","n/a",IF(O$3&gt;(A9stdlife+$F187),(Input!$M$219*(1+vanilla6)^0.5)-SUM($M187:N187),(Input!$M$219*(1+vanilla6)^0.5)/A9stdlife))</f>
        <v>3.113965433285407</v>
      </c>
      <c r="P187" s="69">
        <f>IF(A9stdlife="n/a","n/a",IF(P$3&gt;(A9stdlife+$F187),(Input!$M$219*(1+vanilla6)^0.5)-SUM($M187:O187),(Input!$M$219*(1+vanilla6)^0.5)/A9stdlife))</f>
        <v>3.113965433285407</v>
      </c>
      <c r="Q187" s="69">
        <f>IF(A9stdlife="n/a","n/a",IF(Q$3&gt;(A9stdlife+$F187),(Input!$M$219*(1+vanilla6)^0.5)-SUM($M187:P187),(Input!$M$219*(1+vanilla6)^0.5)/A9stdlife))</f>
        <v>3.113965433285407</v>
      </c>
      <c r="R187" s="69"/>
      <c r="S187" s="103"/>
      <c r="T187" s="103"/>
      <c r="U187" s="103"/>
      <c r="V187" s="103"/>
      <c r="W187" s="103"/>
      <c r="X187" s="103"/>
      <c r="Y187" s="103"/>
      <c r="Z187" s="103"/>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idden="1" outlineLevel="2">
      <c r="A188" s="9"/>
      <c r="B188" s="9"/>
      <c r="C188" s="9"/>
      <c r="D188" s="26"/>
      <c r="E188" s="392"/>
      <c r="F188" s="87">
        <v>7</v>
      </c>
      <c r="G188" s="121"/>
      <c r="H188" s="146"/>
      <c r="I188" s="148"/>
      <c r="J188" s="148"/>
      <c r="K188" s="148"/>
      <c r="L188" s="148"/>
      <c r="M188" s="148"/>
      <c r="N188" s="147"/>
      <c r="O188" s="69">
        <f>IF(A9stdlife="n/a","n/a",IF(O$3&gt;(A9stdlife+$F188),(Input!$N$219*(1+vanilla7)^0.5)-SUM($N188:N188),(Input!$N$219*(1+vanilla7)^0.5)/A9stdlife))</f>
        <v>0</v>
      </c>
      <c r="P188" s="69">
        <f>IF(A9stdlife="n/a","n/a",IF(P$3&gt;(A9stdlife+$F188),(Input!$N$219*(1+vanilla7)^0.5)-SUM($N188:O188),(Input!$N$219*(1+vanilla7)^0.5)/A9stdlife))</f>
        <v>0</v>
      </c>
      <c r="Q188" s="69">
        <f>IF(A9stdlife="n/a","n/a",IF(Q$3&gt;(A9stdlife+$F188),(Input!$N$219*(1+vanilla7)^0.5)-SUM($N188:P188),(Input!$N$219*(1+vanilla7)^0.5)/A9stdlife))</f>
        <v>0</v>
      </c>
      <c r="R188" s="69"/>
      <c r="S188" s="103"/>
      <c r="T188" s="103"/>
      <c r="U188" s="103"/>
      <c r="V188" s="103"/>
      <c r="W188" s="103"/>
      <c r="X188" s="103"/>
      <c r="Y188" s="103"/>
      <c r="Z188" s="103"/>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92"/>
      <c r="F189" s="87">
        <v>8</v>
      </c>
      <c r="G189" s="121"/>
      <c r="H189" s="146"/>
      <c r="I189" s="148"/>
      <c r="J189" s="148"/>
      <c r="K189" s="148"/>
      <c r="L189" s="148"/>
      <c r="M189" s="148"/>
      <c r="N189" s="148"/>
      <c r="O189" s="147"/>
      <c r="P189" s="69">
        <f>IF(A9stdlife="n/a","n/a",IF(P$3&gt;(A9stdlife+$F189),(Input!$O$219*(1+vanilla8)^0.5)-SUM($O189:O189),(Input!$O$219*(1+vanilla8)^0.5)/A9stdlife))</f>
        <v>0</v>
      </c>
      <c r="Q189" s="69">
        <f>IF(A9stdlife="n/a","n/a",IF(Q$3&gt;(A9stdlife+$F189),(Input!$O$219*(1+vanilla8)^0.5)-SUM($O189:P189),(Input!$O$219*(1+vanilla8)^0.5)/A9stdlife))</f>
        <v>0</v>
      </c>
      <c r="R189" s="69"/>
      <c r="S189" s="103"/>
      <c r="T189" s="103"/>
      <c r="U189" s="103"/>
      <c r="V189" s="103"/>
      <c r="W189" s="103"/>
      <c r="X189" s="103"/>
      <c r="Y189" s="103"/>
      <c r="Z189" s="103"/>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92"/>
      <c r="F190" s="87">
        <v>9</v>
      </c>
      <c r="G190" s="121"/>
      <c r="H190" s="146"/>
      <c r="I190" s="148"/>
      <c r="J190" s="148"/>
      <c r="K190" s="148"/>
      <c r="L190" s="148"/>
      <c r="M190" s="148"/>
      <c r="N190" s="148"/>
      <c r="O190" s="148"/>
      <c r="P190" s="147"/>
      <c r="Q190" s="69">
        <f>IF(A9stdlife="n/a","n/a",IF(Q$3&gt;(A9stdlife+$F190),(Input!$P$219*(1+vanilla9)^0.5)-SUM($P190:P190),(Input!$P$219*(1+vanilla9)^0.5)/A9stdlife))</f>
        <v>0</v>
      </c>
      <c r="R190" s="69"/>
      <c r="S190" s="103"/>
      <c r="T190" s="103"/>
      <c r="U190" s="103"/>
      <c r="V190" s="103"/>
      <c r="W190" s="103"/>
      <c r="X190" s="103"/>
      <c r="Y190" s="103"/>
      <c r="Z190" s="103"/>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92"/>
      <c r="F191" s="88">
        <v>10</v>
      </c>
      <c r="G191" s="121"/>
      <c r="H191" s="146"/>
      <c r="I191" s="148"/>
      <c r="J191" s="148"/>
      <c r="K191" s="148"/>
      <c r="L191" s="148"/>
      <c r="M191" s="148"/>
      <c r="N191" s="148"/>
      <c r="O191" s="148"/>
      <c r="P191" s="148"/>
      <c r="Q191" s="147"/>
      <c r="R191" s="69"/>
      <c r="S191" s="103"/>
      <c r="T191" s="103"/>
      <c r="U191" s="103"/>
      <c r="V191" s="103"/>
      <c r="W191" s="103"/>
      <c r="X191" s="103"/>
      <c r="Y191" s="103"/>
      <c r="Z191" s="103"/>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ollapsed="1">
      <c r="A192" s="9"/>
      <c r="B192" s="9"/>
      <c r="C192" s="9"/>
      <c r="D192" s="271" t="str">
        <f>Asset9</f>
        <v>IT</v>
      </c>
      <c r="E192" s="9"/>
      <c r="F192" s="9"/>
      <c r="G192" s="121"/>
      <c r="H192" s="162">
        <f t="shared" ref="H192:M192" si="12">-SUM(H180:H191)</f>
        <v>-5.80997471242293</v>
      </c>
      <c r="I192" s="162">
        <f t="shared" si="12"/>
        <v>-6.3407538941450969</v>
      </c>
      <c r="J192" s="162">
        <f t="shared" si="12"/>
        <v>-8.7140049500205166</v>
      </c>
      <c r="K192" s="162">
        <f t="shared" si="12"/>
        <v>-9.6681134018688581</v>
      </c>
      <c r="L192" s="162">
        <f t="shared" si="12"/>
        <v>-11.167792674354475</v>
      </c>
      <c r="M192" s="162">
        <f t="shared" si="12"/>
        <v>-14.213308971292973</v>
      </c>
      <c r="N192" s="69">
        <f>IF(COUNT($H192:M192)&gt;=Input!$Y$7,0, -SUM(N180:N191))</f>
        <v>0</v>
      </c>
      <c r="O192" s="69">
        <f>IF(COUNT($H192:N192)&gt;=Input!$Y$7,0, -SUM(O180:O191))</f>
        <v>0</v>
      </c>
      <c r="P192" s="69">
        <f>IF(COUNT($H192:O192)&gt;=Input!$Y$7,0, -SUM(P180:P191))</f>
        <v>0</v>
      </c>
      <c r="Q192" s="69">
        <f>IF(COUNT($H192:P192)&gt;=Input!$Y$7,0, -SUM(Q180:Q191))</f>
        <v>0</v>
      </c>
      <c r="R192" s="67"/>
      <c r="S192" s="105"/>
      <c r="T192" s="105"/>
      <c r="U192" s="105"/>
      <c r="V192" s="105"/>
      <c r="W192" s="105"/>
      <c r="X192" s="105"/>
      <c r="Y192" s="105"/>
      <c r="Z192" s="105"/>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272" t="str">
        <f>Asset10</f>
        <v>Vehicles</v>
      </c>
      <c r="D193" s="158"/>
      <c r="E193" s="32" t="s">
        <v>26</v>
      </c>
      <c r="F193" s="31"/>
      <c r="G193" s="177"/>
      <c r="H193" s="68">
        <f>IF(H$3&gt;A10remlife,A10value-$G$639-SUM($G193:G193),IF(A10remlife="N/A","n/a",(A10value-$G$639)/A10remlife))</f>
        <v>0.66275087119308884</v>
      </c>
      <c r="I193" s="68">
        <f>IF(I$3&gt;A10remlife,A10value-$G$639-SUM($G193:H193),IF(A10remlife="N/A","n/a",(A10value-$G$639)/A10remlife))</f>
        <v>0.66275087119308884</v>
      </c>
      <c r="J193" s="68">
        <f>IF(J$3&gt;A10remlife,A10value-$G$639-SUM($G193:I193),IF(A10remlife="N/A","n/a",(A10value-$G$639)/A10remlife))</f>
        <v>0.66275087119308884</v>
      </c>
      <c r="K193" s="68">
        <f>IF(K$3&gt;A10remlife,A10value-$G$639-SUM($G193:J193),IF(A10remlife="N/A","n/a",(A10value-$G$639)/A10remlife))</f>
        <v>0.66275087119308884</v>
      </c>
      <c r="L193" s="68">
        <f>IF(L$3&gt;A10remlife,A10value-$G$639-SUM($G193:K193),IF(A10remlife="N/A","n/a",(A10value-$G$639)/A10remlife))</f>
        <v>0.66275087119308884</v>
      </c>
      <c r="M193" s="68">
        <f>IF(M$3&gt;A10remlife,A10value-$G$639-SUM($G193:L193),IF(A10remlife="N/A","n/a",(A10value-$G$639)/A10remlife))</f>
        <v>0.66275087119308884</v>
      </c>
      <c r="N193" s="68">
        <f>IF(N$3&gt;A10remlife,A10value-$G$639-SUM($G193:M193),IF(A10remlife="N/A","n/a",(A10value-$G$639)/A10remlife))</f>
        <v>0.21834879809195451</v>
      </c>
      <c r="O193" s="68">
        <f>IF(O$3&gt;A10remlife,A10value-$G$639-SUM($G193:N193),IF(A10remlife="N/A","n/a",(A10value-$G$639)/A10remlife))</f>
        <v>0</v>
      </c>
      <c r="P193" s="68">
        <f>IF(P$3&gt;A10remlife,A10value-$G$639-SUM($G193:O193),IF(A10remlife="N/A","n/a",(A10value-$G$639)/A10remlife))</f>
        <v>0</v>
      </c>
      <c r="Q193" s="68">
        <f>IF(Q$3&gt;A10remlife,A10value-$G$639-SUM($G193:P193),IF(A10remlife="N/A","n/a",(A10value-$G$639)/A10remlife))</f>
        <v>0</v>
      </c>
      <c r="R193" s="68"/>
      <c r="S193" s="103"/>
      <c r="T193" s="103"/>
      <c r="U193" s="103"/>
      <c r="V193" s="103"/>
      <c r="W193" s="103"/>
      <c r="X193" s="103"/>
      <c r="Y193" s="103"/>
      <c r="Z193" s="103"/>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159"/>
      <c r="E194" s="391" t="s">
        <v>82</v>
      </c>
      <c r="F194" s="87"/>
      <c r="G194" s="121"/>
      <c r="H194" s="69"/>
      <c r="I194" s="69"/>
      <c r="J194" s="69"/>
      <c r="K194" s="69"/>
      <c r="L194" s="69"/>
      <c r="M194" s="160"/>
      <c r="N194" s="112"/>
      <c r="O194" s="69"/>
      <c r="P194" s="69"/>
      <c r="Q194" s="69"/>
      <c r="R194" s="69"/>
      <c r="S194" s="103"/>
      <c r="T194" s="103"/>
      <c r="U194" s="103"/>
      <c r="V194" s="103"/>
      <c r="W194" s="103"/>
      <c r="X194" s="103"/>
      <c r="Y194" s="103"/>
      <c r="Z194" s="103"/>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92"/>
      <c r="F195" s="87">
        <v>1</v>
      </c>
      <c r="G195" s="121"/>
      <c r="H195" s="145"/>
      <c r="I195" s="69">
        <f>IF(A10stdlife="n/a","n/a",IF(I$3&gt;(A10stdlife+$F195),(Input!$H$220*(1+vanilla1)^0.5)-SUM($H195:H195),(Input!$H$220*(1+vanilla1)^0.5)/A10stdlife))</f>
        <v>-7.0344287669495895E-3</v>
      </c>
      <c r="J195" s="69">
        <f>IF(A10stdlife="n/a","n/a",IF(J$3&gt;(A10stdlife+$F195),(Input!$H$220*(1+vanilla1)^0.5)-SUM($H195:I195),(Input!$H$220*(1+vanilla1)^0.5)/A10stdlife))</f>
        <v>-7.0344287669495895E-3</v>
      </c>
      <c r="K195" s="69">
        <f>IF(A10stdlife="n/a","n/a",IF(K$3&gt;(A10stdlife+$F195),(Input!$H$220*(1+vanilla1)^0.5)-SUM($H195:J195),(Input!$H$220*(1+vanilla1)^0.5)/A10stdlife))</f>
        <v>-7.0344287669495895E-3</v>
      </c>
      <c r="L195" s="69">
        <f>IF(A10stdlife="n/a","n/a",IF(L$3&gt;(A10stdlife+$F195),(Input!$H$220*(1+vanilla1)^0.5)-SUM($H195:K195),(Input!$H$220*(1+vanilla1)^0.5)/A10stdlife))</f>
        <v>-7.0344287669495895E-3</v>
      </c>
      <c r="M195" s="69">
        <f>IF(A10stdlife="n/a","n/a",IF(M$3&gt;(A10stdlife+$F195),(Input!$H$220*(1+vanilla1)^0.5)-SUM($H195:L195),(Input!$H$220*(1+vanilla1)^0.5)/A10stdlife))</f>
        <v>-7.0344287669495895E-3</v>
      </c>
      <c r="N195" s="69">
        <f>IF(A10stdlife="n/a","n/a",IF(N$3&gt;(A10stdlife+$F195),(Input!$H$220*(1+vanilla1)^0.5)-SUM($H195:M195),(Input!$H$220*(1+vanilla1)^0.5)/A10stdlife))</f>
        <v>-7.0344287669495895E-3</v>
      </c>
      <c r="O195" s="69">
        <f>IF(A10stdlife="n/a","n/a",IF(O$3&gt;(A10stdlife+$F195),(Input!$H$220*(1+vanilla1)^0.5)-SUM($H195:N195),(Input!$H$220*(1+vanilla1)^0.5)/A10stdlife))</f>
        <v>-7.0344287669495895E-3</v>
      </c>
      <c r="P195" s="69">
        <f>IF(A10stdlife="n/a","n/a",IF(P$3&gt;(A10stdlife+$F195),(Input!$H$220*(1+vanilla1)^0.5)-SUM($H195:O195),(Input!$H$220*(1+vanilla1)^0.5)/A10stdlife))</f>
        <v>0</v>
      </c>
      <c r="Q195" s="69">
        <f>IF(A10stdlife="n/a","n/a",IF(Q$3&gt;(A10stdlife+$F195),(Input!$H$220*(1+vanilla1)^0.5)-SUM($H195:P195),(Input!$H$220*(1+vanilla1)^0.5)/A10stdlife))</f>
        <v>0</v>
      </c>
      <c r="R195" s="69"/>
      <c r="S195" s="103"/>
      <c r="T195" s="103"/>
      <c r="U195" s="103"/>
      <c r="V195" s="103"/>
      <c r="W195" s="103"/>
      <c r="X195" s="103"/>
      <c r="Y195" s="103"/>
      <c r="Z195" s="103"/>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92"/>
      <c r="F196" s="87">
        <v>2</v>
      </c>
      <c r="G196" s="121"/>
      <c r="H196" s="146"/>
      <c r="I196" s="147"/>
      <c r="J196" s="69">
        <f>IF(A10stdlife="n/a","n/a",IF(J$3&gt;(A10stdlife+$F196),(Input!$I$220*(1+vanilla2)^0.5)-SUM($I196:I196),(Input!$I$220*(1+vanilla2)^0.5)/A10stdlife))</f>
        <v>6.8906808121811963E-2</v>
      </c>
      <c r="K196" s="69">
        <f>IF(A10stdlife="n/a","n/a",IF(K$3&gt;(A10stdlife+$F196),(Input!$I$220*(1+vanilla2)^0.5)-SUM($I196:J196),(Input!$I$220*(1+vanilla2)^0.5)/A10stdlife))</f>
        <v>6.8906808121811963E-2</v>
      </c>
      <c r="L196" s="69">
        <f>IF(A10stdlife="n/a","n/a",IF(L$3&gt;(A10stdlife+$F196),(Input!$I$220*(1+vanilla2)^0.5)-SUM($I196:K196),(Input!$I$220*(1+vanilla2)^0.5)/A10stdlife))</f>
        <v>6.8906808121811963E-2</v>
      </c>
      <c r="M196" s="69">
        <f>IF(A10stdlife="n/a","n/a",IF(M$3&gt;(A10stdlife+$F196),(Input!$I$220*(1+vanilla2)^0.5)-SUM($I196:L196),(Input!$I$220*(1+vanilla2)^0.5)/A10stdlife))</f>
        <v>6.8906808121811963E-2</v>
      </c>
      <c r="N196" s="69">
        <f>IF(A10stdlife="n/a","n/a",IF(N$3&gt;(A10stdlife+$F196),(Input!$I$220*(1+vanilla2)^0.5)-SUM($I196:M196),(Input!$I$220*(1+vanilla2)^0.5)/A10stdlife))</f>
        <v>6.8906808121811963E-2</v>
      </c>
      <c r="O196" s="69">
        <f>IF(A10stdlife="n/a","n/a",IF(O$3&gt;(A10stdlife+$F196),(Input!$I$220*(1+vanilla2)^0.5)-SUM($I196:N196),(Input!$I$220*(1+vanilla2)^0.5)/A10stdlife))</f>
        <v>6.8906808121811963E-2</v>
      </c>
      <c r="P196" s="69">
        <f>IF(A10stdlife="n/a","n/a",IF(P$3&gt;(A10stdlife+$F196),(Input!$I$220*(1+vanilla2)^0.5)-SUM($I196:O196),(Input!$I$220*(1+vanilla2)^0.5)/A10stdlife))</f>
        <v>6.8906808121811963E-2</v>
      </c>
      <c r="Q196" s="69">
        <f>IF(A10stdlife="n/a","n/a",IF(Q$3&gt;(A10stdlife+$F196),(Input!$I$220*(1+vanilla2)^0.5)-SUM($I196:P196),(Input!$I$220*(1+vanilla2)^0.5)/A10stdlife))</f>
        <v>5.5511151231257827E-17</v>
      </c>
      <c r="R196" s="69"/>
      <c r="S196" s="103"/>
      <c r="T196" s="103"/>
      <c r="U196" s="103"/>
      <c r="V196" s="103"/>
      <c r="W196" s="103"/>
      <c r="X196" s="103"/>
      <c r="Y196" s="103"/>
      <c r="Z196" s="103"/>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92"/>
      <c r="F197" s="87">
        <v>3</v>
      </c>
      <c r="G197" s="121"/>
      <c r="H197" s="146"/>
      <c r="I197" s="148"/>
      <c r="J197" s="147"/>
      <c r="K197" s="69">
        <f>IF(A10stdlife="n/a","n/a",IF(K$3&gt;(A10stdlife+$F197),(Input!$J$220*(1+vanilla3)^0.5)-SUM($J197:J197),(Input!$J$220*(1+vanilla3)^0.5)/A10stdlife))</f>
        <v>-2.0808472957258545E-2</v>
      </c>
      <c r="L197" s="69">
        <f>IF(A10stdlife="n/a","n/a",IF(L$3&gt;(A10stdlife+$F197),(Input!$J$220*(1+vanilla3)^0.5)-SUM($J197:K197),(Input!$J$220*(1+vanilla3)^0.5)/A10stdlife))</f>
        <v>-2.0808472957258545E-2</v>
      </c>
      <c r="M197" s="69">
        <f>IF(A10stdlife="n/a","n/a",IF(M$3&gt;(A10stdlife+$F197),(Input!$J$220*(1+vanilla3)^0.5)-SUM($J197:L197),(Input!$J$220*(1+vanilla3)^0.5)/A10stdlife))</f>
        <v>-2.0808472957258545E-2</v>
      </c>
      <c r="N197" s="69">
        <f>IF(A10stdlife="n/a","n/a",IF(N$3&gt;(A10stdlife+$F197),(Input!$J$220*(1+vanilla3)^0.5)-SUM($J197:M197),(Input!$J$220*(1+vanilla3)^0.5)/A10stdlife))</f>
        <v>-2.0808472957258545E-2</v>
      </c>
      <c r="O197" s="69">
        <f>IF(A10stdlife="n/a","n/a",IF(O$3&gt;(A10stdlife+$F197),(Input!$J$220*(1+vanilla3)^0.5)-SUM($J197:N197),(Input!$J$220*(1+vanilla3)^0.5)/A10stdlife))</f>
        <v>-2.0808472957258545E-2</v>
      </c>
      <c r="P197" s="69">
        <f>IF(A10stdlife="n/a","n/a",IF(P$3&gt;(A10stdlife+$F197),(Input!$J$220*(1+vanilla3)^0.5)-SUM($J197:O197),(Input!$J$220*(1+vanilla3)^0.5)/A10stdlife))</f>
        <v>-2.0808472957258545E-2</v>
      </c>
      <c r="Q197" s="69">
        <f>IF(A10stdlife="n/a","n/a",IF(Q$3&gt;(A10stdlife+$F197),(Input!$J$220*(1+vanilla3)^0.5)-SUM($J197:P197),(Input!$J$220*(1+vanilla3)^0.5)/A10stdlife))</f>
        <v>-2.0808472957258545E-2</v>
      </c>
      <c r="R197" s="69"/>
      <c r="S197" s="103"/>
      <c r="T197" s="103"/>
      <c r="U197" s="103"/>
      <c r="V197" s="103"/>
      <c r="W197" s="103"/>
      <c r="X197" s="103"/>
      <c r="Y197" s="103"/>
      <c r="Z197" s="103"/>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92"/>
      <c r="F198" s="87">
        <v>4</v>
      </c>
      <c r="G198" s="121"/>
      <c r="H198" s="146"/>
      <c r="I198" s="148"/>
      <c r="J198" s="148"/>
      <c r="K198" s="147"/>
      <c r="L198" s="69">
        <f>IF(A10stdlife="n/a","n/a",IF(L$3&gt;(A10stdlife+$F198),(Input!$K$220*(1+vanilla4)^0.5)-SUM($K198:K198),(Input!$K$220*(1+vanilla4)^0.5)/A10stdlife))</f>
        <v>2.3825453934326817E-2</v>
      </c>
      <c r="M198" s="69">
        <f>IF(A10stdlife="n/a","n/a",IF(M$3&gt;(A10stdlife+$F198),(Input!$K$220*(1+vanilla4)^0.5)-SUM($K198:L198),(Input!$K$220*(1+vanilla4)^0.5)/A10stdlife))</f>
        <v>2.3825453934326817E-2</v>
      </c>
      <c r="N198" s="69">
        <f>IF(A10stdlife="n/a","n/a",IF(N$3&gt;(A10stdlife+$F198),(Input!$K$220*(1+vanilla4)^0.5)-SUM($K198:M198),(Input!$K$220*(1+vanilla4)^0.5)/A10stdlife))</f>
        <v>2.3825453934326817E-2</v>
      </c>
      <c r="O198" s="69">
        <f>IF(A10stdlife="n/a","n/a",IF(O$3&gt;(A10stdlife+$F198),(Input!$K$220*(1+vanilla4)^0.5)-SUM($K198:N198),(Input!$K$220*(1+vanilla4)^0.5)/A10stdlife))</f>
        <v>2.3825453934326817E-2</v>
      </c>
      <c r="P198" s="69">
        <f>IF(A10stdlife="n/a","n/a",IF(P$3&gt;(A10stdlife+$F198),(Input!$K$220*(1+vanilla4)^0.5)-SUM($K198:O198),(Input!$K$220*(1+vanilla4)^0.5)/A10stdlife))</f>
        <v>2.3825453934326817E-2</v>
      </c>
      <c r="Q198" s="69">
        <f>IF(A10stdlife="n/a","n/a",IF(Q$3&gt;(A10stdlife+$F198),(Input!$K$220*(1+vanilla4)^0.5)-SUM($K198:P198),(Input!$K$220*(1+vanilla4)^0.5)/A10stdlife))</f>
        <v>2.3825453934326817E-2</v>
      </c>
      <c r="R198" s="69"/>
      <c r="S198" s="103"/>
      <c r="T198" s="103"/>
      <c r="U198" s="103"/>
      <c r="V198" s="103"/>
      <c r="W198" s="103"/>
      <c r="X198" s="103"/>
      <c r="Y198" s="103"/>
      <c r="Z198" s="103"/>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9"/>
      <c r="B199" s="9"/>
      <c r="C199" s="9"/>
      <c r="D199" s="26"/>
      <c r="E199" s="392"/>
      <c r="F199" s="87">
        <v>5</v>
      </c>
      <c r="G199" s="27"/>
      <c r="H199" s="146"/>
      <c r="I199" s="148"/>
      <c r="J199" s="148"/>
      <c r="K199" s="148"/>
      <c r="L199" s="147"/>
      <c r="M199" s="69">
        <f>IF(A10stdlife="n/a","n/a",IF(M$3&gt;(A10stdlife+$F199),(Input!$L$220*(1+vanilla5)^0.5)-SUM($L199:L199),(Input!$L$220*(1+vanilla5)^0.5)/A10stdlife))</f>
        <v>0.20394082345570297</v>
      </c>
      <c r="N199" s="69">
        <f>IF(A10stdlife="n/a","n/a",IF(N$3&gt;(A10stdlife+$F199),(Input!$L$220*(1+vanilla5)^0.5)-SUM($L199:M199),(Input!$L$220*(1+vanilla5)^0.5)/A10stdlife))</f>
        <v>0.20394082345570297</v>
      </c>
      <c r="O199" s="69">
        <f>IF(A10stdlife="n/a","n/a",IF(O$3&gt;(A10stdlife+$F199),(Input!$L$220*(1+vanilla5)^0.5)-SUM($L199:N199),(Input!$L$220*(1+vanilla5)^0.5)/A10stdlife))</f>
        <v>0.20394082345570297</v>
      </c>
      <c r="P199" s="69">
        <f>IF(A10stdlife="n/a","n/a",IF(P$3&gt;(A10stdlife+$F199),(Input!$L$220*(1+vanilla5)^0.5)-SUM($L199:O199),(Input!$L$220*(1+vanilla5)^0.5)/A10stdlife))</f>
        <v>0.20394082345570297</v>
      </c>
      <c r="Q199" s="69">
        <f>IF(A10stdlife="n/a","n/a",IF(Q$3&gt;(A10stdlife+$F199),(Input!$L$220*(1+vanilla5)^0.5)-SUM($L199:P199),(Input!$L$220*(1+vanilla5)^0.5)/A10stdlife))</f>
        <v>0.20394082345570297</v>
      </c>
      <c r="R199" s="69"/>
      <c r="S199" s="103"/>
      <c r="T199" s="103"/>
      <c r="U199" s="103"/>
      <c r="V199" s="103"/>
      <c r="W199" s="103"/>
      <c r="X199" s="103"/>
      <c r="Y199" s="103"/>
      <c r="Z199" s="103"/>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103"/>
      <c r="BE199" s="103"/>
      <c r="BF199" s="103"/>
      <c r="BG199" s="103"/>
      <c r="BH199" s="103"/>
      <c r="BI199" s="103"/>
      <c r="BJ199" s="103"/>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9"/>
      <c r="D200" s="26"/>
      <c r="E200" s="392"/>
      <c r="F200" s="87">
        <v>6</v>
      </c>
      <c r="G200" s="27"/>
      <c r="H200" s="146"/>
      <c r="I200" s="148"/>
      <c r="J200" s="148"/>
      <c r="K200" s="148"/>
      <c r="L200" s="148"/>
      <c r="M200" s="147"/>
      <c r="N200" s="69">
        <f>IF(A10stdlife="n/a","n/a",IF(N$3&gt;(A10stdlife+$F200),(Input!$M$220*(1+vanilla6)^0.5)-SUM($M200:M200),(Input!$M$220*(1+vanilla6)^0.5)/A10stdlife))</f>
        <v>0.20607364467947495</v>
      </c>
      <c r="O200" s="69">
        <f>IF(A10stdlife="n/a","n/a",IF(O$3&gt;(A10stdlife+$F200),(Input!$M$220*(1+vanilla6)^0.5)-SUM($M200:N200),(Input!$M$220*(1+vanilla6)^0.5)/A10stdlife))</f>
        <v>0.20607364467947495</v>
      </c>
      <c r="P200" s="69">
        <f>IF(A10stdlife="n/a","n/a",IF(P$3&gt;(A10stdlife+$F200),(Input!$M$220*(1+vanilla6)^0.5)-SUM($M200:O200),(Input!$M$220*(1+vanilla6)^0.5)/A10stdlife))</f>
        <v>0.20607364467947495</v>
      </c>
      <c r="Q200" s="69">
        <f>IF(A10stdlife="n/a","n/a",IF(Q$3&gt;(A10stdlife+$F200),(Input!$M$220*(1+vanilla6)^0.5)-SUM($M200:P200),(Input!$M$220*(1+vanilla6)^0.5)/A10stdlife))</f>
        <v>0.20607364467947495</v>
      </c>
      <c r="R200" s="69"/>
      <c r="S200" s="103"/>
      <c r="T200" s="103"/>
      <c r="U200" s="103"/>
      <c r="V200" s="103"/>
      <c r="W200" s="103"/>
      <c r="X200" s="103"/>
      <c r="Y200" s="103"/>
      <c r="Z200" s="103"/>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c r="A201" s="9"/>
      <c r="B201" s="9"/>
      <c r="C201" s="9"/>
      <c r="D201" s="26"/>
      <c r="E201" s="392"/>
      <c r="F201" s="87">
        <v>7</v>
      </c>
      <c r="G201" s="27"/>
      <c r="H201" s="146"/>
      <c r="I201" s="148"/>
      <c r="J201" s="148"/>
      <c r="K201" s="148"/>
      <c r="L201" s="148"/>
      <c r="M201" s="148"/>
      <c r="N201" s="147"/>
      <c r="O201" s="69">
        <f>IF(A10stdlife="n/a","n/a",IF(O$3&gt;(A10stdlife+$F201),(Input!$N$220*(1+vanilla7)^0.5)-SUM($N201:N201),(Input!$N$220*(1+vanilla7)^0.5)/A10stdlife))</f>
        <v>0</v>
      </c>
      <c r="P201" s="69">
        <f>IF(A10stdlife="n/a","n/a",IF(P$3&gt;(A10stdlife+$F201),(Input!$N$220*(1+vanilla7)^0.5)-SUM($N201:O201),(Input!$N$220*(1+vanilla7)^0.5)/A10stdlife))</f>
        <v>0</v>
      </c>
      <c r="Q201" s="69">
        <f>IF(A10stdlife="n/a","n/a",IF(Q$3&gt;(A10stdlife+$F201),(Input!$N$220*(1+vanilla7)^0.5)-SUM($N201:P201),(Input!$N$220*(1+vanilla7)^0.5)/A10stdlife))</f>
        <v>0</v>
      </c>
      <c r="R201" s="69"/>
      <c r="S201" s="103"/>
      <c r="T201" s="103"/>
      <c r="U201" s="103"/>
      <c r="V201" s="103"/>
      <c r="W201" s="103"/>
      <c r="X201" s="103"/>
      <c r="Y201" s="103"/>
      <c r="Z201" s="103"/>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92"/>
      <c r="F202" s="87">
        <v>8</v>
      </c>
      <c r="G202" s="27"/>
      <c r="H202" s="146"/>
      <c r="I202" s="148"/>
      <c r="J202" s="148"/>
      <c r="K202" s="148"/>
      <c r="L202" s="148"/>
      <c r="M202" s="148"/>
      <c r="N202" s="148"/>
      <c r="O202" s="147"/>
      <c r="P202" s="69">
        <f>IF(A10stdlife="n/a","n/a",IF(P$3&gt;(A10stdlife+$F202),(Input!$O$220*(1+vanilla8)^0.5)-SUM($O202:O202),(Input!$O$220*(1+vanilla8)^0.5)/A10stdlife))</f>
        <v>0</v>
      </c>
      <c r="Q202" s="69">
        <f>IF(A10stdlife="n/a","n/a",IF(Q$3&gt;(A10stdlife+$F202),(Input!$O$220*(1+vanilla8)^0.5)-SUM($O202:P202),(Input!$O$220*(1+vanilla8)^0.5)/A10stdlife))</f>
        <v>0</v>
      </c>
      <c r="R202" s="69"/>
      <c r="S202" s="103"/>
      <c r="T202" s="103"/>
      <c r="U202" s="103"/>
      <c r="V202" s="103"/>
      <c r="W202" s="103"/>
      <c r="X202" s="103"/>
      <c r="Y202" s="103"/>
      <c r="Z202" s="103"/>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92"/>
      <c r="F203" s="87">
        <v>9</v>
      </c>
      <c r="G203" s="27"/>
      <c r="H203" s="146"/>
      <c r="I203" s="148"/>
      <c r="J203" s="148"/>
      <c r="K203" s="148"/>
      <c r="L203" s="148"/>
      <c r="M203" s="148"/>
      <c r="N203" s="148"/>
      <c r="O203" s="148"/>
      <c r="P203" s="147"/>
      <c r="Q203" s="69">
        <f>IF(A10stdlife="n/a","n/a",IF(Q$3&gt;(A10stdlife+$F203),(Input!$P$220*(1+vanilla9)^0.5)-SUM($P203:P203),(Input!$P$220*(1+vanilla9)^0.5)/A10stdlife))</f>
        <v>0</v>
      </c>
      <c r="R203" s="69"/>
      <c r="S203" s="103"/>
      <c r="T203" s="103"/>
      <c r="U203" s="103"/>
      <c r="V203" s="103"/>
      <c r="W203" s="103"/>
      <c r="X203" s="103"/>
      <c r="Y203" s="103"/>
      <c r="Z203" s="103"/>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92"/>
      <c r="F204" s="88">
        <v>10</v>
      </c>
      <c r="G204" s="27"/>
      <c r="H204" s="146"/>
      <c r="I204" s="148"/>
      <c r="J204" s="148"/>
      <c r="K204" s="148"/>
      <c r="L204" s="148"/>
      <c r="M204" s="148"/>
      <c r="N204" s="148"/>
      <c r="O204" s="148"/>
      <c r="P204" s="148"/>
      <c r="Q204" s="147"/>
      <c r="R204" s="69"/>
      <c r="S204" s="103"/>
      <c r="T204" s="103"/>
      <c r="U204" s="103"/>
      <c r="V204" s="103"/>
      <c r="W204" s="103"/>
      <c r="X204" s="103"/>
      <c r="Y204" s="103"/>
      <c r="Z204" s="103"/>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ollapsed="1">
      <c r="A205" s="9"/>
      <c r="B205" s="9"/>
      <c r="C205" s="9"/>
      <c r="D205" s="271" t="str">
        <f>Asset10</f>
        <v>Vehicles</v>
      </c>
      <c r="E205" s="9"/>
      <c r="F205" s="9"/>
      <c r="G205" s="121"/>
      <c r="H205" s="162">
        <f t="shared" ref="H205:M205" si="13">-SUM(H193:H204)</f>
        <v>-0.66275087119308884</v>
      </c>
      <c r="I205" s="162">
        <f t="shared" si="13"/>
        <v>-0.65571644242613925</v>
      </c>
      <c r="J205" s="162">
        <f t="shared" si="13"/>
        <v>-0.72462325054795118</v>
      </c>
      <c r="K205" s="162">
        <f t="shared" si="13"/>
        <v>-0.70381477759069266</v>
      </c>
      <c r="L205" s="162">
        <f t="shared" si="13"/>
        <v>-0.72764023152501944</v>
      </c>
      <c r="M205" s="162">
        <f t="shared" si="13"/>
        <v>-0.93158105498072241</v>
      </c>
      <c r="N205" s="69">
        <f>IF(COUNT($H205:M205)&gt;=Input!$Y$7,0, -SUM(N193:N204))</f>
        <v>0</v>
      </c>
      <c r="O205" s="69">
        <f>IF(COUNT($H205:N205)&gt;=Input!$Y$7,0, -SUM(O193:O204))</f>
        <v>0</v>
      </c>
      <c r="P205" s="69">
        <f>IF(COUNT($H205:O205)&gt;=Input!$Y$7,0, -SUM(P193:P204))</f>
        <v>0</v>
      </c>
      <c r="Q205" s="69">
        <f>IF(COUNT($H205:P205)&gt;=Input!$Y$7,0, -SUM(Q193:Q204))</f>
        <v>0</v>
      </c>
      <c r="R205" s="67"/>
      <c r="S205" s="105"/>
      <c r="T205" s="105"/>
      <c r="U205" s="105"/>
      <c r="V205" s="105"/>
      <c r="W205" s="105"/>
      <c r="X205" s="105"/>
      <c r="Y205" s="105"/>
      <c r="Z205" s="105"/>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272" t="str">
        <f>Asset11</f>
        <v>other</v>
      </c>
      <c r="D206" s="158"/>
      <c r="E206" s="32" t="s">
        <v>26</v>
      </c>
      <c r="F206" s="31"/>
      <c r="G206" s="177"/>
      <c r="H206" s="68">
        <f>IF(H$3&gt;A11remlife,A11value-$G$640-SUM($G206:G206),IF(A11remlife="N/A","n/a",(A11value-$G$640)/A11remlife))</f>
        <v>1.7735329703653562</v>
      </c>
      <c r="I206" s="68">
        <f>IF(I$3&gt;A11remlife,A11value-$G$640-SUM($G206:H206),IF(A11remlife="N/A","n/a",(A11value-$G$640)/A11remlife))</f>
        <v>1.7735329703653562</v>
      </c>
      <c r="J206" s="68">
        <f>IF(J$3&gt;A11remlife,A11value-$G$640-SUM($G206:I206),IF(A11remlife="N/A","n/a",(A11value-$G$640)/A11remlife))</f>
        <v>1.7735329703653562</v>
      </c>
      <c r="K206" s="68">
        <f>IF(K$3&gt;A11remlife,A11value-$G$640-SUM($G206:J206),IF(A11remlife="N/A","n/a",(A11value-$G$640)/A11remlife))</f>
        <v>1.7735329703653562</v>
      </c>
      <c r="L206" s="68">
        <f>IF(L$3&gt;A11remlife,A11value-$G$640-SUM($G206:K206),IF(A11remlife="N/A","n/a",(A11value-$G$640)/A11remlife))</f>
        <v>1.7735329703653562</v>
      </c>
      <c r="M206" s="68">
        <f>IF(M$3&gt;A11remlife,A11value-$G$640-SUM($G206:L206),IF(A11remlife="N/A","n/a",(A11value-$G$640)/A11remlife))</f>
        <v>1.7735329703653562</v>
      </c>
      <c r="N206" s="68">
        <f>IF(N$3&gt;A11remlife,A11value-$G$640-SUM($G206:M206),IF(A11remlife="N/A","n/a",(A11value-$G$640)/A11remlife))</f>
        <v>1.7647419479662823</v>
      </c>
      <c r="O206" s="68">
        <f>IF(O$3&gt;A11remlife,A11value-$G$640-SUM($G206:N206),IF(A11remlife="N/A","n/a",(A11value-$G$640)/A11remlife))</f>
        <v>0</v>
      </c>
      <c r="P206" s="68">
        <f>IF(P$3&gt;A11remlife,A11value-$G$640-SUM($G206:O206),IF(A11remlife="N/A","n/a",(A11value-$G$640)/A11remlife))</f>
        <v>0</v>
      </c>
      <c r="Q206" s="68">
        <f>IF(Q$3&gt;A11remlife,A11value-$G$640-SUM($G206:P206),IF(A11remlife="N/A","n/a",(A11value-$G$640)/A11remlife))</f>
        <v>0</v>
      </c>
      <c r="R206" s="68"/>
      <c r="S206" s="103"/>
      <c r="T206" s="103"/>
      <c r="U206" s="103"/>
      <c r="V206" s="103"/>
      <c r="W206" s="103"/>
      <c r="X206" s="103"/>
      <c r="Y206" s="103"/>
      <c r="Z206" s="103"/>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6"/>
      <c r="E207" s="391" t="s">
        <v>82</v>
      </c>
      <c r="F207" s="87"/>
      <c r="G207" s="121"/>
      <c r="H207" s="69"/>
      <c r="I207" s="69"/>
      <c r="J207" s="69"/>
      <c r="K207" s="69"/>
      <c r="L207" s="69"/>
      <c r="M207" s="160"/>
      <c r="N207" s="112"/>
      <c r="O207" s="69"/>
      <c r="P207" s="69"/>
      <c r="Q207" s="69"/>
      <c r="R207" s="69"/>
      <c r="S207" s="103"/>
      <c r="T207" s="103"/>
      <c r="U207" s="103"/>
      <c r="V207" s="103"/>
      <c r="W207" s="103"/>
      <c r="X207" s="103"/>
      <c r="Y207" s="103"/>
      <c r="Z207" s="103"/>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92"/>
      <c r="F208" s="87">
        <v>1</v>
      </c>
      <c r="G208" s="121"/>
      <c r="H208" s="145"/>
      <c r="I208" s="69">
        <f>IF(A11stdlife="n/a","n/a",IF(I$3&gt;(A11stdlife+$F208),(Input!$H$221*(1+vanilla1)^0.5)-SUM($H208:H208),(Input!$H$221*(1+vanilla1)^0.5)/A11stdlife))</f>
        <v>4.1886856597281676E-2</v>
      </c>
      <c r="J208" s="69">
        <f>IF(A11stdlife="n/a","n/a",IF(J$3&gt;(A11stdlife+$F208),(Input!$H$221*(1+vanilla1)^0.5)-SUM($H208:I208),(Input!$H$221*(1+vanilla1)^0.5)/A11stdlife))</f>
        <v>4.1886856597281676E-2</v>
      </c>
      <c r="K208" s="69">
        <f>IF(A11stdlife="n/a","n/a",IF(K$3&gt;(A11stdlife+$F208),(Input!$H$221*(1+vanilla1)^0.5)-SUM($H208:J208),(Input!$H$221*(1+vanilla1)^0.5)/A11stdlife))</f>
        <v>4.1886856597281676E-2</v>
      </c>
      <c r="L208" s="69">
        <f>IF(A11stdlife="n/a","n/a",IF(L$3&gt;(A11stdlife+$F208),(Input!$H$221*(1+vanilla1)^0.5)-SUM($H208:K208),(Input!$H$221*(1+vanilla1)^0.5)/A11stdlife))</f>
        <v>4.1886856597281676E-2</v>
      </c>
      <c r="M208" s="69">
        <f>IF(A11stdlife="n/a","n/a",IF(M$3&gt;(A11stdlife+$F208),(Input!$H$221*(1+vanilla1)^0.5)-SUM($H208:L208),(Input!$H$221*(1+vanilla1)^0.5)/A11stdlife))</f>
        <v>4.1886856597281676E-2</v>
      </c>
      <c r="N208" s="69">
        <f>IF(A11stdlife="n/a","n/a",IF(N$3&gt;(A11stdlife+$F208),(Input!$H$221*(1+vanilla1)^0.5)-SUM($H208:M208),(Input!$H$221*(1+vanilla1)^0.5)/A11stdlife))</f>
        <v>4.1886856597281676E-2</v>
      </c>
      <c r="O208" s="69">
        <f>IF(A11stdlife="n/a","n/a",IF(O$3&gt;(A11stdlife+$F208),(Input!$H$221*(1+vanilla1)^0.5)-SUM($H208:N208),(Input!$H$221*(1+vanilla1)^0.5)/A11stdlife))</f>
        <v>4.1886856597281676E-2</v>
      </c>
      <c r="P208" s="69">
        <f>IF(A11stdlife="n/a","n/a",IF(P$3&gt;(A11stdlife+$F208),(Input!$H$221*(1+vanilla1)^0.5)-SUM($H208:O208),(Input!$H$221*(1+vanilla1)^0.5)/A11stdlife))</f>
        <v>4.1886856597281676E-2</v>
      </c>
      <c r="Q208" s="69">
        <f>IF(A11stdlife="n/a","n/a",IF(Q$3&gt;(A11stdlife+$F208),(Input!$H$221*(1+vanilla1)^0.5)-SUM($H208:P208),(Input!$H$221*(1+vanilla1)^0.5)/A11stdlife))</f>
        <v>4.1886856597281676E-2</v>
      </c>
      <c r="R208" s="69"/>
      <c r="S208" s="103"/>
      <c r="T208" s="103"/>
      <c r="U208" s="103"/>
      <c r="V208" s="103"/>
      <c r="W208" s="103"/>
      <c r="X208" s="103"/>
      <c r="Y208" s="103"/>
      <c r="Z208" s="103"/>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92"/>
      <c r="F209" s="87">
        <v>2</v>
      </c>
      <c r="G209" s="121"/>
      <c r="H209" s="146"/>
      <c r="I209" s="147"/>
      <c r="J209" s="69">
        <f>IF(A11stdlife="n/a","n/a",IF(J$3&gt;(A11stdlife+$F209),(Input!$I$221*(1+vanilla2)^0.5)-SUM($I209:I209),(Input!$I$221*(1+vanilla2)^0.5)/A11stdlife))</f>
        <v>0.17429407125458568</v>
      </c>
      <c r="K209" s="69">
        <f>IF(A11stdlife="n/a","n/a",IF(K$3&gt;(A11stdlife+$F209),(Input!$I$221*(1+vanilla2)^0.5)-SUM($I209:J209),(Input!$I$221*(1+vanilla2)^0.5)/A11stdlife))</f>
        <v>0.17429407125458568</v>
      </c>
      <c r="L209" s="69">
        <f>IF(A11stdlife="n/a","n/a",IF(L$3&gt;(A11stdlife+$F209),(Input!$I$221*(1+vanilla2)^0.5)-SUM($I209:K209),(Input!$I$221*(1+vanilla2)^0.5)/A11stdlife))</f>
        <v>0.17429407125458568</v>
      </c>
      <c r="M209" s="69">
        <f>IF(A11stdlife="n/a","n/a",IF(M$3&gt;(A11stdlife+$F209),(Input!$I$221*(1+vanilla2)^0.5)-SUM($I209:L209),(Input!$I$221*(1+vanilla2)^0.5)/A11stdlife))</f>
        <v>0.17429407125458568</v>
      </c>
      <c r="N209" s="69">
        <f>IF(A11stdlife="n/a","n/a",IF(N$3&gt;(A11stdlife+$F209),(Input!$I$221*(1+vanilla2)^0.5)-SUM($I209:M209),(Input!$I$221*(1+vanilla2)^0.5)/A11stdlife))</f>
        <v>0.17429407125458568</v>
      </c>
      <c r="O209" s="69">
        <f>IF(A11stdlife="n/a","n/a",IF(O$3&gt;(A11stdlife+$F209),(Input!$I$221*(1+vanilla2)^0.5)-SUM($I209:N209),(Input!$I$221*(1+vanilla2)^0.5)/A11stdlife))</f>
        <v>0.17429407125458568</v>
      </c>
      <c r="P209" s="69">
        <f>IF(A11stdlife="n/a","n/a",IF(P$3&gt;(A11stdlife+$F209),(Input!$I$221*(1+vanilla2)^0.5)-SUM($I209:O209),(Input!$I$221*(1+vanilla2)^0.5)/A11stdlife))</f>
        <v>0.17429407125458568</v>
      </c>
      <c r="Q209" s="69">
        <f>IF(A11stdlife="n/a","n/a",IF(Q$3&gt;(A11stdlife+$F209),(Input!$I$221*(1+vanilla2)^0.5)-SUM($I209:P209),(Input!$I$221*(1+vanilla2)^0.5)/A11stdlife))</f>
        <v>0.17429407125458568</v>
      </c>
      <c r="R209" s="69"/>
      <c r="S209" s="103"/>
      <c r="T209" s="103"/>
      <c r="U209" s="103"/>
      <c r="V209" s="103"/>
      <c r="W209" s="103"/>
      <c r="X209" s="103"/>
      <c r="Y209" s="103"/>
      <c r="Z209" s="103"/>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92"/>
      <c r="F210" s="87">
        <v>3</v>
      </c>
      <c r="G210" s="121"/>
      <c r="H210" s="146"/>
      <c r="I210" s="148"/>
      <c r="J210" s="147"/>
      <c r="K210" s="69">
        <f>IF(A11stdlife="n/a","n/a",IF(K$3&gt;(A11stdlife+$F210),(Input!$J$221*(1+vanilla3)^0.5)-SUM($J210:J210),(Input!$J$221*(1+vanilla3)^0.5)/A11stdlife))</f>
        <v>0.30658476634214143</v>
      </c>
      <c r="L210" s="69">
        <f>IF(A11stdlife="n/a","n/a",IF(L$3&gt;(A11stdlife+$F210),(Input!$J$221*(1+vanilla3)^0.5)-SUM($J210:K210),(Input!$J$221*(1+vanilla3)^0.5)/A11stdlife))</f>
        <v>0.30658476634214143</v>
      </c>
      <c r="M210" s="69">
        <f>IF(A11stdlife="n/a","n/a",IF(M$3&gt;(A11stdlife+$F210),(Input!$J$221*(1+vanilla3)^0.5)-SUM($J210:L210),(Input!$J$221*(1+vanilla3)^0.5)/A11stdlife))</f>
        <v>0.30658476634214143</v>
      </c>
      <c r="N210" s="69">
        <f>IF(A11stdlife="n/a","n/a",IF(N$3&gt;(A11stdlife+$F210),(Input!$J$221*(1+vanilla3)^0.5)-SUM($J210:M210),(Input!$J$221*(1+vanilla3)^0.5)/A11stdlife))</f>
        <v>0.30658476634214143</v>
      </c>
      <c r="O210" s="69">
        <f>IF(A11stdlife="n/a","n/a",IF(O$3&gt;(A11stdlife+$F210),(Input!$J$221*(1+vanilla3)^0.5)-SUM($J210:N210),(Input!$J$221*(1+vanilla3)^0.5)/A11stdlife))</f>
        <v>0.30658476634214143</v>
      </c>
      <c r="P210" s="69">
        <f>IF(A11stdlife="n/a","n/a",IF(P$3&gt;(A11stdlife+$F210),(Input!$J$221*(1+vanilla3)^0.5)-SUM($J210:O210),(Input!$J$221*(1+vanilla3)^0.5)/A11stdlife))</f>
        <v>0.30658476634214143</v>
      </c>
      <c r="Q210" s="69">
        <f>IF(A11stdlife="n/a","n/a",IF(Q$3&gt;(A11stdlife+$F210),(Input!$J$221*(1+vanilla3)^0.5)-SUM($J210:P210),(Input!$J$221*(1+vanilla3)^0.5)/A11stdlife))</f>
        <v>0.30658476634214143</v>
      </c>
      <c r="R210" s="69"/>
      <c r="S210" s="103"/>
      <c r="T210" s="103"/>
      <c r="U210" s="103"/>
      <c r="V210" s="103"/>
      <c r="W210" s="103"/>
      <c r="X210" s="103"/>
      <c r="Y210" s="103"/>
      <c r="Z210" s="103"/>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92"/>
      <c r="F211" s="87">
        <v>4</v>
      </c>
      <c r="G211" s="121"/>
      <c r="H211" s="146"/>
      <c r="I211" s="148"/>
      <c r="J211" s="148"/>
      <c r="K211" s="147"/>
      <c r="L211" s="69">
        <f>IF(A11stdlife="n/a","n/a",IF(L$3&gt;(A11stdlife+$F211),(Input!$K$221*(1+vanilla4)^0.5)-SUM($K211:K211),(Input!$K$221*(1+vanilla4)^0.5)/A11stdlife))</f>
        <v>0.31153986409096251</v>
      </c>
      <c r="M211" s="69">
        <f>IF(A11stdlife="n/a","n/a",IF(M$3&gt;(A11stdlife+$F211),(Input!$K$221*(1+vanilla4)^0.5)-SUM($K211:L211),(Input!$K$221*(1+vanilla4)^0.5)/A11stdlife))</f>
        <v>0.31153986409096251</v>
      </c>
      <c r="N211" s="69">
        <f>IF(A11stdlife="n/a","n/a",IF(N$3&gt;(A11stdlife+$F211),(Input!$K$221*(1+vanilla4)^0.5)-SUM($K211:M211),(Input!$K$221*(1+vanilla4)^0.5)/A11stdlife))</f>
        <v>0.31153986409096251</v>
      </c>
      <c r="O211" s="69">
        <f>IF(A11stdlife="n/a","n/a",IF(O$3&gt;(A11stdlife+$F211),(Input!$K$221*(1+vanilla4)^0.5)-SUM($K211:N211),(Input!$K$221*(1+vanilla4)^0.5)/A11stdlife))</f>
        <v>0.31153986409096251</v>
      </c>
      <c r="P211" s="69">
        <f>IF(A11stdlife="n/a","n/a",IF(P$3&gt;(A11stdlife+$F211),(Input!$K$221*(1+vanilla4)^0.5)-SUM($K211:O211),(Input!$K$221*(1+vanilla4)^0.5)/A11stdlife))</f>
        <v>0.31153986409096251</v>
      </c>
      <c r="Q211" s="69">
        <f>IF(A11stdlife="n/a","n/a",IF(Q$3&gt;(A11stdlife+$F211),(Input!$K$221*(1+vanilla4)^0.5)-SUM($K211:P211),(Input!$K$221*(1+vanilla4)^0.5)/A11stdlife))</f>
        <v>0.31153986409096251</v>
      </c>
      <c r="R211" s="69"/>
      <c r="S211" s="103"/>
      <c r="T211" s="103"/>
      <c r="U211" s="103"/>
      <c r="V211" s="103"/>
      <c r="W211" s="103"/>
      <c r="X211" s="103"/>
      <c r="Y211" s="103"/>
      <c r="Z211" s="103"/>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9"/>
      <c r="B212" s="9"/>
      <c r="C212" s="9"/>
      <c r="D212" s="26"/>
      <c r="E212" s="392"/>
      <c r="F212" s="87">
        <v>5</v>
      </c>
      <c r="G212" s="27"/>
      <c r="H212" s="146"/>
      <c r="I212" s="148"/>
      <c r="J212" s="148"/>
      <c r="K212" s="148"/>
      <c r="L212" s="147"/>
      <c r="M212" s="69">
        <f>IF(A11stdlife="n/a","n/a",IF(M$3&gt;(A11stdlife+$F212),(Input!$L$221*(1+vanilla5)^0.5)-SUM($L212:L212),(Input!$L221*(1+vanilla5)^0.5)/A11stdlife))</f>
        <v>0.19034476855865609</v>
      </c>
      <c r="N212" s="69">
        <f>IF(A11stdlife="n/a","n/a",IF(N$3&gt;(A11stdlife+$F212),(Input!$L$221*(1+vanilla5)^0.5)-SUM($L212:M212),(Input!$L221*(1+vanilla5)^0.5)/A11stdlife))</f>
        <v>0.19034476855865609</v>
      </c>
      <c r="O212" s="69">
        <f>IF(A11stdlife="n/a","n/a",IF(O$3&gt;(A11stdlife+$F212),(Input!$L$221*(1+vanilla5)^0.5)-SUM($L212:N212),(Input!$L221*(1+vanilla5)^0.5)/A11stdlife))</f>
        <v>0.19034476855865609</v>
      </c>
      <c r="P212" s="69">
        <f>IF(A11stdlife="n/a","n/a",IF(P$3&gt;(A11stdlife+$F212),(Input!$L$221*(1+vanilla5)^0.5)-SUM($L212:O212),(Input!$L221*(1+vanilla5)^0.5)/A11stdlife))</f>
        <v>0.19034476855865609</v>
      </c>
      <c r="Q212" s="69">
        <f>IF(A11stdlife="n/a","n/a",IF(Q$3&gt;(A11stdlife+$F212),(Input!$L$221*(1+vanilla5)^0.5)-SUM($L212:P212),(Input!$L221*(1+vanilla5)^0.5)/A11stdlife))</f>
        <v>0.19034476855865609</v>
      </c>
      <c r="R212" s="69"/>
      <c r="S212" s="103"/>
      <c r="T212" s="103"/>
      <c r="U212" s="103"/>
      <c r="V212" s="103"/>
      <c r="W212" s="103"/>
      <c r="X212" s="103"/>
      <c r="Y212" s="103"/>
      <c r="Z212" s="103"/>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103"/>
      <c r="BE212" s="103"/>
      <c r="BF212" s="103"/>
      <c r="BG212" s="103"/>
      <c r="BH212" s="103"/>
      <c r="BI212" s="103"/>
      <c r="BJ212" s="103"/>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9"/>
      <c r="D213" s="26"/>
      <c r="E213" s="392"/>
      <c r="F213" s="87">
        <v>6</v>
      </c>
      <c r="G213" s="27"/>
      <c r="H213" s="146"/>
      <c r="I213" s="148"/>
      <c r="J213" s="148"/>
      <c r="K213" s="148"/>
      <c r="L213" s="148"/>
      <c r="M213" s="147"/>
      <c r="N213" s="69">
        <f>IF(A11stdlife="n/a","n/a",IF(N$3&gt;(A11stdlife+$F213),(Input!$M$221*(1+vanilla6)^0.5)-SUM($M213:M213),(Input!$M$221*(1+vanilla6)^0.5)/A11stdlife))</f>
        <v>0.14596712968525347</v>
      </c>
      <c r="O213" s="69">
        <f>IF(A11stdlife="n/a","n/a",IF(O$3&gt;(A11stdlife+$F213),(Input!$M$221*(1+vanilla6)^0.5)-SUM($M213:N213),(Input!$M$221*(1+vanilla6)^0.5)/A11stdlife))</f>
        <v>0.14596712968525347</v>
      </c>
      <c r="P213" s="69">
        <f>IF(A11stdlife="n/a","n/a",IF(P$3&gt;(A11stdlife+$F213),(Input!$M$221*(1+vanilla6)^0.5)-SUM($M213:O213),(Input!$M$221*(1+vanilla6)^0.5)/A11stdlife))</f>
        <v>0.14596712968525347</v>
      </c>
      <c r="Q213" s="69">
        <f>IF(A11stdlife="n/a","n/a",IF(Q$3&gt;(A11stdlife+$F213),(Input!$M$221*(1+vanilla6)^0.5)-SUM($M213:P213),(Input!$M$221*(1+vanilla6)^0.5)/A11stdlife))</f>
        <v>0.14596712968525347</v>
      </c>
      <c r="R213" s="69"/>
      <c r="S213" s="103"/>
      <c r="T213" s="103"/>
      <c r="U213" s="103"/>
      <c r="V213" s="103"/>
      <c r="W213" s="103"/>
      <c r="X213" s="103"/>
      <c r="Y213" s="103"/>
      <c r="Z213" s="103"/>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c r="A214" s="9"/>
      <c r="B214" s="9"/>
      <c r="C214" s="9"/>
      <c r="D214" s="26"/>
      <c r="E214" s="392"/>
      <c r="F214" s="87">
        <v>7</v>
      </c>
      <c r="G214" s="27"/>
      <c r="H214" s="146"/>
      <c r="I214" s="148"/>
      <c r="J214" s="148"/>
      <c r="K214" s="148"/>
      <c r="L214" s="148"/>
      <c r="M214" s="148"/>
      <c r="N214" s="147"/>
      <c r="O214" s="69">
        <f>IF(A11stdlife="n/a","n/a",IF(O$3&gt;(A11stdlife+$F214),(Input!$N$221*(1+vanilla7)^0.5)-SUM($N214:N214),(Input!$N$221*(1+vanilla7)^0.5)/A11stdlife))</f>
        <v>0</v>
      </c>
      <c r="P214" s="69">
        <f>IF(A11stdlife="n/a","n/a",IF(P$3&gt;(A11stdlife+$F214),(Input!$N$221*(1+vanilla7)^0.5)-SUM($N214:O214),(Input!$N$221*(1+vanilla7)^0.5)/A11stdlife))</f>
        <v>0</v>
      </c>
      <c r="Q214" s="69">
        <f>IF(A11stdlife="n/a","n/a",IF(Q$3&gt;(A11stdlife+$F214),(Input!$N$221*(1+vanilla7)^0.5)-SUM($N214:P214),(Input!$N$221*(1+vanilla7)^0.5)/A11stdlife))</f>
        <v>0</v>
      </c>
      <c r="R214" s="69"/>
      <c r="S214" s="103"/>
      <c r="T214" s="103"/>
      <c r="U214" s="103"/>
      <c r="V214" s="103"/>
      <c r="W214" s="103"/>
      <c r="X214" s="103"/>
      <c r="Y214" s="103"/>
      <c r="Z214" s="103"/>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92"/>
      <c r="F215" s="87">
        <v>8</v>
      </c>
      <c r="G215" s="27"/>
      <c r="H215" s="146"/>
      <c r="I215" s="148"/>
      <c r="J215" s="148"/>
      <c r="K215" s="148"/>
      <c r="L215" s="148"/>
      <c r="M215" s="148"/>
      <c r="N215" s="148"/>
      <c r="O215" s="147"/>
      <c r="P215" s="69">
        <f>IF(A11stdlife="n/a","n/a",IF(P$3&gt;(A11stdlife+$F215),(Input!$O$221*(1+vanilla8)^0.5)-SUM($O215:O215),(Input!$O$221*(1+vanilla8)^0.5)/A11stdlife))</f>
        <v>0</v>
      </c>
      <c r="Q215" s="69">
        <f>IF(A11stdlife="n/a","n/a",IF(Q$3&gt;(A11stdlife+$F215),(Input!$O$221*(1+vanilla8)^0.5)-SUM($O215:P215),(Input!$O$221*(1+vanilla8)^0.5)/A11stdlife))</f>
        <v>0</v>
      </c>
      <c r="R215" s="69"/>
      <c r="S215" s="103"/>
      <c r="T215" s="103"/>
      <c r="U215" s="103"/>
      <c r="V215" s="103"/>
      <c r="W215" s="103"/>
      <c r="X215" s="103"/>
      <c r="Y215" s="103"/>
      <c r="Z215" s="103"/>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92"/>
      <c r="F216" s="87">
        <v>9</v>
      </c>
      <c r="G216" s="27"/>
      <c r="H216" s="146"/>
      <c r="I216" s="148"/>
      <c r="J216" s="148"/>
      <c r="K216" s="148"/>
      <c r="L216" s="148"/>
      <c r="M216" s="148"/>
      <c r="N216" s="148"/>
      <c r="O216" s="148"/>
      <c r="P216" s="147"/>
      <c r="Q216" s="69">
        <f>IF(A11stdlife="n/a","n/a",IF(Q$3&gt;(A11stdlife+$F216),(Input!$P$221*(1+vanilla9)^0.5)-SUM($P216:P216),(Input!$P$221*(1+vanilla9)^0.5)/A11stdlife))</f>
        <v>0</v>
      </c>
      <c r="R216" s="69"/>
      <c r="S216" s="103"/>
      <c r="T216" s="103"/>
      <c r="U216" s="103"/>
      <c r="V216" s="103"/>
      <c r="W216" s="103"/>
      <c r="X216" s="103"/>
      <c r="Y216" s="103"/>
      <c r="Z216" s="103"/>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92"/>
      <c r="F217" s="88">
        <v>10</v>
      </c>
      <c r="G217" s="27"/>
      <c r="H217" s="146"/>
      <c r="I217" s="148"/>
      <c r="J217" s="148"/>
      <c r="K217" s="148"/>
      <c r="L217" s="148"/>
      <c r="M217" s="148"/>
      <c r="N217" s="148"/>
      <c r="O217" s="148"/>
      <c r="P217" s="148"/>
      <c r="Q217" s="147"/>
      <c r="R217" s="69"/>
      <c r="S217" s="103"/>
      <c r="T217" s="103"/>
      <c r="U217" s="103"/>
      <c r="V217" s="103"/>
      <c r="W217" s="103"/>
      <c r="X217" s="103"/>
      <c r="Y217" s="103"/>
      <c r="Z217" s="103"/>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ollapsed="1">
      <c r="A218" s="9"/>
      <c r="B218" s="9"/>
      <c r="C218" s="9"/>
      <c r="D218" s="271" t="str">
        <f>Asset11</f>
        <v>other</v>
      </c>
      <c r="E218" s="9"/>
      <c r="F218" s="9"/>
      <c r="G218" s="121"/>
      <c r="H218" s="162">
        <f t="shared" ref="H218:M218" si="14">-SUM(H206:H217)</f>
        <v>-1.7735329703653562</v>
      </c>
      <c r="I218" s="162">
        <f t="shared" si="14"/>
        <v>-1.8154198269626378</v>
      </c>
      <c r="J218" s="162">
        <f t="shared" si="14"/>
        <v>-1.9897138982172236</v>
      </c>
      <c r="K218" s="162">
        <f t="shared" si="14"/>
        <v>-2.296298664559365</v>
      </c>
      <c r="L218" s="162">
        <f t="shared" si="14"/>
        <v>-2.6078385286503276</v>
      </c>
      <c r="M218" s="162">
        <f t="shared" si="14"/>
        <v>-2.7981832972089835</v>
      </c>
      <c r="N218" s="69">
        <f>IF(COUNT($H218:M218)&gt;=Input!$Y$7,0, -SUM(N206:N217))</f>
        <v>0</v>
      </c>
      <c r="O218" s="69">
        <f>IF(COUNT($H218:N218)&gt;=Input!$Y$7,0, -SUM(O206:O217))</f>
        <v>0</v>
      </c>
      <c r="P218" s="69">
        <f>IF(COUNT($H218:O218)&gt;=Input!$Y$7,0, -SUM(P206:P217))</f>
        <v>0</v>
      </c>
      <c r="Q218" s="69">
        <f>IF(COUNT($H218:P218)&gt;=Input!$Y$7,0, -SUM(Q206:Q217))</f>
        <v>0</v>
      </c>
      <c r="R218" s="67"/>
      <c r="S218" s="105"/>
      <c r="T218" s="105"/>
      <c r="U218" s="105"/>
      <c r="V218" s="105"/>
      <c r="W218" s="105"/>
      <c r="X218" s="105"/>
      <c r="Y218" s="105"/>
      <c r="Z218" s="105"/>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272" t="str">
        <f>Asset12</f>
        <v>premises</v>
      </c>
      <c r="D219" s="158"/>
      <c r="E219" s="32" t="s">
        <v>26</v>
      </c>
      <c r="F219" s="31"/>
      <c r="G219" s="177"/>
      <c r="H219" s="68">
        <f>IF(H$3&gt;A12remlife,A12value-$G$641-SUM($G219:G219),IF(A12remlife="N/A","n/a",(A12value-$G$641)/A12remlife))</f>
        <v>1.3201440722153028</v>
      </c>
      <c r="I219" s="68">
        <f>IF(I$3&gt;A12remlife,A12value-$G$641-SUM($G219:H219),IF(A12remlife="N/A","n/a",(A12value-$G$641)/A12remlife))</f>
        <v>1.3201440722153028</v>
      </c>
      <c r="J219" s="68">
        <f>IF(J$3&gt;A12remlife,A12value-$G$641-SUM($G219:I219),IF(A12remlife="N/A","n/a",(A12value-$G$641)/A12remlife))</f>
        <v>1.3201440722153028</v>
      </c>
      <c r="K219" s="68">
        <f>IF(K$3&gt;A12remlife,A12value-$G$641-SUM($G219:J219),IF(A12remlife="N/A","n/a",(A12value-$G$641)/A12remlife))</f>
        <v>1.3201440722153028</v>
      </c>
      <c r="L219" s="68">
        <f>IF(L$3&gt;A12remlife,A12value-$G$641-SUM($G219:K219),IF(A12remlife="N/A","n/a",(A12value-$G$641)/A12remlife))</f>
        <v>1.3201440722153028</v>
      </c>
      <c r="M219" s="68">
        <f>IF(M$3&gt;A12remlife,A12value-$G$641-SUM($G219:L219),IF(A12remlife="N/A","n/a",(A12value-$G$641)/A12remlife))</f>
        <v>1.3201440722153028</v>
      </c>
      <c r="N219" s="68">
        <f>IF(N$3&gt;A12remlife,A12value-$G$641-SUM($G219:M219),IF(A12remlife="N/A","n/a",(A12value-$G$641)/A12remlife))</f>
        <v>0.48696783754895367</v>
      </c>
      <c r="O219" s="68">
        <f>IF(O$3&gt;A12remlife,A12value-$G$641-SUM($G219:N219),IF(A12remlife="N/A","n/a",(A12value-$G$641)/A12remlife))</f>
        <v>0</v>
      </c>
      <c r="P219" s="68">
        <f>IF(P$3&gt;A12remlife,A12value-$G$641-SUM($G219:O219),IF(A12remlife="N/A","n/a",(A12value-$G$641)/A12remlife))</f>
        <v>0</v>
      </c>
      <c r="Q219" s="68">
        <f>IF(Q$3&gt;A12remlife,A12value-$G$641-SUM($G219:P219),IF(A12remlife="N/A","n/a",(A12value-$G$641)/A12remlife))</f>
        <v>0</v>
      </c>
      <c r="R219" s="68"/>
      <c r="S219" s="103"/>
      <c r="T219" s="103"/>
      <c r="U219" s="103"/>
      <c r="V219" s="103"/>
      <c r="W219" s="103"/>
      <c r="X219" s="103"/>
      <c r="Y219" s="103"/>
      <c r="Z219" s="103"/>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6"/>
      <c r="E220" s="391" t="s">
        <v>82</v>
      </c>
      <c r="F220" s="87"/>
      <c r="G220" s="121"/>
      <c r="H220" s="69"/>
      <c r="I220" s="69"/>
      <c r="J220" s="69"/>
      <c r="K220" s="69"/>
      <c r="L220" s="69"/>
      <c r="M220" s="160"/>
      <c r="N220" s="112"/>
      <c r="O220" s="69"/>
      <c r="P220" s="69"/>
      <c r="Q220" s="69"/>
      <c r="R220" s="69"/>
      <c r="S220" s="103"/>
      <c r="T220" s="103"/>
      <c r="U220" s="103"/>
      <c r="V220" s="103"/>
      <c r="W220" s="103"/>
      <c r="X220" s="103"/>
      <c r="Y220" s="103"/>
      <c r="Z220" s="103"/>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92"/>
      <c r="F221" s="87">
        <v>1</v>
      </c>
      <c r="G221" s="121"/>
      <c r="H221" s="145"/>
      <c r="I221" s="69">
        <f>IF(A12stdlife="n/a","n/a",IF(I$3&gt;(A12stdlife+$F221),(Input!$H$222*(1+vanilla1)^0.5)-SUM($H221:H221),(Input!$H$222*(1+vanilla1)^0.5)/A12stdlife))</f>
        <v>-2.0140773988534416E-3</v>
      </c>
      <c r="J221" s="69">
        <f>IF(A12stdlife="n/a","n/a",IF(J$3&gt;(A12stdlife+$F221),(Input!$H$222*(1+vanilla1)^0.5)-SUM($H221:I221),(Input!$H$222*(1+vanilla1)^0.5)/A12stdlife))</f>
        <v>-2.0140773988534416E-3</v>
      </c>
      <c r="K221" s="69">
        <f>IF(A12stdlife="n/a","n/a",IF(K$3&gt;(A12stdlife+$F221),(Input!$H$222*(1+vanilla1)^0.5)-SUM($H221:J221),(Input!$H$222*(1+vanilla1)^0.5)/A12stdlife))</f>
        <v>-2.0140773988534416E-3</v>
      </c>
      <c r="L221" s="69">
        <f>IF(A12stdlife="n/a","n/a",IF(L$3&gt;(A12stdlife+$F221),(Input!$H$222*(1+vanilla1)^0.5)-SUM($H221:K221),(Input!$H$222*(1+vanilla1)^0.5)/A12stdlife))</f>
        <v>-2.0140773988534416E-3</v>
      </c>
      <c r="M221" s="69">
        <f>IF(A12stdlife="n/a","n/a",IF(M$3&gt;(A12stdlife+$F221),(Input!$H$222*(1+vanilla1)^0.5)-SUM($H221:L221),(Input!$H$222*(1+vanilla1)^0.5)/A12stdlife))</f>
        <v>-2.0140773988534416E-3</v>
      </c>
      <c r="N221" s="69">
        <f>IF(A12stdlife="n/a","n/a",IF(N$3&gt;(A12stdlife+$F221),(Input!$H$222*(1+vanilla1)^0.5)-SUM($H221:M221),(Input!$H$222*(1+vanilla1)^0.5)/A12stdlife))</f>
        <v>-2.0140773988534416E-3</v>
      </c>
      <c r="O221" s="69">
        <f>IF(A12stdlife="n/a","n/a",IF(O$3&gt;(A12stdlife+$F221),(Input!$H$222*(1+vanilla1)^0.5)-SUM($H221:N221),(Input!$H$222*(1+vanilla1)^0.5)/A12stdlife))</f>
        <v>-2.0140773988534416E-3</v>
      </c>
      <c r="P221" s="69">
        <f>IF(A12stdlife="n/a","n/a",IF(P$3&gt;(A12stdlife+$F221),(Input!$H$222*(1+vanilla1)^0.5)-SUM($H221:O221),(Input!$H$222*(1+vanilla1)^0.5)/A12stdlife))</f>
        <v>-2.0140773988534416E-3</v>
      </c>
      <c r="Q221" s="69">
        <f>IF(A12stdlife="n/a","n/a",IF(Q$3&gt;(A12stdlife+$F221),(Input!$H$222*(1+vanilla1)^0.5)-SUM($H221:P221),(Input!$H$222*(1+vanilla1)^0.5)/A12stdlife))</f>
        <v>-2.0140773988534416E-3</v>
      </c>
      <c r="R221" s="69"/>
      <c r="S221" s="103"/>
      <c r="T221" s="103"/>
      <c r="U221" s="103"/>
      <c r="V221" s="103"/>
      <c r="W221" s="103"/>
      <c r="X221" s="103"/>
      <c r="Y221" s="103"/>
      <c r="Z221" s="103"/>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92"/>
      <c r="F222" s="87">
        <v>2</v>
      </c>
      <c r="G222" s="121"/>
      <c r="H222" s="146"/>
      <c r="I222" s="147"/>
      <c r="J222" s="69">
        <f>IF(A12stdlife="n/a","n/a",IF(J$3&gt;(A12stdlife+$F222),(Input!$I$222*(1+vanilla2)^0.5)-SUM($I222:I222),(Input!$I$222*(1+vanilla2)^0.5)/A12stdlife))</f>
        <v>3.437661082704363E-2</v>
      </c>
      <c r="K222" s="69">
        <f>IF(A12stdlife="n/a","n/a",IF(K$3&gt;(A12stdlife+$F222),(Input!$I$222*(1+vanilla2)^0.5)-SUM($I222:J222),(Input!$I$222*(1+vanilla2)^0.5)/A12stdlife))</f>
        <v>3.437661082704363E-2</v>
      </c>
      <c r="L222" s="69">
        <f>IF(A12stdlife="n/a","n/a",IF(L$3&gt;(A12stdlife+$F222),(Input!$I$222*(1+vanilla2)^0.5)-SUM($I222:K222),(Input!$I$222*(1+vanilla2)^0.5)/A12stdlife))</f>
        <v>3.437661082704363E-2</v>
      </c>
      <c r="M222" s="69">
        <f>IF(A12stdlife="n/a","n/a",IF(M$3&gt;(A12stdlife+$F222),(Input!$I$222*(1+vanilla2)^0.5)-SUM($I222:L222),(Input!$I$222*(1+vanilla2)^0.5)/A12stdlife))</f>
        <v>3.437661082704363E-2</v>
      </c>
      <c r="N222" s="69">
        <f>IF(A12stdlife="n/a","n/a",IF(N$3&gt;(A12stdlife+$F222),(Input!$I$222*(1+vanilla2)^0.5)-SUM($I222:M222),(Input!$I$222*(1+vanilla2)^0.5)/A12stdlife))</f>
        <v>3.437661082704363E-2</v>
      </c>
      <c r="O222" s="69">
        <f>IF(A12stdlife="n/a","n/a",IF(O$3&gt;(A12stdlife+$F222),(Input!$I$222*(1+vanilla2)^0.5)-SUM($I222:N222),(Input!$I$222*(1+vanilla2)^0.5)/A12stdlife))</f>
        <v>3.437661082704363E-2</v>
      </c>
      <c r="P222" s="69">
        <f>IF(A12stdlife="n/a","n/a",IF(P$3&gt;(A12stdlife+$F222),(Input!$I$222*(1+vanilla2)^0.5)-SUM($I222:O222),(Input!$I$222*(1+vanilla2)^0.5)/A12stdlife))</f>
        <v>3.437661082704363E-2</v>
      </c>
      <c r="Q222" s="69">
        <f>IF(A12stdlife="n/a","n/a",IF(Q$3&gt;(A12stdlife+$F222),(Input!$I$222*(1+vanilla2)^0.5)-SUM($I222:P222),(Input!$I$222*(1+vanilla2)^0.5)/A12stdlife))</f>
        <v>3.437661082704363E-2</v>
      </c>
      <c r="R222" s="69"/>
      <c r="S222" s="103"/>
      <c r="T222" s="103"/>
      <c r="U222" s="103"/>
      <c r="V222" s="103"/>
      <c r="W222" s="103"/>
      <c r="X222" s="103"/>
      <c r="Y222" s="103"/>
      <c r="Z222" s="103"/>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92"/>
      <c r="F223" s="87">
        <v>3</v>
      </c>
      <c r="G223" s="121"/>
      <c r="H223" s="146"/>
      <c r="I223" s="148"/>
      <c r="J223" s="147"/>
      <c r="K223" s="69">
        <f>IF(A12stdlife="n/a","n/a",IF(K$3&gt;(A12stdlife+$F223),(Input!$J$222*(1+vanilla3)^0.5)-SUM($J223:J223),(Input!$J$222*(1+vanilla3)^0.5)/A12stdlife))</f>
        <v>8.0058947612870295E-3</v>
      </c>
      <c r="L223" s="69">
        <f>IF(A12stdlife="n/a","n/a",IF(L$3&gt;(A12stdlife+$F223),(Input!$J$222*(1+vanilla3)^0.5)-SUM($J223:K223),(Input!$J$222*(1+vanilla3)^0.5)/A12stdlife))</f>
        <v>8.0058947612870295E-3</v>
      </c>
      <c r="M223" s="69">
        <f>IF(A12stdlife="n/a","n/a",IF(M$3&gt;(A12stdlife+$F223),(Input!$J$222*(1+vanilla3)^0.5)-SUM($J223:L223),(Input!$J$222*(1+vanilla3)^0.5)/A12stdlife))</f>
        <v>8.0058947612870295E-3</v>
      </c>
      <c r="N223" s="69">
        <f>IF(A12stdlife="n/a","n/a",IF(N$3&gt;(A12stdlife+$F223),(Input!$J$222*(1+vanilla3)^0.5)-SUM($J223:M223),(Input!$J$222*(1+vanilla3)^0.5)/A12stdlife))</f>
        <v>8.0058947612870295E-3</v>
      </c>
      <c r="O223" s="69">
        <f>IF(A12stdlife="n/a","n/a",IF(O$3&gt;(A12stdlife+$F223),(Input!$J$222*(1+vanilla3)^0.5)-SUM($J223:N223),(Input!$J$222*(1+vanilla3)^0.5)/A12stdlife))</f>
        <v>8.0058947612870295E-3</v>
      </c>
      <c r="P223" s="69">
        <f>IF(A12stdlife="n/a","n/a",IF(P$3&gt;(A12stdlife+$F223),(Input!$J$222*(1+vanilla3)^0.5)-SUM($J223:O223),(Input!$J$222*(1+vanilla3)^0.5)/A12stdlife))</f>
        <v>8.0058947612870295E-3</v>
      </c>
      <c r="Q223" s="69">
        <f>IF(A12stdlife="n/a","n/a",IF(Q$3&gt;(A12stdlife+$F223),(Input!$J$222*(1+vanilla3)^0.5)-SUM($J223:P223),(Input!$J$222*(1+vanilla3)^0.5)/A12stdlife))</f>
        <v>8.0058947612870295E-3</v>
      </c>
      <c r="R223" s="69"/>
      <c r="S223" s="103"/>
      <c r="T223" s="103"/>
      <c r="U223" s="103"/>
      <c r="V223" s="103"/>
      <c r="W223" s="103"/>
      <c r="X223" s="103"/>
      <c r="Y223" s="103"/>
      <c r="Z223" s="103"/>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92"/>
      <c r="F224" s="87">
        <v>4</v>
      </c>
      <c r="G224" s="121"/>
      <c r="H224" s="146"/>
      <c r="I224" s="148"/>
      <c r="J224" s="148"/>
      <c r="K224" s="147"/>
      <c r="L224" s="69">
        <f>IF(A12stdlife="n/a","n/a",IF(L$3&gt;(A12stdlife+$F224),(Input!$K$222*(1+vanilla4)^0.5)-SUM($K224:K224),(Input!$K$222*(1+vanilla4)^0.5)/A12stdlife))</f>
        <v>0.10061526632169374</v>
      </c>
      <c r="M224" s="69">
        <f>IF(A12stdlife="n/a","n/a",IF(M$3&gt;(A12stdlife+$F224),(Input!$K$222*(1+vanilla4)^0.5)-SUM($K224:L224),(Input!$K$222*(1+vanilla4)^0.5)/A12stdlife))</f>
        <v>0.10061526632169374</v>
      </c>
      <c r="N224" s="69">
        <f>IF(A12stdlife="n/a","n/a",IF(N$3&gt;(A12stdlife+$F224),(Input!$K$222*(1+vanilla4)^0.5)-SUM($K224:M224),(Input!$K$222*(1+vanilla4)^0.5)/A12stdlife))</f>
        <v>0.10061526632169374</v>
      </c>
      <c r="O224" s="69">
        <f>IF(A12stdlife="n/a","n/a",IF(O$3&gt;(A12stdlife+$F224),(Input!$K$222*(1+vanilla4)^0.5)-SUM($K224:N224),(Input!$K$222*(1+vanilla4)^0.5)/A12stdlife))</f>
        <v>0.10061526632169374</v>
      </c>
      <c r="P224" s="69">
        <f>IF(A12stdlife="n/a","n/a",IF(P$3&gt;(A12stdlife+$F224),(Input!$K$222*(1+vanilla4)^0.5)-SUM($K224:O224),(Input!$K$222*(1+vanilla4)^0.5)/A12stdlife))</f>
        <v>0.10061526632169374</v>
      </c>
      <c r="Q224" s="69">
        <f>IF(A12stdlife="n/a","n/a",IF(Q$3&gt;(A12stdlife+$F224),(Input!$K$222*(1+vanilla4)^0.5)-SUM($K224:P224),(Input!$K$222*(1+vanilla4)^0.5)/A12stdlife))</f>
        <v>0.10061526632169374</v>
      </c>
      <c r="R224" s="69"/>
      <c r="S224" s="103"/>
      <c r="T224" s="103"/>
      <c r="U224" s="103"/>
      <c r="V224" s="103"/>
      <c r="W224" s="103"/>
      <c r="X224" s="103"/>
      <c r="Y224" s="103"/>
      <c r="Z224" s="103"/>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9"/>
      <c r="B225" s="9"/>
      <c r="C225" s="9"/>
      <c r="D225" s="26"/>
      <c r="E225" s="392"/>
      <c r="F225" s="87">
        <v>5</v>
      </c>
      <c r="G225" s="27"/>
      <c r="H225" s="146"/>
      <c r="I225" s="148"/>
      <c r="J225" s="148"/>
      <c r="K225" s="148"/>
      <c r="L225" s="147"/>
      <c r="M225" s="69">
        <f>IF(A12stdlife="n/a","n/a",IF(M$3&gt;(A12stdlife+$F225),(Input!$L$222*(1+vanilla5)^0.5)-SUM($L225:L225),(Input!$L$222*(1+vanilla5)^0.5)/A12stdlife))</f>
        <v>1.9034476855865609E-2</v>
      </c>
      <c r="N225" s="69">
        <f>IF(A12stdlife="n/a","n/a",IF(N$3&gt;(A12stdlife+$F225),(Input!$L$222*(1+vanilla5)^0.5)-SUM($L225:M225),(Input!$L$222*(1+vanilla5)^0.5)/A12stdlife))</f>
        <v>1.9034476855865609E-2</v>
      </c>
      <c r="O225" s="69">
        <f>IF(A12stdlife="n/a","n/a",IF(O$3&gt;(A12stdlife+$F225),(Input!$L$222*(1+vanilla5)^0.5)-SUM($L225:N225),(Input!$L$222*(1+vanilla5)^0.5)/A12stdlife))</f>
        <v>1.9034476855865609E-2</v>
      </c>
      <c r="P225" s="69">
        <f>IF(A12stdlife="n/a","n/a",IF(P$3&gt;(A12stdlife+$F225),(Input!$L$222*(1+vanilla5)^0.5)-SUM($L225:O225),(Input!$L$222*(1+vanilla5)^0.5)/A12stdlife))</f>
        <v>1.9034476855865609E-2</v>
      </c>
      <c r="Q225" s="69">
        <f>IF(A12stdlife="n/a","n/a",IF(Q$3&gt;(A12stdlife+$F225),(Input!$L$222*(1+vanilla5)^0.5)-SUM($L225:P225),(Input!$L$222*(1+vanilla5)^0.5)/A12stdlife))</f>
        <v>1.9034476855865609E-2</v>
      </c>
      <c r="R225" s="69"/>
      <c r="S225" s="103"/>
      <c r="T225" s="103"/>
      <c r="U225" s="103"/>
      <c r="V225" s="103"/>
      <c r="W225" s="103"/>
      <c r="X225" s="103"/>
      <c r="Y225" s="103"/>
      <c r="Z225" s="103"/>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103"/>
      <c r="BE225" s="103"/>
      <c r="BF225" s="103"/>
      <c r="BG225" s="103"/>
      <c r="BH225" s="103"/>
      <c r="BI225" s="103"/>
      <c r="BJ225" s="103"/>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9"/>
      <c r="D226" s="26"/>
      <c r="E226" s="392"/>
      <c r="F226" s="87">
        <v>6</v>
      </c>
      <c r="G226" s="27"/>
      <c r="H226" s="146"/>
      <c r="I226" s="148"/>
      <c r="J226" s="148"/>
      <c r="K226" s="148"/>
      <c r="L226" s="148"/>
      <c r="M226" s="147"/>
      <c r="N226" s="69">
        <f>IF(A12stdlife="n/a","n/a",IF(N$3&gt;(A12stdlife+$F226),(Input!$M$222*(1+vanilla6)^0.5)-SUM($M226:M226),(Input!$M$222*(1+vanilla6)^0.5)/A12stdlife))</f>
        <v>1.9233540170084332E-2</v>
      </c>
      <c r="O226" s="69">
        <f>IF(A12stdlife="n/a","n/a",IF(O$3&gt;(A12stdlife+$F226),(Input!$M$222*(1+vanilla6)^0.5)-SUM($M226:N226),(Input!$M$222*(1+vanilla6)^0.5)/A12stdlife))</f>
        <v>1.9233540170084332E-2</v>
      </c>
      <c r="P226" s="69">
        <f>IF(A12stdlife="n/a","n/a",IF(P$3&gt;(A12stdlife+$F226),(Input!$M$222*(1+vanilla6)^0.5)-SUM($M226:O226),(Input!$M$222*(1+vanilla6)^0.5)/A12stdlife))</f>
        <v>1.9233540170084332E-2</v>
      </c>
      <c r="Q226" s="69">
        <f>IF(A12stdlife="n/a","n/a",IF(Q$3&gt;(A12stdlife+$F226),(Input!$M$222*(1+vanilla6)^0.5)-SUM($M226:P226),(Input!$M$222*(1+vanilla6)^0.5)/A12stdlife))</f>
        <v>1.9233540170084332E-2</v>
      </c>
      <c r="R226" s="69"/>
      <c r="S226" s="103"/>
      <c r="T226" s="103"/>
      <c r="U226" s="103"/>
      <c r="V226" s="103"/>
      <c r="W226" s="103"/>
      <c r="X226" s="103"/>
      <c r="Y226" s="103"/>
      <c r="Z226" s="103"/>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c r="A227" s="9"/>
      <c r="B227" s="9"/>
      <c r="C227" s="9"/>
      <c r="D227" s="26"/>
      <c r="E227" s="392"/>
      <c r="F227" s="87">
        <v>7</v>
      </c>
      <c r="G227" s="27"/>
      <c r="H227" s="146"/>
      <c r="I227" s="148"/>
      <c r="J227" s="148"/>
      <c r="K227" s="148"/>
      <c r="L227" s="148"/>
      <c r="M227" s="148"/>
      <c r="N227" s="147"/>
      <c r="O227" s="69">
        <f>IF(A12stdlife="n/a","n/a",IF(O$3&gt;(A12stdlife+$F227),(Input!$N$222*(1+vanilla7)^0.5)-SUM($N227:N227),(Input!$N$222*(1+vanilla7)^0.5)/A12stdlife))</f>
        <v>0</v>
      </c>
      <c r="P227" s="69">
        <f>IF(A12stdlife="n/a","n/a",IF(P$3&gt;(A12stdlife+$F227),(Input!$N$222*(1+vanilla7)^0.5)-SUM($N227:O227),(Input!$N$222*(1+vanilla7)^0.5)/A12stdlife))</f>
        <v>0</v>
      </c>
      <c r="Q227" s="69">
        <f>IF(A12stdlife="n/a","n/a",IF(Q$3&gt;(A12stdlife+$F227),(Input!$N$222*(1+vanilla7)^0.5)-SUM($N227:P227),(Input!$N$222*(1+vanilla7)^0.5)/A12stdlife))</f>
        <v>0</v>
      </c>
      <c r="R227" s="69"/>
      <c r="S227" s="103"/>
      <c r="T227" s="103"/>
      <c r="U227" s="103"/>
      <c r="V227" s="103"/>
      <c r="W227" s="103"/>
      <c r="X227" s="103"/>
      <c r="Y227" s="103"/>
      <c r="Z227" s="103"/>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92"/>
      <c r="F228" s="87">
        <v>8</v>
      </c>
      <c r="G228" s="27"/>
      <c r="H228" s="146"/>
      <c r="I228" s="148"/>
      <c r="J228" s="148"/>
      <c r="K228" s="148"/>
      <c r="L228" s="148"/>
      <c r="M228" s="148"/>
      <c r="N228" s="148"/>
      <c r="O228" s="147"/>
      <c r="P228" s="69">
        <f>IF(A12stdlife="n/a","n/a",IF(P$3&gt;(A12stdlife+$F228),(Input!$O$222*(1+vanilla8)^0.5)-SUM($O228:O228),(Input!$O$222*(1+vanilla8)^0.5)/A12stdlife))</f>
        <v>0</v>
      </c>
      <c r="Q228" s="69">
        <f>IF(A12stdlife="n/a","n/a",IF(Q$3&gt;(A12stdlife+$F228),(Input!$O$222*(1+vanilla8)^0.5)-SUM($O228:P228),(Input!$O$222*(1+vanilla8)^0.5)/A12stdlife))</f>
        <v>0</v>
      </c>
      <c r="R228" s="69"/>
      <c r="S228" s="103"/>
      <c r="T228" s="103"/>
      <c r="U228" s="103"/>
      <c r="V228" s="103"/>
      <c r="W228" s="103"/>
      <c r="X228" s="103"/>
      <c r="Y228" s="103"/>
      <c r="Z228" s="103"/>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92"/>
      <c r="F229" s="87">
        <v>9</v>
      </c>
      <c r="G229" s="27"/>
      <c r="H229" s="146"/>
      <c r="I229" s="148"/>
      <c r="J229" s="148"/>
      <c r="K229" s="148"/>
      <c r="L229" s="148"/>
      <c r="M229" s="148"/>
      <c r="N229" s="148"/>
      <c r="O229" s="148"/>
      <c r="P229" s="147"/>
      <c r="Q229" s="69">
        <f>IF(A12stdlife="n/a","n/a",IF(Q$3&gt;(A12stdlife+$F229),(Input!$P$222*(1+vanilla9)^0.5)-SUM($P229:P229),(Input!$P$222*(1+vanilla9)^0.5)/A12stdlife))</f>
        <v>0</v>
      </c>
      <c r="R229" s="69"/>
      <c r="S229" s="103"/>
      <c r="T229" s="103"/>
      <c r="U229" s="103"/>
      <c r="V229" s="103"/>
      <c r="W229" s="103"/>
      <c r="X229" s="103"/>
      <c r="Y229" s="103"/>
      <c r="Z229" s="103"/>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92"/>
      <c r="F230" s="88">
        <v>10</v>
      </c>
      <c r="G230" s="27"/>
      <c r="H230" s="146"/>
      <c r="I230" s="148"/>
      <c r="J230" s="148"/>
      <c r="K230" s="148"/>
      <c r="L230" s="148"/>
      <c r="M230" s="148"/>
      <c r="N230" s="148"/>
      <c r="O230" s="148"/>
      <c r="P230" s="148"/>
      <c r="Q230" s="147"/>
      <c r="R230" s="69"/>
      <c r="S230" s="103"/>
      <c r="T230" s="103"/>
      <c r="U230" s="103"/>
      <c r="V230" s="103"/>
      <c r="W230" s="103"/>
      <c r="X230" s="103"/>
      <c r="Y230" s="103"/>
      <c r="Z230" s="103"/>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ollapsed="1">
      <c r="A231" s="9"/>
      <c r="B231" s="9"/>
      <c r="C231" s="9"/>
      <c r="D231" s="271" t="str">
        <f>Asset12</f>
        <v>premises</v>
      </c>
      <c r="E231" s="9"/>
      <c r="F231" s="9"/>
      <c r="G231" s="121"/>
      <c r="H231" s="162">
        <f t="shared" ref="H231:M231" si="15">-SUM(H219:H230)</f>
        <v>-1.3201440722153028</v>
      </c>
      <c r="I231" s="162">
        <f t="shared" si="15"/>
        <v>-1.3181299948164493</v>
      </c>
      <c r="J231" s="162">
        <f t="shared" si="15"/>
        <v>-1.3525066056434929</v>
      </c>
      <c r="K231" s="162">
        <f t="shared" si="15"/>
        <v>-1.36051250040478</v>
      </c>
      <c r="L231" s="162">
        <f t="shared" si="15"/>
        <v>-1.4611277667264737</v>
      </c>
      <c r="M231" s="162">
        <f t="shared" si="15"/>
        <v>-1.4801622435823394</v>
      </c>
      <c r="N231" s="69">
        <f>IF(COUNT($H231:M231)&gt;=Input!$Y$7,0, -SUM(N219:N230))</f>
        <v>0</v>
      </c>
      <c r="O231" s="69">
        <f>IF(COUNT($H231:N231)&gt;=Input!$Y$7,0, -SUM(O219:O230))</f>
        <v>0</v>
      </c>
      <c r="P231" s="69">
        <f>IF(COUNT($H231:O231)&gt;=Input!$Y$7,0, -SUM(P219:P230))</f>
        <v>0</v>
      </c>
      <c r="Q231" s="69">
        <f>IF(COUNT($H231:P231)&gt;=Input!$Y$7,0, -SUM(Q219:Q230))</f>
        <v>0</v>
      </c>
      <c r="R231" s="67"/>
      <c r="S231" s="105"/>
      <c r="T231" s="105"/>
      <c r="U231" s="105"/>
      <c r="V231" s="105"/>
      <c r="W231" s="105"/>
      <c r="X231" s="105"/>
      <c r="Y231" s="105"/>
      <c r="Z231" s="105"/>
      <c r="AA231" s="233"/>
      <c r="AB231" s="233"/>
      <c r="AC231" s="233"/>
      <c r="AD231" s="233"/>
      <c r="AE231" s="233"/>
      <c r="AF231" s="233"/>
      <c r="AG231" s="233"/>
      <c r="AH231" s="233"/>
      <c r="AI231" s="233"/>
      <c r="AJ231" s="233"/>
      <c r="AK231" s="233"/>
      <c r="AL231" s="233"/>
      <c r="AM231" s="233"/>
      <c r="AN231" s="233"/>
      <c r="AO231" s="233"/>
      <c r="AP231" s="233"/>
      <c r="AQ231" s="233"/>
      <c r="AR231" s="233"/>
      <c r="AS231" s="233"/>
      <c r="AT231" s="233"/>
      <c r="AU231" s="233"/>
      <c r="AV231" s="233"/>
      <c r="AW231" s="233"/>
      <c r="AX231" s="233"/>
      <c r="AY231" s="233"/>
      <c r="AZ231" s="233"/>
      <c r="BA231" s="233"/>
      <c r="BB231" s="233"/>
      <c r="BC231" s="233"/>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272" t="str">
        <f>Asset13</f>
        <v>Land</v>
      </c>
      <c r="D232" s="158"/>
      <c r="E232" s="32" t="s">
        <v>26</v>
      </c>
      <c r="F232" s="31"/>
      <c r="G232" s="177"/>
      <c r="H232" s="68" t="str">
        <f>IF(H$3&gt;A13remlife,A13value-$G$642-SUM($G232:G232),IF(A13remlife="N/A","n/a",(A13value-$G$642)/A13remlife))</f>
        <v>n/a</v>
      </c>
      <c r="I232" s="68" t="str">
        <f>IF(I$3&gt;A13remlife,A13value-$G$642-SUM($G232:H232),IF(A13remlife="N/A","n/a",(A13value-$G$642)/A13remlife))</f>
        <v>n/a</v>
      </c>
      <c r="J232" s="68" t="str">
        <f>IF(J$3&gt;A13remlife,A13value-$G$642-SUM($G232:I232),IF(A13remlife="N/A","n/a",(A13value-$G$642)/A13remlife))</f>
        <v>n/a</v>
      </c>
      <c r="K232" s="68" t="str">
        <f>IF(K$3&gt;A13remlife,A13value-$G$642-SUM($G232:J232),IF(A13remlife="N/A","n/a",(A13value-$G$642)/A13remlife))</f>
        <v>n/a</v>
      </c>
      <c r="L232" s="68" t="str">
        <f>IF(L$3&gt;A13remlife,A13value-$G$642-SUM($G232:K232),IF(A13remlife="N/A","n/a",(A13value-$G$642)/A13remlife))</f>
        <v>n/a</v>
      </c>
      <c r="M232" s="68" t="str">
        <f>IF(M$3&gt;A13remlife,A13value-$G$642-SUM($G232:L232),IF(A13remlife="N/A","n/a",(A13value-$G$642)/A13remlife))</f>
        <v>n/a</v>
      </c>
      <c r="N232" s="68" t="str">
        <f>IF(N$3&gt;A13remlife,A13value-$G$642-SUM($G232:M232),IF(A13remlife="N/A","n/a",(A13value-$G$642)/A13remlife))</f>
        <v>n/a</v>
      </c>
      <c r="O232" s="68" t="str">
        <f>IF(O$3&gt;A13remlife,A13value-$G$642-SUM($G232:N232),IF(A13remlife="N/A","n/a",(A13value-$G$642)/A13remlife))</f>
        <v>n/a</v>
      </c>
      <c r="P232" s="68" t="str">
        <f>IF(P$3&gt;A13remlife,A13value-$G$642-SUM($G232:O232),IF(A13remlife="N/A","n/a",(A13value-$G$642)/A13remlife))</f>
        <v>n/a</v>
      </c>
      <c r="Q232" s="68" t="str">
        <f>IF(Q$3&gt;A13remlife,A13value-$G$642-SUM($G232:P232),IF(A13remlife="N/A","n/a",(A13value-$G$642)/A13remlife))</f>
        <v>n/a</v>
      </c>
      <c r="R232" s="68"/>
      <c r="S232" s="103"/>
      <c r="T232" s="103"/>
      <c r="U232" s="103"/>
      <c r="V232" s="103"/>
      <c r="W232" s="103"/>
      <c r="X232" s="103"/>
      <c r="Y232" s="103"/>
      <c r="Z232" s="103"/>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6"/>
      <c r="E233" s="391" t="s">
        <v>82</v>
      </c>
      <c r="F233" s="87"/>
      <c r="G233" s="121"/>
      <c r="H233" s="69"/>
      <c r="I233" s="69"/>
      <c r="J233" s="69"/>
      <c r="K233" s="69"/>
      <c r="L233" s="69"/>
      <c r="M233" s="160"/>
      <c r="N233" s="112"/>
      <c r="O233" s="69"/>
      <c r="P233" s="69"/>
      <c r="Q233" s="69"/>
      <c r="R233" s="69"/>
      <c r="S233" s="103"/>
      <c r="T233" s="103"/>
      <c r="U233" s="103"/>
      <c r="V233" s="103"/>
      <c r="W233" s="103"/>
      <c r="X233" s="103"/>
      <c r="Y233" s="103"/>
      <c r="Z233" s="103"/>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92"/>
      <c r="F234" s="87">
        <v>1</v>
      </c>
      <c r="G234" s="121"/>
      <c r="H234" s="145"/>
      <c r="I234" s="69" t="str">
        <f>IF(A13stdlife="n/a","n/a",IF(I$3&gt;(A13stdlife+$F234),(Input!$H$223*(1+vanilla1)^0.5)-SUM($H234:H234),(Input!$H$223*(1+vanilla1)^0.5)/A13stdlife))</f>
        <v>n/a</v>
      </c>
      <c r="J234" s="69" t="str">
        <f>IF(A13stdlife="n/a","n/a",IF(J$3&gt;(A13stdlife+$F234),(Input!$H$223*(1+vanilla1)^0.5)-SUM($H234:I234),(Input!$H$223*(1+vanilla1)^0.5)/A13stdlife))</f>
        <v>n/a</v>
      </c>
      <c r="K234" s="69" t="str">
        <f>IF(A13stdlife="n/a","n/a",IF(K$3&gt;(A13stdlife+$F234),(Input!$H$223*(1+vanilla1)^0.5)-SUM($H234:J234),(Input!$H$223*(1+vanilla1)^0.5)/A13stdlife))</f>
        <v>n/a</v>
      </c>
      <c r="L234" s="69" t="str">
        <f>IF(A13stdlife="n/a","n/a",IF(L$3&gt;(A13stdlife+$F234),(Input!$H$223*(1+vanilla1)^0.5)-SUM($H234:K234),(Input!$H$223*(1+vanilla1)^0.5)/A13stdlife))</f>
        <v>n/a</v>
      </c>
      <c r="M234" s="69" t="str">
        <f>IF(A13stdlife="n/a","n/a",IF(M$3&gt;(A13stdlife+$F234),(Input!$H$223*(1+vanilla1)^0.5)-SUM($H234:L234),(Input!$H$223*(1+vanilla1)^0.5)/A13stdlife))</f>
        <v>n/a</v>
      </c>
      <c r="N234" s="69" t="str">
        <f>IF(A13stdlife="n/a","n/a",IF(N$3&gt;(A13stdlife+$F234),(Input!$H$223*(1+vanilla1)^0.5)-SUM($H234:M234),(Input!$H$223*(1+vanilla1)^0.5)/A13stdlife))</f>
        <v>n/a</v>
      </c>
      <c r="O234" s="69" t="str">
        <f>IF(A13stdlife="n/a","n/a",IF(O$3&gt;(A13stdlife+$F234),(Input!$H$223*(1+vanilla1)^0.5)-SUM($H234:N234),(Input!$H$223*(1+vanilla1)^0.5)/A13stdlife))</f>
        <v>n/a</v>
      </c>
      <c r="P234" s="69" t="str">
        <f>IF(A13stdlife="n/a","n/a",IF(P$3&gt;(A13stdlife+$F234),(Input!$H$223*(1+vanilla1)^0.5)-SUM($H234:O234),(Input!$H$223*(1+vanilla1)^0.5)/A13stdlife))</f>
        <v>n/a</v>
      </c>
      <c r="Q234" s="69" t="str">
        <f>IF(A13stdlife="n/a","n/a",IF(Q$3&gt;(A13stdlife+$F234),(Input!$H$223*(1+vanilla1)^0.5)-SUM($H234:P234),(Input!$H$223*(1+vanilla1)^0.5)/A13stdlife))</f>
        <v>n/a</v>
      </c>
      <c r="R234" s="69"/>
      <c r="S234" s="103"/>
      <c r="T234" s="103"/>
      <c r="U234" s="103"/>
      <c r="V234" s="103"/>
      <c r="W234" s="103"/>
      <c r="X234" s="103"/>
      <c r="Y234" s="103"/>
      <c r="Z234" s="103"/>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92"/>
      <c r="F235" s="87">
        <v>2</v>
      </c>
      <c r="G235" s="121"/>
      <c r="H235" s="146"/>
      <c r="I235" s="147"/>
      <c r="J235" s="69" t="str">
        <f>IF(A13stdlife="n/a","n/a",IF(J$3&gt;(A13stdlife+$F235),(Input!$I$223*(1+vanilla2)^0.5)-SUM($I235:I235),(Input!$I$223*(1+vanilla2)^0.5)/A13stdlife))</f>
        <v>n/a</v>
      </c>
      <c r="K235" s="69" t="str">
        <f>IF(A13stdlife="n/a","n/a",IF(K$3&gt;(A13stdlife+$F235),(Input!$I$223*(1+vanilla2)^0.5)-SUM($I235:J235),(Input!$I$223*(1+vanilla2)^0.5)/A13stdlife))</f>
        <v>n/a</v>
      </c>
      <c r="L235" s="69" t="str">
        <f>IF(A13stdlife="n/a","n/a",IF(L$3&gt;(A13stdlife+$F235),(Input!$I$223*(1+vanilla2)^0.5)-SUM($I235:K235),(Input!$I$223*(1+vanilla2)^0.5)/A13stdlife))</f>
        <v>n/a</v>
      </c>
      <c r="M235" s="69" t="str">
        <f>IF(A13stdlife="n/a","n/a",IF(M$3&gt;(A13stdlife+$F235),(Input!$I$223*(1+vanilla2)^0.5)-SUM($I235:L235),(Input!$I$223*(1+vanilla2)^0.5)/A13stdlife))</f>
        <v>n/a</v>
      </c>
      <c r="N235" s="69" t="str">
        <f>IF(A13stdlife="n/a","n/a",IF(N$3&gt;(A13stdlife+$F235),(Input!$I$223*(1+vanilla2)^0.5)-SUM($I235:M235),(Input!$I$223*(1+vanilla2)^0.5)/A13stdlife))</f>
        <v>n/a</v>
      </c>
      <c r="O235" s="69" t="str">
        <f>IF(A13stdlife="n/a","n/a",IF(O$3&gt;(A13stdlife+$F235),(Input!$I$223*(1+vanilla2)^0.5)-SUM($I235:N235),(Input!$I$223*(1+vanilla2)^0.5)/A13stdlife))</f>
        <v>n/a</v>
      </c>
      <c r="P235" s="69" t="str">
        <f>IF(A13stdlife="n/a","n/a",IF(P$3&gt;(A13stdlife+$F235),(Input!$I$223*(1+vanilla2)^0.5)-SUM($I235:O235),(Input!$I$223*(1+vanilla2)^0.5)/A13stdlife))</f>
        <v>n/a</v>
      </c>
      <c r="Q235" s="69" t="str">
        <f>IF(A13stdlife="n/a","n/a",IF(Q$3&gt;(A13stdlife+$F235),(Input!$I$223*(1+vanilla2)^0.5)-SUM($I235:P235),(Input!$I$223*(1+vanilla2)^0.5)/A13stdlife))</f>
        <v>n/a</v>
      </c>
      <c r="R235" s="69"/>
      <c r="S235" s="103"/>
      <c r="T235" s="103"/>
      <c r="U235" s="103"/>
      <c r="V235" s="103"/>
      <c r="W235" s="103"/>
      <c r="X235" s="103"/>
      <c r="Y235" s="103"/>
      <c r="Z235" s="103"/>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92"/>
      <c r="F236" s="87">
        <v>3</v>
      </c>
      <c r="G236" s="121"/>
      <c r="H236" s="146"/>
      <c r="I236" s="148"/>
      <c r="J236" s="147"/>
      <c r="K236" s="69" t="str">
        <f>IF(A13stdlife="n/a","n/a",IF(K$3&gt;(A13stdlife+$F236),(Input!$J$223*(1+vanilla3)^0.5)-SUM($J236:J236),(Input!$J$223*(1+vanilla3)^0.5)/A13stdlife))</f>
        <v>n/a</v>
      </c>
      <c r="L236" s="69" t="str">
        <f>IF(A13stdlife="n/a","n/a",IF(L$3&gt;(A13stdlife+$F236),(Input!$J$223*(1+vanilla3)^0.5)-SUM($J236:K236),(Input!$J$223*(1+vanilla3)^0.5)/A13stdlife))</f>
        <v>n/a</v>
      </c>
      <c r="M236" s="69" t="str">
        <f>IF(A13stdlife="n/a","n/a",IF(M$3&gt;(A13stdlife+$F236),(Input!$J$223*(1+vanilla3)^0.5)-SUM($J236:L236),(Input!$J$223*(1+vanilla3)^0.5)/A13stdlife))</f>
        <v>n/a</v>
      </c>
      <c r="N236" s="69" t="str">
        <f>IF(A13stdlife="n/a","n/a",IF(N$3&gt;(A13stdlife+$F236),(Input!$J$223*(1+vanilla3)^0.5)-SUM($J236:M236),(Input!$J$223*(1+vanilla3)^0.5)/A13stdlife))</f>
        <v>n/a</v>
      </c>
      <c r="O236" s="69" t="str">
        <f>IF(A13stdlife="n/a","n/a",IF(O$3&gt;(A13stdlife+$F236),(Input!$J$223*(1+vanilla3)^0.5)-SUM($J236:N236),(Input!$J$223*(1+vanilla3)^0.5)/A13stdlife))</f>
        <v>n/a</v>
      </c>
      <c r="P236" s="69" t="str">
        <f>IF(A13stdlife="n/a","n/a",IF(P$3&gt;(A13stdlife+$F236),(Input!$J$223*(1+vanilla3)^0.5)-SUM($J236:O236),(Input!$J$223*(1+vanilla3)^0.5)/A13stdlife))</f>
        <v>n/a</v>
      </c>
      <c r="Q236" s="69" t="str">
        <f>IF(A13stdlife="n/a","n/a",IF(Q$3&gt;(A13stdlife+$F236),(Input!$J$223*(1+vanilla3)^0.5)-SUM($J236:P236),(Input!$J$223*(1+vanilla3)^0.5)/A13stdlife))</f>
        <v>n/a</v>
      </c>
      <c r="R236" s="69"/>
      <c r="S236" s="103"/>
      <c r="T236" s="103"/>
      <c r="U236" s="103"/>
      <c r="V236" s="103"/>
      <c r="W236" s="103"/>
      <c r="X236" s="103"/>
      <c r="Y236" s="103"/>
      <c r="Z236" s="103"/>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92"/>
      <c r="F237" s="87">
        <v>4</v>
      </c>
      <c r="G237" s="121"/>
      <c r="H237" s="146"/>
      <c r="I237" s="148"/>
      <c r="J237" s="148"/>
      <c r="K237" s="147"/>
      <c r="L237" s="69" t="str">
        <f>IF(A13stdlife="n/a","n/a",IF(L$3&gt;(A13stdlife+$F237),(Input!$K$223*(1+vanilla4)^0.5)-SUM($K237:K237),(Input!$K$223*(1+vanilla4)^0.5)/A13stdlife))</f>
        <v>n/a</v>
      </c>
      <c r="M237" s="69" t="str">
        <f>IF(A13stdlife="n/a","n/a",IF(M$3&gt;(A13stdlife+$F237),(Input!$K$223*(1+vanilla4)^0.5)-SUM($K237:L237),(Input!$K$223*(1+vanilla4)^0.5)/A13stdlife))</f>
        <v>n/a</v>
      </c>
      <c r="N237" s="69" t="str">
        <f>IF(A13stdlife="n/a","n/a",IF(N$3&gt;(A13stdlife+$F237),(Input!$K$223*(1+vanilla4)^0.5)-SUM($K237:M237),(Input!$K$223*(1+vanilla4)^0.5)/A13stdlife))</f>
        <v>n/a</v>
      </c>
      <c r="O237" s="69" t="str">
        <f>IF(A13stdlife="n/a","n/a",IF(O$3&gt;(A13stdlife+$F237),(Input!$K$223*(1+vanilla4)^0.5)-SUM($K237:N237),(Input!$K$223*(1+vanilla4)^0.5)/A13stdlife))</f>
        <v>n/a</v>
      </c>
      <c r="P237" s="69" t="str">
        <f>IF(A13stdlife="n/a","n/a",IF(P$3&gt;(A13stdlife+$F237),(Input!$K$223*(1+vanilla4)^0.5)-SUM($K237:O237),(Input!$K$223*(1+vanilla4)^0.5)/A13stdlife))</f>
        <v>n/a</v>
      </c>
      <c r="Q237" s="69" t="str">
        <f>IF(A13stdlife="n/a","n/a",IF(Q$3&gt;(A13stdlife+$F237),(Input!$K$223*(1+vanilla4)^0.5)-SUM($K237:P237),(Input!$K$223*(1+vanilla4)^0.5)/A13stdlife))</f>
        <v>n/a</v>
      </c>
      <c r="R237" s="69"/>
      <c r="S237" s="103"/>
      <c r="T237" s="103"/>
      <c r="U237" s="103"/>
      <c r="V237" s="103"/>
      <c r="W237" s="103"/>
      <c r="X237" s="103"/>
      <c r="Y237" s="103"/>
      <c r="Z237" s="103"/>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9"/>
      <c r="B238" s="9"/>
      <c r="C238" s="9"/>
      <c r="D238" s="26"/>
      <c r="E238" s="392"/>
      <c r="F238" s="87">
        <v>5</v>
      </c>
      <c r="G238" s="27"/>
      <c r="H238" s="146"/>
      <c r="I238" s="148"/>
      <c r="J238" s="148"/>
      <c r="K238" s="148"/>
      <c r="L238" s="147"/>
      <c r="M238" s="69" t="str">
        <f>IF(A13stdlife="n/a","n/a",IF(M$3&gt;(A13stdlife+$F238),(Input!$L$223*(1+vanilla5)^0.5)-SUM($L238:L238),(Input!$L$223*(1+vanilla5)^0.5)/A13stdlife))</f>
        <v>n/a</v>
      </c>
      <c r="N238" s="69" t="str">
        <f>IF(A13stdlife="n/a","n/a",IF(N$3&gt;(A13stdlife+$F238),(Input!$L$223*(1+vanilla5)^0.5)-SUM($L238:M238),(Input!$L$223*(1+vanilla5)^0.5)/A13stdlife))</f>
        <v>n/a</v>
      </c>
      <c r="O238" s="69" t="str">
        <f>IF(A13stdlife="n/a","n/a",IF(O$3&gt;(A13stdlife+$F238),(Input!$L$223*(1+vanilla5)^0.5)-SUM($L238:N238),(Input!$L$223*(1+vanilla5)^0.5)/A13stdlife))</f>
        <v>n/a</v>
      </c>
      <c r="P238" s="69" t="str">
        <f>IF(A13stdlife="n/a","n/a",IF(P$3&gt;(A13stdlife+$F238),(Input!$L$223*(1+vanilla5)^0.5)-SUM($L238:O238),(Input!$L$223*(1+vanilla5)^0.5)/A13stdlife))</f>
        <v>n/a</v>
      </c>
      <c r="Q238" s="69" t="str">
        <f>IF(A13stdlife="n/a","n/a",IF(Q$3&gt;(A13stdlife+$F238),(Input!$L$223*(1+vanilla5)^0.5)-SUM($L238:P238),(Input!$L$223*(1+vanilla5)^0.5)/A13stdlife))</f>
        <v>n/a</v>
      </c>
      <c r="R238" s="69"/>
      <c r="S238" s="103"/>
      <c r="T238" s="103"/>
      <c r="U238" s="103"/>
      <c r="V238" s="103"/>
      <c r="W238" s="103"/>
      <c r="X238" s="103"/>
      <c r="Y238" s="103"/>
      <c r="Z238" s="103"/>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103"/>
      <c r="BE238" s="103"/>
      <c r="BF238" s="103"/>
      <c r="BG238" s="103"/>
      <c r="BH238" s="103"/>
      <c r="BI238" s="103"/>
      <c r="BJ238" s="103"/>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9"/>
      <c r="D239" s="26"/>
      <c r="E239" s="392"/>
      <c r="F239" s="87">
        <v>6</v>
      </c>
      <c r="G239" s="27"/>
      <c r="H239" s="146"/>
      <c r="I239" s="148"/>
      <c r="J239" s="148"/>
      <c r="K239" s="148"/>
      <c r="L239" s="148"/>
      <c r="M239" s="147"/>
      <c r="N239" s="69" t="str">
        <f>IF(A13stdlife="n/a","n/a",IF(N$3&gt;(A13stdlife+$F239),(Input!$M$223*(1+vanilla6)^0.5)-SUM($M239:M239),(Input!$M$223*(1+vanilla6)^0.5)/A13stdlife))</f>
        <v>n/a</v>
      </c>
      <c r="O239" s="69" t="str">
        <f>IF(A13stdlife="n/a","n/a",IF(O$3&gt;(A13stdlife+$F239),(Input!$M$223*(1+vanilla6)^0.5)-SUM($M239:N239),(Input!$M$223*(1+vanilla6)^0.5)/A13stdlife))</f>
        <v>n/a</v>
      </c>
      <c r="P239" s="69" t="str">
        <f>IF(A13stdlife="n/a","n/a",IF(P$3&gt;(A13stdlife+$F239),(Input!$M$223*(1+vanilla6)^0.5)-SUM($M239:O239),(Input!$M$223*(1+vanilla6)^0.5)/A13stdlife))</f>
        <v>n/a</v>
      </c>
      <c r="Q239" s="69" t="str">
        <f>IF(A13stdlife="n/a","n/a",IF(Q$3&gt;(A13stdlife+$F239),(Input!$M$223*(1+vanilla6)^0.5)-SUM($M239:P239),(Input!$M$223*(1+vanilla6)^0.5)/A13stdlife))</f>
        <v>n/a</v>
      </c>
      <c r="R239" s="69"/>
      <c r="S239" s="103"/>
      <c r="T239" s="103"/>
      <c r="U239" s="103"/>
      <c r="V239" s="103"/>
      <c r="W239" s="103"/>
      <c r="X239" s="103"/>
      <c r="Y239" s="103"/>
      <c r="Z239" s="103"/>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c r="A240" s="9"/>
      <c r="B240" s="9"/>
      <c r="C240" s="9"/>
      <c r="D240" s="26"/>
      <c r="E240" s="392"/>
      <c r="F240" s="87">
        <v>7</v>
      </c>
      <c r="G240" s="27"/>
      <c r="H240" s="146"/>
      <c r="I240" s="148"/>
      <c r="J240" s="148"/>
      <c r="K240" s="148"/>
      <c r="L240" s="148"/>
      <c r="M240" s="148"/>
      <c r="N240" s="147"/>
      <c r="O240" s="69" t="str">
        <f>IF(A13stdlife="n/a","n/a",IF(O$3&gt;(A13stdlife+$F240),(Input!$N$223*(1+vanilla7)^0.5)-SUM($N240:N240),(Input!$N$223*(1+vanilla7)^0.5)/A13stdlife))</f>
        <v>n/a</v>
      </c>
      <c r="P240" s="69" t="str">
        <f>IF(A13stdlife="n/a","n/a",IF(P$3&gt;(A13stdlife+$F240),(Input!$N$223*(1+vanilla7)^0.5)-SUM($N240:O240),(Input!$N$223*(1+vanilla7)^0.5)/A13stdlife))</f>
        <v>n/a</v>
      </c>
      <c r="Q240" s="69" t="str">
        <f>IF(A13stdlife="n/a","n/a",IF(Q$3&gt;(A13stdlife+$F240),(Input!$N$223*(1+vanilla7)^0.5)-SUM($N240:P240),(Input!$N$223*(1+vanilla7)^0.5)/A13stdlife))</f>
        <v>n/a</v>
      </c>
      <c r="R240" s="69"/>
      <c r="S240" s="103"/>
      <c r="T240" s="103"/>
      <c r="U240" s="103"/>
      <c r="V240" s="103"/>
      <c r="W240" s="103"/>
      <c r="X240" s="103"/>
      <c r="Y240" s="103"/>
      <c r="Z240" s="103"/>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92"/>
      <c r="F241" s="87">
        <v>8</v>
      </c>
      <c r="G241" s="27"/>
      <c r="H241" s="146"/>
      <c r="I241" s="148"/>
      <c r="J241" s="148"/>
      <c r="K241" s="148"/>
      <c r="L241" s="148"/>
      <c r="M241" s="148"/>
      <c r="N241" s="148"/>
      <c r="O241" s="147"/>
      <c r="P241" s="69" t="str">
        <f>IF(A13stdlife="n/a","n/a",IF(P$3&gt;(A13stdlife+$F241),(Input!$O$223*(1+vanilla8)^0.5)-SUM($O241:O241),(Input!$O$223*(1+vanilla8)^0.5)/A13stdlife))</f>
        <v>n/a</v>
      </c>
      <c r="Q241" s="69" t="str">
        <f>IF(A13stdlife="n/a","n/a",IF(Q$3&gt;(A13stdlife+$F241),(Input!$O$223*(1+vanilla8)^0.5)-SUM($O241:P241),(Input!$O$223*(1+vanilla8)^0.5)/A13stdlife))</f>
        <v>n/a</v>
      </c>
      <c r="R241" s="69"/>
      <c r="S241" s="103"/>
      <c r="T241" s="103"/>
      <c r="U241" s="103"/>
      <c r="V241" s="103"/>
      <c r="W241" s="103"/>
      <c r="X241" s="103"/>
      <c r="Y241" s="103"/>
      <c r="Z241" s="103"/>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92"/>
      <c r="F242" s="87">
        <v>9</v>
      </c>
      <c r="G242" s="27"/>
      <c r="H242" s="146"/>
      <c r="I242" s="148"/>
      <c r="J242" s="148"/>
      <c r="K242" s="148"/>
      <c r="L242" s="148"/>
      <c r="M242" s="148"/>
      <c r="N242" s="148"/>
      <c r="O242" s="148"/>
      <c r="P242" s="147"/>
      <c r="Q242" s="69" t="str">
        <f>IF(A13stdlife="n/a","n/a",IF(Q$3&gt;(A13stdlife+$F242),(Input!$P$223*(1+vanilla9)^0.5)-SUM($P242:P242),(Input!$P$223*(1+vanilla9)^0.5)/A13stdlife))</f>
        <v>n/a</v>
      </c>
      <c r="R242" s="69"/>
      <c r="S242" s="103"/>
      <c r="T242" s="103"/>
      <c r="U242" s="103"/>
      <c r="V242" s="103"/>
      <c r="W242" s="103"/>
      <c r="X242" s="103"/>
      <c r="Y242" s="103"/>
      <c r="Z242" s="103"/>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92"/>
      <c r="F243" s="88">
        <v>10</v>
      </c>
      <c r="G243" s="27"/>
      <c r="H243" s="146"/>
      <c r="I243" s="148"/>
      <c r="J243" s="148"/>
      <c r="K243" s="148"/>
      <c r="L243" s="148"/>
      <c r="M243" s="148"/>
      <c r="N243" s="148"/>
      <c r="O243" s="148"/>
      <c r="P243" s="148"/>
      <c r="Q243" s="147"/>
      <c r="R243" s="69"/>
      <c r="S243" s="103"/>
      <c r="T243" s="103"/>
      <c r="U243" s="103"/>
      <c r="V243" s="103"/>
      <c r="W243" s="103"/>
      <c r="X243" s="103"/>
      <c r="Y243" s="103"/>
      <c r="Z243" s="103"/>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ollapsed="1">
      <c r="A244" s="9"/>
      <c r="B244" s="9"/>
      <c r="C244" s="9"/>
      <c r="D244" s="271" t="str">
        <f>Asset13</f>
        <v>Land</v>
      </c>
      <c r="E244" s="9"/>
      <c r="F244" s="9"/>
      <c r="G244" s="121"/>
      <c r="H244" s="162">
        <f t="shared" ref="H244:M244" si="16">-SUM(H232:H243)</f>
        <v>0</v>
      </c>
      <c r="I244" s="162">
        <f t="shared" si="16"/>
        <v>0</v>
      </c>
      <c r="J244" s="162">
        <f t="shared" si="16"/>
        <v>0</v>
      </c>
      <c r="K244" s="162">
        <f t="shared" si="16"/>
        <v>0</v>
      </c>
      <c r="L244" s="162">
        <f t="shared" si="16"/>
        <v>0</v>
      </c>
      <c r="M244" s="162">
        <f t="shared" si="16"/>
        <v>0</v>
      </c>
      <c r="N244" s="69">
        <f>IF(COUNT($H244:M244)&gt;=Input!$Y$7,0, -SUM(N232:N243))</f>
        <v>0</v>
      </c>
      <c r="O244" s="69">
        <f>IF(COUNT($H244:N244)&gt;=Input!$Y$7,0, -SUM(O232:O243))</f>
        <v>0</v>
      </c>
      <c r="P244" s="69">
        <f>IF(COUNT($H244:O244)&gt;=Input!$Y$7,0, -SUM(P232:P243))</f>
        <v>0</v>
      </c>
      <c r="Q244" s="69">
        <f>IF(COUNT($H244:P244)&gt;=Input!$Y$7,0, -SUM(Q232:Q243))</f>
        <v>0</v>
      </c>
      <c r="R244" s="67"/>
      <c r="S244" s="105"/>
      <c r="T244" s="105"/>
      <c r="U244" s="105"/>
      <c r="V244" s="105"/>
      <c r="W244" s="105"/>
      <c r="X244" s="105"/>
      <c r="Y244" s="105"/>
      <c r="Z244" s="105"/>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c r="AZ244" s="233"/>
      <c r="BA244" s="233"/>
      <c r="BB244" s="233"/>
      <c r="BC244" s="233"/>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272" t="str">
        <f>Asset14</f>
        <v>Easements</v>
      </c>
      <c r="D245" s="158"/>
      <c r="E245" s="32" t="s">
        <v>26</v>
      </c>
      <c r="F245" s="31"/>
      <c r="G245" s="177"/>
      <c r="H245" s="68" t="str">
        <f>IF(H$3&gt;A14remlife,A14value-$G$643-SUM($G245:G245),IF(A14remlife="N/A","n/a",(A14value-$G$643)/A14remlife))</f>
        <v>n/a</v>
      </c>
      <c r="I245" s="68" t="str">
        <f>IF(I$3&gt;A14remlife,A14value-$G$643-SUM($G245:H245),IF(A14remlife="N/A","n/a",(A14value-$G$643)/A14remlife))</f>
        <v>n/a</v>
      </c>
      <c r="J245" s="68" t="str">
        <f>IF(J$3&gt;A14remlife,A14value-$G$643-SUM($G245:I245),IF(A14remlife="N/A","n/a",(A14value-$G$643)/A14remlife))</f>
        <v>n/a</v>
      </c>
      <c r="K245" s="68" t="str">
        <f>IF(K$3&gt;A14remlife,A14value-$G$643-SUM($G245:J245),IF(A14remlife="N/A","n/a",(A14value-$G$643)/A14remlife))</f>
        <v>n/a</v>
      </c>
      <c r="L245" s="68" t="str">
        <f>IF(L$3&gt;A14remlife,A14value-$G$643-SUM($G245:K245),IF(A14remlife="N/A","n/a",(A14value-$G$643)/A14remlife))</f>
        <v>n/a</v>
      </c>
      <c r="M245" s="68" t="str">
        <f>IF(M$3&gt;A14remlife,A14value-$G$643-SUM($G245:L245),IF(A14remlife="N/A","n/a",(A14value-$G$643)/A14remlife))</f>
        <v>n/a</v>
      </c>
      <c r="N245" s="68" t="str">
        <f>IF(N$3&gt;A14remlife,A14value-$G$643-SUM($G245:M245),IF(A14remlife="N/A","n/a",(A14value-$G$643)/A14remlife))</f>
        <v>n/a</v>
      </c>
      <c r="O245" s="68" t="str">
        <f>IF(O$3&gt;A14remlife,A14value-$G$643-SUM($G245:N245),IF(A14remlife="N/A","n/a",(A14value-$G$643)/A14remlife))</f>
        <v>n/a</v>
      </c>
      <c r="P245" s="68" t="str">
        <f>IF(P$3&gt;A14remlife,A14value-$G$643-SUM($G245:O245),IF(A14remlife="N/A","n/a",(A14value-$G$643)/A14remlife))</f>
        <v>n/a</v>
      </c>
      <c r="Q245" s="68" t="str">
        <f>IF(Q$3&gt;A14remlife,A14value-$G$643-SUM($G245:P245),IF(A14remlife="N/A","n/a",(A14value-$G$643)/A14remlife))</f>
        <v>n/a</v>
      </c>
      <c r="R245" s="68"/>
      <c r="S245" s="103"/>
      <c r="T245" s="103"/>
      <c r="U245" s="103"/>
      <c r="V245" s="103"/>
      <c r="W245" s="103"/>
      <c r="X245" s="103"/>
      <c r="Y245" s="103"/>
      <c r="Z245" s="103"/>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6"/>
      <c r="E246" s="391" t="s">
        <v>82</v>
      </c>
      <c r="F246" s="87"/>
      <c r="G246" s="121"/>
      <c r="H246" s="69"/>
      <c r="I246" s="69"/>
      <c r="J246" s="69"/>
      <c r="K246" s="69"/>
      <c r="L246" s="69"/>
      <c r="M246" s="160"/>
      <c r="N246" s="112"/>
      <c r="O246" s="69"/>
      <c r="P246" s="69"/>
      <c r="Q246" s="69"/>
      <c r="R246" s="69"/>
      <c r="S246" s="103"/>
      <c r="T246" s="103"/>
      <c r="U246" s="103"/>
      <c r="V246" s="103"/>
      <c r="W246" s="103"/>
      <c r="X246" s="103"/>
      <c r="Y246" s="103"/>
      <c r="Z246" s="103"/>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92"/>
      <c r="F247" s="87">
        <v>1</v>
      </c>
      <c r="G247" s="121"/>
      <c r="H247" s="145"/>
      <c r="I247" s="69" t="str">
        <f>IF(A14stdlife="n/a","n/a",IF(I$3&gt;(A14stdlife+$F247),(Input!$H$224*(1+vanilla1)^0.5)-SUM($H247:H247),(Input!$H$224*(1+vanilla1)^0.5)/A14stdlife))</f>
        <v>n/a</v>
      </c>
      <c r="J247" s="69" t="str">
        <f>IF(A14stdlife="n/a","n/a",IF(J$3&gt;(A14stdlife+$F247),(Input!$H$224*(1+vanilla1)^0.5)-SUM($H247:I247),(Input!$H$224*(1+vanilla1)^0.5)/A14stdlife))</f>
        <v>n/a</v>
      </c>
      <c r="K247" s="69" t="str">
        <f>IF(A14stdlife="n/a","n/a",IF(K$3&gt;(A14stdlife+$F247),(Input!$H$224*(1+vanilla1)^0.5)-SUM($H247:J247),(Input!$H$224*(1+vanilla1)^0.5)/A14stdlife))</f>
        <v>n/a</v>
      </c>
      <c r="L247" s="69" t="str">
        <f>IF(A14stdlife="n/a","n/a",IF(L$3&gt;(A14stdlife+$F247),(Input!$H$224*(1+vanilla1)^0.5)-SUM($H247:K247),(Input!$H$224*(1+vanilla1)^0.5)/A14stdlife))</f>
        <v>n/a</v>
      </c>
      <c r="M247" s="69" t="str">
        <f>IF(A14stdlife="n/a","n/a",IF(M$3&gt;(A14stdlife+$F247),(Input!$H$224*(1+vanilla1)^0.5)-SUM($H247:L247),(Input!$H$224*(1+vanilla1)^0.5)/A14stdlife))</f>
        <v>n/a</v>
      </c>
      <c r="N247" s="69" t="str">
        <f>IF(A14stdlife="n/a","n/a",IF(N$3&gt;(A14stdlife+$F247),(Input!$H$224*(1+vanilla1)^0.5)-SUM($H247:M247),(Input!$H$224*(1+vanilla1)^0.5)/A14stdlife))</f>
        <v>n/a</v>
      </c>
      <c r="O247" s="69" t="str">
        <f>IF(A14stdlife="n/a","n/a",IF(O$3&gt;(A14stdlife+$F247),(Input!$H$224*(1+vanilla1)^0.5)-SUM($H247:N247),(Input!$H$224*(1+vanilla1)^0.5)/A14stdlife))</f>
        <v>n/a</v>
      </c>
      <c r="P247" s="69" t="str">
        <f>IF(A14stdlife="n/a","n/a",IF(P$3&gt;(A14stdlife+$F247),(Input!$H$224*(1+vanilla1)^0.5)-SUM($H247:O247),(Input!$H$224*(1+vanilla1)^0.5)/A14stdlife))</f>
        <v>n/a</v>
      </c>
      <c r="Q247" s="69" t="str">
        <f>IF(A14stdlife="n/a","n/a",IF(Q$3&gt;(A14stdlife+$F247),(Input!$H$224*(1+vanilla1)^0.5)-SUM($H247:P247),(Input!$H$224*(1+vanilla1)^0.5)/A14stdlife))</f>
        <v>n/a</v>
      </c>
      <c r="R247" s="69"/>
      <c r="S247" s="103"/>
      <c r="T247" s="103"/>
      <c r="U247" s="103"/>
      <c r="V247" s="103"/>
      <c r="W247" s="103"/>
      <c r="X247" s="103"/>
      <c r="Y247" s="103"/>
      <c r="Z247" s="103"/>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92"/>
      <c r="F248" s="87">
        <v>2</v>
      </c>
      <c r="G248" s="121"/>
      <c r="H248" s="146"/>
      <c r="I248" s="147"/>
      <c r="J248" s="69" t="str">
        <f>IF(A14stdlife="n/a","n/a",IF(J$3&gt;(A14stdlife+$F248),(Input!$I$224*(1+vanilla2)^0.5)-SUM($I248:I248),(Input!$I$224*(1+vanilla2)^0.5)/A14stdlife))</f>
        <v>n/a</v>
      </c>
      <c r="K248" s="69" t="str">
        <f>IF(A14stdlife="n/a","n/a",IF(K$3&gt;(A14stdlife+$F248),(Input!$I$224*(1+vanilla2)^0.5)-SUM($I248:J248),(Input!$I$224*(1+vanilla2)^0.5)/A14stdlife))</f>
        <v>n/a</v>
      </c>
      <c r="L248" s="69" t="str">
        <f>IF(A14stdlife="n/a","n/a",IF(L$3&gt;(A14stdlife+$F248),(Input!$I$224*(1+vanilla2)^0.5)-SUM($I248:K248),(Input!$I$224*(1+vanilla2)^0.5)/A14stdlife))</f>
        <v>n/a</v>
      </c>
      <c r="M248" s="69" t="str">
        <f>IF(A14stdlife="n/a","n/a",IF(M$3&gt;(A14stdlife+$F248),(Input!$I$224*(1+vanilla2)^0.5)-SUM($I248:L248),(Input!$I$224*(1+vanilla2)^0.5)/A14stdlife))</f>
        <v>n/a</v>
      </c>
      <c r="N248" s="69" t="str">
        <f>IF(A14stdlife="n/a","n/a",IF(N$3&gt;(A14stdlife+$F248),(Input!$I$224*(1+vanilla2)^0.5)-SUM($I248:M248),(Input!$I$224*(1+vanilla2)^0.5)/A14stdlife))</f>
        <v>n/a</v>
      </c>
      <c r="O248" s="69" t="str">
        <f>IF(A14stdlife="n/a","n/a",IF(O$3&gt;(A14stdlife+$F248),(Input!$I$224*(1+vanilla2)^0.5)-SUM($I248:N248),(Input!$I$224*(1+vanilla2)^0.5)/A14stdlife))</f>
        <v>n/a</v>
      </c>
      <c r="P248" s="69" t="str">
        <f>IF(A14stdlife="n/a","n/a",IF(P$3&gt;(A14stdlife+$F248),(Input!$I$224*(1+vanilla2)^0.5)-SUM($I248:O248),(Input!$I$224*(1+vanilla2)^0.5)/A14stdlife))</f>
        <v>n/a</v>
      </c>
      <c r="Q248" s="69" t="str">
        <f>IF(A14stdlife="n/a","n/a",IF(Q$3&gt;(A14stdlife+$F248),(Input!$I$224*(1+vanilla2)^0.5)-SUM($I248:P248),(Input!$I$224*(1+vanilla2)^0.5)/A14stdlife))</f>
        <v>n/a</v>
      </c>
      <c r="R248" s="69"/>
      <c r="S248" s="103"/>
      <c r="T248" s="103"/>
      <c r="U248" s="103"/>
      <c r="V248" s="103"/>
      <c r="W248" s="103"/>
      <c r="X248" s="103"/>
      <c r="Y248" s="103"/>
      <c r="Z248" s="103"/>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92"/>
      <c r="F249" s="87">
        <v>3</v>
      </c>
      <c r="G249" s="121"/>
      <c r="H249" s="146"/>
      <c r="I249" s="148"/>
      <c r="J249" s="147"/>
      <c r="K249" s="69" t="str">
        <f>IF(A14stdlife="n/a","n/a",IF(K$3&gt;(A14stdlife+$F249),(Input!$J$224*(1+vanilla3)^0.5)-SUM($J249:J249),(Input!$J$224*(1+vanilla3)^0.5)/A14stdlife))</f>
        <v>n/a</v>
      </c>
      <c r="L249" s="69" t="str">
        <f>IF(A14stdlife="n/a","n/a",IF(L$3&gt;(A14stdlife+$F249),(Input!$J$224*(1+vanilla3)^0.5)-SUM($J249:K249),(Input!$J$224*(1+vanilla3)^0.5)/A14stdlife))</f>
        <v>n/a</v>
      </c>
      <c r="M249" s="69" t="str">
        <f>IF(A14stdlife="n/a","n/a",IF(M$3&gt;(A14stdlife+$F249),(Input!$J$224*(1+vanilla3)^0.5)-SUM($J249:L249),(Input!$J$224*(1+vanilla3)^0.5)/A14stdlife))</f>
        <v>n/a</v>
      </c>
      <c r="N249" s="69" t="str">
        <f>IF(A14stdlife="n/a","n/a",IF(N$3&gt;(A14stdlife+$F249),(Input!$J$224*(1+vanilla3)^0.5)-SUM($J249:M249),(Input!$J$224*(1+vanilla3)^0.5)/A14stdlife))</f>
        <v>n/a</v>
      </c>
      <c r="O249" s="69" t="str">
        <f>IF(A14stdlife="n/a","n/a",IF(O$3&gt;(A14stdlife+$F249),(Input!$J$224*(1+vanilla3)^0.5)-SUM($J249:N249),(Input!$J$224*(1+vanilla3)^0.5)/A14stdlife))</f>
        <v>n/a</v>
      </c>
      <c r="P249" s="69" t="str">
        <f>IF(A14stdlife="n/a","n/a",IF(P$3&gt;(A14stdlife+$F249),(Input!$J$224*(1+vanilla3)^0.5)-SUM($J249:O249),(Input!$J$224*(1+vanilla3)^0.5)/A14stdlife))</f>
        <v>n/a</v>
      </c>
      <c r="Q249" s="69" t="str">
        <f>IF(A14stdlife="n/a","n/a",IF(Q$3&gt;(A14stdlife+$F249),(Input!$J$224*(1+vanilla3)^0.5)-SUM($J249:P249),(Input!$J$224*(1+vanilla3)^0.5)/A14stdlife))</f>
        <v>n/a</v>
      </c>
      <c r="R249" s="69"/>
      <c r="S249" s="103"/>
      <c r="T249" s="103"/>
      <c r="U249" s="103"/>
      <c r="V249" s="103"/>
      <c r="W249" s="103"/>
      <c r="X249" s="103"/>
      <c r="Y249" s="103"/>
      <c r="Z249" s="103"/>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92"/>
      <c r="F250" s="87">
        <v>4</v>
      </c>
      <c r="G250" s="121"/>
      <c r="H250" s="146"/>
      <c r="I250" s="148"/>
      <c r="J250" s="148"/>
      <c r="K250" s="147"/>
      <c r="L250" s="69" t="str">
        <f>IF(A14stdlife="n/a","n/a",IF(L$3&gt;(A14stdlife+$F250),(Input!$K$224*(1+vanilla4)^0.5)-SUM($K250:K250),(Input!$K$224*(1+vanilla4)^0.5)/A14stdlife))</f>
        <v>n/a</v>
      </c>
      <c r="M250" s="69" t="str">
        <f>IF(A14stdlife="n/a","n/a",IF(M$3&gt;(A14stdlife+$F250),(Input!$K$224*(1+vanilla4)^0.5)-SUM($K250:L250),(Input!$K$224*(1+vanilla4)^0.5)/A14stdlife))</f>
        <v>n/a</v>
      </c>
      <c r="N250" s="69" t="str">
        <f>IF(A14stdlife="n/a","n/a",IF(N$3&gt;(A14stdlife+$F250),(Input!$K$224*(1+vanilla4)^0.5)-SUM($K250:M250),(Input!$K$224*(1+vanilla4)^0.5)/A14stdlife))</f>
        <v>n/a</v>
      </c>
      <c r="O250" s="69" t="str">
        <f>IF(A14stdlife="n/a","n/a",IF(O$3&gt;(A14stdlife+$F250),(Input!$K$224*(1+vanilla4)^0.5)-SUM($K250:N250),(Input!$K$224*(1+vanilla4)^0.5)/A14stdlife))</f>
        <v>n/a</v>
      </c>
      <c r="P250" s="69" t="str">
        <f>IF(A14stdlife="n/a","n/a",IF(P$3&gt;(A14stdlife+$F250),(Input!$K$224*(1+vanilla4)^0.5)-SUM($K250:O250),(Input!$K$224*(1+vanilla4)^0.5)/A14stdlife))</f>
        <v>n/a</v>
      </c>
      <c r="Q250" s="69" t="str">
        <f>IF(A14stdlife="n/a","n/a",IF(Q$3&gt;(A14stdlife+$F250),(Input!$K$224*(1+vanilla4)^0.5)-SUM($K250:P250),(Input!$K$224*(1+vanilla4)^0.5)/A14stdlife))</f>
        <v>n/a</v>
      </c>
      <c r="R250" s="69"/>
      <c r="S250" s="103"/>
      <c r="T250" s="103"/>
      <c r="U250" s="103"/>
      <c r="V250" s="103"/>
      <c r="W250" s="103"/>
      <c r="X250" s="103"/>
      <c r="Y250" s="103"/>
      <c r="Z250" s="103"/>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9"/>
      <c r="B251" s="9"/>
      <c r="C251" s="9"/>
      <c r="D251" s="26"/>
      <c r="E251" s="392"/>
      <c r="F251" s="87">
        <v>5</v>
      </c>
      <c r="G251" s="27"/>
      <c r="H251" s="146"/>
      <c r="I251" s="148"/>
      <c r="J251" s="148"/>
      <c r="K251" s="148"/>
      <c r="L251" s="147"/>
      <c r="M251" s="69" t="str">
        <f>IF(A14stdlife="n/a","n/a",IF(M$3&gt;(A14stdlife+$F251),(Input!$L$224*(1+vanilla5)^0.5)-SUM($L251:L251),(Input!$L$224*(1+vanilla5)^0.5)/A14stdlife))</f>
        <v>n/a</v>
      </c>
      <c r="N251" s="69" t="str">
        <f>IF(A14stdlife="n/a","n/a",IF(N$3&gt;(A14stdlife+$F251),(Input!$L$224*(1+vanilla5)^0.5)-SUM($L251:M251),(Input!$L$224*(1+vanilla5)^0.5)/A14stdlife))</f>
        <v>n/a</v>
      </c>
      <c r="O251" s="69" t="str">
        <f>IF(A14stdlife="n/a","n/a",IF(O$3&gt;(A14stdlife+$F251),(Input!$L$224*(1+vanilla5)^0.5)-SUM($L251:N251),(Input!$L$224*(1+vanilla5)^0.5)/A14stdlife))</f>
        <v>n/a</v>
      </c>
      <c r="P251" s="69" t="str">
        <f>IF(A14stdlife="n/a","n/a",IF(P$3&gt;(A14stdlife+$F251),(Input!$L$224*(1+vanilla5)^0.5)-SUM($L251:O251),(Input!$L$224*(1+vanilla5)^0.5)/A14stdlife))</f>
        <v>n/a</v>
      </c>
      <c r="Q251" s="69" t="str">
        <f>IF(A14stdlife="n/a","n/a",IF(Q$3&gt;(A14stdlife+$F251),(Input!$L$224*(1+vanilla5)^0.5)-SUM($L251:P251),(Input!$L$224*(1+vanilla5)^0.5)/A14stdlife))</f>
        <v>n/a</v>
      </c>
      <c r="R251" s="69"/>
      <c r="S251" s="103"/>
      <c r="T251" s="103"/>
      <c r="U251" s="103"/>
      <c r="V251" s="103"/>
      <c r="W251" s="103"/>
      <c r="X251" s="103"/>
      <c r="Y251" s="103"/>
      <c r="Z251" s="103"/>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103"/>
      <c r="BE251" s="103"/>
      <c r="BF251" s="103"/>
      <c r="BG251" s="103"/>
      <c r="BH251" s="103"/>
      <c r="BI251" s="103"/>
      <c r="BJ251" s="103"/>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9"/>
      <c r="D252" s="26"/>
      <c r="E252" s="392"/>
      <c r="F252" s="87">
        <v>6</v>
      </c>
      <c r="G252" s="27"/>
      <c r="H252" s="146"/>
      <c r="I252" s="148"/>
      <c r="J252" s="148"/>
      <c r="K252" s="148"/>
      <c r="L252" s="148"/>
      <c r="M252" s="147"/>
      <c r="N252" s="69" t="str">
        <f>IF(A14stdlife="n/a","n/a",IF(N$3&gt;(A14stdlife+$F252),(Input!$M$224*(1+vanilla6)^0.5)-SUM($M252:M252),(Input!$L$224*(1+vanilla6)^0.5)/A14stdlife))</f>
        <v>n/a</v>
      </c>
      <c r="O252" s="69" t="str">
        <f>IF(A14stdlife="n/a","n/a",IF(O$3&gt;(A14stdlife+$F252),(Input!$M$224*(1+vanilla6)^0.5)-SUM($M252:N252),(Input!$L$224*(1+vanilla6)^0.5)/A14stdlife))</f>
        <v>n/a</v>
      </c>
      <c r="P252" s="69" t="str">
        <f>IF(A14stdlife="n/a","n/a",IF(P$3&gt;(A14stdlife+$F252),(Input!$M$224*(1+vanilla6)^0.5)-SUM($M252:O252),(Input!$L$224*(1+vanilla6)^0.5)/A14stdlife))</f>
        <v>n/a</v>
      </c>
      <c r="Q252" s="69" t="str">
        <f>IF(A14stdlife="n/a","n/a",IF(Q$3&gt;(A14stdlife+$F252),(Input!$M$224*(1+vanilla6)^0.5)-SUM($M252:P252),(Input!$L$224*(1+vanilla6)^0.5)/A14stdlife))</f>
        <v>n/a</v>
      </c>
      <c r="R252" s="69"/>
      <c r="S252" s="103"/>
      <c r="T252" s="103"/>
      <c r="U252" s="103"/>
      <c r="V252" s="103"/>
      <c r="W252" s="103"/>
      <c r="X252" s="103"/>
      <c r="Y252" s="103"/>
      <c r="Z252" s="103"/>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c r="A253" s="9"/>
      <c r="B253" s="9"/>
      <c r="C253" s="9"/>
      <c r="D253" s="26"/>
      <c r="E253" s="392"/>
      <c r="F253" s="87">
        <v>7</v>
      </c>
      <c r="G253" s="27"/>
      <c r="H253" s="146"/>
      <c r="I253" s="148"/>
      <c r="J253" s="148"/>
      <c r="K253" s="148"/>
      <c r="L253" s="148"/>
      <c r="M253" s="148"/>
      <c r="N253" s="147"/>
      <c r="O253" s="69" t="str">
        <f>IF(A14stdlife="n/a","n/a",IF(O$3&gt;(A14stdlife+$F253),(Input!$N$224*(1+vanilla7)^0.5)-SUM($N253:N253),(Input!$N$224*(1+vanilla7)^0.5)/A14stdlife))</f>
        <v>n/a</v>
      </c>
      <c r="P253" s="69" t="str">
        <f>IF(A14stdlife="n/a","n/a",IF(P$3&gt;(A14stdlife+$F253),(Input!$N$224*(1+vanilla7)^0.5)-SUM($N253:O253),(Input!$N$224*(1+vanilla7)^0.5)/A14stdlife))</f>
        <v>n/a</v>
      </c>
      <c r="Q253" s="69" t="str">
        <f>IF(A14stdlife="n/a","n/a",IF(Q$3&gt;(A14stdlife+$F253),(Input!$N$224*(1+vanilla7)^0.5)-SUM($N253:P253),(Input!$N$224*(1+vanilla7)^0.5)/A14stdlife))</f>
        <v>n/a</v>
      </c>
      <c r="R253" s="69"/>
      <c r="S253" s="103"/>
      <c r="T253" s="103"/>
      <c r="U253" s="103"/>
      <c r="V253" s="103"/>
      <c r="W253" s="103"/>
      <c r="X253" s="103"/>
      <c r="Y253" s="103"/>
      <c r="Z253" s="103"/>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92"/>
      <c r="F254" s="87">
        <v>8</v>
      </c>
      <c r="G254" s="27"/>
      <c r="H254" s="146"/>
      <c r="I254" s="148"/>
      <c r="J254" s="148"/>
      <c r="K254" s="148"/>
      <c r="L254" s="148"/>
      <c r="M254" s="148"/>
      <c r="N254" s="148"/>
      <c r="O254" s="147"/>
      <c r="P254" s="69" t="str">
        <f>IF(A14stdlife="n/a","n/a",IF(P$3&gt;(A14stdlife+$F254),(Input!$O$224*(1+vanilla8)^0.5)-SUM($O254:O254),(Input!$O$224*(1+vanilla8)^0.5)/A14stdlife))</f>
        <v>n/a</v>
      </c>
      <c r="Q254" s="69" t="str">
        <f>IF(A14stdlife="n/a","n/a",IF(Q$3&gt;(A14stdlife+$F254),(Input!$O$224*(1+vanilla8)^0.5)-SUM($O254:P254),(Input!$O$224*(1+vanilla8)^0.5)/A14stdlife))</f>
        <v>n/a</v>
      </c>
      <c r="R254" s="69"/>
      <c r="S254" s="103"/>
      <c r="T254" s="103"/>
      <c r="U254" s="103"/>
      <c r="V254" s="103"/>
      <c r="W254" s="103"/>
      <c r="X254" s="103"/>
      <c r="Y254" s="103"/>
      <c r="Z254" s="103"/>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92"/>
      <c r="F255" s="87">
        <v>9</v>
      </c>
      <c r="G255" s="27"/>
      <c r="H255" s="146"/>
      <c r="I255" s="148"/>
      <c r="J255" s="148"/>
      <c r="K255" s="148"/>
      <c r="L255" s="148"/>
      <c r="M255" s="148"/>
      <c r="N255" s="148"/>
      <c r="O255" s="148"/>
      <c r="P255" s="147"/>
      <c r="Q255" s="69" t="str">
        <f>IF(A14stdlife="n/a","n/a",IF(Q$3&gt;(A14stdlife+$F255),(Input!$P$224*(1+vanilla9)^0.5)-SUM($P255:P255),(Input!$P$224*(1+vanilla9)^0.5)/A14stdlife))</f>
        <v>n/a</v>
      </c>
      <c r="R255" s="69"/>
      <c r="S255" s="103"/>
      <c r="T255" s="103"/>
      <c r="U255" s="103"/>
      <c r="V255" s="103"/>
      <c r="W255" s="103"/>
      <c r="X255" s="103"/>
      <c r="Y255" s="103"/>
      <c r="Z255" s="103"/>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92"/>
      <c r="F256" s="88">
        <v>10</v>
      </c>
      <c r="G256" s="27"/>
      <c r="H256" s="146"/>
      <c r="I256" s="148"/>
      <c r="J256" s="148"/>
      <c r="K256" s="148"/>
      <c r="L256" s="148"/>
      <c r="M256" s="148"/>
      <c r="N256" s="148"/>
      <c r="O256" s="148"/>
      <c r="P256" s="148"/>
      <c r="Q256" s="147"/>
      <c r="R256" s="69"/>
      <c r="S256" s="103"/>
      <c r="T256" s="103"/>
      <c r="U256" s="103"/>
      <c r="V256" s="103"/>
      <c r="W256" s="103"/>
      <c r="X256" s="103"/>
      <c r="Y256" s="103"/>
      <c r="Z256" s="103"/>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ollapsed="1">
      <c r="A257" s="9"/>
      <c r="B257" s="9"/>
      <c r="C257" s="9"/>
      <c r="D257" s="271" t="str">
        <f>Asset14</f>
        <v>Easements</v>
      </c>
      <c r="E257" s="9"/>
      <c r="F257" s="9"/>
      <c r="G257" s="121"/>
      <c r="H257" s="162">
        <f t="shared" ref="H257:M257" si="17">-SUM(H245:H256)</f>
        <v>0</v>
      </c>
      <c r="I257" s="162">
        <f t="shared" si="17"/>
        <v>0</v>
      </c>
      <c r="J257" s="162">
        <f t="shared" si="17"/>
        <v>0</v>
      </c>
      <c r="K257" s="162">
        <f t="shared" si="17"/>
        <v>0</v>
      </c>
      <c r="L257" s="162">
        <f t="shared" si="17"/>
        <v>0</v>
      </c>
      <c r="M257" s="162">
        <f t="shared" si="17"/>
        <v>0</v>
      </c>
      <c r="N257" s="69">
        <f>IF(COUNT($H257:M257)&gt;=Input!$Y$7,0, -SUM(N245:N256))</f>
        <v>0</v>
      </c>
      <c r="O257" s="69">
        <f>IF(COUNT($H257:N257)&gt;=Input!$Y$7,0, -SUM(O245:O256))</f>
        <v>0</v>
      </c>
      <c r="P257" s="69">
        <f>IF(COUNT($H257:O257)&gt;=Input!$Y$7,0, -SUM(P245:P256))</f>
        <v>0</v>
      </c>
      <c r="Q257" s="69">
        <f>IF(COUNT($H257:P257)&gt;=Input!$Y$7,0, -SUM(Q245:Q256))</f>
        <v>0</v>
      </c>
      <c r="R257" s="67"/>
      <c r="S257" s="105"/>
      <c r="T257" s="105"/>
      <c r="U257" s="105"/>
      <c r="V257" s="105"/>
      <c r="W257" s="105"/>
      <c r="X257" s="105"/>
      <c r="Y257" s="105"/>
      <c r="Z257" s="105"/>
      <c r="AA257" s="233"/>
      <c r="AB257" s="233"/>
      <c r="AC257" s="233"/>
      <c r="AD257" s="233"/>
      <c r="AE257" s="233"/>
      <c r="AF257" s="233"/>
      <c r="AG257" s="233"/>
      <c r="AH257" s="233"/>
      <c r="AI257" s="233"/>
      <c r="AJ257" s="233"/>
      <c r="AK257" s="233"/>
      <c r="AL257" s="233"/>
      <c r="AM257" s="233"/>
      <c r="AN257" s="233"/>
      <c r="AO257" s="233"/>
      <c r="AP257" s="233"/>
      <c r="AQ257" s="233"/>
      <c r="AR257" s="233"/>
      <c r="AS257" s="233"/>
      <c r="AT257" s="233"/>
      <c r="AU257" s="233"/>
      <c r="AV257" s="233"/>
      <c r="AW257" s="233"/>
      <c r="AX257" s="233"/>
      <c r="AY257" s="233"/>
      <c r="AZ257" s="233"/>
      <c r="BA257" s="233"/>
      <c r="BB257" s="233"/>
      <c r="BC257" s="233"/>
      <c r="BD257" s="105"/>
      <c r="BE257" s="105"/>
      <c r="BF257" s="105"/>
      <c r="BG257" s="105"/>
      <c r="BH257" s="105"/>
      <c r="BI257" s="105"/>
      <c r="BJ257" s="105"/>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272">
        <f>Asset15</f>
        <v>0</v>
      </c>
      <c r="D258" s="158"/>
      <c r="E258" s="32" t="s">
        <v>26</v>
      </c>
      <c r="F258" s="31"/>
      <c r="G258" s="177"/>
      <c r="H258" s="68" t="str">
        <f>IF(H$3&gt;A15remlife,A15value-$G$644-SUM($G258:G258),IF(A15remlife="N/A","n/a",(A15value-$G$644)/A15remlife))</f>
        <v>n/a</v>
      </c>
      <c r="I258" s="68" t="str">
        <f>IF(I$3&gt;A15remlife,A15value-$G$644-SUM($G258:H258),IF(A15remlife="N/A","n/a",(A15value-$G$644)/A15remlife))</f>
        <v>n/a</v>
      </c>
      <c r="J258" s="68" t="str">
        <f>IF(J$3&gt;A15remlife,A15value-$G$644-SUM($G258:I258),IF(A15remlife="N/A","n/a",(A15value-$G$644)/A15remlife))</f>
        <v>n/a</v>
      </c>
      <c r="K258" s="68" t="str">
        <f>IF(K$3&gt;A15remlife,A15value-$G$644-SUM($G258:J258),IF(A15remlife="N/A","n/a",(A15value-$G$644)/A15remlife))</f>
        <v>n/a</v>
      </c>
      <c r="L258" s="68" t="str">
        <f>IF(L$3&gt;A15remlife,A15value-$G$644-SUM($G258:K258),IF(A15remlife="N/A","n/a",(A15value-$G$644)/A15remlife))</f>
        <v>n/a</v>
      </c>
      <c r="M258" s="68" t="str">
        <f>IF(M$3&gt;A15remlife,A15value-$G$644-SUM($G258:L258),IF(A15remlife="N/A","n/a",(A15value-$G$644)/A15remlife))</f>
        <v>n/a</v>
      </c>
      <c r="N258" s="68" t="str">
        <f>IF(N$3&gt;A15remlife,A15value-$G$644-SUM($G258:M258),IF(A15remlife="N/A","n/a",(A15value-$G$644)/A15remlife))</f>
        <v>n/a</v>
      </c>
      <c r="O258" s="68" t="str">
        <f>IF(O$3&gt;A15remlife,A15value-$G$644-SUM($G258:N258),IF(A15remlife="N/A","n/a",(A15value-$G$644)/A15remlife))</f>
        <v>n/a</v>
      </c>
      <c r="P258" s="68" t="str">
        <f>IF(P$3&gt;A15remlife,A15value-$G$644-SUM($G258:O258),IF(A15remlife="N/A","n/a",(A15value-$G$644)/A15remlife))</f>
        <v>n/a</v>
      </c>
      <c r="Q258" s="68" t="str">
        <f>IF(Q$3&gt;A15remlife,A15value-$G$644-SUM($G258:P258),IF(A15remlife="N/A","n/a",(A15value-$G$644)/A15remlife))</f>
        <v>n/a</v>
      </c>
      <c r="R258" s="68"/>
      <c r="S258" s="103"/>
      <c r="T258" s="103"/>
      <c r="U258" s="103"/>
      <c r="V258" s="103"/>
      <c r="W258" s="103"/>
      <c r="X258" s="103"/>
      <c r="Y258" s="103"/>
      <c r="Z258" s="103"/>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6"/>
      <c r="E259" s="391" t="s">
        <v>82</v>
      </c>
      <c r="F259" s="87"/>
      <c r="G259" s="121"/>
      <c r="H259" s="69"/>
      <c r="I259" s="69"/>
      <c r="J259" s="69"/>
      <c r="K259" s="69"/>
      <c r="L259" s="69"/>
      <c r="M259" s="160"/>
      <c r="N259" s="112"/>
      <c r="O259" s="69"/>
      <c r="P259" s="69"/>
      <c r="Q259" s="69"/>
      <c r="R259" s="69"/>
      <c r="S259" s="103"/>
      <c r="T259" s="103"/>
      <c r="U259" s="103"/>
      <c r="V259" s="103"/>
      <c r="W259" s="103"/>
      <c r="X259" s="103"/>
      <c r="Y259" s="103"/>
      <c r="Z259" s="103"/>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92"/>
      <c r="F260" s="87">
        <v>1</v>
      </c>
      <c r="G260" s="121"/>
      <c r="H260" s="145"/>
      <c r="I260" s="69" t="str">
        <f>IF(A15stdlife="n/a","n/a",IF(I$3&gt;(A15stdlife+$F260),(Input!$H$225*(1+vanilla1)^0.5)-SUM($H260:H260),(Input!$H$225*(1+vanilla1)^0.5)/A15stdlife))</f>
        <v>n/a</v>
      </c>
      <c r="J260" s="69" t="str">
        <f>IF(A15stdlife="n/a","n/a",IF(J$3&gt;(A15stdlife+$F260),(Input!$H$225*(1+vanilla1)^0.5)-SUM($H260:I260),(Input!$H$225*(1+vanilla1)^0.5)/A15stdlife))</f>
        <v>n/a</v>
      </c>
      <c r="K260" s="69" t="str">
        <f>IF(A15stdlife="n/a","n/a",IF(K$3&gt;(A15stdlife+$F260),(Input!$H$225*(1+vanilla1)^0.5)-SUM($H260:J260),(Input!$H$225*(1+vanilla1)^0.5)/A15stdlife))</f>
        <v>n/a</v>
      </c>
      <c r="L260" s="69" t="str">
        <f>IF(A15stdlife="n/a","n/a",IF(L$3&gt;(A15stdlife+$F260),(Input!$H$225*(1+vanilla1)^0.5)-SUM($H260:K260),(Input!$H$225*(1+vanilla1)^0.5)/A15stdlife))</f>
        <v>n/a</v>
      </c>
      <c r="M260" s="69" t="str">
        <f>IF(A15stdlife="n/a","n/a",IF(M$3&gt;(A15stdlife+$F260),(Input!$H$225*(1+vanilla1)^0.5)-SUM($H260:L260),(Input!$H$225*(1+vanilla1)^0.5)/A15stdlife))</f>
        <v>n/a</v>
      </c>
      <c r="N260" s="69" t="str">
        <f>IF(A15stdlife="n/a","n/a",IF(N$3&gt;(A15stdlife+$F260),(Input!$H$225*(1+vanilla1)^0.5)-SUM($H260:M260),(Input!$H$225*(1+vanilla1)^0.5)/A15stdlife))</f>
        <v>n/a</v>
      </c>
      <c r="O260" s="69" t="str">
        <f>IF(A15stdlife="n/a","n/a",IF(O$3&gt;(A15stdlife+$F260),(Input!$H$225*(1+vanilla1)^0.5)-SUM($H260:N260),(Input!$H$225*(1+vanilla1)^0.5)/A15stdlife))</f>
        <v>n/a</v>
      </c>
      <c r="P260" s="69" t="str">
        <f>IF(A15stdlife="n/a","n/a",IF(P$3&gt;(A15stdlife+$F260),(Input!$H$225*(1+vanilla1)^0.5)-SUM($H260:O260),(Input!$H$225*(1+vanilla1)^0.5)/A15stdlife))</f>
        <v>n/a</v>
      </c>
      <c r="Q260" s="69" t="str">
        <f>IF(A15stdlife="n/a","n/a",IF(Q$3&gt;(A15stdlife+$F260),(Input!$H$225*(1+vanilla1)^0.5)-SUM($H260:P260),(Input!$H$225*(1+vanilla1)^0.5)/A15stdlife))</f>
        <v>n/a</v>
      </c>
      <c r="R260" s="69"/>
      <c r="S260" s="103"/>
      <c r="T260" s="103"/>
      <c r="U260" s="103"/>
      <c r="V260" s="103"/>
      <c r="W260" s="103"/>
      <c r="X260" s="103"/>
      <c r="Y260" s="103"/>
      <c r="Z260" s="103"/>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92"/>
      <c r="F261" s="87">
        <v>2</v>
      </c>
      <c r="G261" s="121"/>
      <c r="H261" s="146"/>
      <c r="I261" s="147"/>
      <c r="J261" s="69" t="str">
        <f>IF(A15stdlife="n/a","n/a",IF(J$3&gt;(A15stdlife+$F261),(Input!$I$225*(1+vanilla2)^0.5)-SUM($I261:I261),(Input!$I$225*(1+vanilla2)^0.5)/A15stdlife))</f>
        <v>n/a</v>
      </c>
      <c r="K261" s="69" t="str">
        <f>IF(A15stdlife="n/a","n/a",IF(K$3&gt;(A15stdlife+$F261),(Input!$I$225*(1+vanilla2)^0.5)-SUM($I261:J261),(Input!$I$225*(1+vanilla2)^0.5)/A15stdlife))</f>
        <v>n/a</v>
      </c>
      <c r="L261" s="69" t="str">
        <f>IF(A15stdlife="n/a","n/a",IF(L$3&gt;(A15stdlife+$F261),(Input!$I$225*(1+vanilla2)^0.5)-SUM($I261:K261),(Input!$I$225*(1+vanilla2)^0.5)/A15stdlife))</f>
        <v>n/a</v>
      </c>
      <c r="M261" s="69" t="str">
        <f>IF(A15stdlife="n/a","n/a",IF(M$3&gt;(A15stdlife+$F261),(Input!$I$225*(1+vanilla2)^0.5)-SUM($I261:L261),(Input!$I$225*(1+vanilla2)^0.5)/A15stdlife))</f>
        <v>n/a</v>
      </c>
      <c r="N261" s="69" t="str">
        <f>IF(A15stdlife="n/a","n/a",IF(N$3&gt;(A15stdlife+$F261),(Input!$I$225*(1+vanilla2)^0.5)-SUM($I261:M261),(Input!$I$225*(1+vanilla2)^0.5)/A15stdlife))</f>
        <v>n/a</v>
      </c>
      <c r="O261" s="69" t="str">
        <f>IF(A15stdlife="n/a","n/a",IF(O$3&gt;(A15stdlife+$F261),(Input!$I$225*(1+vanilla2)^0.5)-SUM($I261:N261),(Input!$I$225*(1+vanilla2)^0.5)/A15stdlife))</f>
        <v>n/a</v>
      </c>
      <c r="P261" s="69" t="str">
        <f>IF(A15stdlife="n/a","n/a",IF(P$3&gt;(A15stdlife+$F261),(Input!$I$225*(1+vanilla2)^0.5)-SUM($I261:O261),(Input!$I$225*(1+vanilla2)^0.5)/A15stdlife))</f>
        <v>n/a</v>
      </c>
      <c r="Q261" s="69" t="str">
        <f>IF(A15stdlife="n/a","n/a",IF(Q$3&gt;(A15stdlife+$F261),(Input!$I$225*(1+vanilla2)^0.5)-SUM($I261:P261),(Input!$I$225*(1+vanilla2)^0.5)/A15stdlife))</f>
        <v>n/a</v>
      </c>
      <c r="R261" s="69"/>
      <c r="S261" s="103"/>
      <c r="T261" s="103"/>
      <c r="U261" s="103"/>
      <c r="V261" s="103"/>
      <c r="W261" s="103"/>
      <c r="X261" s="103"/>
      <c r="Y261" s="103"/>
      <c r="Z261" s="103"/>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92"/>
      <c r="F262" s="87">
        <v>3</v>
      </c>
      <c r="G262" s="121"/>
      <c r="H262" s="146"/>
      <c r="I262" s="148"/>
      <c r="J262" s="147"/>
      <c r="K262" s="69" t="str">
        <f>IF(A15stdlife="n/a","n/a",IF(K$3&gt;(A15stdlife+$F262),(Input!$J$225*(1+vanilla3)^0.5)-SUM($J262:J262),(Input!$J$225*(1+vanilla3)^0.5)/A15stdlife))</f>
        <v>n/a</v>
      </c>
      <c r="L262" s="69" t="str">
        <f>IF(A15stdlife="n/a","n/a",IF(L$3&gt;(A15stdlife+$F262),(Input!$J$225*(1+vanilla3)^0.5)-SUM($J262:K262),(Input!$J$225*(1+vanilla3)^0.5)/A15stdlife))</f>
        <v>n/a</v>
      </c>
      <c r="M262" s="69" t="str">
        <f>IF(A15stdlife="n/a","n/a",IF(M$3&gt;(A15stdlife+$F262),(Input!$J$225*(1+vanilla3)^0.5)-SUM($J262:L262),(Input!$J$225*(1+vanilla3)^0.5)/A15stdlife))</f>
        <v>n/a</v>
      </c>
      <c r="N262" s="69" t="str">
        <f>IF(A15stdlife="n/a","n/a",IF(N$3&gt;(A15stdlife+$F262),(Input!$J$225*(1+vanilla3)^0.5)-SUM($J262:M262),(Input!$J$225*(1+vanilla3)^0.5)/A15stdlife))</f>
        <v>n/a</v>
      </c>
      <c r="O262" s="69" t="str">
        <f>IF(A15stdlife="n/a","n/a",IF(O$3&gt;(A15stdlife+$F262),(Input!$J$225*(1+vanilla3)^0.5)-SUM($J262:N262),(Input!$J$225*(1+vanilla3)^0.5)/A15stdlife))</f>
        <v>n/a</v>
      </c>
      <c r="P262" s="69" t="str">
        <f>IF(A15stdlife="n/a","n/a",IF(P$3&gt;(A15stdlife+$F262),(Input!$J$225*(1+vanilla3)^0.5)-SUM($J262:O262),(Input!$J$225*(1+vanilla3)^0.5)/A15stdlife))</f>
        <v>n/a</v>
      </c>
      <c r="Q262" s="69" t="str">
        <f>IF(A15stdlife="n/a","n/a",IF(Q$3&gt;(A15stdlife+$F262),(Input!$J$225*(1+vanilla3)^0.5)-SUM($J262:P262),(Input!$J$225*(1+vanilla3)^0.5)/A15stdlife))</f>
        <v>n/a</v>
      </c>
      <c r="R262" s="69"/>
      <c r="S262" s="103"/>
      <c r="T262" s="103"/>
      <c r="U262" s="103"/>
      <c r="V262" s="103"/>
      <c r="W262" s="103"/>
      <c r="X262" s="103"/>
      <c r="Y262" s="103"/>
      <c r="Z262" s="103"/>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92"/>
      <c r="F263" s="87">
        <v>4</v>
      </c>
      <c r="G263" s="121"/>
      <c r="H263" s="146"/>
      <c r="I263" s="148"/>
      <c r="J263" s="148"/>
      <c r="K263" s="147"/>
      <c r="L263" s="69" t="str">
        <f>IF(A15stdlife="n/a","n/a",IF(L$3&gt;(A15stdlife+$F263),(Input!$K$225*(1+vanilla4)^0.5)-SUM($K263:K263),(Input!$K$225*(1+vanilla4)^0.5)/A15stdlife))</f>
        <v>n/a</v>
      </c>
      <c r="M263" s="69" t="str">
        <f>IF(A15stdlife="n/a","n/a",IF(M$3&gt;(A15stdlife+$F263),(Input!$K$225*(1+vanilla4)^0.5)-SUM($K263:L263),(Input!$K$225*(1+vanilla4)^0.5)/A15stdlife))</f>
        <v>n/a</v>
      </c>
      <c r="N263" s="69" t="str">
        <f>IF(A15stdlife="n/a","n/a",IF(N$3&gt;(A15stdlife+$F263),(Input!$K$225*(1+vanilla4)^0.5)-SUM($K263:M263),(Input!$K$225*(1+vanilla4)^0.5)/A15stdlife))</f>
        <v>n/a</v>
      </c>
      <c r="O263" s="69" t="str">
        <f>IF(A15stdlife="n/a","n/a",IF(O$3&gt;(A15stdlife+$F263),(Input!$K$225*(1+vanilla4)^0.5)-SUM($K263:N263),(Input!$K$225*(1+vanilla4)^0.5)/A15stdlife))</f>
        <v>n/a</v>
      </c>
      <c r="P263" s="69" t="str">
        <f>IF(A15stdlife="n/a","n/a",IF(P$3&gt;(A15stdlife+$F263),(Input!$K$225*(1+vanilla4)^0.5)-SUM($K263:O263),(Input!$K$225*(1+vanilla4)^0.5)/A15stdlife))</f>
        <v>n/a</v>
      </c>
      <c r="Q263" s="69" t="str">
        <f>IF(A15stdlife="n/a","n/a",IF(Q$3&gt;(A15stdlife+$F263),(Input!$K$225*(1+vanilla4)^0.5)-SUM($K263:P263),(Input!$K$225*(1+vanilla4)^0.5)/A15stdlife))</f>
        <v>n/a</v>
      </c>
      <c r="R263" s="69"/>
      <c r="S263" s="103"/>
      <c r="T263" s="103"/>
      <c r="U263" s="103"/>
      <c r="V263" s="103"/>
      <c r="W263" s="103"/>
      <c r="X263" s="103"/>
      <c r="Y263" s="103"/>
      <c r="Z263" s="103"/>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9"/>
      <c r="B264" s="9"/>
      <c r="C264" s="9"/>
      <c r="D264" s="26"/>
      <c r="E264" s="392"/>
      <c r="F264" s="87">
        <v>5</v>
      </c>
      <c r="G264" s="27"/>
      <c r="H264" s="146"/>
      <c r="I264" s="148"/>
      <c r="J264" s="148"/>
      <c r="K264" s="148"/>
      <c r="L264" s="147"/>
      <c r="M264" s="69" t="str">
        <f>IF(A15stdlife="n/a","n/a",IF(M$3&gt;(A15stdlife+$F264),(Input!$L$225*(1+vanilla5)^0.5)-SUM($L264:L264),(Input!$L$225*(1+vanilla5)^0.5)/A15stdlife))</f>
        <v>n/a</v>
      </c>
      <c r="N264" s="69" t="str">
        <f>IF(A15stdlife="n/a","n/a",IF(N$3&gt;(A15stdlife+$F264),(Input!$L$225*(1+vanilla5)^0.5)-SUM($L264:M264),(Input!$L$225*(1+vanilla5)^0.5)/A15stdlife))</f>
        <v>n/a</v>
      </c>
      <c r="O264" s="69" t="str">
        <f>IF(A15stdlife="n/a","n/a",IF(O$3&gt;(A15stdlife+$F264),(Input!$L$225*(1+vanilla5)^0.5)-SUM($L264:N264),(Input!$L$225*(1+vanilla5)^0.5)/A15stdlife))</f>
        <v>n/a</v>
      </c>
      <c r="P264" s="69" t="str">
        <f>IF(A15stdlife="n/a","n/a",IF(P$3&gt;(A15stdlife+$F264),(Input!$L$225*(1+vanilla5)^0.5)-SUM($L264:O264),(Input!$L$225*(1+vanilla5)^0.5)/A15stdlife))</f>
        <v>n/a</v>
      </c>
      <c r="Q264" s="69" t="str">
        <f>IF(A15stdlife="n/a","n/a",IF(Q$3&gt;(A15stdlife+$F264),(Input!$L$225*(1+vanilla5)^0.5)-SUM($L264:P264),(Input!$L$225*(1+vanilla5)^0.5)/A15stdlife))</f>
        <v>n/a</v>
      </c>
      <c r="R264" s="69"/>
      <c r="S264" s="103"/>
      <c r="T264" s="103"/>
      <c r="U264" s="103"/>
      <c r="V264" s="103"/>
      <c r="W264" s="103"/>
      <c r="X264" s="103"/>
      <c r="Y264" s="103"/>
      <c r="Z264" s="103"/>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103"/>
      <c r="BE264" s="103"/>
      <c r="BF264" s="103"/>
      <c r="BG264" s="103"/>
      <c r="BH264" s="103"/>
      <c r="BI264" s="103"/>
      <c r="BJ264" s="103"/>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9"/>
      <c r="D265" s="26"/>
      <c r="E265" s="392"/>
      <c r="F265" s="87">
        <v>6</v>
      </c>
      <c r="G265" s="27"/>
      <c r="H265" s="146"/>
      <c r="I265" s="148"/>
      <c r="J265" s="148"/>
      <c r="K265" s="148"/>
      <c r="L265" s="148"/>
      <c r="M265" s="147"/>
      <c r="N265" s="69" t="str">
        <f>IF(A15stdlife="n/a","n/a",IF(N$3&gt;(A15stdlife+$F265),(Input!$M$225*(1+vanilla6)^0.5)-SUM($M265:M265),(Input!$M$225*(1+vanilla6)^0.5)/A15stdlife))</f>
        <v>n/a</v>
      </c>
      <c r="O265" s="69" t="str">
        <f>IF(A15stdlife="n/a","n/a",IF(O$3&gt;(A15stdlife+$F265),(Input!$M$225*(1+vanilla6)^0.5)-SUM($M265:N265),(Input!$M$225*(1+vanilla6)^0.5)/A15stdlife))</f>
        <v>n/a</v>
      </c>
      <c r="P265" s="69" t="str">
        <f>IF(A15stdlife="n/a","n/a",IF(P$3&gt;(A15stdlife+$F265),(Input!$M$225*(1+vanilla6)^0.5)-SUM($M265:O265),(Input!$M$225*(1+vanilla6)^0.5)/A15stdlife))</f>
        <v>n/a</v>
      </c>
      <c r="Q265" s="69" t="str">
        <f>IF(A15stdlife="n/a","n/a",IF(Q$3&gt;(A15stdlife+$F265),(Input!$M$225*(1+vanilla6)^0.5)-SUM($M265:P265),(Input!$M$225*(1+vanilla6)^0.5)/A15stdlife))</f>
        <v>n/a</v>
      </c>
      <c r="R265" s="69"/>
      <c r="S265" s="103"/>
      <c r="T265" s="103"/>
      <c r="U265" s="103"/>
      <c r="V265" s="103"/>
      <c r="W265" s="103"/>
      <c r="X265" s="103"/>
      <c r="Y265" s="103"/>
      <c r="Z265" s="103"/>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c r="A266" s="9"/>
      <c r="B266" s="9"/>
      <c r="C266" s="9"/>
      <c r="D266" s="26"/>
      <c r="E266" s="392"/>
      <c r="F266" s="87">
        <v>7</v>
      </c>
      <c r="G266" s="27"/>
      <c r="H266" s="146"/>
      <c r="I266" s="148"/>
      <c r="J266" s="148"/>
      <c r="K266" s="148"/>
      <c r="L266" s="148"/>
      <c r="M266" s="148"/>
      <c r="N266" s="147"/>
      <c r="O266" s="69" t="str">
        <f>IF(A15stdlife="n/a","n/a",IF(O$3&gt;(A15stdlife+$F266),(Input!$N$225*(1+vanilla7)^0.5)-SUM($N266:N266),(Input!$N$225*(1+vanilla7)^0.5)/A15stdlife))</f>
        <v>n/a</v>
      </c>
      <c r="P266" s="69" t="str">
        <f>IF(A15stdlife="n/a","n/a",IF(P$3&gt;(A15stdlife+$F266),(Input!$N$225*(1+vanilla7)^0.5)-SUM($N266:O266),(Input!$N$225*(1+vanilla7)^0.5)/A15stdlife))</f>
        <v>n/a</v>
      </c>
      <c r="Q266" s="69" t="str">
        <f>IF(A15stdlife="n/a","n/a",IF(Q$3&gt;(A15stdlife+$F266),(Input!$N$225*(1+vanilla7)^0.5)-SUM($N266:P266),(Input!$N$225*(1+vanilla7)^0.5)/A15stdlife))</f>
        <v>n/a</v>
      </c>
      <c r="R266" s="69"/>
      <c r="S266" s="103"/>
      <c r="T266" s="103"/>
      <c r="U266" s="103"/>
      <c r="V266" s="103"/>
      <c r="W266" s="103"/>
      <c r="X266" s="103"/>
      <c r="Y266" s="103"/>
      <c r="Z266" s="103"/>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92"/>
      <c r="F267" s="87">
        <v>8</v>
      </c>
      <c r="G267" s="27"/>
      <c r="H267" s="146"/>
      <c r="I267" s="148"/>
      <c r="J267" s="148"/>
      <c r="K267" s="148"/>
      <c r="L267" s="148"/>
      <c r="M267" s="148"/>
      <c r="N267" s="148"/>
      <c r="O267" s="147"/>
      <c r="P267" s="69" t="str">
        <f>IF(A15stdlife="n/a","n/a",IF(P$3&gt;(A15stdlife+$F267),(Input!$O$225*(1+vanilla8)^0.5)-SUM($O267:O267),(Input!$O$225*(1+vanilla8)^0.5)/A15stdlife))</f>
        <v>n/a</v>
      </c>
      <c r="Q267" s="69" t="str">
        <f>IF(A15stdlife="n/a","n/a",IF(Q$3&gt;(A15stdlife+$F267),(Input!$O$225*(1+vanilla8)^0.5)-SUM($O267:P267),(Input!$O$225*(1+vanilla8)^0.5)/A15stdlife))</f>
        <v>n/a</v>
      </c>
      <c r="R267" s="69"/>
      <c r="S267" s="103"/>
      <c r="T267" s="103"/>
      <c r="U267" s="103"/>
      <c r="V267" s="103"/>
      <c r="W267" s="103"/>
      <c r="X267" s="103"/>
      <c r="Y267" s="103"/>
      <c r="Z267" s="103"/>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92"/>
      <c r="F268" s="87">
        <v>9</v>
      </c>
      <c r="G268" s="27"/>
      <c r="H268" s="146"/>
      <c r="I268" s="148"/>
      <c r="J268" s="148"/>
      <c r="K268" s="148"/>
      <c r="L268" s="148"/>
      <c r="M268" s="148"/>
      <c r="N268" s="148"/>
      <c r="O268" s="148"/>
      <c r="P268" s="147"/>
      <c r="Q268" s="69" t="str">
        <f>IF(A15stdlife="n/a","n/a",IF(Q$3&gt;(A15stdlife+$F268),(Input!$P$225*(1+vanilla9)^0.5)-SUM($P268:P268),(Input!$P$225*(1+vanilla9)^0.5)/A15stdlife))</f>
        <v>n/a</v>
      </c>
      <c r="R268" s="69"/>
      <c r="S268" s="103"/>
      <c r="T268" s="103"/>
      <c r="U268" s="103"/>
      <c r="V268" s="103"/>
      <c r="W268" s="103"/>
      <c r="X268" s="103"/>
      <c r="Y268" s="103"/>
      <c r="Z268" s="103"/>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92"/>
      <c r="F269" s="88">
        <v>10</v>
      </c>
      <c r="G269" s="27"/>
      <c r="H269" s="146"/>
      <c r="I269" s="148"/>
      <c r="J269" s="148"/>
      <c r="K269" s="148"/>
      <c r="L269" s="148"/>
      <c r="M269" s="148"/>
      <c r="N269" s="148"/>
      <c r="O269" s="148"/>
      <c r="P269" s="148"/>
      <c r="Q269" s="147"/>
      <c r="R269" s="69"/>
      <c r="S269" s="103"/>
      <c r="T269" s="103"/>
      <c r="U269" s="103"/>
      <c r="V269" s="103"/>
      <c r="W269" s="103"/>
      <c r="X269" s="103"/>
      <c r="Y269" s="103"/>
      <c r="Z269" s="103"/>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ollapsed="1">
      <c r="A270" s="9"/>
      <c r="B270" s="9"/>
      <c r="C270" s="9"/>
      <c r="D270" s="271">
        <f>Asset15</f>
        <v>0</v>
      </c>
      <c r="E270" s="9"/>
      <c r="F270" s="9"/>
      <c r="G270" s="121"/>
      <c r="H270" s="162">
        <f t="shared" ref="H270:M270" si="18">-SUM(H258:H269)</f>
        <v>0</v>
      </c>
      <c r="I270" s="162">
        <f t="shared" si="18"/>
        <v>0</v>
      </c>
      <c r="J270" s="162">
        <f t="shared" si="18"/>
        <v>0</v>
      </c>
      <c r="K270" s="162">
        <f t="shared" si="18"/>
        <v>0</v>
      </c>
      <c r="L270" s="162">
        <f t="shared" si="18"/>
        <v>0</v>
      </c>
      <c r="M270" s="162">
        <f t="shared" si="18"/>
        <v>0</v>
      </c>
      <c r="N270" s="69">
        <f>IF(COUNT($H270:M270)&gt;=Input!$Y$7,0, -SUM(N258:N269))</f>
        <v>0</v>
      </c>
      <c r="O270" s="69">
        <f>IF(COUNT($H270:N270)&gt;=Input!$Y$7,0, -SUM(O258:O269))</f>
        <v>0</v>
      </c>
      <c r="P270" s="69">
        <f>IF(COUNT($H270:O270)&gt;=Input!$Y$7,0, -SUM(P258:P269))</f>
        <v>0</v>
      </c>
      <c r="Q270" s="69">
        <f>IF(COUNT($H270:P270)&gt;=Input!$Y$7,0, -SUM(Q258:Q269))</f>
        <v>0</v>
      </c>
      <c r="R270" s="67"/>
      <c r="S270" s="105"/>
      <c r="T270" s="105"/>
      <c r="U270" s="105"/>
      <c r="V270" s="105"/>
      <c r="W270" s="105"/>
      <c r="X270" s="105"/>
      <c r="Y270" s="105"/>
      <c r="Z270" s="105"/>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3"/>
      <c r="AY270" s="233"/>
      <c r="AZ270" s="233"/>
      <c r="BA270" s="233"/>
      <c r="BB270" s="233"/>
      <c r="BC270" s="233"/>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272">
        <f>Asset16</f>
        <v>0</v>
      </c>
      <c r="D271" s="158"/>
      <c r="E271" s="32" t="s">
        <v>26</v>
      </c>
      <c r="F271" s="31"/>
      <c r="G271" s="177"/>
      <c r="H271" s="68" t="str">
        <f>IF(H$3&gt;A16remlife,A16value-$G$645-SUM($G271:G271),IF(A16remlife="N/A","n/a",(A16value-$G$645)/A16remlife))</f>
        <v>n/a</v>
      </c>
      <c r="I271" s="68" t="str">
        <f>IF(I$3&gt;A16remlife,A16value-$G$645-SUM($G271:H271),IF(A16remlife="N/A","n/a",(A16value-$G$645)/A16remlife))</f>
        <v>n/a</v>
      </c>
      <c r="J271" s="68" t="str">
        <f>IF(J$3&gt;A16remlife,A16value-$G$645-SUM($G271:I271),IF(A16remlife="N/A","n/a",(A16value-$G$645)/A16remlife))</f>
        <v>n/a</v>
      </c>
      <c r="K271" s="68" t="str">
        <f>IF(K$3&gt;A16remlife,A16value-$G$645-SUM($G271:J271),IF(A16remlife="N/A","n/a",(A16value-$G$645)/A16remlife))</f>
        <v>n/a</v>
      </c>
      <c r="L271" s="68" t="str">
        <f>IF(L$3&gt;A16remlife,A16value-$G$645-SUM($G271:K271),IF(A16remlife="N/A","n/a",(A16value-$G$645)/A16remlife))</f>
        <v>n/a</v>
      </c>
      <c r="M271" s="68" t="str">
        <f>IF(M$3&gt;A16remlife,A16value-$G$645-SUM($G271:L271),IF(A16remlife="N/A","n/a",(A16value-$G$645)/A16remlife))</f>
        <v>n/a</v>
      </c>
      <c r="N271" s="68" t="str">
        <f>IF(N$3&gt;A16remlife,A16value-$G$645-SUM($G271:M271),IF(A16remlife="N/A","n/a",(A16value-$G$645)/A16remlife))</f>
        <v>n/a</v>
      </c>
      <c r="O271" s="68" t="str">
        <f>IF(O$3&gt;A16remlife,A16value-$G$645-SUM($G271:N271),IF(A16remlife="N/A","n/a",(A16value-$G$645)/A16remlife))</f>
        <v>n/a</v>
      </c>
      <c r="P271" s="68" t="str">
        <f>IF(P$3&gt;A16remlife,A16value-$G$645-SUM($G271:O271),IF(A16remlife="N/A","n/a",(A16value-$G$645)/A16remlife))</f>
        <v>n/a</v>
      </c>
      <c r="Q271" s="68" t="str">
        <f>IF(Q$3&gt;A16remlife,A16value-$G$645-SUM($G271:P271),IF(A16remlife="N/A","n/a",(A16value-$G$645)/A16remlife))</f>
        <v>n/a</v>
      </c>
      <c r="R271" s="68"/>
      <c r="S271" s="103"/>
      <c r="T271" s="103"/>
      <c r="U271" s="103"/>
      <c r="V271" s="103"/>
      <c r="W271" s="103"/>
      <c r="X271" s="103"/>
      <c r="Y271" s="103"/>
      <c r="Z271" s="103"/>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6"/>
      <c r="E272" s="391" t="s">
        <v>82</v>
      </c>
      <c r="F272" s="87"/>
      <c r="G272" s="121"/>
      <c r="H272" s="69"/>
      <c r="I272" s="69"/>
      <c r="J272" s="69"/>
      <c r="K272" s="69"/>
      <c r="L272" s="69"/>
      <c r="M272" s="160"/>
      <c r="N272" s="112"/>
      <c r="O272" s="69"/>
      <c r="P272" s="69"/>
      <c r="Q272" s="69"/>
      <c r="R272" s="69"/>
      <c r="S272" s="103"/>
      <c r="T272" s="103"/>
      <c r="U272" s="103"/>
      <c r="V272" s="103"/>
      <c r="W272" s="103"/>
      <c r="X272" s="103"/>
      <c r="Y272" s="103"/>
      <c r="Z272" s="103"/>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92"/>
      <c r="F273" s="87">
        <v>1</v>
      </c>
      <c r="G273" s="121"/>
      <c r="H273" s="145"/>
      <c r="I273" s="69" t="str">
        <f>IF(A16stdlife="n/a","n/a",IF(I$3&gt;(A16stdlife+$F273),(Input!$H$226*(1+vanilla1)^0.5)-SUM($H273:H273),(Input!$H$226*(1+vanilla1)^0.5)/A16stdlife))</f>
        <v>n/a</v>
      </c>
      <c r="J273" s="69" t="str">
        <f>IF(A16stdlife="n/a","n/a",IF(J$3&gt;(A16stdlife+$F273),(Input!$H$226*(1+vanilla1)^0.5)-SUM($H273:I273),(Input!$H$226*(1+vanilla1)^0.5)/A16stdlife))</f>
        <v>n/a</v>
      </c>
      <c r="K273" s="69" t="str">
        <f>IF(A16stdlife="n/a","n/a",IF(K$3&gt;(A16stdlife+$F273),(Input!$H$226*(1+vanilla1)^0.5)-SUM($H273:J273),(Input!$H$226*(1+vanilla1)^0.5)/A16stdlife))</f>
        <v>n/a</v>
      </c>
      <c r="L273" s="69" t="str">
        <f>IF(A16stdlife="n/a","n/a",IF(L$3&gt;(A16stdlife+$F273),(Input!$H$226*(1+vanilla1)^0.5)-SUM($H273:K273),(Input!$H$226*(1+vanilla1)^0.5)/A16stdlife))</f>
        <v>n/a</v>
      </c>
      <c r="M273" s="69" t="str">
        <f>IF(A16stdlife="n/a","n/a",IF(M$3&gt;(A16stdlife+$F273),(Input!$H$226*(1+vanilla1)^0.5)-SUM($H273:L273),(Input!$H$226*(1+vanilla1)^0.5)/A16stdlife))</f>
        <v>n/a</v>
      </c>
      <c r="N273" s="69" t="str">
        <f>IF(A16stdlife="n/a","n/a",IF(N$3&gt;(A16stdlife+$F273),(Input!$H$226*(1+vanilla1)^0.5)-SUM($H273:M273),(Input!$H$226*(1+vanilla1)^0.5)/A16stdlife))</f>
        <v>n/a</v>
      </c>
      <c r="O273" s="69" t="str">
        <f>IF(A16stdlife="n/a","n/a",IF(O$3&gt;(A16stdlife+$F273),(Input!$H$226*(1+vanilla1)^0.5)-SUM($H273:N273),(Input!$H$226*(1+vanilla1)^0.5)/A16stdlife))</f>
        <v>n/a</v>
      </c>
      <c r="P273" s="69" t="str">
        <f>IF(A16stdlife="n/a","n/a",IF(P$3&gt;(A16stdlife+$F273),(Input!$H$226*(1+vanilla1)^0.5)-SUM($H273:O273),(Input!$H$226*(1+vanilla1)^0.5)/A16stdlife))</f>
        <v>n/a</v>
      </c>
      <c r="Q273" s="69" t="str">
        <f>IF(A16stdlife="n/a","n/a",IF(Q$3&gt;(A16stdlife+$F273),(Input!$H$226*(1+vanilla1)^0.5)-SUM($H273:P273),(Input!$H$226*(1+vanilla1)^0.5)/A16stdlife))</f>
        <v>n/a</v>
      </c>
      <c r="R273" s="69"/>
      <c r="S273" s="103"/>
      <c r="T273" s="103"/>
      <c r="U273" s="103"/>
      <c r="V273" s="103"/>
      <c r="W273" s="103"/>
      <c r="X273" s="103"/>
      <c r="Y273" s="103"/>
      <c r="Z273" s="103"/>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92"/>
      <c r="F274" s="87">
        <v>2</v>
      </c>
      <c r="G274" s="121"/>
      <c r="H274" s="146"/>
      <c r="I274" s="147"/>
      <c r="J274" s="69" t="str">
        <f>IF(A16stdlife="n/a","n/a",IF(J$3&gt;(A16stdlife+$F274),(Input!$I$226*(1+vanilla2)^0.5)-SUM($I274:I274),(Input!$I$226*(1+vanilla2)^0.5)/A16stdlife))</f>
        <v>n/a</v>
      </c>
      <c r="K274" s="69" t="str">
        <f>IF(A16stdlife="n/a","n/a",IF(K$3&gt;(A16stdlife+$F274),(Input!$I$226*(1+vanilla2)^0.5)-SUM($I274:J274),(Input!$I$226*(1+vanilla2)^0.5)/A16stdlife))</f>
        <v>n/a</v>
      </c>
      <c r="L274" s="69" t="str">
        <f>IF(A16stdlife="n/a","n/a",IF(L$3&gt;(A16stdlife+$F274),(Input!$I$226*(1+vanilla2)^0.5)-SUM($I274:K274),(Input!$I$226*(1+vanilla2)^0.5)/A16stdlife))</f>
        <v>n/a</v>
      </c>
      <c r="M274" s="69" t="str">
        <f>IF(A16stdlife="n/a","n/a",IF(M$3&gt;(A16stdlife+$F274),(Input!$I$226*(1+vanilla2)^0.5)-SUM($I274:L274),(Input!$I$226*(1+vanilla2)^0.5)/A16stdlife))</f>
        <v>n/a</v>
      </c>
      <c r="N274" s="69" t="str">
        <f>IF(A16stdlife="n/a","n/a",IF(N$3&gt;(A16stdlife+$F274),(Input!$I$226*(1+vanilla2)^0.5)-SUM($I274:M274),(Input!$I$226*(1+vanilla2)^0.5)/A16stdlife))</f>
        <v>n/a</v>
      </c>
      <c r="O274" s="69" t="str">
        <f>IF(A16stdlife="n/a","n/a",IF(O$3&gt;(A16stdlife+$F274),(Input!$I$226*(1+vanilla2)^0.5)-SUM($I274:N274),(Input!$I$226*(1+vanilla2)^0.5)/A16stdlife))</f>
        <v>n/a</v>
      </c>
      <c r="P274" s="69" t="str">
        <f>IF(A16stdlife="n/a","n/a",IF(P$3&gt;(A16stdlife+$F274),(Input!$I$226*(1+vanilla2)^0.5)-SUM($I274:O274),(Input!$I$226*(1+vanilla2)^0.5)/A16stdlife))</f>
        <v>n/a</v>
      </c>
      <c r="Q274" s="69" t="str">
        <f>IF(A16stdlife="n/a","n/a",IF(Q$3&gt;(A16stdlife+$F274),(Input!$I$226*(1+vanilla2)^0.5)-SUM($I274:P274),(Input!$I$226*(1+vanilla2)^0.5)/A16stdlife))</f>
        <v>n/a</v>
      </c>
      <c r="R274" s="69"/>
      <c r="S274" s="103"/>
      <c r="T274" s="103"/>
      <c r="U274" s="103"/>
      <c r="V274" s="103"/>
      <c r="W274" s="103"/>
      <c r="X274" s="103"/>
      <c r="Y274" s="103"/>
      <c r="Z274" s="103"/>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92"/>
      <c r="F275" s="87">
        <v>3</v>
      </c>
      <c r="G275" s="121"/>
      <c r="H275" s="146"/>
      <c r="I275" s="148"/>
      <c r="J275" s="147"/>
      <c r="K275" s="69" t="str">
        <f>IF(A16stdlife="n/a","n/a",IF(K$3&gt;(A16stdlife+$F275),(Input!$J$226*(1+vanilla3)^0.5)-SUM($J275:J275),(Input!$J$226*(1+vanilla3)^0.5)/A16stdlife))</f>
        <v>n/a</v>
      </c>
      <c r="L275" s="69" t="str">
        <f>IF(A16stdlife="n/a","n/a",IF(L$3&gt;(A16stdlife+$F275),(Input!$J$226*(1+vanilla3)^0.5)-SUM($J275:K275),(Input!$J$226*(1+vanilla3)^0.5)/A16stdlife))</f>
        <v>n/a</v>
      </c>
      <c r="M275" s="69" t="str">
        <f>IF(A16stdlife="n/a","n/a",IF(M$3&gt;(A16stdlife+$F275),(Input!$J$226*(1+vanilla3)^0.5)-SUM($J275:L275),(Input!$J$226*(1+vanilla3)^0.5)/A16stdlife))</f>
        <v>n/a</v>
      </c>
      <c r="N275" s="69" t="str">
        <f>IF(A16stdlife="n/a","n/a",IF(N$3&gt;(A16stdlife+$F275),(Input!$J$226*(1+vanilla3)^0.5)-SUM($J275:M275),(Input!$J$226*(1+vanilla3)^0.5)/A16stdlife))</f>
        <v>n/a</v>
      </c>
      <c r="O275" s="69" t="str">
        <f>IF(A16stdlife="n/a","n/a",IF(O$3&gt;(A16stdlife+$F275),(Input!$J$226*(1+vanilla3)^0.5)-SUM($J275:N275),(Input!$J$226*(1+vanilla3)^0.5)/A16stdlife))</f>
        <v>n/a</v>
      </c>
      <c r="P275" s="69" t="str">
        <f>IF(A16stdlife="n/a","n/a",IF(P$3&gt;(A16stdlife+$F275),(Input!$J$226*(1+vanilla3)^0.5)-SUM($J275:O275),(Input!$J$226*(1+vanilla3)^0.5)/A16stdlife))</f>
        <v>n/a</v>
      </c>
      <c r="Q275" s="69" t="str">
        <f>IF(A16stdlife="n/a","n/a",IF(Q$3&gt;(A16stdlife+$F275),(Input!$J$226*(1+vanilla3)^0.5)-SUM($J275:P275),(Input!$J$226*(1+vanilla3)^0.5)/A16stdlife))</f>
        <v>n/a</v>
      </c>
      <c r="R275" s="69"/>
      <c r="S275" s="103"/>
      <c r="T275" s="103"/>
      <c r="U275" s="103"/>
      <c r="V275" s="103"/>
      <c r="W275" s="103"/>
      <c r="X275" s="103"/>
      <c r="Y275" s="103"/>
      <c r="Z275" s="103"/>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92"/>
      <c r="F276" s="87">
        <v>4</v>
      </c>
      <c r="G276" s="121"/>
      <c r="H276" s="146"/>
      <c r="I276" s="148"/>
      <c r="J276" s="148"/>
      <c r="K276" s="147"/>
      <c r="L276" s="69" t="str">
        <f>IF(A16stdlife="n/a","n/a",IF(L$3&gt;(A16stdlife+$F276),(Input!$K$226*(1+vanilla4)^0.5)-SUM($K276:K276),(Input!$K$226*(1+vanilla4)^0.5)/A16stdlife))</f>
        <v>n/a</v>
      </c>
      <c r="M276" s="69" t="str">
        <f>IF(A16stdlife="n/a","n/a",IF(M$3&gt;(A16stdlife+$F276),(Input!$K$226*(1+vanilla4)^0.5)-SUM($K276:L276),(Input!$K$226*(1+vanilla4)^0.5)/A16stdlife))</f>
        <v>n/a</v>
      </c>
      <c r="N276" s="69" t="str">
        <f>IF(A16stdlife="n/a","n/a",IF(N$3&gt;(A16stdlife+$F276),(Input!$K$226*(1+vanilla4)^0.5)-SUM($K276:M276),(Input!$K$226*(1+vanilla4)^0.5)/A16stdlife))</f>
        <v>n/a</v>
      </c>
      <c r="O276" s="69" t="str">
        <f>IF(A16stdlife="n/a","n/a",IF(O$3&gt;(A16stdlife+$F276),(Input!$K$226*(1+vanilla4)^0.5)-SUM($K276:N276),(Input!$K$226*(1+vanilla4)^0.5)/A16stdlife))</f>
        <v>n/a</v>
      </c>
      <c r="P276" s="69" t="str">
        <f>IF(A16stdlife="n/a","n/a",IF(P$3&gt;(A16stdlife+$F276),(Input!$K$226*(1+vanilla4)^0.5)-SUM($K276:O276),(Input!$K$226*(1+vanilla4)^0.5)/A16stdlife))</f>
        <v>n/a</v>
      </c>
      <c r="Q276" s="69" t="str">
        <f>IF(A16stdlife="n/a","n/a",IF(Q$3&gt;(A16stdlife+$F276),(Input!$K$226*(1+vanilla4)^0.5)-SUM($K276:P276),(Input!$K$226*(1+vanilla4)^0.5)/A16stdlife))</f>
        <v>n/a</v>
      </c>
      <c r="R276" s="69"/>
      <c r="S276" s="103"/>
      <c r="T276" s="103"/>
      <c r="U276" s="103"/>
      <c r="V276" s="103"/>
      <c r="W276" s="103"/>
      <c r="X276" s="103"/>
      <c r="Y276" s="103"/>
      <c r="Z276" s="103"/>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9"/>
      <c r="B277" s="9"/>
      <c r="C277" s="9"/>
      <c r="D277" s="26"/>
      <c r="E277" s="392"/>
      <c r="F277" s="87">
        <v>5</v>
      </c>
      <c r="G277" s="27"/>
      <c r="H277" s="146"/>
      <c r="I277" s="148"/>
      <c r="J277" s="148"/>
      <c r="K277" s="148"/>
      <c r="L277" s="147"/>
      <c r="M277" s="69" t="str">
        <f>IF(A16stdlife="n/a","n/a",IF(M$3&gt;(A16stdlife+$F277),(Input!$L$226*(1+vanilla5)^0.5)-SUM($L277:L277),(Input!$L$226*(1+vanilla5)^0.5)/A16stdlife))</f>
        <v>n/a</v>
      </c>
      <c r="N277" s="69" t="str">
        <f>IF(A16stdlife="n/a","n/a",IF(N$3&gt;(A16stdlife+$F277),(Input!$L$226*(1+vanilla5)^0.5)-SUM($L277:M277),(Input!$L$226*(1+vanilla5)^0.5)/A16stdlife))</f>
        <v>n/a</v>
      </c>
      <c r="O277" s="69" t="str">
        <f>IF(A16stdlife="n/a","n/a",IF(O$3&gt;(A16stdlife+$F277),(Input!$L$226*(1+vanilla5)^0.5)-SUM($L277:N277),(Input!$L$226*(1+vanilla5)^0.5)/A16stdlife))</f>
        <v>n/a</v>
      </c>
      <c r="P277" s="69" t="str">
        <f>IF(A16stdlife="n/a","n/a",IF(P$3&gt;(A16stdlife+$F277),(Input!$L$226*(1+vanilla5)^0.5)-SUM($L277:O277),(Input!$L$226*(1+vanilla5)^0.5)/A16stdlife))</f>
        <v>n/a</v>
      </c>
      <c r="Q277" s="69" t="str">
        <f>IF(A16stdlife="n/a","n/a",IF(Q$3&gt;(A16stdlife+$F277),(Input!$L$226*(1+vanilla5)^0.5)-SUM($L277:P277),(Input!$L$226*(1+vanilla5)^0.5)/A16stdlife))</f>
        <v>n/a</v>
      </c>
      <c r="R277" s="69"/>
      <c r="S277" s="103"/>
      <c r="T277" s="103"/>
      <c r="U277" s="103"/>
      <c r="V277" s="103"/>
      <c r="W277" s="103"/>
      <c r="X277" s="103"/>
      <c r="Y277" s="103"/>
      <c r="Z277" s="103"/>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103"/>
      <c r="BE277" s="103"/>
      <c r="BF277" s="103"/>
      <c r="BG277" s="103"/>
      <c r="BH277" s="103"/>
      <c r="BI277" s="103"/>
      <c r="BJ277" s="103"/>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9"/>
      <c r="D278" s="26"/>
      <c r="E278" s="392"/>
      <c r="F278" s="87">
        <v>6</v>
      </c>
      <c r="G278" s="27"/>
      <c r="H278" s="146"/>
      <c r="I278" s="148"/>
      <c r="J278" s="148"/>
      <c r="K278" s="148"/>
      <c r="L278" s="148"/>
      <c r="M278" s="147"/>
      <c r="N278" s="69" t="str">
        <f>IF(A16stdlife="n/a","n/a",IF(N$3&gt;(A16stdlife+$F278),(Input!$M$226*(1+vanilla6)^0.5)-SUM($M278:M278),(Input!$M$226*(1+vanilla6)^0.5)/A16stdlife))</f>
        <v>n/a</v>
      </c>
      <c r="O278" s="69" t="str">
        <f>IF(A16stdlife="n/a","n/a",IF(O$3&gt;(A16stdlife+$F278),(Input!$M$226*(1+vanilla6)^0.5)-SUM($M278:N278),(Input!$M$226*(1+vanilla6)^0.5)/A16stdlife))</f>
        <v>n/a</v>
      </c>
      <c r="P278" s="69" t="str">
        <f>IF(A16stdlife="n/a","n/a",IF(P$3&gt;(A16stdlife+$F278),(Input!$M$226*(1+vanilla6)^0.5)-SUM($M278:O278),(Input!$M$226*(1+vanilla6)^0.5)/A16stdlife))</f>
        <v>n/a</v>
      </c>
      <c r="Q278" s="69" t="str">
        <f>IF(A16stdlife="n/a","n/a",IF(Q$3&gt;(A16stdlife+$F278),(Input!$M$226*(1+vanilla6)^0.5)-SUM($M278:P278),(Input!$M$226*(1+vanilla6)^0.5)/A16stdlife))</f>
        <v>n/a</v>
      </c>
      <c r="R278" s="69"/>
      <c r="S278" s="103"/>
      <c r="T278" s="103"/>
      <c r="U278" s="103"/>
      <c r="V278" s="103"/>
      <c r="W278" s="103"/>
      <c r="X278" s="103"/>
      <c r="Y278" s="103"/>
      <c r="Z278" s="103"/>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c r="A279" s="9"/>
      <c r="B279" s="9"/>
      <c r="C279" s="9"/>
      <c r="D279" s="26"/>
      <c r="E279" s="392"/>
      <c r="F279" s="87">
        <v>7</v>
      </c>
      <c r="G279" s="27"/>
      <c r="H279" s="146"/>
      <c r="I279" s="148"/>
      <c r="J279" s="148"/>
      <c r="K279" s="148"/>
      <c r="L279" s="148"/>
      <c r="M279" s="148"/>
      <c r="N279" s="147"/>
      <c r="O279" s="69" t="str">
        <f>IF(A16stdlife="n/a","n/a",IF(O$3&gt;(A16stdlife+$F279),(Input!$N$226*(1+vanilla7)^0.5)-SUM($N279:N279),(Input!$N$226*(1+vanilla7)^0.5)/A16stdlife))</f>
        <v>n/a</v>
      </c>
      <c r="P279" s="69" t="str">
        <f>IF(A16stdlife="n/a","n/a",IF(P$3&gt;(A16stdlife+$F279),(Input!$N$226*(1+vanilla7)^0.5)-SUM($N279:O279),(Input!$N$226*(1+vanilla7)^0.5)/A16stdlife))</f>
        <v>n/a</v>
      </c>
      <c r="Q279" s="69" t="str">
        <f>IF(A16stdlife="n/a","n/a",IF(Q$3&gt;(A16stdlife+$F279),(Input!$N$226*(1+vanilla7)^0.5)-SUM($N279:P279),(Input!$N$226*(1+vanilla7)^0.5)/A16stdlife))</f>
        <v>n/a</v>
      </c>
      <c r="R279" s="69"/>
      <c r="S279" s="103"/>
      <c r="T279" s="103"/>
      <c r="U279" s="103"/>
      <c r="V279" s="103"/>
      <c r="W279" s="103"/>
      <c r="X279" s="103"/>
      <c r="Y279" s="103"/>
      <c r="Z279" s="103"/>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92"/>
      <c r="F280" s="87">
        <v>8</v>
      </c>
      <c r="G280" s="27"/>
      <c r="H280" s="146"/>
      <c r="I280" s="148"/>
      <c r="J280" s="148"/>
      <c r="K280" s="148"/>
      <c r="L280" s="148"/>
      <c r="M280" s="148"/>
      <c r="N280" s="148"/>
      <c r="O280" s="147"/>
      <c r="P280" s="69" t="str">
        <f>IF(A16stdlife="n/a","n/a",IF(P$3&gt;(A16stdlife+$F280),(Input!$O$226*(1+vanilla8)^0.5)-SUM($O280:O280),(Input!$O$226*(1+vanilla8)^0.5)/A16stdlife))</f>
        <v>n/a</v>
      </c>
      <c r="Q280" s="69" t="str">
        <f>IF(A16stdlife="n/a","n/a",IF(Q$3&gt;(A16stdlife+$F280),(Input!$O$226*(1+vanilla8)^0.5)-SUM($O280:P280),(Input!$O$226*(1+vanilla8)^0.5)/A16stdlife))</f>
        <v>n/a</v>
      </c>
      <c r="R280" s="69"/>
      <c r="S280" s="103"/>
      <c r="T280" s="103"/>
      <c r="U280" s="103"/>
      <c r="V280" s="103"/>
      <c r="W280" s="103"/>
      <c r="X280" s="103"/>
      <c r="Y280" s="103"/>
      <c r="Z280" s="103"/>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92"/>
      <c r="F281" s="87">
        <v>9</v>
      </c>
      <c r="G281" s="27"/>
      <c r="H281" s="146"/>
      <c r="I281" s="148"/>
      <c r="J281" s="148"/>
      <c r="K281" s="148"/>
      <c r="L281" s="148"/>
      <c r="M281" s="148"/>
      <c r="N281" s="148"/>
      <c r="O281" s="148"/>
      <c r="P281" s="147"/>
      <c r="Q281" s="69" t="str">
        <f>IF(A16stdlife="n/a","n/a",IF(Q$3&gt;(A16stdlife+$F281),(Input!$P$226*(1+vanilla9)^0.5)-SUM($P281:P281),(Input!$P$226*(1+vanilla9)^0.5)/A16stdlife))</f>
        <v>n/a</v>
      </c>
      <c r="R281" s="69"/>
      <c r="S281" s="103"/>
      <c r="T281" s="103"/>
      <c r="U281" s="103"/>
      <c r="V281" s="103"/>
      <c r="W281" s="103"/>
      <c r="X281" s="103"/>
      <c r="Y281" s="103"/>
      <c r="Z281" s="103"/>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92"/>
      <c r="F282" s="88">
        <v>10</v>
      </c>
      <c r="G282" s="27"/>
      <c r="H282" s="146"/>
      <c r="I282" s="148"/>
      <c r="J282" s="148"/>
      <c r="K282" s="148"/>
      <c r="L282" s="148"/>
      <c r="M282" s="148"/>
      <c r="N282" s="148"/>
      <c r="O282" s="148"/>
      <c r="P282" s="148"/>
      <c r="Q282" s="147"/>
      <c r="R282" s="69"/>
      <c r="S282" s="103"/>
      <c r="T282" s="103"/>
      <c r="U282" s="103"/>
      <c r="V282" s="103"/>
      <c r="W282" s="103"/>
      <c r="X282" s="103"/>
      <c r="Y282" s="103"/>
      <c r="Z282" s="103"/>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ollapsed="1">
      <c r="A283" s="9"/>
      <c r="B283" s="9"/>
      <c r="C283" s="9"/>
      <c r="D283" s="271">
        <f>Asset16</f>
        <v>0</v>
      </c>
      <c r="E283" s="9"/>
      <c r="F283" s="9"/>
      <c r="G283" s="121"/>
      <c r="H283" s="162">
        <f t="shared" ref="H283:M283" si="19">-SUM(H271:H282)</f>
        <v>0</v>
      </c>
      <c r="I283" s="162">
        <f t="shared" si="19"/>
        <v>0</v>
      </c>
      <c r="J283" s="162">
        <f t="shared" si="19"/>
        <v>0</v>
      </c>
      <c r="K283" s="162">
        <f t="shared" si="19"/>
        <v>0</v>
      </c>
      <c r="L283" s="162">
        <f t="shared" si="19"/>
        <v>0</v>
      </c>
      <c r="M283" s="162">
        <f t="shared" si="19"/>
        <v>0</v>
      </c>
      <c r="N283" s="69">
        <f>IF(COUNT($H283:M283)&gt;=Input!$Y$7,0, -SUM(N271:N282))</f>
        <v>0</v>
      </c>
      <c r="O283" s="69">
        <f>IF(COUNT($H283:N283)&gt;=Input!$Y$7,0, -SUM(O271:O282))</f>
        <v>0</v>
      </c>
      <c r="P283" s="69">
        <f>IF(COUNT($H283:O283)&gt;=Input!$Y$7,0, -SUM(P271:P282))</f>
        <v>0</v>
      </c>
      <c r="Q283" s="69">
        <f>IF(COUNT($H283:P283)&gt;=Input!$Y$7,0, -SUM(Q271:Q282))</f>
        <v>0</v>
      </c>
      <c r="R283" s="67"/>
      <c r="S283" s="105"/>
      <c r="T283" s="105"/>
      <c r="U283" s="105"/>
      <c r="V283" s="105"/>
      <c r="W283" s="105"/>
      <c r="X283" s="105"/>
      <c r="Y283" s="105"/>
      <c r="Z283" s="105"/>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c r="AV283" s="233"/>
      <c r="AW283" s="233"/>
      <c r="AX283" s="233"/>
      <c r="AY283" s="233"/>
      <c r="AZ283" s="233"/>
      <c r="BA283" s="233"/>
      <c r="BB283" s="233"/>
      <c r="BC283" s="233"/>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272">
        <f>Asset17</f>
        <v>0</v>
      </c>
      <c r="D284" s="158"/>
      <c r="E284" s="32" t="s">
        <v>26</v>
      </c>
      <c r="F284" s="31"/>
      <c r="G284" s="177"/>
      <c r="H284" s="68" t="str">
        <f>IF(H$3&gt;A17remlife,A17value-$G$646-SUM($G284:G284),IF(A17remlife="N/A","n/a",(A17value-$G$646)/A17remlife))</f>
        <v>n/a</v>
      </c>
      <c r="I284" s="68" t="str">
        <f>IF(I$3&gt;A17remlife,A17value-$G$646-SUM($G284:H284),IF(A17remlife="N/A","n/a",(A17value-$G$646)/A17remlife))</f>
        <v>n/a</v>
      </c>
      <c r="J284" s="68" t="str">
        <f>IF(J$3&gt;A17remlife,A17value-$G$646-SUM($G284:I284),IF(A17remlife="N/A","n/a",(A17value-$G$646)/A17remlife))</f>
        <v>n/a</v>
      </c>
      <c r="K284" s="68" t="str">
        <f>IF(K$3&gt;A17remlife,A17value-$G$646-SUM($G284:J284),IF(A17remlife="N/A","n/a",(A17value-$G$646)/A17remlife))</f>
        <v>n/a</v>
      </c>
      <c r="L284" s="68" t="str">
        <f>IF(L$3&gt;A17remlife,A17value-$G$646-SUM($G284:K284),IF(A17remlife="N/A","n/a",(A17value-$G$646)/A17remlife))</f>
        <v>n/a</v>
      </c>
      <c r="M284" s="68" t="str">
        <f>IF(M$3&gt;A17remlife,A17value-$G$646-SUM($G284:L284),IF(A17remlife="N/A","n/a",(A17value-$G$646)/A17remlife))</f>
        <v>n/a</v>
      </c>
      <c r="N284" s="68" t="str">
        <f>IF(N$3&gt;A17remlife,A17value-$G$646-SUM($G284:M284),IF(A17remlife="N/A","n/a",(A17value-$G$646)/A17remlife))</f>
        <v>n/a</v>
      </c>
      <c r="O284" s="68" t="str">
        <f>IF(O$3&gt;A17remlife,A17value-$G$646-SUM($G284:N284),IF(A17remlife="N/A","n/a",(A17value-$G$646)/A17remlife))</f>
        <v>n/a</v>
      </c>
      <c r="P284" s="68" t="str">
        <f>IF(P$3&gt;A17remlife,A17value-$G$646-SUM($G284:O284),IF(A17remlife="N/A","n/a",(A17value-$G$646)/A17remlife))</f>
        <v>n/a</v>
      </c>
      <c r="Q284" s="68" t="str">
        <f>IF(Q$3&gt;A17remlife,A17value-$G$646-SUM($G284:P284),IF(A17remlife="N/A","n/a",(A17value-$G$646)/A17remlife))</f>
        <v>n/a</v>
      </c>
      <c r="R284" s="68"/>
      <c r="S284" s="103"/>
      <c r="T284" s="103"/>
      <c r="U284" s="103"/>
      <c r="V284" s="103"/>
      <c r="W284" s="103"/>
      <c r="X284" s="103"/>
      <c r="Y284" s="103"/>
      <c r="Z284" s="103"/>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6"/>
      <c r="E285" s="391" t="s">
        <v>82</v>
      </c>
      <c r="F285" s="87"/>
      <c r="G285" s="121"/>
      <c r="H285" s="69"/>
      <c r="I285" s="69"/>
      <c r="J285" s="69"/>
      <c r="K285" s="69"/>
      <c r="L285" s="69"/>
      <c r="M285" s="160"/>
      <c r="N285" s="112"/>
      <c r="O285" s="69"/>
      <c r="P285" s="69"/>
      <c r="Q285" s="69"/>
      <c r="R285" s="69"/>
      <c r="S285" s="103"/>
      <c r="T285" s="103"/>
      <c r="U285" s="103"/>
      <c r="V285" s="103"/>
      <c r="W285" s="103"/>
      <c r="X285" s="103"/>
      <c r="Y285" s="103"/>
      <c r="Z285" s="103"/>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92"/>
      <c r="F286" s="87">
        <v>1</v>
      </c>
      <c r="G286" s="121"/>
      <c r="H286" s="145"/>
      <c r="I286" s="69" t="str">
        <f>IF(A17stdlife="n/a","n/a",IF(I$3&gt;(A17stdlife+$F286),(Input!$H$227*(1+vanilla1)^0.5)-SUM($H286:H286),(Input!$H$227*(1+vanilla1)^0.5)/A17stdlife))</f>
        <v>n/a</v>
      </c>
      <c r="J286" s="69" t="str">
        <f>IF(A17stdlife="n/a","n/a",IF(J$3&gt;(A17stdlife+$F286),(Input!$H$227*(1+vanilla1)^0.5)-SUM($H286:I286),(Input!$H$227*(1+vanilla1)^0.5)/A17stdlife))</f>
        <v>n/a</v>
      </c>
      <c r="K286" s="69" t="str">
        <f>IF(A17stdlife="n/a","n/a",IF(K$3&gt;(A17stdlife+$F286),(Input!$H$227*(1+vanilla1)^0.5)-SUM($H286:J286),(Input!$H$227*(1+vanilla1)^0.5)/A17stdlife))</f>
        <v>n/a</v>
      </c>
      <c r="L286" s="69" t="str">
        <f>IF(A17stdlife="n/a","n/a",IF(L$3&gt;(A17stdlife+$F286),(Input!$H$227*(1+vanilla1)^0.5)-SUM($H286:K286),(Input!$H$227*(1+vanilla1)^0.5)/A17stdlife))</f>
        <v>n/a</v>
      </c>
      <c r="M286" s="69" t="str">
        <f>IF(A17stdlife="n/a","n/a",IF(M$3&gt;(A17stdlife+$F286),(Input!$H$227*(1+vanilla1)^0.5)-SUM($H286:L286),(Input!$H$227*(1+vanilla1)^0.5)/A17stdlife))</f>
        <v>n/a</v>
      </c>
      <c r="N286" s="69" t="str">
        <f>IF(A17stdlife="n/a","n/a",IF(N$3&gt;(A17stdlife+$F286),(Input!$H$227*(1+vanilla1)^0.5)-SUM($H286:M286),(Input!$H$227*(1+vanilla1)^0.5)/A17stdlife))</f>
        <v>n/a</v>
      </c>
      <c r="O286" s="69" t="str">
        <f>IF(A17stdlife="n/a","n/a",IF(O$3&gt;(A17stdlife+$F286),(Input!$H$227*(1+vanilla1)^0.5)-SUM($H286:N286),(Input!$H$227*(1+vanilla1)^0.5)/A17stdlife))</f>
        <v>n/a</v>
      </c>
      <c r="P286" s="69" t="str">
        <f>IF(A17stdlife="n/a","n/a",IF(P$3&gt;(A17stdlife+$F286),(Input!$H$227*(1+vanilla1)^0.5)-SUM($H286:O286),(Input!$H$227*(1+vanilla1)^0.5)/A17stdlife))</f>
        <v>n/a</v>
      </c>
      <c r="Q286" s="69" t="str">
        <f>IF(A17stdlife="n/a","n/a",IF(Q$3&gt;(A17stdlife+$F286),(Input!$H$227*(1+vanilla1)^0.5)-SUM($H286:P286),(Input!$H$227*(1+vanilla1)^0.5)/A17stdlife))</f>
        <v>n/a</v>
      </c>
      <c r="R286" s="69"/>
      <c r="S286" s="103"/>
      <c r="T286" s="103"/>
      <c r="U286" s="103"/>
      <c r="V286" s="103"/>
      <c r="W286" s="103"/>
      <c r="X286" s="103"/>
      <c r="Y286" s="103"/>
      <c r="Z286" s="103"/>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92"/>
      <c r="F287" s="87">
        <v>2</v>
      </c>
      <c r="G287" s="121"/>
      <c r="H287" s="146"/>
      <c r="I287" s="147"/>
      <c r="J287" s="69" t="str">
        <f>IF(A17stdlife="n/a","n/a",IF(J$3&gt;(A17stdlife+$F287),(Input!$I$227*(1+vanilla2)^0.5)-SUM($I287:I287),(Input!$I$227*(1+vanilla2)^0.5)/A17stdlife))</f>
        <v>n/a</v>
      </c>
      <c r="K287" s="69" t="str">
        <f>IF(A17stdlife="n/a","n/a",IF(K$3&gt;(A17stdlife+$F287),(Input!$I$227*(1+vanilla2)^0.5)-SUM($I287:J287),(Input!$I$227*(1+vanilla2)^0.5)/A17stdlife))</f>
        <v>n/a</v>
      </c>
      <c r="L287" s="69" t="str">
        <f>IF(A17stdlife="n/a","n/a",IF(L$3&gt;(A17stdlife+$F287),(Input!$I$227*(1+vanilla2)^0.5)-SUM($I287:K287),(Input!$I$227*(1+vanilla2)^0.5)/A17stdlife))</f>
        <v>n/a</v>
      </c>
      <c r="M287" s="69" t="str">
        <f>IF(A17stdlife="n/a","n/a",IF(M$3&gt;(A17stdlife+$F287),(Input!$I$227*(1+vanilla2)^0.5)-SUM($I287:L287),(Input!$I$227*(1+vanilla2)^0.5)/A17stdlife))</f>
        <v>n/a</v>
      </c>
      <c r="N287" s="69" t="str">
        <f>IF(A17stdlife="n/a","n/a",IF(N$3&gt;(A17stdlife+$F287),(Input!$I$227*(1+vanilla2)^0.5)-SUM($I287:M287),(Input!$I$227*(1+vanilla2)^0.5)/A17stdlife))</f>
        <v>n/a</v>
      </c>
      <c r="O287" s="69" t="str">
        <f>IF(A17stdlife="n/a","n/a",IF(O$3&gt;(A17stdlife+$F287),(Input!$I$227*(1+vanilla2)^0.5)-SUM($I287:N287),(Input!$I$227*(1+vanilla2)^0.5)/A17stdlife))</f>
        <v>n/a</v>
      </c>
      <c r="P287" s="69" t="str">
        <f>IF(A17stdlife="n/a","n/a",IF(P$3&gt;(A17stdlife+$F287),(Input!$I$227*(1+vanilla2)^0.5)-SUM($I287:O287),(Input!$I$227*(1+vanilla2)^0.5)/A17stdlife))</f>
        <v>n/a</v>
      </c>
      <c r="Q287" s="69" t="str">
        <f>IF(A17stdlife="n/a","n/a",IF(Q$3&gt;(A17stdlife+$F287),(Input!$I$227*(1+vanilla2)^0.5)-SUM($I287:P287),(Input!$I$227*(1+vanilla2)^0.5)/A17stdlife))</f>
        <v>n/a</v>
      </c>
      <c r="R287" s="69"/>
      <c r="S287" s="103"/>
      <c r="T287" s="103"/>
      <c r="U287" s="103"/>
      <c r="V287" s="103"/>
      <c r="W287" s="103"/>
      <c r="X287" s="103"/>
      <c r="Y287" s="103"/>
      <c r="Z287" s="103"/>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92"/>
      <c r="F288" s="87">
        <v>3</v>
      </c>
      <c r="G288" s="121"/>
      <c r="H288" s="146"/>
      <c r="I288" s="148"/>
      <c r="J288" s="147"/>
      <c r="K288" s="69" t="str">
        <f>IF(A17stdlife="n/a","n/a",IF(K$3&gt;(A17stdlife+$F288),(Input!$J$227*(1+vanilla3)^0.5)-SUM($J288:J288),(Input!$J$227*(1+vanilla3)^0.5)/A17stdlife))</f>
        <v>n/a</v>
      </c>
      <c r="L288" s="69" t="str">
        <f>IF(A17stdlife="n/a","n/a",IF(L$3&gt;(A17stdlife+$F288),(Input!$J$227*(1+vanilla3)^0.5)-SUM($J288:K288),(Input!$J$227*(1+vanilla3)^0.5)/A17stdlife))</f>
        <v>n/a</v>
      </c>
      <c r="M288" s="69" t="str">
        <f>IF(A17stdlife="n/a","n/a",IF(M$3&gt;(A17stdlife+$F288),(Input!$J$227*(1+vanilla3)^0.5)-SUM($J288:L288),(Input!$J$227*(1+vanilla3)^0.5)/A17stdlife))</f>
        <v>n/a</v>
      </c>
      <c r="N288" s="69" t="str">
        <f>IF(A17stdlife="n/a","n/a",IF(N$3&gt;(A17stdlife+$F288),(Input!$J$227*(1+vanilla3)^0.5)-SUM($J288:M288),(Input!$J$227*(1+vanilla3)^0.5)/A17stdlife))</f>
        <v>n/a</v>
      </c>
      <c r="O288" s="69" t="str">
        <f>IF(A17stdlife="n/a","n/a",IF(O$3&gt;(A17stdlife+$F288),(Input!$J$227*(1+vanilla3)^0.5)-SUM($J288:N288),(Input!$J$227*(1+vanilla3)^0.5)/A17stdlife))</f>
        <v>n/a</v>
      </c>
      <c r="P288" s="69" t="str">
        <f>IF(A17stdlife="n/a","n/a",IF(P$3&gt;(A17stdlife+$F288),(Input!$J$227*(1+vanilla3)^0.5)-SUM($J288:O288),(Input!$J$227*(1+vanilla3)^0.5)/A17stdlife))</f>
        <v>n/a</v>
      </c>
      <c r="Q288" s="69" t="str">
        <f>IF(A17stdlife="n/a","n/a",IF(Q$3&gt;(A17stdlife+$F288),(Input!$J$227*(1+vanilla3)^0.5)-SUM($J288:P288),(Input!$J$227*(1+vanilla3)^0.5)/A17stdlife))</f>
        <v>n/a</v>
      </c>
      <c r="R288" s="69"/>
      <c r="S288" s="103"/>
      <c r="T288" s="103"/>
      <c r="U288" s="103"/>
      <c r="V288" s="103"/>
      <c r="W288" s="103"/>
      <c r="X288" s="103"/>
      <c r="Y288" s="103"/>
      <c r="Z288" s="103"/>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92"/>
      <c r="F289" s="87">
        <v>4</v>
      </c>
      <c r="G289" s="121"/>
      <c r="H289" s="146"/>
      <c r="I289" s="148"/>
      <c r="J289" s="148"/>
      <c r="K289" s="147"/>
      <c r="L289" s="69" t="str">
        <f>IF(A17stdlife="n/a","n/a",IF(L$3&gt;(A17stdlife+$F289),(Input!$K$227*(1+vanilla4)^0.5)-SUM($K289:K289),(Input!$K$227*(1+vanilla4)^0.5)/A17stdlife))</f>
        <v>n/a</v>
      </c>
      <c r="M289" s="69" t="str">
        <f>IF(A17stdlife="n/a","n/a",IF(M$3&gt;(A17stdlife+$F289),(Input!$K$227*(1+vanilla4)^0.5)-SUM($K289:L289),(Input!$K$227*(1+vanilla4)^0.5)/A17stdlife))</f>
        <v>n/a</v>
      </c>
      <c r="N289" s="69" t="str">
        <f>IF(A17stdlife="n/a","n/a",IF(N$3&gt;(A17stdlife+$F289),(Input!$K$227*(1+vanilla4)^0.5)-SUM($K289:M289),(Input!$K$227*(1+vanilla4)^0.5)/A17stdlife))</f>
        <v>n/a</v>
      </c>
      <c r="O289" s="69" t="str">
        <f>IF(A17stdlife="n/a","n/a",IF(O$3&gt;(A17stdlife+$F289),(Input!$K$227*(1+vanilla4)^0.5)-SUM($K289:N289),(Input!$K$227*(1+vanilla4)^0.5)/A17stdlife))</f>
        <v>n/a</v>
      </c>
      <c r="P289" s="69" t="str">
        <f>IF(A17stdlife="n/a","n/a",IF(P$3&gt;(A17stdlife+$F289),(Input!$K$227*(1+vanilla4)^0.5)-SUM($K289:O289),(Input!$K$227*(1+vanilla4)^0.5)/A17stdlife))</f>
        <v>n/a</v>
      </c>
      <c r="Q289" s="69" t="str">
        <f>IF(A17stdlife="n/a","n/a",IF(Q$3&gt;(A17stdlife+$F289),(Input!$K$227*(1+vanilla4)^0.5)-SUM($K289:P289),(Input!$K$227*(1+vanilla4)^0.5)/A17stdlife))</f>
        <v>n/a</v>
      </c>
      <c r="R289" s="69"/>
      <c r="S289" s="103"/>
      <c r="T289" s="103"/>
      <c r="U289" s="103"/>
      <c r="V289" s="103"/>
      <c r="W289" s="103"/>
      <c r="X289" s="103"/>
      <c r="Y289" s="103"/>
      <c r="Z289" s="103"/>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103"/>
      <c r="BE289" s="103"/>
      <c r="BF289" s="103"/>
      <c r="BG289" s="103"/>
      <c r="BH289" s="103"/>
      <c r="BI289" s="103"/>
      <c r="BJ289" s="103"/>
      <c r="BK289" s="103"/>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9"/>
      <c r="B290" s="9"/>
      <c r="C290" s="9"/>
      <c r="D290" s="26"/>
      <c r="E290" s="392"/>
      <c r="F290" s="87">
        <v>5</v>
      </c>
      <c r="G290" s="27"/>
      <c r="H290" s="146"/>
      <c r="I290" s="148"/>
      <c r="J290" s="148"/>
      <c r="K290" s="148"/>
      <c r="L290" s="147"/>
      <c r="M290" s="69" t="str">
        <f>IF(A17stdlife="n/a","n/a",IF(M$3&gt;(A17stdlife+$F290),(Input!$L$227*(1+vanilla5)^0.5)-SUM($L290:L290),(Input!$L$227*(1+vanilla5)^0.5)/A17stdlife))</f>
        <v>n/a</v>
      </c>
      <c r="N290" s="69" t="str">
        <f>IF(A17stdlife="n/a","n/a",IF(N$3&gt;(A17stdlife+$F290),(Input!$L$227*(1+vanilla5)^0.5)-SUM($L290:M290),(Input!$L$227*(1+vanilla5)^0.5)/A17stdlife))</f>
        <v>n/a</v>
      </c>
      <c r="O290" s="69" t="str">
        <f>IF(A17stdlife="n/a","n/a",IF(O$3&gt;(A17stdlife+$F290),(Input!$L$227*(1+vanilla5)^0.5)-SUM($L290:N290),(Input!$L$227*(1+vanilla5)^0.5)/A17stdlife))</f>
        <v>n/a</v>
      </c>
      <c r="P290" s="69" t="str">
        <f>IF(A17stdlife="n/a","n/a",IF(P$3&gt;(A17stdlife+$F290),(Input!$L$227*(1+vanilla5)^0.5)-SUM($L290:O290),(Input!$L$227*(1+vanilla5)^0.5)/A17stdlife))</f>
        <v>n/a</v>
      </c>
      <c r="Q290" s="69" t="str">
        <f>IF(A17stdlife="n/a","n/a",IF(Q$3&gt;(A17stdlife+$F290),(Input!$L$227*(1+vanilla5)^0.5)-SUM($L290:P290),(Input!$L$227*(1+vanilla5)^0.5)/A17stdlife))</f>
        <v>n/a</v>
      </c>
      <c r="R290" s="69"/>
      <c r="S290" s="103"/>
      <c r="T290" s="103"/>
      <c r="U290" s="103"/>
      <c r="V290" s="103"/>
      <c r="W290" s="103"/>
      <c r="X290" s="103"/>
      <c r="Y290" s="103"/>
      <c r="Z290" s="103"/>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103"/>
      <c r="BE290" s="103"/>
      <c r="BF290" s="103"/>
      <c r="BG290" s="103"/>
      <c r="BH290" s="103"/>
      <c r="BI290" s="103"/>
      <c r="BJ290" s="103"/>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9"/>
      <c r="D291" s="26"/>
      <c r="E291" s="392"/>
      <c r="F291" s="87">
        <v>6</v>
      </c>
      <c r="G291" s="27"/>
      <c r="H291" s="146"/>
      <c r="I291" s="148"/>
      <c r="J291" s="148"/>
      <c r="K291" s="148"/>
      <c r="L291" s="148"/>
      <c r="M291" s="147"/>
      <c r="N291" s="69" t="str">
        <f>IF(A17stdlife="n/a","n/a",IF(N$3&gt;(A17stdlife+$F291),(Input!$M$227*(1+vanilla6)^0.5)-SUM($M291:M291),(Input!$M$227*(1+vanilla6)^0.5)/A17stdlife))</f>
        <v>n/a</v>
      </c>
      <c r="O291" s="69" t="str">
        <f>IF(A17stdlife="n/a","n/a",IF(O$3&gt;(A17stdlife+$F291),(Input!$M$227*(1+vanilla6)^0.5)-SUM($M291:N291),(Input!$M$227*(1+vanilla6)^0.5)/A17stdlife))</f>
        <v>n/a</v>
      </c>
      <c r="P291" s="69" t="str">
        <f>IF(A17stdlife="n/a","n/a",IF(P$3&gt;(A17stdlife+$F291),(Input!$M$227*(1+vanilla6)^0.5)-SUM($M291:O291),(Input!$M$227*(1+vanilla6)^0.5)/A17stdlife))</f>
        <v>n/a</v>
      </c>
      <c r="Q291" s="69" t="str">
        <f>IF(A17stdlife="n/a","n/a",IF(Q$3&gt;(A17stdlife+$F291),(Input!$M$227*(1+vanilla6)^0.5)-SUM($M291:P291),(Input!$M$227*(1+vanilla6)^0.5)/A17stdlife))</f>
        <v>n/a</v>
      </c>
      <c r="R291" s="69"/>
      <c r="S291" s="103"/>
      <c r="T291" s="103"/>
      <c r="U291" s="103"/>
      <c r="V291" s="103"/>
      <c r="W291" s="103"/>
      <c r="X291" s="103"/>
      <c r="Y291" s="103"/>
      <c r="Z291" s="103"/>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c r="A292" s="9"/>
      <c r="B292" s="9"/>
      <c r="C292" s="9"/>
      <c r="D292" s="26"/>
      <c r="E292" s="392"/>
      <c r="F292" s="87">
        <v>7</v>
      </c>
      <c r="G292" s="27"/>
      <c r="H292" s="146"/>
      <c r="I292" s="148"/>
      <c r="J292" s="148"/>
      <c r="K292" s="148"/>
      <c r="L292" s="148"/>
      <c r="M292" s="148"/>
      <c r="N292" s="147"/>
      <c r="O292" s="69" t="str">
        <f>IF(A17stdlife="n/a","n/a",IF(O$3&gt;(A17stdlife+$F292),(Input!$N$227*(1+vanilla7)^0.5)-SUM($N292:N292),(Input!$N$227*(1+vanilla7)^0.5)/A17stdlife))</f>
        <v>n/a</v>
      </c>
      <c r="P292" s="69" t="str">
        <f>IF(A17stdlife="n/a","n/a",IF(P$3&gt;(A17stdlife+$F292),(Input!$N$227*(1+vanilla7)^0.5)-SUM($N292:O292),(Input!$N$227*(1+vanilla7)^0.5)/A17stdlife))</f>
        <v>n/a</v>
      </c>
      <c r="Q292" s="69" t="str">
        <f>IF(A17stdlife="n/a","n/a",IF(Q$3&gt;(A17stdlife+$F292),(Input!$N$227*(1+vanilla7)^0.5)-SUM($N292:P292),(Input!$N$227*(1+vanilla7)^0.5)/A17stdlife))</f>
        <v>n/a</v>
      </c>
      <c r="R292" s="69"/>
      <c r="S292" s="103"/>
      <c r="T292" s="103"/>
      <c r="U292" s="103"/>
      <c r="V292" s="103"/>
      <c r="W292" s="103"/>
      <c r="X292" s="103"/>
      <c r="Y292" s="103"/>
      <c r="Z292" s="103"/>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92"/>
      <c r="F293" s="87">
        <v>8</v>
      </c>
      <c r="G293" s="27"/>
      <c r="H293" s="146"/>
      <c r="I293" s="148"/>
      <c r="J293" s="148"/>
      <c r="K293" s="148"/>
      <c r="L293" s="148"/>
      <c r="M293" s="148"/>
      <c r="N293" s="148"/>
      <c r="O293" s="147"/>
      <c r="P293" s="69" t="str">
        <f>IF(A17stdlife="n/a","n/a",IF(P$3&gt;(A17stdlife+$F293),(Input!$O$227*(1+vanilla8)^0.5)-SUM($O293:O293),(Input!$O$227*(1+vanilla8)^0.5)/A17stdlife))</f>
        <v>n/a</v>
      </c>
      <c r="Q293" s="69" t="str">
        <f>IF(A17stdlife="n/a","n/a",IF(Q$3&gt;(A17stdlife+$F293),(Input!$O$227*(1+vanilla8)^0.5)-SUM($O293:P293),(Input!$O$227*(1+vanilla8)^0.5)/A17stdlife))</f>
        <v>n/a</v>
      </c>
      <c r="R293" s="69"/>
      <c r="S293" s="103"/>
      <c r="T293" s="103"/>
      <c r="U293" s="103"/>
      <c r="V293" s="103"/>
      <c r="W293" s="103"/>
      <c r="X293" s="103"/>
      <c r="Y293" s="103"/>
      <c r="Z293" s="103"/>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92"/>
      <c r="F294" s="87">
        <v>9</v>
      </c>
      <c r="G294" s="27"/>
      <c r="H294" s="146"/>
      <c r="I294" s="148"/>
      <c r="J294" s="148"/>
      <c r="K294" s="148"/>
      <c r="L294" s="148"/>
      <c r="M294" s="148"/>
      <c r="N294" s="148"/>
      <c r="O294" s="148"/>
      <c r="P294" s="147"/>
      <c r="Q294" s="69" t="str">
        <f>IF(A17stdlife="n/a","n/a",IF(Q$3&gt;(A17stdlife+$F294),(Input!$P$227*(1+vanilla9)^0.5)-SUM($P294:P294),(Input!$P$227*(1+vanilla9)^0.5)/A17stdlife))</f>
        <v>n/a</v>
      </c>
      <c r="R294" s="69"/>
      <c r="S294" s="103"/>
      <c r="T294" s="103"/>
      <c r="U294" s="103"/>
      <c r="V294" s="103"/>
      <c r="W294" s="103"/>
      <c r="X294" s="103"/>
      <c r="Y294" s="103"/>
      <c r="Z294" s="103"/>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92"/>
      <c r="F295" s="88">
        <v>10</v>
      </c>
      <c r="G295" s="27"/>
      <c r="H295" s="146"/>
      <c r="I295" s="148"/>
      <c r="J295" s="148"/>
      <c r="K295" s="148"/>
      <c r="L295" s="148"/>
      <c r="M295" s="148"/>
      <c r="N295" s="148"/>
      <c r="O295" s="148"/>
      <c r="P295" s="148"/>
      <c r="Q295" s="147"/>
      <c r="R295" s="69"/>
      <c r="S295" s="103"/>
      <c r="T295" s="103"/>
      <c r="U295" s="103"/>
      <c r="V295" s="103"/>
      <c r="W295" s="103"/>
      <c r="X295" s="103"/>
      <c r="Y295" s="103"/>
      <c r="Z295" s="103"/>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ollapsed="1">
      <c r="A296" s="9"/>
      <c r="B296" s="9"/>
      <c r="C296" s="9"/>
      <c r="D296" s="271">
        <f>Asset17</f>
        <v>0</v>
      </c>
      <c r="E296" s="9"/>
      <c r="F296" s="9"/>
      <c r="G296" s="121"/>
      <c r="H296" s="162">
        <f t="shared" ref="H296:M296" si="20">-SUM(H284:H295)</f>
        <v>0</v>
      </c>
      <c r="I296" s="162">
        <f t="shared" si="20"/>
        <v>0</v>
      </c>
      <c r="J296" s="162">
        <f t="shared" si="20"/>
        <v>0</v>
      </c>
      <c r="K296" s="162">
        <f t="shared" si="20"/>
        <v>0</v>
      </c>
      <c r="L296" s="162">
        <f t="shared" si="20"/>
        <v>0</v>
      </c>
      <c r="M296" s="162">
        <f t="shared" si="20"/>
        <v>0</v>
      </c>
      <c r="N296" s="69">
        <f>IF(COUNT($H296:M296)&gt;=Input!$Y$7,0, -SUM(N284:N295))</f>
        <v>0</v>
      </c>
      <c r="O296" s="69">
        <f>IF(COUNT($H296:N296)&gt;=Input!$Y$7,0, -SUM(O284:O295))</f>
        <v>0</v>
      </c>
      <c r="P296" s="69">
        <f>IF(COUNT($H296:O296)&gt;=Input!$Y$7,0, -SUM(P284:P295))</f>
        <v>0</v>
      </c>
      <c r="Q296" s="69">
        <f>IF(COUNT($H296:P296)&gt;=Input!$Y$7,0, -SUM(Q284:Q295))</f>
        <v>0</v>
      </c>
      <c r="R296" s="67"/>
      <c r="S296" s="105"/>
      <c r="T296" s="105"/>
      <c r="U296" s="105"/>
      <c r="V296" s="105"/>
      <c r="W296" s="105"/>
      <c r="X296" s="105"/>
      <c r="Y296" s="105"/>
      <c r="Z296" s="105"/>
      <c r="AA296" s="233"/>
      <c r="AB296" s="233"/>
      <c r="AC296" s="233"/>
      <c r="AD296" s="233"/>
      <c r="AE296" s="233"/>
      <c r="AF296" s="233"/>
      <c r="AG296" s="233"/>
      <c r="AH296" s="233"/>
      <c r="AI296" s="233"/>
      <c r="AJ296" s="233"/>
      <c r="AK296" s="233"/>
      <c r="AL296" s="233"/>
      <c r="AM296" s="233"/>
      <c r="AN296" s="233"/>
      <c r="AO296" s="233"/>
      <c r="AP296" s="233"/>
      <c r="AQ296" s="233"/>
      <c r="AR296" s="233"/>
      <c r="AS296" s="233"/>
      <c r="AT296" s="233"/>
      <c r="AU296" s="233"/>
      <c r="AV296" s="233"/>
      <c r="AW296" s="233"/>
      <c r="AX296" s="233"/>
      <c r="AY296" s="233"/>
      <c r="AZ296" s="233"/>
      <c r="BA296" s="233"/>
      <c r="BB296" s="233"/>
      <c r="BC296" s="233"/>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272">
        <f>Asset18</f>
        <v>0</v>
      </c>
      <c r="D297" s="158"/>
      <c r="E297" s="32" t="s">
        <v>26</v>
      </c>
      <c r="F297" s="31"/>
      <c r="G297" s="177"/>
      <c r="H297" s="68" t="str">
        <f>IF(H$3&gt;A18remlife,A18value-$G$647-SUM($G297:G297),IF(A18remlife="N/A","n/a",(A18value-$G$647)/A18remlife))</f>
        <v>n/a</v>
      </c>
      <c r="I297" s="68" t="str">
        <f>IF(I$3&gt;A18remlife,A18value-$G$647-SUM($G297:H297),IF(A18remlife="N/A","n/a",(A18value-$G$647)/A18remlife))</f>
        <v>n/a</v>
      </c>
      <c r="J297" s="68" t="str">
        <f>IF(J$3&gt;A18remlife,A18value-$G$647-SUM($G297:I297),IF(A18remlife="N/A","n/a",(A18value-$G$647)/A18remlife))</f>
        <v>n/a</v>
      </c>
      <c r="K297" s="68" t="str">
        <f>IF(K$3&gt;A18remlife,A18value-$G$647-SUM($G297:J297),IF(A18remlife="N/A","n/a",(A18value-$G$647)/A18remlife))</f>
        <v>n/a</v>
      </c>
      <c r="L297" s="68" t="str">
        <f>IF(L$3&gt;A18remlife,A18value-$G$647-SUM($G297:K297),IF(A18remlife="N/A","n/a",(A18value-$G$647)/A18remlife))</f>
        <v>n/a</v>
      </c>
      <c r="M297" s="68" t="str">
        <f>IF(M$3&gt;A18remlife,A18value-$G$647-SUM($G297:L297),IF(A18remlife="N/A","n/a",(A18value-$G$647)/A18remlife))</f>
        <v>n/a</v>
      </c>
      <c r="N297" s="68" t="str">
        <f>IF(N$3&gt;A18remlife,A18value-$G$647-SUM($G297:M297),IF(A18remlife="N/A","n/a",(A18value-$G$647)/A18remlife))</f>
        <v>n/a</v>
      </c>
      <c r="O297" s="68" t="str">
        <f>IF(O$3&gt;A18remlife,A18value-$G$647-SUM($G297:N297),IF(A18remlife="N/A","n/a",(A18value-$G$647)/A18remlife))</f>
        <v>n/a</v>
      </c>
      <c r="P297" s="68" t="str">
        <f>IF(P$3&gt;A18remlife,A18value-$G$647-SUM($G297:O297),IF(A18remlife="N/A","n/a",(A18value-$G$647)/A18remlife))</f>
        <v>n/a</v>
      </c>
      <c r="Q297" s="68" t="str">
        <f>IF(Q$3&gt;A18remlife,A18value-$G$647-SUM($G297:P297),IF(A18remlife="N/A","n/a",(A18value-$G$647)/A18remlife))</f>
        <v>n/a</v>
      </c>
      <c r="R297" s="68"/>
      <c r="S297" s="103"/>
      <c r="T297" s="103"/>
      <c r="U297" s="103"/>
      <c r="V297" s="103"/>
      <c r="W297" s="103"/>
      <c r="X297" s="103"/>
      <c r="Y297" s="103"/>
      <c r="Z297" s="103"/>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9"/>
      <c r="D298" s="26"/>
      <c r="E298" s="391" t="s">
        <v>82</v>
      </c>
      <c r="F298" s="87"/>
      <c r="G298" s="121"/>
      <c r="H298" s="69"/>
      <c r="I298" s="69"/>
      <c r="J298" s="69"/>
      <c r="K298" s="69"/>
      <c r="L298" s="69"/>
      <c r="M298" s="160"/>
      <c r="N298" s="112"/>
      <c r="O298" s="69"/>
      <c r="P298" s="69"/>
      <c r="Q298" s="69"/>
      <c r="R298" s="69"/>
      <c r="S298" s="103"/>
      <c r="T298" s="103"/>
      <c r="U298" s="103"/>
      <c r="V298" s="103"/>
      <c r="W298" s="103"/>
      <c r="X298" s="103"/>
      <c r="Y298" s="103"/>
      <c r="Z298" s="103"/>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92"/>
      <c r="F299" s="87">
        <v>1</v>
      </c>
      <c r="G299" s="121"/>
      <c r="H299" s="145"/>
      <c r="I299" s="69" t="str">
        <f>IF(A18stdlife="n/a","n/a",IF(I$3&gt;(A18stdlife+$F299),(Input!$H$228*(1+vanilla1)^0.5)-SUM($H299:H299),(Input!$H$228*(1+vanilla1)^0.5)/A18stdlife))</f>
        <v>n/a</v>
      </c>
      <c r="J299" s="69" t="str">
        <f>IF(A18stdlife="n/a","n/a",IF(J$3&gt;(A18stdlife+$F299),(Input!$H$228*(1+vanilla1)^0.5)-SUM($H299:I299),(Input!$H$228*(1+vanilla1)^0.5)/A18stdlife))</f>
        <v>n/a</v>
      </c>
      <c r="K299" s="69" t="str">
        <f>IF(A18stdlife="n/a","n/a",IF(K$3&gt;(A18stdlife+$F299),(Input!$H$228*(1+vanilla1)^0.5)-SUM($H299:J299),(Input!$H$228*(1+vanilla1)^0.5)/A18stdlife))</f>
        <v>n/a</v>
      </c>
      <c r="L299" s="69" t="str">
        <f>IF(A18stdlife="n/a","n/a",IF(L$3&gt;(A18stdlife+$F299),(Input!$H$228*(1+vanilla1)^0.5)-SUM($H299:K299),(Input!$H$228*(1+vanilla1)^0.5)/A18stdlife))</f>
        <v>n/a</v>
      </c>
      <c r="M299" s="69" t="str">
        <f>IF(A18stdlife="n/a","n/a",IF(M$3&gt;(A18stdlife+$F299),(Input!$H$228*(1+vanilla1)^0.5)-SUM($H299:L299),(Input!$H$228*(1+vanilla1)^0.5)/A18stdlife))</f>
        <v>n/a</v>
      </c>
      <c r="N299" s="69" t="str">
        <f>IF(A18stdlife="n/a","n/a",IF(N$3&gt;(A18stdlife+$F299),(Input!$H$228*(1+vanilla1)^0.5)-SUM($H299:M299),(Input!$H$228*(1+vanilla1)^0.5)/A18stdlife))</f>
        <v>n/a</v>
      </c>
      <c r="O299" s="69" t="str">
        <f>IF(A18stdlife="n/a","n/a",IF(O$3&gt;(A18stdlife+$F299),(Input!$H$228*(1+vanilla1)^0.5)-SUM($H299:N299),(Input!$H$228*(1+vanilla1)^0.5)/A18stdlife))</f>
        <v>n/a</v>
      </c>
      <c r="P299" s="69" t="str">
        <f>IF(A18stdlife="n/a","n/a",IF(P$3&gt;(A18stdlife+$F299),(Input!$H$228*(1+vanilla1)^0.5)-SUM($H299:O299),(Input!$H$228*(1+vanilla1)^0.5)/A18stdlife))</f>
        <v>n/a</v>
      </c>
      <c r="Q299" s="69" t="str">
        <f>IF(A18stdlife="n/a","n/a",IF(Q$3&gt;(A18stdlife+$F299),(Input!$H$228*(1+vanilla1)^0.5)-SUM($H299:P299),(Input!$H$228*(1+vanilla1)^0.5)/A18stdlife))</f>
        <v>n/a</v>
      </c>
      <c r="R299" s="69"/>
      <c r="S299" s="103"/>
      <c r="T299" s="103"/>
      <c r="U299" s="103"/>
      <c r="V299" s="103"/>
      <c r="W299" s="103"/>
      <c r="X299" s="103"/>
      <c r="Y299" s="103"/>
      <c r="Z299" s="103"/>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92"/>
      <c r="F300" s="87">
        <v>2</v>
      </c>
      <c r="G300" s="121"/>
      <c r="H300" s="146"/>
      <c r="I300" s="147"/>
      <c r="J300" s="69" t="str">
        <f>IF(A18stdlife="n/a","n/a",IF(J$3&gt;(A18stdlife+$F300),(Input!$I$228*(1+vanilla2)^0.5)-SUM($I300:I300),(Input!$I$228*(1+vanilla2)^0.5)/A18stdlife))</f>
        <v>n/a</v>
      </c>
      <c r="K300" s="69" t="str">
        <f>IF(A18stdlife="n/a","n/a",IF(K$3&gt;(A18stdlife+$F300),(Input!$I$228*(1+vanilla2)^0.5)-SUM($I300:J300),(Input!$I$228*(1+vanilla2)^0.5)/A18stdlife))</f>
        <v>n/a</v>
      </c>
      <c r="L300" s="69" t="str">
        <f>IF(A18stdlife="n/a","n/a",IF(L$3&gt;(A18stdlife+$F300),(Input!$I$228*(1+vanilla2)^0.5)-SUM($I300:K300),(Input!$I$228*(1+vanilla2)^0.5)/A18stdlife))</f>
        <v>n/a</v>
      </c>
      <c r="M300" s="69" t="str">
        <f>IF(A18stdlife="n/a","n/a",IF(M$3&gt;(A18stdlife+$F300),(Input!$I$228*(1+vanilla2)^0.5)-SUM($I300:L300),(Input!$I$228*(1+vanilla2)^0.5)/A18stdlife))</f>
        <v>n/a</v>
      </c>
      <c r="N300" s="69" t="str">
        <f>IF(A18stdlife="n/a","n/a",IF(N$3&gt;(A18stdlife+$F300),(Input!$I$228*(1+vanilla2)^0.5)-SUM($I300:M300),(Input!$I$228*(1+vanilla2)^0.5)/A18stdlife))</f>
        <v>n/a</v>
      </c>
      <c r="O300" s="69" t="str">
        <f>IF(A18stdlife="n/a","n/a",IF(O$3&gt;(A18stdlife+$F300),(Input!$I$228*(1+vanilla2)^0.5)-SUM($I300:N300),(Input!$I$228*(1+vanilla2)^0.5)/A18stdlife))</f>
        <v>n/a</v>
      </c>
      <c r="P300" s="69" t="str">
        <f>IF(A18stdlife="n/a","n/a",IF(P$3&gt;(A18stdlife+$F300),(Input!$I$228*(1+vanilla2)^0.5)-SUM($I300:O300),(Input!$I$228*(1+vanilla2)^0.5)/A18stdlife))</f>
        <v>n/a</v>
      </c>
      <c r="Q300" s="69" t="str">
        <f>IF(A18stdlife="n/a","n/a",IF(Q$3&gt;(A18stdlife+$F300),(Input!$I$228*(1+vanilla2)^0.5)-SUM($I300:P300),(Input!$I$228*(1+vanilla2)^0.5)/A18stdlife))</f>
        <v>n/a</v>
      </c>
      <c r="R300" s="69"/>
      <c r="S300" s="103"/>
      <c r="T300" s="103"/>
      <c r="U300" s="103"/>
      <c r="V300" s="103"/>
      <c r="W300" s="103"/>
      <c r="X300" s="103"/>
      <c r="Y300" s="103"/>
      <c r="Z300" s="103"/>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92"/>
      <c r="F301" s="87">
        <v>3</v>
      </c>
      <c r="G301" s="121"/>
      <c r="H301" s="146"/>
      <c r="I301" s="148"/>
      <c r="J301" s="147"/>
      <c r="K301" s="69" t="str">
        <f>IF(A18stdlife="n/a","n/a",IF(K$3&gt;(A18stdlife+$F301),(Input!$J$228*(1+vanilla3)^0.5)-SUM($J301:J301),(Input!$J$228*(1+vanilla3)^0.5)/A18stdlife))</f>
        <v>n/a</v>
      </c>
      <c r="L301" s="69" t="str">
        <f>IF(A18stdlife="n/a","n/a",IF(L$3&gt;(A18stdlife+$F301),(Input!$J$228*(1+vanilla3)^0.5)-SUM($J301:K301),(Input!$J$228*(1+vanilla3)^0.5)/A18stdlife))</f>
        <v>n/a</v>
      </c>
      <c r="M301" s="69" t="str">
        <f>IF(A18stdlife="n/a","n/a",IF(M$3&gt;(A18stdlife+$F301),(Input!$J$228*(1+vanilla3)^0.5)-SUM($J301:L301),(Input!$J$228*(1+vanilla3)^0.5)/A18stdlife))</f>
        <v>n/a</v>
      </c>
      <c r="N301" s="69" t="str">
        <f>IF(A18stdlife="n/a","n/a",IF(N$3&gt;(A18stdlife+$F301),(Input!$J$228*(1+vanilla3)^0.5)-SUM($J301:M301),(Input!$J$228*(1+vanilla3)^0.5)/A18stdlife))</f>
        <v>n/a</v>
      </c>
      <c r="O301" s="69" t="str">
        <f>IF(A18stdlife="n/a","n/a",IF(O$3&gt;(A18stdlife+$F301),(Input!$J$228*(1+vanilla3)^0.5)-SUM($J301:N301),(Input!$J$228*(1+vanilla3)^0.5)/A18stdlife))</f>
        <v>n/a</v>
      </c>
      <c r="P301" s="69" t="str">
        <f>IF(A18stdlife="n/a","n/a",IF(P$3&gt;(A18stdlife+$F301),(Input!$J$228*(1+vanilla3)^0.5)-SUM($J301:O301),(Input!$J$228*(1+vanilla3)^0.5)/A18stdlife))</f>
        <v>n/a</v>
      </c>
      <c r="Q301" s="69" t="str">
        <f>IF(A18stdlife="n/a","n/a",IF(Q$3&gt;(A18stdlife+$F301),(Input!$J$228*(1+vanilla3)^0.5)-SUM($J301:P301),(Input!$J$228*(1+vanilla3)^0.5)/A18stdlife))</f>
        <v>n/a</v>
      </c>
      <c r="R301" s="69"/>
      <c r="S301" s="103"/>
      <c r="T301" s="103"/>
      <c r="U301" s="103"/>
      <c r="V301" s="103"/>
      <c r="W301" s="103"/>
      <c r="X301" s="103"/>
      <c r="Y301" s="103"/>
      <c r="Z301" s="103"/>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92"/>
      <c r="F302" s="87">
        <v>4</v>
      </c>
      <c r="G302" s="121"/>
      <c r="H302" s="146"/>
      <c r="I302" s="148"/>
      <c r="J302" s="148"/>
      <c r="K302" s="147"/>
      <c r="L302" s="69" t="str">
        <f>IF(A18stdlife="n/a","n/a",IF(L$3&gt;(A18stdlife+$F302),(Input!$K$228*(1+vanilla4)^0.5)-SUM($K302:K302),(Input!$K$228*(1+vanilla4)^0.5)/A18stdlife))</f>
        <v>n/a</v>
      </c>
      <c r="M302" s="69" t="str">
        <f>IF(A18stdlife="n/a","n/a",IF(M$3&gt;(A18stdlife+$F302),(Input!$K$228*(1+vanilla4)^0.5)-SUM($K302:L302),(Input!$K$228*(1+vanilla4)^0.5)/A18stdlife))</f>
        <v>n/a</v>
      </c>
      <c r="N302" s="69" t="str">
        <f>IF(A18stdlife="n/a","n/a",IF(N$3&gt;(A18stdlife+$F302),(Input!$K$228*(1+vanilla4)^0.5)-SUM($K302:M302),(Input!$K$228*(1+vanilla4)^0.5)/A18stdlife))</f>
        <v>n/a</v>
      </c>
      <c r="O302" s="69" t="str">
        <f>IF(A18stdlife="n/a","n/a",IF(O$3&gt;(A18stdlife+$F302),(Input!$K$228*(1+vanilla4)^0.5)-SUM($K302:N302),(Input!$K$228*(1+vanilla4)^0.5)/A18stdlife))</f>
        <v>n/a</v>
      </c>
      <c r="P302" s="69" t="str">
        <f>IF(A18stdlife="n/a","n/a",IF(P$3&gt;(A18stdlife+$F302),(Input!$K$228*(1+vanilla4)^0.5)-SUM($K302:O302),(Input!$K$228*(1+vanilla4)^0.5)/A18stdlife))</f>
        <v>n/a</v>
      </c>
      <c r="Q302" s="69" t="str">
        <f>IF(A18stdlife="n/a","n/a",IF(Q$3&gt;(A18stdlife+$F302),(Input!$K$228*(1+vanilla4)^0.5)-SUM($K302:P302),(Input!$K$228*(1+vanilla4)^0.5)/A18stdlife))</f>
        <v>n/a</v>
      </c>
      <c r="R302" s="69"/>
      <c r="S302" s="103"/>
      <c r="T302" s="103"/>
      <c r="U302" s="103"/>
      <c r="V302" s="103"/>
      <c r="W302" s="103"/>
      <c r="X302" s="103"/>
      <c r="Y302" s="103"/>
      <c r="Z302" s="103"/>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9"/>
      <c r="B303" s="9"/>
      <c r="C303" s="9"/>
      <c r="D303" s="26"/>
      <c r="E303" s="392"/>
      <c r="F303" s="87">
        <v>5</v>
      </c>
      <c r="G303" s="27"/>
      <c r="H303" s="146"/>
      <c r="I303" s="148"/>
      <c r="J303" s="148"/>
      <c r="K303" s="148"/>
      <c r="L303" s="147"/>
      <c r="M303" s="69" t="str">
        <f>IF(A18stdlife="n/a","n/a",IF(M$3&gt;(A18stdlife+$F303),(Input!$L$228*(1+vanilla5)^0.5)-SUM($L303:L303),(Input!$L$228*(1+vanilla5)^0.5)/A18stdlife))</f>
        <v>n/a</v>
      </c>
      <c r="N303" s="69" t="str">
        <f>IF(A18stdlife="n/a","n/a",IF(N$3&gt;(A18stdlife+$F303),(Input!$L$228*(1+vanilla5)^0.5)-SUM($L303:M303),(Input!$L$228*(1+vanilla5)^0.5)/A18stdlife))</f>
        <v>n/a</v>
      </c>
      <c r="O303" s="69" t="str">
        <f>IF(A18stdlife="n/a","n/a",IF(O$3&gt;(A18stdlife+$F303),(Input!$L$228*(1+vanilla5)^0.5)-SUM($L303:N303),(Input!$L$228*(1+vanilla5)^0.5)/A18stdlife))</f>
        <v>n/a</v>
      </c>
      <c r="P303" s="69" t="str">
        <f>IF(A18stdlife="n/a","n/a",IF(P$3&gt;(A18stdlife+$F303),(Input!$L$228*(1+vanilla5)^0.5)-SUM($L303:O303),(Input!$L$228*(1+vanilla5)^0.5)/A18stdlife))</f>
        <v>n/a</v>
      </c>
      <c r="Q303" s="69" t="str">
        <f>IF(A18stdlife="n/a","n/a",IF(Q$3&gt;(A18stdlife+$F303),(Input!$L$228*(1+vanilla5)^0.5)-SUM($L303:P303),(Input!$L$228*(1+vanilla5)^0.5)/A18stdlife))</f>
        <v>n/a</v>
      </c>
      <c r="R303" s="69"/>
      <c r="S303" s="103"/>
      <c r="T303" s="103"/>
      <c r="U303" s="103"/>
      <c r="V303" s="103"/>
      <c r="W303" s="103"/>
      <c r="X303" s="103"/>
      <c r="Y303" s="103"/>
      <c r="Z303" s="103"/>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103"/>
      <c r="BE303" s="103"/>
      <c r="BF303" s="103"/>
      <c r="BG303" s="103"/>
      <c r="BH303" s="103"/>
      <c r="BI303" s="103"/>
      <c r="BJ303" s="103"/>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9"/>
      <c r="D304" s="26"/>
      <c r="E304" s="392"/>
      <c r="F304" s="87">
        <v>6</v>
      </c>
      <c r="G304" s="27"/>
      <c r="H304" s="146"/>
      <c r="I304" s="148"/>
      <c r="J304" s="148"/>
      <c r="K304" s="148"/>
      <c r="L304" s="148"/>
      <c r="M304" s="147"/>
      <c r="N304" s="69" t="str">
        <f>IF(A18stdlife="n/a","n/a",IF(N$3&gt;(A18stdlife+$F304),(Input!$M$228*(1+vanilla6)^0.5)-SUM($M304:M304),(Input!$M$228*(1+vanilla6)^0.5)/A18stdlife))</f>
        <v>n/a</v>
      </c>
      <c r="O304" s="69" t="str">
        <f>IF(A18stdlife="n/a","n/a",IF(O$3&gt;(A18stdlife+$F304),(Input!$M$228*(1+vanilla6)^0.5)-SUM($M304:N304),(Input!$M$228*(1+vanilla6)^0.5)/A18stdlife))</f>
        <v>n/a</v>
      </c>
      <c r="P304" s="69" t="str">
        <f>IF(A18stdlife="n/a","n/a",IF(P$3&gt;(A18stdlife+$F304),(Input!$M$228*(1+vanilla6)^0.5)-SUM($M304:O304),(Input!$M$228*(1+vanilla6)^0.5)/A18stdlife))</f>
        <v>n/a</v>
      </c>
      <c r="Q304" s="69" t="str">
        <f>IF(A18stdlife="n/a","n/a",IF(Q$3&gt;(A18stdlife+$F304),(Input!$M$228*(1+vanilla6)^0.5)-SUM($M304:P304),(Input!$M$228*(1+vanilla6)^0.5)/A18stdlife))</f>
        <v>n/a</v>
      </c>
      <c r="R304" s="69"/>
      <c r="S304" s="103"/>
      <c r="T304" s="103"/>
      <c r="U304" s="103"/>
      <c r="V304" s="103"/>
      <c r="W304" s="103"/>
      <c r="X304" s="103"/>
      <c r="Y304" s="103"/>
      <c r="Z304" s="103"/>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c r="A305" s="9"/>
      <c r="B305" s="9"/>
      <c r="C305" s="9"/>
      <c r="D305" s="26"/>
      <c r="E305" s="392"/>
      <c r="F305" s="87">
        <v>7</v>
      </c>
      <c r="G305" s="27"/>
      <c r="H305" s="146"/>
      <c r="I305" s="148"/>
      <c r="J305" s="148"/>
      <c r="K305" s="148"/>
      <c r="L305" s="148"/>
      <c r="M305" s="148"/>
      <c r="N305" s="147"/>
      <c r="O305" s="69" t="str">
        <f>IF(A18stdlife="n/a","n/a",IF(O$3&gt;(A18stdlife+$F305),(Input!$N$228*(1+vanilla7)^0.5)-SUM($N305:N305),(Input!$N$228*(1+vanilla7)^0.5)/A18stdlife))</f>
        <v>n/a</v>
      </c>
      <c r="P305" s="69" t="str">
        <f>IF(A18stdlife="n/a","n/a",IF(P$3&gt;(A18stdlife+$F305),(Input!$N$228*(1+vanilla7)^0.5)-SUM($N305:O305),(Input!$N$228*(1+vanilla7)^0.5)/A18stdlife))</f>
        <v>n/a</v>
      </c>
      <c r="Q305" s="69" t="str">
        <f>IF(A18stdlife="n/a","n/a",IF(Q$3&gt;(A18stdlife+$F305),(Input!$N$228*(1+vanilla7)^0.5)-SUM($N305:P305),(Input!$N$228*(1+vanilla7)^0.5)/A18stdlife))</f>
        <v>n/a</v>
      </c>
      <c r="R305" s="69"/>
      <c r="S305" s="103"/>
      <c r="T305" s="103"/>
      <c r="U305" s="103"/>
      <c r="V305" s="103"/>
      <c r="W305" s="103"/>
      <c r="X305" s="103"/>
      <c r="Y305" s="103"/>
      <c r="Z305" s="103"/>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92"/>
      <c r="F306" s="87">
        <v>8</v>
      </c>
      <c r="G306" s="27"/>
      <c r="H306" s="146"/>
      <c r="I306" s="148"/>
      <c r="J306" s="148"/>
      <c r="K306" s="148"/>
      <c r="L306" s="148"/>
      <c r="M306" s="148"/>
      <c r="N306" s="148"/>
      <c r="O306" s="147"/>
      <c r="P306" s="69" t="str">
        <f>IF(A18stdlife="n/a","n/a",IF(P$3&gt;(A18stdlife+$F306),(Input!$O$228*(1+vanilla8)^0.5)-SUM($O306:O306),(Input!$O$228*(1+vanilla8)^0.5)/A18stdlife))</f>
        <v>n/a</v>
      </c>
      <c r="Q306" s="69" t="str">
        <f>IF(A18stdlife="n/a","n/a",IF(Q$3&gt;(A18stdlife+$F306),(Input!$O$228*(1+vanilla8)^0.5)-SUM($O306:P306),(Input!$O$228*(1+vanilla8)^0.5)/A18stdlife))</f>
        <v>n/a</v>
      </c>
      <c r="R306" s="69"/>
      <c r="S306" s="103"/>
      <c r="T306" s="103"/>
      <c r="U306" s="103"/>
      <c r="V306" s="103"/>
      <c r="W306" s="103"/>
      <c r="X306" s="103"/>
      <c r="Y306" s="103"/>
      <c r="Z306" s="103"/>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92"/>
      <c r="F307" s="87">
        <v>9</v>
      </c>
      <c r="G307" s="27"/>
      <c r="H307" s="146"/>
      <c r="I307" s="148"/>
      <c r="J307" s="148"/>
      <c r="K307" s="148"/>
      <c r="L307" s="148"/>
      <c r="M307" s="148"/>
      <c r="N307" s="148"/>
      <c r="O307" s="148"/>
      <c r="P307" s="147"/>
      <c r="Q307" s="69" t="str">
        <f>IF(A18stdlife="n/a","n/a",IF(Q$3&gt;(A18stdlife+$F307),(Input!$P$228*(1+vanilla9)^0.5)-SUM($P307:P307),(Input!$P$228*(1+vanilla9)^0.5)/A18stdlife))</f>
        <v>n/a</v>
      </c>
      <c r="R307" s="69"/>
      <c r="S307" s="103"/>
      <c r="T307" s="103"/>
      <c r="U307" s="103"/>
      <c r="V307" s="103"/>
      <c r="W307" s="103"/>
      <c r="X307" s="103"/>
      <c r="Y307" s="103"/>
      <c r="Z307" s="103"/>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92"/>
      <c r="F308" s="88">
        <v>10</v>
      </c>
      <c r="G308" s="27"/>
      <c r="H308" s="146"/>
      <c r="I308" s="148"/>
      <c r="J308" s="148"/>
      <c r="K308" s="148"/>
      <c r="L308" s="148"/>
      <c r="M308" s="148"/>
      <c r="N308" s="148"/>
      <c r="O308" s="148"/>
      <c r="P308" s="148"/>
      <c r="Q308" s="147"/>
      <c r="R308" s="69"/>
      <c r="S308" s="103"/>
      <c r="T308" s="103"/>
      <c r="U308" s="103"/>
      <c r="V308" s="103"/>
      <c r="W308" s="103"/>
      <c r="X308" s="103"/>
      <c r="Y308" s="103"/>
      <c r="Z308" s="103"/>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9"/>
      <c r="D309" s="271">
        <f>Asset18</f>
        <v>0</v>
      </c>
      <c r="E309" s="9"/>
      <c r="F309" s="9"/>
      <c r="G309" s="121"/>
      <c r="H309" s="162">
        <f t="shared" ref="H309:M309" si="21">-SUM(H297:H308)</f>
        <v>0</v>
      </c>
      <c r="I309" s="162">
        <f t="shared" si="21"/>
        <v>0</v>
      </c>
      <c r="J309" s="162">
        <f t="shared" si="21"/>
        <v>0</v>
      </c>
      <c r="K309" s="162">
        <f t="shared" si="21"/>
        <v>0</v>
      </c>
      <c r="L309" s="162">
        <f t="shared" si="21"/>
        <v>0</v>
      </c>
      <c r="M309" s="162">
        <f t="shared" si="21"/>
        <v>0</v>
      </c>
      <c r="N309" s="69">
        <f>IF(COUNT($H309:M309)&gt;=Input!$Y$7,0, -SUM(N297:N308))</f>
        <v>0</v>
      </c>
      <c r="O309" s="69">
        <f>IF(COUNT($H309:N309)&gt;=Input!$Y$7,0, -SUM(O297:O308))</f>
        <v>0</v>
      </c>
      <c r="P309" s="69">
        <f>IF(COUNT($H309:O309)&gt;=Input!$Y$7,0, -SUM(P297:P308))</f>
        <v>0</v>
      </c>
      <c r="Q309" s="69">
        <f>IF(COUNT($H309:P309)&gt;=Input!$Y$7,0, -SUM(Q297:Q308))</f>
        <v>0</v>
      </c>
      <c r="R309" s="162"/>
      <c r="S309" s="105"/>
      <c r="T309" s="105"/>
      <c r="U309" s="105"/>
      <c r="V309" s="105"/>
      <c r="W309" s="105"/>
      <c r="X309" s="105"/>
      <c r="Y309" s="105"/>
      <c r="Z309" s="105"/>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3"/>
      <c r="AY309" s="233"/>
      <c r="AZ309" s="233"/>
      <c r="BA309" s="233"/>
      <c r="BB309" s="233"/>
      <c r="BC309" s="233"/>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272">
        <f>Asset19</f>
        <v>0</v>
      </c>
      <c r="D310" s="158"/>
      <c r="E310" s="32" t="s">
        <v>26</v>
      </c>
      <c r="F310" s="31"/>
      <c r="G310" s="177"/>
      <c r="H310" s="68" t="str">
        <f>IF(H$3&gt;A19remlife,A19value-$G$648-SUM($G310:G310),IF(A19remlife="N/A","n/a",(A19value-$G$648)/A19remlife))</f>
        <v>n/a</v>
      </c>
      <c r="I310" s="68" t="str">
        <f>IF(I$3&gt;A19remlife,A19value-$G$648-SUM($G310:H310),IF(A19remlife="N/A","n/a",(A19value-$G$648)/A19remlife))</f>
        <v>n/a</v>
      </c>
      <c r="J310" s="68" t="str">
        <f>IF(J$3&gt;A19remlife,A19value-$G$648-SUM($G310:I310),IF(A19remlife="N/A","n/a",(A19value-$G$648)/A19remlife))</f>
        <v>n/a</v>
      </c>
      <c r="K310" s="68" t="str">
        <f>IF(K$3&gt;A19remlife,A19value-$G$648-SUM($G310:J310),IF(A19remlife="N/A","n/a",(A19value-$G$648)/A19remlife))</f>
        <v>n/a</v>
      </c>
      <c r="L310" s="68" t="str">
        <f>IF(L$3&gt;A19remlife,A19value-$G$648-SUM($G310:K310),IF(A19remlife="N/A","n/a",(A19value-$G$648)/A19remlife))</f>
        <v>n/a</v>
      </c>
      <c r="M310" s="68" t="str">
        <f>IF(M$3&gt;A19remlife,A19value-$G$648-SUM($G310:L310),IF(A19remlife="N/A","n/a",(A19value-$G$648)/A19remlife))</f>
        <v>n/a</v>
      </c>
      <c r="N310" s="68" t="str">
        <f>IF(N$3&gt;A19remlife,A19value-$G$648-SUM($G310:M310),IF(A19remlife="N/A","n/a",(A19value-$G$648)/A19remlife))</f>
        <v>n/a</v>
      </c>
      <c r="O310" s="68" t="str">
        <f>IF(O$3&gt;A19remlife,A19value-$G$648-SUM($G310:N310),IF(A19remlife="N/A","n/a",(A19value-$G$648)/A19remlife))</f>
        <v>n/a</v>
      </c>
      <c r="P310" s="68" t="str">
        <f>IF(P$3&gt;A19remlife,A19value-$G$648-SUM($G310:O310),IF(A19remlife="N/A","n/a",(A19value-$G$648)/A19remlife))</f>
        <v>n/a</v>
      </c>
      <c r="Q310" s="68" t="str">
        <f>IF(Q$3&gt;A19remlife,A19value-$G$648-SUM($G310:P310),IF(A19remlife="N/A","n/a",(A19value-$G$648)/A19remlife))</f>
        <v>n/a</v>
      </c>
      <c r="R310" s="68"/>
      <c r="S310" s="103"/>
      <c r="T310" s="103"/>
      <c r="U310" s="103"/>
      <c r="V310" s="103"/>
      <c r="W310" s="103"/>
      <c r="X310" s="103"/>
      <c r="Y310" s="103"/>
      <c r="Z310" s="103"/>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9"/>
      <c r="D311" s="26"/>
      <c r="E311" s="391" t="s">
        <v>82</v>
      </c>
      <c r="F311" s="87"/>
      <c r="G311" s="121"/>
      <c r="H311" s="69"/>
      <c r="I311" s="69"/>
      <c r="J311" s="69"/>
      <c r="K311" s="69"/>
      <c r="L311" s="69"/>
      <c r="M311" s="160"/>
      <c r="N311" s="112"/>
      <c r="O311" s="69"/>
      <c r="P311" s="69"/>
      <c r="Q311" s="69"/>
      <c r="R311" s="69"/>
      <c r="S311" s="103"/>
      <c r="T311" s="103"/>
      <c r="U311" s="103"/>
      <c r="V311" s="103"/>
      <c r="W311" s="103"/>
      <c r="X311" s="103"/>
      <c r="Y311" s="103"/>
      <c r="Z311" s="103"/>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92"/>
      <c r="F312" s="87">
        <v>1</v>
      </c>
      <c r="G312" s="121"/>
      <c r="H312" s="145"/>
      <c r="I312" s="69" t="str">
        <f>IF(A19stdlife="n/a","n/a",IF(I$3&gt;(A19stdlife+$F312),(Input!$H$229*(1+vanilla1)^0.5)-SUM($H312:H312),(Input!$H$229*(1+vanilla1)^0.5)/A19stdlife))</f>
        <v>n/a</v>
      </c>
      <c r="J312" s="69" t="str">
        <f>IF(A19stdlife="n/a","n/a",IF(J$3&gt;(A19stdlife+$F312),(Input!$H$229*(1+vanilla1)^0.5)-SUM($H312:I312),(Input!$H$229*(1+vanilla1)^0.5)/A19stdlife))</f>
        <v>n/a</v>
      </c>
      <c r="K312" s="69" t="str">
        <f>IF(A19stdlife="n/a","n/a",IF(K$3&gt;(A19stdlife+$F312),(Input!$H$229*(1+vanilla1)^0.5)-SUM($H312:J312),(Input!$H$229*(1+vanilla1)^0.5)/A19stdlife))</f>
        <v>n/a</v>
      </c>
      <c r="L312" s="69" t="str">
        <f>IF(A19stdlife="n/a","n/a",IF(L$3&gt;(A19stdlife+$F312),(Input!$H$229*(1+vanilla1)^0.5)-SUM($H312:K312),(Input!$H$229*(1+vanilla1)^0.5)/A19stdlife))</f>
        <v>n/a</v>
      </c>
      <c r="M312" s="69" t="str">
        <f>IF(A19stdlife="n/a","n/a",IF(M$3&gt;(A19stdlife+$F312),(Input!$H$229*(1+vanilla1)^0.5)-SUM($H312:L312),(Input!$H$229*(1+vanilla1)^0.5)/A19stdlife))</f>
        <v>n/a</v>
      </c>
      <c r="N312" s="69" t="str">
        <f>IF(A19stdlife="n/a","n/a",IF(N$3&gt;(A19stdlife+$F312),(Input!$H$229*(1+vanilla1)^0.5)-SUM($H312:M312),(Input!$H$229*(1+vanilla1)^0.5)/A19stdlife))</f>
        <v>n/a</v>
      </c>
      <c r="O312" s="69" t="str">
        <f>IF(A19stdlife="n/a","n/a",IF(O$3&gt;(A19stdlife+$F312),(Input!$H$229*(1+vanilla1)^0.5)-SUM($H312:N312),(Input!$H$229*(1+vanilla1)^0.5)/A19stdlife))</f>
        <v>n/a</v>
      </c>
      <c r="P312" s="69" t="str">
        <f>IF(A19stdlife="n/a","n/a",IF(P$3&gt;(A19stdlife+$F312),(Input!$H$229*(1+vanilla1)^0.5)-SUM($H312:O312),(Input!$H$229*(1+vanilla1)^0.5)/A19stdlife))</f>
        <v>n/a</v>
      </c>
      <c r="Q312" s="69" t="str">
        <f>IF(A19stdlife="n/a","n/a",IF(Q$3&gt;(A19stdlife+$F312),(Input!$H$229*(1+vanilla1)^0.5)-SUM($H312:P312),(Input!$H$229*(1+vanilla1)^0.5)/A19stdlife))</f>
        <v>n/a</v>
      </c>
      <c r="R312" s="69"/>
      <c r="S312" s="103"/>
      <c r="T312" s="103"/>
      <c r="U312" s="103"/>
      <c r="V312" s="103"/>
      <c r="W312" s="103"/>
      <c r="X312" s="103"/>
      <c r="Y312" s="103"/>
      <c r="Z312" s="103"/>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92"/>
      <c r="F313" s="87">
        <v>2</v>
      </c>
      <c r="G313" s="121"/>
      <c r="H313" s="146"/>
      <c r="I313" s="147"/>
      <c r="J313" s="69" t="str">
        <f>IF(A19stdlife="n/a","n/a",IF(J$3&gt;(A19stdlife+$F313),(Input!$I$229*(1+vanilla2)^0.5)-SUM($I313:I313),(Input!$I$229*(1+vanilla2)^0.5)/A19stdlife))</f>
        <v>n/a</v>
      </c>
      <c r="K313" s="69" t="str">
        <f>IF(A19stdlife="n/a","n/a",IF(K$3&gt;(A19stdlife+$F313),(Input!$I$229*(1+vanilla2)^0.5)-SUM($I313:J313),(Input!$I$229*(1+vanilla2)^0.5)/A19stdlife))</f>
        <v>n/a</v>
      </c>
      <c r="L313" s="69" t="str">
        <f>IF(A19stdlife="n/a","n/a",IF(L$3&gt;(A19stdlife+$F313),(Input!$I$229*(1+vanilla2)^0.5)-SUM($I313:K313),(Input!$I$229*(1+vanilla2)^0.5)/A19stdlife))</f>
        <v>n/a</v>
      </c>
      <c r="M313" s="69" t="str">
        <f>IF(A19stdlife="n/a","n/a",IF(M$3&gt;(A19stdlife+$F313),(Input!$I$229*(1+vanilla2)^0.5)-SUM($I313:L313),(Input!$I$229*(1+vanilla2)^0.5)/A19stdlife))</f>
        <v>n/a</v>
      </c>
      <c r="N313" s="69" t="str">
        <f>IF(A19stdlife="n/a","n/a",IF(N$3&gt;(A19stdlife+$F313),(Input!$I$229*(1+vanilla2)^0.5)-SUM($I313:M313),(Input!$I$229*(1+vanilla2)^0.5)/A19stdlife))</f>
        <v>n/a</v>
      </c>
      <c r="O313" s="69" t="str">
        <f>IF(A19stdlife="n/a","n/a",IF(O$3&gt;(A19stdlife+$F313),(Input!$I$229*(1+vanilla2)^0.5)-SUM($I313:N313),(Input!$I$229*(1+vanilla2)^0.5)/A19stdlife))</f>
        <v>n/a</v>
      </c>
      <c r="P313" s="69" t="str">
        <f>IF(A19stdlife="n/a","n/a",IF(P$3&gt;(A19stdlife+$F313),(Input!$I$229*(1+vanilla2)^0.5)-SUM($I313:O313),(Input!$I$229*(1+vanilla2)^0.5)/A19stdlife))</f>
        <v>n/a</v>
      </c>
      <c r="Q313" s="69" t="str">
        <f>IF(A19stdlife="n/a","n/a",IF(Q$3&gt;(A19stdlife+$F313),(Input!$I$229*(1+vanilla2)^0.5)-SUM($I313:P313),(Input!$I$229*(1+vanilla2)^0.5)/A19stdlife))</f>
        <v>n/a</v>
      </c>
      <c r="R313" s="69"/>
      <c r="S313" s="103"/>
      <c r="T313" s="103"/>
      <c r="U313" s="103"/>
      <c r="V313" s="103"/>
      <c r="W313" s="103"/>
      <c r="X313" s="103"/>
      <c r="Y313" s="103"/>
      <c r="Z313" s="103"/>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92"/>
      <c r="F314" s="87">
        <v>3</v>
      </c>
      <c r="G314" s="121"/>
      <c r="H314" s="146"/>
      <c r="I314" s="148"/>
      <c r="J314" s="147"/>
      <c r="K314" s="69" t="str">
        <f>IF(A19stdlife="n/a","n/a",IF(K$3&gt;(A19stdlife+$F314),(Input!$J$229*(1+vanilla3)^0.5)-SUM($J314:J314),(Input!$J$229*(1+vanilla3)^0.5)/A19stdlife))</f>
        <v>n/a</v>
      </c>
      <c r="L314" s="69" t="str">
        <f>IF(A19stdlife="n/a","n/a",IF(L$3&gt;(A19stdlife+$F314),(Input!$J$229*(1+vanilla3)^0.5)-SUM($J314:K314),(Input!$J$229*(1+vanilla3)^0.5)/A19stdlife))</f>
        <v>n/a</v>
      </c>
      <c r="M314" s="69" t="str">
        <f>IF(A19stdlife="n/a","n/a",IF(M$3&gt;(A19stdlife+$F314),(Input!$J$229*(1+vanilla3)^0.5)-SUM($J314:L314),(Input!$J$229*(1+vanilla3)^0.5)/A19stdlife))</f>
        <v>n/a</v>
      </c>
      <c r="N314" s="69" t="str">
        <f>IF(A19stdlife="n/a","n/a",IF(N$3&gt;(A19stdlife+$F314),(Input!$J$229*(1+vanilla3)^0.5)-SUM($J314:M314),(Input!$J$229*(1+vanilla3)^0.5)/A19stdlife))</f>
        <v>n/a</v>
      </c>
      <c r="O314" s="69" t="str">
        <f>IF(A19stdlife="n/a","n/a",IF(O$3&gt;(A19stdlife+$F314),(Input!$J$229*(1+vanilla3)^0.5)-SUM($J314:N314),(Input!$J$229*(1+vanilla3)^0.5)/A19stdlife))</f>
        <v>n/a</v>
      </c>
      <c r="P314" s="69" t="str">
        <f>IF(A19stdlife="n/a","n/a",IF(P$3&gt;(A19stdlife+$F314),(Input!$J$229*(1+vanilla3)^0.5)-SUM($J314:O314),(Input!$J$229*(1+vanilla3)^0.5)/A19stdlife))</f>
        <v>n/a</v>
      </c>
      <c r="Q314" s="69" t="str">
        <f>IF(A19stdlife="n/a","n/a",IF(Q$3&gt;(A19stdlife+$F314),(Input!$J$229*(1+vanilla3)^0.5)-SUM($J314:P314),(Input!$J$229*(1+vanilla3)^0.5)/A19stdlife))</f>
        <v>n/a</v>
      </c>
      <c r="R314" s="69"/>
      <c r="S314" s="103"/>
      <c r="T314" s="103"/>
      <c r="U314" s="103"/>
      <c r="V314" s="103"/>
      <c r="W314" s="103"/>
      <c r="X314" s="103"/>
      <c r="Y314" s="103"/>
      <c r="Z314" s="103"/>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92"/>
      <c r="F315" s="87">
        <v>4</v>
      </c>
      <c r="G315" s="121"/>
      <c r="H315" s="146"/>
      <c r="I315" s="148"/>
      <c r="J315" s="148"/>
      <c r="K315" s="147"/>
      <c r="L315" s="69" t="str">
        <f>IF(A19stdlife="n/a","n/a",IF(L$3&gt;(A19stdlife+$F315),(Input!$K$229*(1+vanilla4)^0.5)-SUM($K315:K315),(Input!$K$229*(1+vanilla4)^0.5)/A19stdlife))</f>
        <v>n/a</v>
      </c>
      <c r="M315" s="69" t="str">
        <f>IF(A19stdlife="n/a","n/a",IF(M$3&gt;(A19stdlife+$F315),(Input!$K$229*(1+vanilla4)^0.5)-SUM($K315:L315),(Input!$K$229*(1+vanilla4)^0.5)/A19stdlife))</f>
        <v>n/a</v>
      </c>
      <c r="N315" s="69" t="str">
        <f>IF(A19stdlife="n/a","n/a",IF(N$3&gt;(A19stdlife+$F315),(Input!$K$229*(1+vanilla4)^0.5)-SUM($K315:M315),(Input!$K$229*(1+vanilla4)^0.5)/A19stdlife))</f>
        <v>n/a</v>
      </c>
      <c r="O315" s="69" t="str">
        <f>IF(A19stdlife="n/a","n/a",IF(O$3&gt;(A19stdlife+$F315),(Input!$K$229*(1+vanilla4)^0.5)-SUM($K315:N315),(Input!$K$229*(1+vanilla4)^0.5)/A19stdlife))</f>
        <v>n/a</v>
      </c>
      <c r="P315" s="69" t="str">
        <f>IF(A19stdlife="n/a","n/a",IF(P$3&gt;(A19stdlife+$F315),(Input!$K$229*(1+vanilla4)^0.5)-SUM($K315:O315),(Input!$K$229*(1+vanilla4)^0.5)/A19stdlife))</f>
        <v>n/a</v>
      </c>
      <c r="Q315" s="69" t="str">
        <f>IF(A19stdlife="n/a","n/a",IF(Q$3&gt;(A19stdlife+$F315),(Input!$K$229*(1+vanilla4)^0.5)-SUM($K315:P315),(Input!$K$229*(1+vanilla4)^0.5)/A19stdlife))</f>
        <v>n/a</v>
      </c>
      <c r="R315" s="69"/>
      <c r="S315" s="103"/>
      <c r="T315" s="103"/>
      <c r="U315" s="103"/>
      <c r="V315" s="103"/>
      <c r="W315" s="103"/>
      <c r="X315" s="103"/>
      <c r="Y315" s="103"/>
      <c r="Z315" s="103"/>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9"/>
      <c r="B316" s="9"/>
      <c r="C316" s="9"/>
      <c r="D316" s="26"/>
      <c r="E316" s="392"/>
      <c r="F316" s="87">
        <v>5</v>
      </c>
      <c r="G316" s="27"/>
      <c r="H316" s="146"/>
      <c r="I316" s="148"/>
      <c r="J316" s="148"/>
      <c r="K316" s="148"/>
      <c r="L316" s="147"/>
      <c r="M316" s="69" t="str">
        <f>IF(A19stdlife="n/a","n/a",IF(M$3&gt;(A19stdlife+$F316),(Input!$L$229*(1+vanilla5)^0.5)-SUM($L316:L316),(Input!$L$229*(1+vanilla5)^0.5)/A19stdlife))</f>
        <v>n/a</v>
      </c>
      <c r="N316" s="69" t="str">
        <f>IF(A19stdlife="n/a","n/a",IF(N$3&gt;(A19stdlife+$F316),(Input!$L$229*(1+vanilla5)^0.5)-SUM($L316:M316),(Input!$L$229*(1+vanilla5)^0.5)/A19stdlife))</f>
        <v>n/a</v>
      </c>
      <c r="O316" s="69" t="str">
        <f>IF(A19stdlife="n/a","n/a",IF(O$3&gt;(A19stdlife+$F316),(Input!$L$229*(1+vanilla5)^0.5)-SUM($L316:N316),(Input!$L$229*(1+vanilla5)^0.5)/A19stdlife))</f>
        <v>n/a</v>
      </c>
      <c r="P316" s="69" t="str">
        <f>IF(A19stdlife="n/a","n/a",IF(P$3&gt;(A19stdlife+$F316),(Input!$L$229*(1+vanilla5)^0.5)-SUM($L316:O316),(Input!$L$229*(1+vanilla5)^0.5)/A19stdlife))</f>
        <v>n/a</v>
      </c>
      <c r="Q316" s="69" t="str">
        <f>IF(A19stdlife="n/a","n/a",IF(Q$3&gt;(A19stdlife+$F316),(Input!$L$229*(1+vanilla5)^0.5)-SUM($L316:P316),(Input!$L$229*(1+vanilla5)^0.5)/A19stdlife))</f>
        <v>n/a</v>
      </c>
      <c r="R316" s="69"/>
      <c r="S316" s="103"/>
      <c r="T316" s="103"/>
      <c r="U316" s="103"/>
      <c r="V316" s="103"/>
      <c r="W316" s="103"/>
      <c r="X316" s="103"/>
      <c r="Y316" s="103"/>
      <c r="Z316" s="103"/>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103"/>
      <c r="BE316" s="103"/>
      <c r="BF316" s="103"/>
      <c r="BG316" s="103"/>
      <c r="BH316" s="103"/>
      <c r="BI316" s="103"/>
      <c r="BJ316" s="103"/>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9"/>
      <c r="D317" s="26"/>
      <c r="E317" s="392"/>
      <c r="F317" s="87">
        <v>6</v>
      </c>
      <c r="G317" s="27"/>
      <c r="H317" s="146"/>
      <c r="I317" s="148"/>
      <c r="J317" s="148"/>
      <c r="K317" s="148"/>
      <c r="L317" s="148"/>
      <c r="M317" s="147"/>
      <c r="N317" s="69" t="str">
        <f>IF(A19stdlife="n/a","n/a",IF(N$3&gt;(A19stdlife+$F317),(Input!$M$229*(1+vanilla6)^0.5)-SUM($M317:M317),(Input!$M$229*(1+vanilla6)^0.5)/A19stdlife))</f>
        <v>n/a</v>
      </c>
      <c r="O317" s="69" t="str">
        <f>IF(A19stdlife="n/a","n/a",IF(O$3&gt;(A19stdlife+$F317),(Input!$M$229*(1+vanilla6)^0.5)-SUM($M317:N317),(Input!$M$229*(1+vanilla6)^0.5)/A19stdlife))</f>
        <v>n/a</v>
      </c>
      <c r="P317" s="69" t="str">
        <f>IF(A19stdlife="n/a","n/a",IF(P$3&gt;(A19stdlife+$F317),(Input!$M$229*(1+vanilla6)^0.5)-SUM($M317:O317),(Input!$M$229*(1+vanilla6)^0.5)/A19stdlife))</f>
        <v>n/a</v>
      </c>
      <c r="Q317" s="69" t="str">
        <f>IF(A19stdlife="n/a","n/a",IF(Q$3&gt;(A19stdlife+$F317),(Input!$M$229*(1+vanilla6)^0.5)-SUM($M317:P317),(Input!$M$229*(1+vanilla6)^0.5)/A19stdlife))</f>
        <v>n/a</v>
      </c>
      <c r="R317" s="69"/>
      <c r="S317" s="103"/>
      <c r="T317" s="103"/>
      <c r="U317" s="103"/>
      <c r="V317" s="103"/>
      <c r="W317" s="103"/>
      <c r="X317" s="103"/>
      <c r="Y317" s="103"/>
      <c r="Z317" s="103"/>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c r="A318" s="9"/>
      <c r="B318" s="9"/>
      <c r="C318" s="9"/>
      <c r="D318" s="26"/>
      <c r="E318" s="392"/>
      <c r="F318" s="87">
        <v>7</v>
      </c>
      <c r="G318" s="27"/>
      <c r="H318" s="146"/>
      <c r="I318" s="148"/>
      <c r="J318" s="148"/>
      <c r="K318" s="148"/>
      <c r="L318" s="148"/>
      <c r="M318" s="148"/>
      <c r="N318" s="147"/>
      <c r="O318" s="69" t="str">
        <f>IF(A19stdlife="n/a","n/a",IF(O$3&gt;(A19stdlife+$F318),(Input!$N$229*(1+vanilla7)^0.5)-SUM($N318:N318),(Input!$N$229*(1+vanilla7)^0.5)/A19stdlife))</f>
        <v>n/a</v>
      </c>
      <c r="P318" s="69" t="str">
        <f>IF(A19stdlife="n/a","n/a",IF(P$3&gt;(A19stdlife+$F318),(Input!$N$229*(1+vanilla7)^0.5)-SUM($N318:O318),(Input!$N$229*(1+vanilla7)^0.5)/A19stdlife))</f>
        <v>n/a</v>
      </c>
      <c r="Q318" s="69" t="str">
        <f>IF(A19stdlife="n/a","n/a",IF(Q$3&gt;(A19stdlife+$F318),(Input!$N$229*(1+vanilla7)^0.5)-SUM($N318:P318),(Input!$N$229*(1+vanilla7)^0.5)/A19stdlife))</f>
        <v>n/a</v>
      </c>
      <c r="R318" s="69"/>
      <c r="S318" s="103"/>
      <c r="T318" s="103"/>
      <c r="U318" s="103"/>
      <c r="V318" s="103"/>
      <c r="W318" s="103"/>
      <c r="X318" s="103"/>
      <c r="Y318" s="103"/>
      <c r="Z318" s="103"/>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92"/>
      <c r="F319" s="87">
        <v>8</v>
      </c>
      <c r="G319" s="27"/>
      <c r="H319" s="146"/>
      <c r="I319" s="148"/>
      <c r="J319" s="148"/>
      <c r="K319" s="148"/>
      <c r="L319" s="148"/>
      <c r="M319" s="148"/>
      <c r="N319" s="148"/>
      <c r="O319" s="147"/>
      <c r="P319" s="69" t="str">
        <f>IF(A19stdlife="n/a","n/a",IF(P$3&gt;(A19stdlife+$F319),(Input!$O$229*(1+vanilla8)^0.5)-SUM($O319:O319),(Input!$O$229*(1+vanilla8)^0.5)/A19stdlife))</f>
        <v>n/a</v>
      </c>
      <c r="Q319" s="69" t="str">
        <f>IF(A19stdlife="n/a","n/a",IF(Q$3&gt;(A19stdlife+$F319),(Input!$O$229*(1+vanilla8)^0.5)-SUM($O319:P319),(Input!$O$229*(1+vanilla8)^0.5)/A19stdlife))</f>
        <v>n/a</v>
      </c>
      <c r="R319" s="69"/>
      <c r="S319" s="103"/>
      <c r="T319" s="103"/>
      <c r="U319" s="103"/>
      <c r="V319" s="103"/>
      <c r="W319" s="103"/>
      <c r="X319" s="103"/>
      <c r="Y319" s="103"/>
      <c r="Z319" s="103"/>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92"/>
      <c r="F320" s="87">
        <v>9</v>
      </c>
      <c r="G320" s="27"/>
      <c r="H320" s="146"/>
      <c r="I320" s="148"/>
      <c r="J320" s="148"/>
      <c r="K320" s="148"/>
      <c r="L320" s="148"/>
      <c r="M320" s="148"/>
      <c r="N320" s="148"/>
      <c r="O320" s="148"/>
      <c r="P320" s="147"/>
      <c r="Q320" s="69" t="str">
        <f>IF(A19stdlife="n/a","n/a",IF(Q$3&gt;(A19stdlife+$F320),(Input!$P$229*(1+vanilla9)^0.5)-SUM($P320:P320),(Input!$P$229*(1+vanilla9)^0.5)/A19stdlife))</f>
        <v>n/a</v>
      </c>
      <c r="R320" s="69"/>
      <c r="S320" s="103"/>
      <c r="T320" s="103"/>
      <c r="U320" s="103"/>
      <c r="V320" s="103"/>
      <c r="W320" s="103"/>
      <c r="X320" s="103"/>
      <c r="Y320" s="103"/>
      <c r="Z320" s="103"/>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92"/>
      <c r="F321" s="88">
        <v>10</v>
      </c>
      <c r="G321" s="27"/>
      <c r="H321" s="146"/>
      <c r="I321" s="148"/>
      <c r="J321" s="148"/>
      <c r="K321" s="148"/>
      <c r="L321" s="148"/>
      <c r="M321" s="148"/>
      <c r="N321" s="148"/>
      <c r="O321" s="148"/>
      <c r="P321" s="148"/>
      <c r="Q321" s="147"/>
      <c r="R321" s="69"/>
      <c r="S321" s="103"/>
      <c r="T321" s="103"/>
      <c r="U321" s="103"/>
      <c r="V321" s="103"/>
      <c r="W321" s="103"/>
      <c r="X321" s="103"/>
      <c r="Y321" s="103"/>
      <c r="Z321" s="103"/>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ollapsed="1">
      <c r="A322" s="9"/>
      <c r="B322" s="9"/>
      <c r="C322" s="9"/>
      <c r="D322" s="271">
        <f>Asset19</f>
        <v>0</v>
      </c>
      <c r="E322" s="9"/>
      <c r="F322" s="9"/>
      <c r="G322" s="121"/>
      <c r="H322" s="162">
        <f t="shared" ref="H322:M322" si="22">-SUM(H310:H321)</f>
        <v>0</v>
      </c>
      <c r="I322" s="162">
        <f t="shared" si="22"/>
        <v>0</v>
      </c>
      <c r="J322" s="162">
        <f t="shared" si="22"/>
        <v>0</v>
      </c>
      <c r="K322" s="162">
        <f t="shared" si="22"/>
        <v>0</v>
      </c>
      <c r="L322" s="162">
        <f t="shared" si="22"/>
        <v>0</v>
      </c>
      <c r="M322" s="162">
        <f t="shared" si="22"/>
        <v>0</v>
      </c>
      <c r="N322" s="69">
        <f>IF(COUNT($H322:M322)&gt;=Input!$Y$7,0, -SUM(N310:N321))</f>
        <v>0</v>
      </c>
      <c r="O322" s="69">
        <f>IF(COUNT($H322:N322)&gt;=Input!$Y$7,0, -SUM(O310:O321))</f>
        <v>0</v>
      </c>
      <c r="P322" s="69">
        <f>IF(COUNT($H322:O322)&gt;=Input!$Y$7,0, -SUM(P310:P321))</f>
        <v>0</v>
      </c>
      <c r="Q322" s="69">
        <f>IF(COUNT($H322:P322)&gt;=Input!$Y$7,0, -SUM(Q310:Q321))</f>
        <v>0</v>
      </c>
      <c r="R322" s="67"/>
      <c r="S322" s="105"/>
      <c r="T322" s="105"/>
      <c r="U322" s="105"/>
      <c r="V322" s="105"/>
      <c r="W322" s="105"/>
      <c r="X322" s="105"/>
      <c r="Y322" s="105"/>
      <c r="Z322" s="105"/>
      <c r="AA322" s="233"/>
      <c r="AB322" s="233"/>
      <c r="AC322" s="233"/>
      <c r="AD322" s="233"/>
      <c r="AE322" s="233"/>
      <c r="AF322" s="233"/>
      <c r="AG322" s="233"/>
      <c r="AH322" s="233"/>
      <c r="AI322" s="233"/>
      <c r="AJ322" s="233"/>
      <c r="AK322" s="233"/>
      <c r="AL322" s="233"/>
      <c r="AM322" s="233"/>
      <c r="AN322" s="233"/>
      <c r="AO322" s="233"/>
      <c r="AP322" s="233"/>
      <c r="AQ322" s="233"/>
      <c r="AR322" s="233"/>
      <c r="AS322" s="233"/>
      <c r="AT322" s="233"/>
      <c r="AU322" s="233"/>
      <c r="AV322" s="233"/>
      <c r="AW322" s="233"/>
      <c r="AX322" s="233"/>
      <c r="AY322" s="233"/>
      <c r="AZ322" s="233"/>
      <c r="BA322" s="233"/>
      <c r="BB322" s="233"/>
      <c r="BC322" s="233"/>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272">
        <f>Asset20</f>
        <v>0</v>
      </c>
      <c r="D323" s="158"/>
      <c r="E323" s="32" t="s">
        <v>26</v>
      </c>
      <c r="F323" s="31"/>
      <c r="G323" s="177"/>
      <c r="H323" s="68" t="str">
        <f>IF(H$3&gt;A20remlife,A20value-$G$649-SUM($G323:G323),IF(A20remlife="N/A","n/a",(A20value-$G$649)/A20remlife))</f>
        <v>n/a</v>
      </c>
      <c r="I323" s="68" t="str">
        <f>IF(I$3&gt;A20remlife,A20value-$G$649-SUM($G323:H323),IF(A20remlife="N/A","n/a",(A20value-$G$649)/A20remlife))</f>
        <v>n/a</v>
      </c>
      <c r="J323" s="68" t="str">
        <f>IF(J$3&gt;A20remlife,A20value-$G$649-SUM($G323:I323),IF(A20remlife="N/A","n/a",(A20value-$G$649)/A20remlife))</f>
        <v>n/a</v>
      </c>
      <c r="K323" s="68" t="str">
        <f>IF(K$3&gt;A20remlife,A20value-$G$649-SUM($G323:J323),IF(A20remlife="N/A","n/a",(A20value-$G$649)/A20remlife))</f>
        <v>n/a</v>
      </c>
      <c r="L323" s="68" t="str">
        <f>IF(L$3&gt;A20remlife,A20value-$G$649-SUM($G323:K323),IF(A20remlife="N/A","n/a",(A20value-$G$649)/A20remlife))</f>
        <v>n/a</v>
      </c>
      <c r="M323" s="68" t="str">
        <f>IF(M$3&gt;A20remlife,A20value-$G$649-SUM($G323:L323),IF(A20remlife="N/A","n/a",(A20value-$G$649)/A20remlife))</f>
        <v>n/a</v>
      </c>
      <c r="N323" s="68" t="str">
        <f>IF(N$3&gt;A20remlife,A20value-$G$649-SUM($G323:M323),IF(A20remlife="N/A","n/a",(A20value-$G$649)/A20remlife))</f>
        <v>n/a</v>
      </c>
      <c r="O323" s="68" t="str">
        <f>IF(O$3&gt;A20remlife,A20value-$G$649-SUM($G323:N323),IF(A20remlife="N/A","n/a",(A20value-$G$649)/A20remlife))</f>
        <v>n/a</v>
      </c>
      <c r="P323" s="68" t="str">
        <f>IF(P$3&gt;A20remlife,A20value-$G$649-SUM($G323:O323),IF(A20remlife="N/A","n/a",(A20value-$G$649)/A20remlife))</f>
        <v>n/a</v>
      </c>
      <c r="Q323" s="68" t="str">
        <f>IF(Q$3&gt;A20remlife,A20value-$G$649-SUM($G323:P323),IF(A20remlife="N/A","n/a",(A20value-$G$649)/A20remlife))</f>
        <v>n/a</v>
      </c>
      <c r="R323" s="68"/>
      <c r="S323" s="103"/>
      <c r="T323" s="103"/>
      <c r="U323" s="103"/>
      <c r="V323" s="103"/>
      <c r="W323" s="103"/>
      <c r="X323" s="103"/>
      <c r="Y323" s="103"/>
      <c r="Z323" s="103"/>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9"/>
      <c r="C324" s="9"/>
      <c r="D324" s="26"/>
      <c r="E324" s="391" t="s">
        <v>82</v>
      </c>
      <c r="F324" s="87"/>
      <c r="G324" s="121"/>
      <c r="H324" s="69"/>
      <c r="I324" s="69"/>
      <c r="J324" s="69"/>
      <c r="K324" s="69"/>
      <c r="L324" s="69"/>
      <c r="M324" s="160"/>
      <c r="N324" s="112"/>
      <c r="O324" s="69"/>
      <c r="P324" s="69"/>
      <c r="Q324" s="69"/>
      <c r="R324" s="69"/>
      <c r="S324" s="103"/>
      <c r="T324" s="103"/>
      <c r="U324" s="103"/>
      <c r="V324" s="103"/>
      <c r="W324" s="103"/>
      <c r="X324" s="103"/>
      <c r="Y324" s="103"/>
      <c r="Z324" s="103"/>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92"/>
      <c r="F325" s="87">
        <v>1</v>
      </c>
      <c r="G325" s="121"/>
      <c r="H325" s="145"/>
      <c r="I325" s="69" t="str">
        <f>IF(A20stdlife="n/a","n/a",IF(I$3&gt;(A20stdlife+$F325),(Input!$H$230*(1+vanilla1)^0.5)-SUM($H325:H325),(Input!$H$230*(1+vanilla1)^0.5)/A20stdlife))</f>
        <v>n/a</v>
      </c>
      <c r="J325" s="69" t="str">
        <f>IF(A20stdlife="n/a","n/a",IF(J$3&gt;(A20stdlife+$F325),(Input!$H$230*(1+vanilla1)^0.5)-SUM($H325:I325),(Input!$H$230*(1+vanilla1)^0.5)/A20stdlife))</f>
        <v>n/a</v>
      </c>
      <c r="K325" s="69" t="str">
        <f>IF(A20stdlife="n/a","n/a",IF(K$3&gt;(A20stdlife+$F325),(Input!$H$230*(1+vanilla1)^0.5)-SUM($H325:J325),(Input!$H$230*(1+vanilla1)^0.5)/A20stdlife))</f>
        <v>n/a</v>
      </c>
      <c r="L325" s="69" t="str">
        <f>IF(A20stdlife="n/a","n/a",IF(L$3&gt;(A20stdlife+$F325),(Input!$H$230*(1+vanilla1)^0.5)-SUM($H325:K325),(Input!$H$230*(1+vanilla1)^0.5)/A20stdlife))</f>
        <v>n/a</v>
      </c>
      <c r="M325" s="69" t="str">
        <f>IF(A20stdlife="n/a","n/a",IF(M$3&gt;(A20stdlife+$F325),(Input!$H$230*(1+vanilla1)^0.5)-SUM($H325:L325),(Input!$H$230*(1+vanilla1)^0.5)/A20stdlife))</f>
        <v>n/a</v>
      </c>
      <c r="N325" s="69" t="str">
        <f>IF(A20stdlife="n/a","n/a",IF(N$3&gt;(A20stdlife+$F325),(Input!$H$230*(1+vanilla1)^0.5)-SUM($H325:M325),(Input!$H$230*(1+vanilla1)^0.5)/A20stdlife))</f>
        <v>n/a</v>
      </c>
      <c r="O325" s="69" t="str">
        <f>IF(A20stdlife="n/a","n/a",IF(O$3&gt;(A20stdlife+$F325),(Input!$H$230*(1+vanilla1)^0.5)-SUM($H325:N325),(Input!$H$230*(1+vanilla1)^0.5)/A20stdlife))</f>
        <v>n/a</v>
      </c>
      <c r="P325" s="69" t="str">
        <f>IF(A20stdlife="n/a","n/a",IF(P$3&gt;(A20stdlife+$F325),(Input!$H$230*(1+vanilla1)^0.5)-SUM($H325:O325),(Input!$H$230*(1+vanilla1)^0.5)/A20stdlife))</f>
        <v>n/a</v>
      </c>
      <c r="Q325" s="69" t="str">
        <f>IF(A20stdlife="n/a","n/a",IF(Q$3&gt;(A20stdlife+$F325),(Input!$H$230*(1+vanilla1)^0.5)-SUM($H325:P325),(Input!$H$230*(1+vanilla1)^0.5)/A20stdlife))</f>
        <v>n/a</v>
      </c>
      <c r="R325" s="69"/>
      <c r="S325" s="103"/>
      <c r="T325" s="103"/>
      <c r="U325" s="103"/>
      <c r="V325" s="103"/>
      <c r="W325" s="103"/>
      <c r="X325" s="103"/>
      <c r="Y325" s="103"/>
      <c r="Z325" s="103"/>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92"/>
      <c r="F326" s="87">
        <v>2</v>
      </c>
      <c r="G326" s="121"/>
      <c r="H326" s="146"/>
      <c r="I326" s="147"/>
      <c r="J326" s="69" t="str">
        <f>IF(A20stdlife="n/a","n/a",IF(J$3&gt;(A20stdlife+$F326),(Input!$I$230*(1+vanilla2)^0.5)-SUM($I326:I326),(Input!$I$230*(1+vanilla2)^0.5)/A20stdlife))</f>
        <v>n/a</v>
      </c>
      <c r="K326" s="69" t="str">
        <f>IF(A20stdlife="n/a","n/a",IF(K$3&gt;(A20stdlife+$F326),(Input!$I$230*(1+vanilla2)^0.5)-SUM($I326:J326),(Input!$I$230*(1+vanilla2)^0.5)/A20stdlife))</f>
        <v>n/a</v>
      </c>
      <c r="L326" s="69" t="str">
        <f>IF(A20stdlife="n/a","n/a",IF(L$3&gt;(A20stdlife+$F326),(Input!$I$230*(1+vanilla2)^0.5)-SUM($I326:K326),(Input!$I$230*(1+vanilla2)^0.5)/A20stdlife))</f>
        <v>n/a</v>
      </c>
      <c r="M326" s="69" t="str">
        <f>IF(A20stdlife="n/a","n/a",IF(M$3&gt;(A20stdlife+$F326),(Input!$I$230*(1+vanilla2)^0.5)-SUM($I326:L326),(Input!$I$230*(1+vanilla2)^0.5)/A20stdlife))</f>
        <v>n/a</v>
      </c>
      <c r="N326" s="69" t="str">
        <f>IF(A20stdlife="n/a","n/a",IF(N$3&gt;(A20stdlife+$F326),(Input!$I$230*(1+vanilla2)^0.5)-SUM($I326:M326),(Input!$I$230*(1+vanilla2)^0.5)/A20stdlife))</f>
        <v>n/a</v>
      </c>
      <c r="O326" s="69" t="str">
        <f>IF(A20stdlife="n/a","n/a",IF(O$3&gt;(A20stdlife+$F326),(Input!$I$230*(1+vanilla2)^0.5)-SUM($I326:N326),(Input!$I$230*(1+vanilla2)^0.5)/A20stdlife))</f>
        <v>n/a</v>
      </c>
      <c r="P326" s="69" t="str">
        <f>IF(A20stdlife="n/a","n/a",IF(P$3&gt;(A20stdlife+$F326),(Input!$I$230*(1+vanilla2)^0.5)-SUM($I326:O326),(Input!$I$230*(1+vanilla2)^0.5)/A20stdlife))</f>
        <v>n/a</v>
      </c>
      <c r="Q326" s="69" t="str">
        <f>IF(A20stdlife="n/a","n/a",IF(Q$3&gt;(A20stdlife+$F326),(Input!$I$230*(1+vanilla2)^0.5)-SUM($I326:P326),(Input!$I$230*(1+vanilla2)^0.5)/A20stdlife))</f>
        <v>n/a</v>
      </c>
      <c r="R326" s="69"/>
      <c r="S326" s="103"/>
      <c r="T326" s="103"/>
      <c r="U326" s="103"/>
      <c r="V326" s="103"/>
      <c r="W326" s="103"/>
      <c r="X326" s="103"/>
      <c r="Y326" s="103"/>
      <c r="Z326" s="103"/>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92"/>
      <c r="F327" s="87">
        <v>3</v>
      </c>
      <c r="G327" s="121"/>
      <c r="H327" s="146"/>
      <c r="I327" s="148"/>
      <c r="J327" s="147"/>
      <c r="K327" s="69" t="str">
        <f>IF(A20stdlife="n/a","n/a",IF(K$3&gt;(A20stdlife+$F327),(Input!$J$230*(1+vanilla3)^0.5)-SUM($J327:J327),(Input!$J$230*(1+vanilla3)^0.5)/A20stdlife))</f>
        <v>n/a</v>
      </c>
      <c r="L327" s="69" t="str">
        <f>IF(A20stdlife="n/a","n/a",IF(L$3&gt;(A20stdlife+$F327),(Input!$J$230*(1+vanilla3)^0.5)-SUM($J327:K327),(Input!$J$230*(1+vanilla3)^0.5)/A20stdlife))</f>
        <v>n/a</v>
      </c>
      <c r="M327" s="69" t="str">
        <f>IF(A20stdlife="n/a","n/a",IF(M$3&gt;(A20stdlife+$F327),(Input!$J$230*(1+vanilla3)^0.5)-SUM($J327:L327),(Input!$J$230*(1+vanilla3)^0.5)/A20stdlife))</f>
        <v>n/a</v>
      </c>
      <c r="N327" s="69" t="str">
        <f>IF(A20stdlife="n/a","n/a",IF(N$3&gt;(A20stdlife+$F327),(Input!$J$230*(1+vanilla3)^0.5)-SUM($J327:M327),(Input!$J$230*(1+vanilla3)^0.5)/A20stdlife))</f>
        <v>n/a</v>
      </c>
      <c r="O327" s="69" t="str">
        <f>IF(A20stdlife="n/a","n/a",IF(O$3&gt;(A20stdlife+$F327),(Input!$J$230*(1+vanilla3)^0.5)-SUM($J327:N327),(Input!$J$230*(1+vanilla3)^0.5)/A20stdlife))</f>
        <v>n/a</v>
      </c>
      <c r="P327" s="69" t="str">
        <f>IF(A20stdlife="n/a","n/a",IF(P$3&gt;(A20stdlife+$F327),(Input!$J$230*(1+vanilla3)^0.5)-SUM($J327:O327),(Input!$J$230*(1+vanilla3)^0.5)/A20stdlife))</f>
        <v>n/a</v>
      </c>
      <c r="Q327" s="69" t="str">
        <f>IF(A20stdlife="n/a","n/a",IF(Q$3&gt;(A20stdlife+$F327),(Input!$J$230*(1+vanilla3)^0.5)-SUM($J327:P327),(Input!$J$230*(1+vanilla3)^0.5)/A20stdlife))</f>
        <v>n/a</v>
      </c>
      <c r="R327" s="69"/>
      <c r="S327" s="103"/>
      <c r="T327" s="103"/>
      <c r="U327" s="103"/>
      <c r="V327" s="103"/>
      <c r="W327" s="103"/>
      <c r="X327" s="103"/>
      <c r="Y327" s="103"/>
      <c r="Z327" s="103"/>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92"/>
      <c r="F328" s="87">
        <v>4</v>
      </c>
      <c r="G328" s="121"/>
      <c r="H328" s="146"/>
      <c r="I328" s="148"/>
      <c r="J328" s="148"/>
      <c r="K328" s="147"/>
      <c r="L328" s="69" t="str">
        <f>IF(A20stdlife="n/a","n/a",IF(L$3&gt;(A20stdlife+$F328),(Input!$K$230*(1+vanilla4)^0.5)-SUM($K328:K328),(Input!$K$230*(1+vanilla4)^0.5)/A20stdlife))</f>
        <v>n/a</v>
      </c>
      <c r="M328" s="69" t="str">
        <f>IF(A20stdlife="n/a","n/a",IF(M$3&gt;(A20stdlife+$F328),(Input!$K$230*(1+vanilla4)^0.5)-SUM($K328:L328),(Input!$K$230*(1+vanilla4)^0.5)/A20stdlife))</f>
        <v>n/a</v>
      </c>
      <c r="N328" s="69" t="str">
        <f>IF(A20stdlife="n/a","n/a",IF(N$3&gt;(A20stdlife+$F328),(Input!$K$230*(1+vanilla4)^0.5)-SUM($K328:M328),(Input!$K$230*(1+vanilla4)^0.5)/A20stdlife))</f>
        <v>n/a</v>
      </c>
      <c r="O328" s="69" t="str">
        <f>IF(A20stdlife="n/a","n/a",IF(O$3&gt;(A20stdlife+$F328),(Input!$K$230*(1+vanilla4)^0.5)-SUM($K328:N328),(Input!$K$230*(1+vanilla4)^0.5)/A20stdlife))</f>
        <v>n/a</v>
      </c>
      <c r="P328" s="69" t="str">
        <f>IF(A20stdlife="n/a","n/a",IF(P$3&gt;(A20stdlife+$F328),(Input!$K$230*(1+vanilla4)^0.5)-SUM($K328:O328),(Input!$K$230*(1+vanilla4)^0.5)/A20stdlife))</f>
        <v>n/a</v>
      </c>
      <c r="Q328" s="69" t="str">
        <f>IF(A20stdlife="n/a","n/a",IF(Q$3&gt;(A20stdlife+$F328),(Input!$K$230*(1+vanilla4)^0.5)-SUM($K328:P328),(Input!$K$230*(1+vanilla4)^0.5)/A20stdlife))</f>
        <v>n/a</v>
      </c>
      <c r="R328" s="69"/>
      <c r="S328" s="103"/>
      <c r="T328" s="103"/>
      <c r="U328" s="103"/>
      <c r="V328" s="103"/>
      <c r="W328" s="103"/>
      <c r="X328" s="103"/>
      <c r="Y328" s="103"/>
      <c r="Z328" s="103"/>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9"/>
      <c r="B329" s="9"/>
      <c r="C329" s="9"/>
      <c r="D329" s="26"/>
      <c r="E329" s="392"/>
      <c r="F329" s="87">
        <v>5</v>
      </c>
      <c r="G329" s="27"/>
      <c r="H329" s="146"/>
      <c r="I329" s="148"/>
      <c r="J329" s="148"/>
      <c r="K329" s="148"/>
      <c r="L329" s="147"/>
      <c r="M329" s="69" t="str">
        <f>IF(A20stdlife="n/a","n/a",IF(M$3&gt;(A20stdlife+$F329),(Input!$L$230*(1+vanilla5)^0.5)-SUM($L329:L329),(Input!$L$230*(1+vanilla5)^0.5)/A20stdlife))</f>
        <v>n/a</v>
      </c>
      <c r="N329" s="69" t="str">
        <f>IF(A20stdlife="n/a","n/a",IF(N$3&gt;(A20stdlife+$F329),(Input!$L$230*(1+vanilla5)^0.5)-SUM($L329:M329),(Input!$L$230*(1+vanilla5)^0.5)/A20stdlife))</f>
        <v>n/a</v>
      </c>
      <c r="O329" s="69" t="str">
        <f>IF(A20stdlife="n/a","n/a",IF(O$3&gt;(A20stdlife+$F329),(Input!$L$230*(1+vanilla5)^0.5)-SUM($L329:N329),(Input!$L$230*(1+vanilla5)^0.5)/A20stdlife))</f>
        <v>n/a</v>
      </c>
      <c r="P329" s="69" t="str">
        <f>IF(A20stdlife="n/a","n/a",IF(P$3&gt;(A20stdlife+$F329),(Input!$L$230*(1+vanilla5)^0.5)-SUM($L329:O329),(Input!$L$230*(1+vanilla5)^0.5)/A20stdlife))</f>
        <v>n/a</v>
      </c>
      <c r="Q329" s="69" t="str">
        <f>IF(A20stdlife="n/a","n/a",IF(Q$3&gt;(A20stdlife+$F329),(Input!$L$230*(1+vanilla5)^0.5)-SUM($L329:P329),(Input!$L$230*(1+vanilla5)^0.5)/A20stdlife))</f>
        <v>n/a</v>
      </c>
      <c r="R329" s="69"/>
      <c r="S329" s="103"/>
      <c r="T329" s="103"/>
      <c r="U329" s="103"/>
      <c r="V329" s="103"/>
      <c r="W329" s="103"/>
      <c r="X329" s="103"/>
      <c r="Y329" s="103"/>
      <c r="Z329" s="103"/>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103"/>
      <c r="BE329" s="103"/>
      <c r="BF329" s="103"/>
      <c r="BG329" s="103"/>
      <c r="BH329" s="103"/>
      <c r="BI329" s="103"/>
      <c r="BJ329" s="103"/>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9"/>
      <c r="D330" s="26"/>
      <c r="E330" s="392"/>
      <c r="F330" s="87">
        <v>6</v>
      </c>
      <c r="G330" s="27"/>
      <c r="H330" s="146"/>
      <c r="I330" s="148"/>
      <c r="J330" s="148"/>
      <c r="K330" s="148"/>
      <c r="L330" s="148"/>
      <c r="M330" s="147"/>
      <c r="N330" s="69" t="str">
        <f>IF(A20stdlife="n/a","n/a",IF(N$3&gt;(A20stdlife+$F330),(Input!$M$230*(1+vanilla6)^0.5)-SUM($M330:M330),(Input!$M$230*(1+vanilla6)^0.5)/A20stdlife))</f>
        <v>n/a</v>
      </c>
      <c r="O330" s="69" t="str">
        <f>IF(A20stdlife="n/a","n/a",IF(O$3&gt;(A20stdlife+$F330),(Input!$M$230*(1+vanilla6)^0.5)-SUM($M330:N330),(Input!$M$230*(1+vanilla6)^0.5)/A20stdlife))</f>
        <v>n/a</v>
      </c>
      <c r="P330" s="69" t="str">
        <f>IF(A20stdlife="n/a","n/a",IF(P$3&gt;(A20stdlife+$F330),(Input!$M$230*(1+vanilla6)^0.5)-SUM($M330:O330),(Input!$M$230*(1+vanilla6)^0.5)/A20stdlife))</f>
        <v>n/a</v>
      </c>
      <c r="Q330" s="69" t="str">
        <f>IF(A20stdlife="n/a","n/a",IF(Q$3&gt;(A20stdlife+$F330),(Input!$M$230*(1+vanilla6)^0.5)-SUM($M330:P330),(Input!$M$230*(1+vanilla6)^0.5)/A20stdlife))</f>
        <v>n/a</v>
      </c>
      <c r="R330" s="69"/>
      <c r="S330" s="103"/>
      <c r="T330" s="103"/>
      <c r="U330" s="103"/>
      <c r="V330" s="103"/>
      <c r="W330" s="103"/>
      <c r="X330" s="103"/>
      <c r="Y330" s="103"/>
      <c r="Z330" s="103"/>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c r="A331" s="9"/>
      <c r="B331" s="9"/>
      <c r="C331" s="9"/>
      <c r="D331" s="26"/>
      <c r="E331" s="392"/>
      <c r="F331" s="87">
        <v>7</v>
      </c>
      <c r="G331" s="27"/>
      <c r="H331" s="146"/>
      <c r="I331" s="148"/>
      <c r="J331" s="148"/>
      <c r="K331" s="148"/>
      <c r="L331" s="148"/>
      <c r="M331" s="148"/>
      <c r="N331" s="147"/>
      <c r="O331" s="69" t="str">
        <f>IF(A20stdlife="n/a","n/a",IF(O$3&gt;(A20stdlife+$F331),(Input!N$230*(1+vanilla7)^0.5)-SUM($N331:N331),(Input!$N$230*(1+vanilla7)^0.5)/A20stdlife))</f>
        <v>n/a</v>
      </c>
      <c r="P331" s="69" t="str">
        <f>IF(A20stdlife="n/a","n/a",IF(P$3&gt;(A20stdlife+$F331),(Input!O$230*(1+vanilla7)^0.5)-SUM($N331:O331),(Input!$N$230*(1+vanilla7)^0.5)/A20stdlife))</f>
        <v>n/a</v>
      </c>
      <c r="Q331" s="69" t="str">
        <f>IF(A20stdlife="n/a","n/a",IF(Q$3&gt;(A20stdlife+$F331),(Input!P$230*(1+vanilla7)^0.5)-SUM($N331:P331),(Input!$N$230*(1+vanilla7)^0.5)/A20stdlife))</f>
        <v>n/a</v>
      </c>
      <c r="R331" s="69"/>
      <c r="S331" s="103"/>
      <c r="T331" s="103"/>
      <c r="U331" s="103"/>
      <c r="V331" s="103"/>
      <c r="W331" s="103"/>
      <c r="X331" s="103"/>
      <c r="Y331" s="103"/>
      <c r="Z331" s="103"/>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92"/>
      <c r="F332" s="87">
        <v>8</v>
      </c>
      <c r="G332" s="27"/>
      <c r="H332" s="146"/>
      <c r="I332" s="148"/>
      <c r="J332" s="148"/>
      <c r="K332" s="148"/>
      <c r="L332" s="148"/>
      <c r="M332" s="148"/>
      <c r="N332" s="148"/>
      <c r="O332" s="147"/>
      <c r="P332" s="69" t="str">
        <f>IF(A20stdlife="n/a","n/a",IF(P$3&gt;(A20stdlife+$F332),(Input!$O$230*(1+vanilla8)^0.5)-SUM($O332:O332),(Input!$O$230*(1+vanilla8)^0.5)/A20stdlife))</f>
        <v>n/a</v>
      </c>
      <c r="Q332" s="69" t="str">
        <f>IF(A20stdlife="n/a","n/a",IF(Q$3&gt;(A20stdlife+$F332),(Input!$O$230*(1+vanilla8)^0.5)-SUM($O332:P332),(Input!$O$230*(1+vanilla8)^0.5)/A20stdlife))</f>
        <v>n/a</v>
      </c>
      <c r="R332" s="69"/>
      <c r="S332" s="103"/>
      <c r="T332" s="103"/>
      <c r="U332" s="103"/>
      <c r="V332" s="103"/>
      <c r="W332" s="103"/>
      <c r="X332" s="103"/>
      <c r="Y332" s="103"/>
      <c r="Z332" s="103"/>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92"/>
      <c r="F333" s="87">
        <v>9</v>
      </c>
      <c r="G333" s="27"/>
      <c r="H333" s="146"/>
      <c r="I333" s="148"/>
      <c r="J333" s="148"/>
      <c r="K333" s="148"/>
      <c r="L333" s="148"/>
      <c r="M333" s="148"/>
      <c r="N333" s="148"/>
      <c r="O333" s="148"/>
      <c r="P333" s="147"/>
      <c r="Q333" s="69" t="str">
        <f>IF(A20stdlife="n/a","n/a",IF(Q$3&gt;(A20stdlife+$F333),(Input!$P$230*(1+vanilla9)^0.5)-SUM($P333:P333),(Input!$P$230*(1+vanilla9)^0.5)/A20stdlife))</f>
        <v>n/a</v>
      </c>
      <c r="R333" s="69"/>
      <c r="S333" s="103"/>
      <c r="T333" s="103"/>
      <c r="U333" s="103"/>
      <c r="V333" s="103"/>
      <c r="W333" s="103"/>
      <c r="X333" s="103"/>
      <c r="Y333" s="103"/>
      <c r="Z333" s="103"/>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92"/>
      <c r="F334" s="88">
        <v>10</v>
      </c>
      <c r="G334" s="27"/>
      <c r="H334" s="146"/>
      <c r="I334" s="148"/>
      <c r="J334" s="148"/>
      <c r="K334" s="148"/>
      <c r="L334" s="148"/>
      <c r="M334" s="148"/>
      <c r="N334" s="148"/>
      <c r="O334" s="148"/>
      <c r="P334" s="148"/>
      <c r="Q334" s="147"/>
      <c r="R334" s="69"/>
      <c r="S334" s="103"/>
      <c r="T334" s="103"/>
      <c r="U334" s="103"/>
      <c r="V334" s="103"/>
      <c r="W334" s="103"/>
      <c r="X334" s="103"/>
      <c r="Y334" s="103"/>
      <c r="Z334" s="103"/>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ollapsed="1">
      <c r="A335" s="9"/>
      <c r="B335" s="9"/>
      <c r="C335" s="9"/>
      <c r="D335" s="271">
        <f>Asset20</f>
        <v>0</v>
      </c>
      <c r="E335" s="9"/>
      <c r="F335" s="9"/>
      <c r="G335" s="121"/>
      <c r="H335" s="162">
        <f t="shared" ref="H335:M335" si="23">-SUM(H323:H334)</f>
        <v>0</v>
      </c>
      <c r="I335" s="162">
        <f t="shared" si="23"/>
        <v>0</v>
      </c>
      <c r="J335" s="162">
        <f t="shared" si="23"/>
        <v>0</v>
      </c>
      <c r="K335" s="162">
        <f t="shared" si="23"/>
        <v>0</v>
      </c>
      <c r="L335" s="162">
        <f t="shared" si="23"/>
        <v>0</v>
      </c>
      <c r="M335" s="162">
        <f t="shared" si="23"/>
        <v>0</v>
      </c>
      <c r="N335" s="69">
        <f>IF(COUNT($H335:M335)&gt;=Input!$Y$7,0, -SUM(N323:N334))</f>
        <v>0</v>
      </c>
      <c r="O335" s="69">
        <f>IF(COUNT($H335:N335)&gt;=Input!$Y$7,0, -SUM(O323:O334))</f>
        <v>0</v>
      </c>
      <c r="P335" s="69">
        <f>IF(COUNT($H335:O335)&gt;=Input!$Y$7,0, -SUM(P323:P334))</f>
        <v>0</v>
      </c>
      <c r="Q335" s="69">
        <f>IF(COUNT($H335:P335)&gt;=Input!$Y$7,0, -SUM(Q323:Q334))</f>
        <v>0</v>
      </c>
      <c r="R335" s="67"/>
      <c r="S335" s="105"/>
      <c r="T335" s="105"/>
      <c r="U335" s="105"/>
      <c r="V335" s="105"/>
      <c r="W335" s="105"/>
      <c r="X335" s="105"/>
      <c r="Y335" s="105"/>
      <c r="Z335" s="105"/>
      <c r="AA335" s="233"/>
      <c r="AB335" s="233"/>
      <c r="AC335" s="233"/>
      <c r="AD335" s="233"/>
      <c r="AE335" s="233"/>
      <c r="AF335" s="233"/>
      <c r="AG335" s="233"/>
      <c r="AH335" s="233"/>
      <c r="AI335" s="233"/>
      <c r="AJ335" s="233"/>
      <c r="AK335" s="233"/>
      <c r="AL335" s="233"/>
      <c r="AM335" s="233"/>
      <c r="AN335" s="233"/>
      <c r="AO335" s="233"/>
      <c r="AP335" s="233"/>
      <c r="AQ335" s="233"/>
      <c r="AR335" s="233"/>
      <c r="AS335" s="233"/>
      <c r="AT335" s="233"/>
      <c r="AU335" s="233"/>
      <c r="AV335" s="233"/>
      <c r="AW335" s="233"/>
      <c r="AX335" s="233"/>
      <c r="AY335" s="233"/>
      <c r="AZ335" s="233"/>
      <c r="BA335" s="233"/>
      <c r="BB335" s="233"/>
      <c r="BC335" s="233"/>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272">
        <f>Asset21</f>
        <v>0</v>
      </c>
      <c r="D336" s="158"/>
      <c r="E336" s="32" t="s">
        <v>26</v>
      </c>
      <c r="F336" s="31"/>
      <c r="G336" s="177"/>
      <c r="H336" s="68" t="str">
        <f>IF(H$3&gt;A21remlife,A21value-$G$650-SUM($G336:G336),IF(A21remlife="N/A","n/a",(A21value-$G$650)/A21remlife))</f>
        <v>n/a</v>
      </c>
      <c r="I336" s="68" t="str">
        <f>IF(I$3&gt;A21remlife,A21value-$G$650-SUM($G336:H336),IF(A21remlife="N/A","n/a",(A21value-$G$650)/A21remlife))</f>
        <v>n/a</v>
      </c>
      <c r="J336" s="68" t="str">
        <f>IF(J$3&gt;A21remlife,A21value-$G$650-SUM($G336:I336),IF(A21remlife="N/A","n/a",(A21value-$G$650)/A21remlife))</f>
        <v>n/a</v>
      </c>
      <c r="K336" s="68" t="str">
        <f>IF(K$3&gt;A21remlife,A21value-$G$650-SUM($G336:J336),IF(A21remlife="N/A","n/a",(A21value-$G$650)/A21remlife))</f>
        <v>n/a</v>
      </c>
      <c r="L336" s="68" t="str">
        <f>IF(L$3&gt;A21remlife,A21value-$G$650-SUM($G336:K336),IF(A21remlife="N/A","n/a",(A21value-$G$650)/A21remlife))</f>
        <v>n/a</v>
      </c>
      <c r="M336" s="68" t="str">
        <f>IF(M$3&gt;A21remlife,A21value-$G$650-SUM($G336:L336),IF(A21remlife="N/A","n/a",(A21value-$G$650)/A21remlife))</f>
        <v>n/a</v>
      </c>
      <c r="N336" s="68" t="str">
        <f>IF(N$3&gt;A21remlife,A21value-$G$650-SUM($G336:M336),IF(A21remlife="N/A","n/a",(A21value-$G$650)/A21remlife))</f>
        <v>n/a</v>
      </c>
      <c r="O336" s="68" t="str">
        <f>IF(O$3&gt;A21remlife,A21value-$G$650-SUM($G336:N336),IF(A21remlife="N/A","n/a",(A21value-$G$650)/A21remlife))</f>
        <v>n/a</v>
      </c>
      <c r="P336" s="68" t="str">
        <f>IF(P$3&gt;A21remlife,A21value-$G$650-SUM($G336:O336),IF(A21remlife="N/A","n/a",(A21value-$G$650)/A21remlife))</f>
        <v>n/a</v>
      </c>
      <c r="Q336" s="68" t="str">
        <f>IF(Q$3&gt;A21remlife,A21value-$G$650-SUM($G336:P336),IF(A21remlife="N/A","n/a",(A21value-$G$650)/A21remlife))</f>
        <v>n/a</v>
      </c>
      <c r="R336" s="68"/>
      <c r="S336" s="103"/>
      <c r="T336" s="103"/>
      <c r="U336" s="103"/>
      <c r="V336" s="103"/>
      <c r="W336" s="103"/>
      <c r="X336" s="103"/>
      <c r="Y336" s="103"/>
      <c r="Z336" s="103"/>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hidden="1" customHeight="1" outlineLevel="2">
      <c r="A337" s="9"/>
      <c r="B337" s="9"/>
      <c r="C337" s="9"/>
      <c r="D337" s="26"/>
      <c r="E337" s="391" t="s">
        <v>82</v>
      </c>
      <c r="F337" s="87"/>
      <c r="G337" s="121"/>
      <c r="H337" s="69"/>
      <c r="I337" s="69"/>
      <c r="J337" s="69"/>
      <c r="K337" s="69"/>
      <c r="L337" s="69"/>
      <c r="M337" s="160"/>
      <c r="N337" s="112"/>
      <c r="O337" s="69"/>
      <c r="P337" s="69"/>
      <c r="Q337" s="69"/>
      <c r="R337" s="69"/>
      <c r="S337" s="103"/>
      <c r="T337" s="103"/>
      <c r="U337" s="103"/>
      <c r="V337" s="103"/>
      <c r="W337" s="103"/>
      <c r="X337" s="103"/>
      <c r="Y337" s="103"/>
      <c r="Z337" s="103"/>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92"/>
      <c r="F338" s="87">
        <v>1</v>
      </c>
      <c r="G338" s="121"/>
      <c r="H338" s="145"/>
      <c r="I338" s="69" t="str">
        <f>IF(A21stdlife="n/a","n/a",IF(I$3&gt;(A21stdlife+$F338),(Input!$H$231*(1+vanilla1)^0.5)-SUM($H338:H338),(Input!$H$231*(1+vanilla1)^0.5)/A21stdlife))</f>
        <v>n/a</v>
      </c>
      <c r="J338" s="69" t="str">
        <f>IF(A21stdlife="n/a","n/a",IF(J$3&gt;(A21stdlife+$F338),(Input!$H$231*(1+vanilla1)^0.5)-SUM($H338:I338),(Input!$H$231*(1+vanilla1)^0.5)/A21stdlife))</f>
        <v>n/a</v>
      </c>
      <c r="K338" s="69" t="str">
        <f>IF(A21stdlife="n/a","n/a",IF(K$3&gt;(A21stdlife+$F338),(Input!$H$231*(1+vanilla1)^0.5)-SUM($H338:J338),(Input!$H$231*(1+vanilla1)^0.5)/A21stdlife))</f>
        <v>n/a</v>
      </c>
      <c r="L338" s="69" t="str">
        <f>IF(A21stdlife="n/a","n/a",IF(L$3&gt;(A21stdlife+$F338),(Input!$H$231*(1+vanilla1)^0.5)-SUM($H338:K338),(Input!$H$231*(1+vanilla1)^0.5)/A21stdlife))</f>
        <v>n/a</v>
      </c>
      <c r="M338" s="69" t="str">
        <f>IF(A21stdlife="n/a","n/a",IF(M$3&gt;(A21stdlife+$F338),(Input!$H$231*(1+vanilla1)^0.5)-SUM($H338:L338),(Input!$H$231*(1+vanilla1)^0.5)/A21stdlife))</f>
        <v>n/a</v>
      </c>
      <c r="N338" s="69" t="str">
        <f>IF(A21stdlife="n/a","n/a",IF(N$3&gt;(A21stdlife+$F338),(Input!$H$231*(1+vanilla1)^0.5)-SUM($H338:M338),(Input!$H$231*(1+vanilla1)^0.5)/A21stdlife))</f>
        <v>n/a</v>
      </c>
      <c r="O338" s="69" t="str">
        <f>IF(A21stdlife="n/a","n/a",IF(O$3&gt;(A21stdlife+$F338),(Input!$H$231*(1+vanilla1)^0.5)-SUM($H338:N338),(Input!$H$231*(1+vanilla1)^0.5)/A21stdlife))</f>
        <v>n/a</v>
      </c>
      <c r="P338" s="69" t="str">
        <f>IF(A21stdlife="n/a","n/a",IF(P$3&gt;(A21stdlife+$F338),(Input!$H$231*(1+vanilla1)^0.5)-SUM($H338:O338),(Input!$H$231*(1+vanilla1)^0.5)/A21stdlife))</f>
        <v>n/a</v>
      </c>
      <c r="Q338" s="69" t="str">
        <f>IF(A21stdlife="n/a","n/a",IF(Q$3&gt;(A21stdlife+$F338),(Input!$H$231*(1+vanilla1)^0.5)-SUM($H338:P338),(Input!$H$231*(1+vanilla1)^0.5)/A21stdlife))</f>
        <v>n/a</v>
      </c>
      <c r="R338" s="69"/>
      <c r="S338" s="103"/>
      <c r="T338" s="103"/>
      <c r="U338" s="103"/>
      <c r="V338" s="103"/>
      <c r="W338" s="103"/>
      <c r="X338" s="103"/>
      <c r="Y338" s="103"/>
      <c r="Z338" s="103"/>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92"/>
      <c r="F339" s="87">
        <v>2</v>
      </c>
      <c r="G339" s="121"/>
      <c r="H339" s="146"/>
      <c r="I339" s="147"/>
      <c r="J339" s="69" t="str">
        <f>IF(A21stdlife="n/a","n/a",IF(J$3&gt;(A21stdlife+$F339),(Input!$I$231*(1+vanilla2)^0.5)-SUM($I339:I339),(Input!$I$231*(1+vanilla2)^0.5)/A21stdlife))</f>
        <v>n/a</v>
      </c>
      <c r="K339" s="69" t="str">
        <f>IF(A21stdlife="n/a","n/a",IF(K$3&gt;(A21stdlife+$F339),(Input!$I$231*(1+vanilla2)^0.5)-SUM($I339:J339),(Input!$I$231*(1+vanilla2)^0.5)/A21stdlife))</f>
        <v>n/a</v>
      </c>
      <c r="L339" s="69" t="str">
        <f>IF(A21stdlife="n/a","n/a",IF(L$3&gt;(A21stdlife+$F339),(Input!$I$231*(1+vanilla2)^0.5)-SUM($I339:K339),(Input!$I$231*(1+vanilla2)^0.5)/A21stdlife))</f>
        <v>n/a</v>
      </c>
      <c r="M339" s="69" t="str">
        <f>IF(A21stdlife="n/a","n/a",IF(M$3&gt;(A21stdlife+$F339),(Input!$I$231*(1+vanilla2)^0.5)-SUM($I339:L339),(Input!$I$231*(1+vanilla2)^0.5)/A21stdlife))</f>
        <v>n/a</v>
      </c>
      <c r="N339" s="69" t="str">
        <f>IF(A21stdlife="n/a","n/a",IF(N$3&gt;(A21stdlife+$F339),(Input!$I$231*(1+vanilla2)^0.5)-SUM($I339:M339),(Input!$I$231*(1+vanilla2)^0.5)/A21stdlife))</f>
        <v>n/a</v>
      </c>
      <c r="O339" s="69" t="str">
        <f>IF(A21stdlife="n/a","n/a",IF(O$3&gt;(A21stdlife+$F339),(Input!$I$231*(1+vanilla2)^0.5)-SUM($I339:N339),(Input!$I$231*(1+vanilla2)^0.5)/A21stdlife))</f>
        <v>n/a</v>
      </c>
      <c r="P339" s="69" t="str">
        <f>IF(A21stdlife="n/a","n/a",IF(P$3&gt;(A21stdlife+$F339),(Input!$I$231*(1+vanilla2)^0.5)-SUM($I339:O339),(Input!$I$231*(1+vanilla2)^0.5)/A21stdlife))</f>
        <v>n/a</v>
      </c>
      <c r="Q339" s="69" t="str">
        <f>IF(A21stdlife="n/a","n/a",IF(Q$3&gt;(A21stdlife+$F339),(Input!$I$231*(1+vanilla2)^0.5)-SUM($I339:P339),(Input!$I$231*(1+vanilla2)^0.5)/A21stdlife))</f>
        <v>n/a</v>
      </c>
      <c r="R339" s="69"/>
      <c r="S339" s="103"/>
      <c r="T339" s="103"/>
      <c r="U339" s="103"/>
      <c r="V339" s="103"/>
      <c r="W339" s="103"/>
      <c r="X339" s="103"/>
      <c r="Y339" s="103"/>
      <c r="Z339" s="103"/>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92"/>
      <c r="F340" s="87">
        <v>3</v>
      </c>
      <c r="G340" s="121"/>
      <c r="H340" s="146"/>
      <c r="I340" s="148"/>
      <c r="J340" s="147"/>
      <c r="K340" s="69" t="str">
        <f>IF(A21stdlife="n/a","n/a",IF(K$3&gt;(A21stdlife+$F340),(Input!$J$231*(1+vanilla3)^0.5)-SUM($J340:J340),(Input!$J$231*(1+vanilla3)^0.5)/A21stdlife))</f>
        <v>n/a</v>
      </c>
      <c r="L340" s="69" t="str">
        <f>IF(A21stdlife="n/a","n/a",IF(L$3&gt;(A21stdlife+$F340),(Input!$J$231*(1+vanilla3)^0.5)-SUM($J340:K340),(Input!$J$231*(1+vanilla3)^0.5)/A21stdlife))</f>
        <v>n/a</v>
      </c>
      <c r="M340" s="69" t="str">
        <f>IF(A21stdlife="n/a","n/a",IF(M$3&gt;(A21stdlife+$F340),(Input!$J$231*(1+vanilla3)^0.5)-SUM($J340:L340),(Input!$J$231*(1+vanilla3)^0.5)/A21stdlife))</f>
        <v>n/a</v>
      </c>
      <c r="N340" s="69" t="str">
        <f>IF(A21stdlife="n/a","n/a",IF(N$3&gt;(A21stdlife+$F340),(Input!$J$231*(1+vanilla3)^0.5)-SUM($J340:M340),(Input!$J$231*(1+vanilla3)^0.5)/A21stdlife))</f>
        <v>n/a</v>
      </c>
      <c r="O340" s="69" t="str">
        <f>IF(A21stdlife="n/a","n/a",IF(O$3&gt;(A21stdlife+$F340),(Input!$J$231*(1+vanilla3)^0.5)-SUM($J340:N340),(Input!$J$231*(1+vanilla3)^0.5)/A21stdlife))</f>
        <v>n/a</v>
      </c>
      <c r="P340" s="69" t="str">
        <f>IF(A21stdlife="n/a","n/a",IF(P$3&gt;(A21stdlife+$F340),(Input!$J$231*(1+vanilla3)^0.5)-SUM($J340:O340),(Input!$J$231*(1+vanilla3)^0.5)/A21stdlife))</f>
        <v>n/a</v>
      </c>
      <c r="Q340" s="69" t="str">
        <f>IF(A21stdlife="n/a","n/a",IF(Q$3&gt;(A21stdlife+$F340),(Input!$J$231*(1+vanilla3)^0.5)-SUM($J340:P340),(Input!$J$231*(1+vanilla3)^0.5)/A21stdlife))</f>
        <v>n/a</v>
      </c>
      <c r="R340" s="69"/>
      <c r="S340" s="103"/>
      <c r="T340" s="103"/>
      <c r="U340" s="103"/>
      <c r="V340" s="103"/>
      <c r="W340" s="103"/>
      <c r="X340" s="103"/>
      <c r="Y340" s="103"/>
      <c r="Z340" s="103"/>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92"/>
      <c r="F341" s="87">
        <v>4</v>
      </c>
      <c r="G341" s="121"/>
      <c r="H341" s="146"/>
      <c r="I341" s="148"/>
      <c r="J341" s="148"/>
      <c r="K341" s="147"/>
      <c r="L341" s="69" t="str">
        <f>IF(A21stdlife="n/a","n/a",IF(L$3&gt;(A21stdlife+$F341),(Input!$K$231*(1+vanilla4)^0.5)-SUM($K341:K341),(Input!$K$231*(1+vanilla4)^0.5)/A21stdlife))</f>
        <v>n/a</v>
      </c>
      <c r="M341" s="69" t="str">
        <f>IF(A21stdlife="n/a","n/a",IF(M$3&gt;(A21stdlife+$F341),(Input!$K$231*(1+vanilla4)^0.5)-SUM($K341:L341),(Input!$K$231*(1+vanilla4)^0.5)/A21stdlife))</f>
        <v>n/a</v>
      </c>
      <c r="N341" s="69" t="str">
        <f>IF(A21stdlife="n/a","n/a",IF(N$3&gt;(A21stdlife+$F341),(Input!$K$231*(1+vanilla4)^0.5)-SUM($K341:M341),(Input!$K$231*(1+vanilla4)^0.5)/A21stdlife))</f>
        <v>n/a</v>
      </c>
      <c r="O341" s="69" t="str">
        <f>IF(A21stdlife="n/a","n/a",IF(O$3&gt;(A21stdlife+$F341),(Input!$K$231*(1+vanilla4)^0.5)-SUM($K341:N341),(Input!$K$231*(1+vanilla4)^0.5)/A21stdlife))</f>
        <v>n/a</v>
      </c>
      <c r="P341" s="69" t="str">
        <f>IF(A21stdlife="n/a","n/a",IF(P$3&gt;(A21stdlife+$F341),(Input!$K$231*(1+vanilla4)^0.5)-SUM($K341:O341),(Input!$K$231*(1+vanilla4)^0.5)/A21stdlife))</f>
        <v>n/a</v>
      </c>
      <c r="Q341" s="69" t="str">
        <f>IF(A21stdlife="n/a","n/a",IF(Q$3&gt;(A21stdlife+$F341),(Input!$K$231*(1+vanilla4)^0.5)-SUM($K341:P341),(Input!$K$231*(1+vanilla4)^0.5)/A21stdlife))</f>
        <v>n/a</v>
      </c>
      <c r="R341" s="69"/>
      <c r="S341" s="103"/>
      <c r="T341" s="103"/>
      <c r="U341" s="103"/>
      <c r="V341" s="103"/>
      <c r="W341" s="103"/>
      <c r="X341" s="103"/>
      <c r="Y341" s="103"/>
      <c r="Z341" s="103"/>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9"/>
      <c r="B342" s="9"/>
      <c r="C342" s="9"/>
      <c r="D342" s="26"/>
      <c r="E342" s="392"/>
      <c r="F342" s="87">
        <v>5</v>
      </c>
      <c r="G342" s="27"/>
      <c r="H342" s="146"/>
      <c r="I342" s="148"/>
      <c r="J342" s="148"/>
      <c r="K342" s="148"/>
      <c r="L342" s="147"/>
      <c r="M342" s="69" t="str">
        <f>IF(A21stdlife="n/a","n/a",IF(M$3&gt;(A21stdlife+$F342),(Input!$L$231*(1+vanilla5)^0.5)-SUM($L342:L342),(Input!$L$231*(1+vanilla5)^0.5)/A21stdlife))</f>
        <v>n/a</v>
      </c>
      <c r="N342" s="69" t="str">
        <f>IF(A21stdlife="n/a","n/a",IF(N$3&gt;(A21stdlife+$F342),(Input!$L$231*(1+vanilla5)^0.5)-SUM($L342:M342),(Input!$L$231*(1+vanilla5)^0.5)/A21stdlife))</f>
        <v>n/a</v>
      </c>
      <c r="O342" s="69" t="str">
        <f>IF(A21stdlife="n/a","n/a",IF(O$3&gt;(A21stdlife+$F342),(Input!$L$231*(1+vanilla5)^0.5)-SUM($L342:N342),(Input!$L$231*(1+vanilla5)^0.5)/A21stdlife))</f>
        <v>n/a</v>
      </c>
      <c r="P342" s="69" t="str">
        <f>IF(A21stdlife="n/a","n/a",IF(P$3&gt;(A21stdlife+$F342),(Input!$L$231*(1+vanilla5)^0.5)-SUM($L342:O342),(Input!$L$231*(1+vanilla5)^0.5)/A21stdlife))</f>
        <v>n/a</v>
      </c>
      <c r="Q342" s="69" t="str">
        <f>IF(A21stdlife="n/a","n/a",IF(Q$3&gt;(A21stdlife+$F342),(Input!$L$231*(1+vanilla5)^0.5)-SUM($L342:P342),(Input!$L$231*(1+vanilla5)^0.5)/A21stdlife))</f>
        <v>n/a</v>
      </c>
      <c r="R342" s="69"/>
      <c r="S342" s="103"/>
      <c r="T342" s="103"/>
      <c r="U342" s="103"/>
      <c r="V342" s="103"/>
      <c r="W342" s="103"/>
      <c r="X342" s="103"/>
      <c r="Y342" s="103"/>
      <c r="Z342" s="103"/>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103"/>
      <c r="BE342" s="103"/>
      <c r="BF342" s="103"/>
      <c r="BG342" s="103"/>
      <c r="BH342" s="103"/>
      <c r="BI342" s="103"/>
      <c r="BJ342" s="103"/>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9"/>
      <c r="D343" s="26"/>
      <c r="E343" s="392"/>
      <c r="F343" s="87">
        <v>6</v>
      </c>
      <c r="G343" s="27"/>
      <c r="H343" s="146"/>
      <c r="I343" s="148"/>
      <c r="J343" s="148"/>
      <c r="K343" s="148"/>
      <c r="L343" s="148"/>
      <c r="M343" s="147"/>
      <c r="N343" s="69" t="str">
        <f>IF(A21stdlife="n/a","n/a",IF(N$3&gt;(A21stdlife+$F343),(Input!$M$231*(1+vanilla6)^0.5)-SUM($M343:M343),(Input!$M$231*(1+vanilla6)^0.5)/A21stdlife))</f>
        <v>n/a</v>
      </c>
      <c r="O343" s="69" t="str">
        <f>IF(A21stdlife="n/a","n/a",IF(O$3&gt;(A21stdlife+$F343),(Input!$M$231*(1+vanilla6)^0.5)-SUM($M343:N343),(Input!$M$231*(1+vanilla6)^0.5)/A21stdlife))</f>
        <v>n/a</v>
      </c>
      <c r="P343" s="69" t="str">
        <f>IF(A21stdlife="n/a","n/a",IF(P$3&gt;(A21stdlife+$F343),(Input!$M$231*(1+vanilla6)^0.5)-SUM($M343:O343),(Input!$M$231*(1+vanilla6)^0.5)/A21stdlife))</f>
        <v>n/a</v>
      </c>
      <c r="Q343" s="69" t="str">
        <f>IF(A21stdlife="n/a","n/a",IF(Q$3&gt;(A21stdlife+$F343),(Input!$M$231*(1+vanilla6)^0.5)-SUM($M343:P343),(Input!$M$231*(1+vanilla6)^0.5)/A21stdlife))</f>
        <v>n/a</v>
      </c>
      <c r="R343" s="69"/>
      <c r="S343" s="103"/>
      <c r="T343" s="103"/>
      <c r="U343" s="103"/>
      <c r="V343" s="103"/>
      <c r="W343" s="103"/>
      <c r="X343" s="103"/>
      <c r="Y343" s="103"/>
      <c r="Z343" s="103"/>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c r="A344" s="9"/>
      <c r="B344" s="9"/>
      <c r="C344" s="9"/>
      <c r="D344" s="26"/>
      <c r="E344" s="392"/>
      <c r="F344" s="87">
        <v>7</v>
      </c>
      <c r="G344" s="27"/>
      <c r="H344" s="146"/>
      <c r="I344" s="148"/>
      <c r="J344" s="148"/>
      <c r="K344" s="148"/>
      <c r="L344" s="148"/>
      <c r="M344" s="148"/>
      <c r="N344" s="147"/>
      <c r="O344" s="69" t="str">
        <f>IF(A22stdlife="n/a","n/a",IF(O$3&gt;(A22stdlife+$F344),(Input!N$231*(1+vanilla7)^0.5)-SUM($N344:N344),(Input!$N$231*(1+vanilla7)^0.5)/A21stdlife))</f>
        <v>n/a</v>
      </c>
      <c r="P344" s="69" t="str">
        <f>IF(A22stdlife="n/a","n/a",IF(P$3&gt;(A22stdlife+$F344),(Input!O$231*(1+vanilla7)^0.5)-SUM($N344:O344),(Input!$N$231*(1+vanilla7)^0.5)/A21stdlife))</f>
        <v>n/a</v>
      </c>
      <c r="Q344" s="69" t="str">
        <f>IF(A22stdlife="n/a","n/a",IF(Q$3&gt;(A22stdlife+$F344),(Input!P$231*(1+vanilla7)^0.5)-SUM($N344:P344),(Input!$N$231*(1+vanilla7)^0.5)/A21stdlife))</f>
        <v>n/a</v>
      </c>
      <c r="R344" s="69"/>
      <c r="S344" s="103"/>
      <c r="T344" s="103"/>
      <c r="U344" s="103"/>
      <c r="V344" s="103"/>
      <c r="W344" s="103"/>
      <c r="X344" s="103"/>
      <c r="Y344" s="103"/>
      <c r="Z344" s="103"/>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92"/>
      <c r="F345" s="87">
        <v>8</v>
      </c>
      <c r="G345" s="27"/>
      <c r="H345" s="146"/>
      <c r="I345" s="148"/>
      <c r="J345" s="148"/>
      <c r="K345" s="148"/>
      <c r="L345" s="148"/>
      <c r="M345" s="148"/>
      <c r="N345" s="148"/>
      <c r="O345" s="147"/>
      <c r="P345" s="69" t="str">
        <f>IF(A21stdlife="n/a","n/a",IF(P$3&gt;(A21stdlife+$F345),(Input!$O$231*(1+vanilla8)^0.5)-SUM($O345:O345),(Input!$O$231*(1+vanilla8)^0.5)/A21stdlife))</f>
        <v>n/a</v>
      </c>
      <c r="Q345" s="69" t="str">
        <f>IF(A21stdlife="n/a","n/a",IF(Q$3&gt;(A21stdlife+$F345),(Input!$O$231*(1+vanilla8)^0.5)-SUM($O345:P345),(Input!$O$231*(1+vanilla8)^0.5)/A21stdlife))</f>
        <v>n/a</v>
      </c>
      <c r="R345" s="69"/>
      <c r="S345" s="103"/>
      <c r="T345" s="103"/>
      <c r="U345" s="103"/>
      <c r="V345" s="103"/>
      <c r="W345" s="103"/>
      <c r="X345" s="103"/>
      <c r="Y345" s="103"/>
      <c r="Z345" s="103"/>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92"/>
      <c r="F346" s="87">
        <v>9</v>
      </c>
      <c r="G346" s="27"/>
      <c r="H346" s="146"/>
      <c r="I346" s="148"/>
      <c r="J346" s="148"/>
      <c r="K346" s="148"/>
      <c r="L346" s="148"/>
      <c r="M346" s="148"/>
      <c r="N346" s="148"/>
      <c r="O346" s="148"/>
      <c r="P346" s="147"/>
      <c r="Q346" s="69" t="str">
        <f>IF(A21stdlife="n/a","n/a",IF(Q$3&gt;(A21stdlife+$F346),(Input!$P$231*(1+vanilla9)^0.5)-SUM($P346:P346),(Input!$P$231*(1+vanilla9)^0.5)/A21stdlife))</f>
        <v>n/a</v>
      </c>
      <c r="R346" s="69"/>
      <c r="S346" s="103"/>
      <c r="T346" s="103"/>
      <c r="U346" s="103"/>
      <c r="V346" s="103"/>
      <c r="W346" s="103"/>
      <c r="X346" s="103"/>
      <c r="Y346" s="103"/>
      <c r="Z346" s="103"/>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92"/>
      <c r="F347" s="88">
        <v>10</v>
      </c>
      <c r="G347" s="27"/>
      <c r="H347" s="146"/>
      <c r="I347" s="148"/>
      <c r="J347" s="148"/>
      <c r="K347" s="148"/>
      <c r="L347" s="148"/>
      <c r="M347" s="148"/>
      <c r="N347" s="148"/>
      <c r="O347" s="148"/>
      <c r="P347" s="148"/>
      <c r="Q347" s="147"/>
      <c r="R347" s="69"/>
      <c r="S347" s="103"/>
      <c r="T347" s="103"/>
      <c r="U347" s="103"/>
      <c r="V347" s="103"/>
      <c r="W347" s="103"/>
      <c r="X347" s="103"/>
      <c r="Y347" s="103"/>
      <c r="Z347" s="103"/>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ollapsed="1">
      <c r="A348" s="9"/>
      <c r="B348" s="9"/>
      <c r="C348" s="9"/>
      <c r="D348" s="271">
        <f>Asset21</f>
        <v>0</v>
      </c>
      <c r="E348" s="9"/>
      <c r="F348" s="9"/>
      <c r="G348" s="121"/>
      <c r="H348" s="162">
        <f t="shared" ref="H348:M348" si="24">-SUM(H336:H347)</f>
        <v>0</v>
      </c>
      <c r="I348" s="162">
        <f t="shared" si="24"/>
        <v>0</v>
      </c>
      <c r="J348" s="162">
        <f t="shared" si="24"/>
        <v>0</v>
      </c>
      <c r="K348" s="162">
        <f t="shared" si="24"/>
        <v>0</v>
      </c>
      <c r="L348" s="162">
        <f t="shared" si="24"/>
        <v>0</v>
      </c>
      <c r="M348" s="162">
        <f t="shared" si="24"/>
        <v>0</v>
      </c>
      <c r="N348" s="69">
        <f>IF(COUNT($H348:M348)&gt;=Input!$Y$7,0, -SUM(N336:N347))</f>
        <v>0</v>
      </c>
      <c r="O348" s="69">
        <f>IF(COUNT($H348:N348)&gt;=Input!$Y$7,0, -SUM(O336:O347))</f>
        <v>0</v>
      </c>
      <c r="P348" s="69">
        <f>IF(COUNT($H348:O348)&gt;=Input!$Y$7,0, -SUM(P336:P347))</f>
        <v>0</v>
      </c>
      <c r="Q348" s="69">
        <f>IF(COUNT($H348:P348)&gt;=Input!$Y$7,0, -SUM(Q336:Q347))</f>
        <v>0</v>
      </c>
      <c r="R348" s="67"/>
      <c r="S348" s="105"/>
      <c r="T348" s="105"/>
      <c r="U348" s="105"/>
      <c r="V348" s="105"/>
      <c r="W348" s="105"/>
      <c r="X348" s="105"/>
      <c r="Y348" s="105"/>
      <c r="Z348" s="105"/>
      <c r="AA348" s="233"/>
      <c r="AB348" s="233"/>
      <c r="AC348" s="233"/>
      <c r="AD348" s="233"/>
      <c r="AE348" s="233"/>
      <c r="AF348" s="233"/>
      <c r="AG348" s="233"/>
      <c r="AH348" s="233"/>
      <c r="AI348" s="233"/>
      <c r="AJ348" s="233"/>
      <c r="AK348" s="233"/>
      <c r="AL348" s="233"/>
      <c r="AM348" s="233"/>
      <c r="AN348" s="233"/>
      <c r="AO348" s="233"/>
      <c r="AP348" s="233"/>
      <c r="AQ348" s="233"/>
      <c r="AR348" s="233"/>
      <c r="AS348" s="233"/>
      <c r="AT348" s="233"/>
      <c r="AU348" s="233"/>
      <c r="AV348" s="233"/>
      <c r="AW348" s="233"/>
      <c r="AX348" s="233"/>
      <c r="AY348" s="233"/>
      <c r="AZ348" s="233"/>
      <c r="BA348" s="233"/>
      <c r="BB348" s="233"/>
      <c r="BC348" s="233"/>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272">
        <f>Asset22</f>
        <v>0</v>
      </c>
      <c r="D349" s="158"/>
      <c r="E349" s="32" t="s">
        <v>26</v>
      </c>
      <c r="F349" s="31"/>
      <c r="G349" s="177"/>
      <c r="H349" s="68" t="str">
        <f>IF(H$3&gt;A22remlife,A22value-$G$651-SUM($G349:G349),IF(A22remlife="N/A","n/a",(A22value-$G$651)/A22remlife))</f>
        <v>n/a</v>
      </c>
      <c r="I349" s="68" t="str">
        <f>IF(I$3&gt;A22remlife,A22value-$G$651-SUM($G349:H349),IF(A22remlife="N/A","n/a",(A22value-$G$651)/A22remlife))</f>
        <v>n/a</v>
      </c>
      <c r="J349" s="68" t="str">
        <f>IF(J$3&gt;A22remlife,A22value-$G$651-SUM($G349:I349),IF(A22remlife="N/A","n/a",(A22value-$G$651)/A22remlife))</f>
        <v>n/a</v>
      </c>
      <c r="K349" s="68" t="str">
        <f>IF(K$3&gt;A22remlife,A22value-$G$651-SUM($G349:J349),IF(A22remlife="N/A","n/a",(A22value-$G$651)/A22remlife))</f>
        <v>n/a</v>
      </c>
      <c r="L349" s="68" t="str">
        <f>IF(L$3&gt;A22remlife,A22value-$G$651-SUM($G349:K349),IF(A22remlife="N/A","n/a",(A22value-$G$651)/A22remlife))</f>
        <v>n/a</v>
      </c>
      <c r="M349" s="68" t="str">
        <f>IF(M$3&gt;A22remlife,A22value-$G$651-SUM($G349:L349),IF(A22remlife="N/A","n/a",(A22value-$G$651)/A22remlife))</f>
        <v>n/a</v>
      </c>
      <c r="N349" s="68" t="str">
        <f>IF(N$3&gt;A22remlife,A22value-$G$651-SUM($G349:M349),IF(A22remlife="N/A","n/a",(A22value-$G$651)/A22remlife))</f>
        <v>n/a</v>
      </c>
      <c r="O349" s="68" t="str">
        <f>IF(O$3&gt;A22remlife,A22value-$G$651-SUM($G349:N349),IF(A22remlife="N/A","n/a",(A22value-$G$651)/A22remlife))</f>
        <v>n/a</v>
      </c>
      <c r="P349" s="68" t="str">
        <f>IF(P$3&gt;A22remlife,A22value-$G$651-SUM($G349:O349),IF(A22remlife="N/A","n/a",(A22value-$G$651)/A22remlife))</f>
        <v>n/a</v>
      </c>
      <c r="Q349" s="68" t="str">
        <f>IF(Q$3&gt;A22remlife,A22value-$G$651-SUM($G349:P349),IF(A22remlife="N/A","n/a",(A22value-$G$651)/A22remlife))</f>
        <v>n/a</v>
      </c>
      <c r="R349" s="68"/>
      <c r="S349" s="103"/>
      <c r="T349" s="103"/>
      <c r="U349" s="103"/>
      <c r="V349" s="103"/>
      <c r="W349" s="103"/>
      <c r="X349" s="103"/>
      <c r="Y349" s="103"/>
      <c r="Z349" s="103"/>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9"/>
      <c r="D350" s="26"/>
      <c r="E350" s="391" t="s">
        <v>82</v>
      </c>
      <c r="F350" s="87"/>
      <c r="G350" s="121"/>
      <c r="H350" s="69"/>
      <c r="I350" s="69"/>
      <c r="J350" s="69"/>
      <c r="K350" s="69"/>
      <c r="L350" s="69"/>
      <c r="M350" s="160"/>
      <c r="N350" s="112"/>
      <c r="O350" s="69"/>
      <c r="P350" s="69"/>
      <c r="Q350" s="69"/>
      <c r="R350" s="69"/>
      <c r="S350" s="103"/>
      <c r="T350" s="103"/>
      <c r="U350" s="103"/>
      <c r="V350" s="103"/>
      <c r="W350" s="103"/>
      <c r="X350" s="103"/>
      <c r="Y350" s="103"/>
      <c r="Z350" s="103"/>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92"/>
      <c r="F351" s="87">
        <v>1</v>
      </c>
      <c r="G351" s="121"/>
      <c r="H351" s="145"/>
      <c r="I351" s="69" t="str">
        <f>IF(A22stdlife="n/a","n/a",IF(I$3&gt;(A22stdlife+$F351),(Input!$H$232*(1+vanilla1)^0.5)-SUM($H351:H351),(Input!$H$232*(1+vanilla1)^0.5)/A22stdlife))</f>
        <v>n/a</v>
      </c>
      <c r="J351" s="69" t="str">
        <f>IF(A22stdlife="n/a","n/a",IF(J$3&gt;(A22stdlife+$F351),(Input!$H$232*(1+vanilla1)^0.5)-SUM($H351:I351),(Input!$H$232*(1+vanilla1)^0.5)/A22stdlife))</f>
        <v>n/a</v>
      </c>
      <c r="K351" s="69" t="str">
        <f>IF(A22stdlife="n/a","n/a",IF(K$3&gt;(A22stdlife+$F351),(Input!$H$232*(1+vanilla1)^0.5)-SUM($H351:J351),(Input!$H$232*(1+vanilla1)^0.5)/A22stdlife))</f>
        <v>n/a</v>
      </c>
      <c r="L351" s="69" t="str">
        <f>IF(A22stdlife="n/a","n/a",IF(L$3&gt;(A22stdlife+$F351),(Input!$H$232*(1+vanilla1)^0.5)-SUM($H351:K351),(Input!$H$232*(1+vanilla1)^0.5)/A22stdlife))</f>
        <v>n/a</v>
      </c>
      <c r="M351" s="69" t="str">
        <f>IF(A22stdlife="n/a","n/a",IF(M$3&gt;(A22stdlife+$F351),(Input!$H$232*(1+vanilla1)^0.5)-SUM($H351:L351),(Input!$H$232*(1+vanilla1)^0.5)/A22stdlife))</f>
        <v>n/a</v>
      </c>
      <c r="N351" s="69" t="str">
        <f>IF(A22stdlife="n/a","n/a",IF(N$3&gt;(A22stdlife+$F351),(Input!$H$232*(1+vanilla1)^0.5)-SUM($H351:M351),(Input!$H$232*(1+vanilla1)^0.5)/A22stdlife))</f>
        <v>n/a</v>
      </c>
      <c r="O351" s="69" t="str">
        <f>IF(A22stdlife="n/a","n/a",IF(O$3&gt;(A22stdlife+$F351),(Input!$H$232*(1+vanilla1)^0.5)-SUM($H351:N351),(Input!$H$232*(1+vanilla1)^0.5)/A22stdlife))</f>
        <v>n/a</v>
      </c>
      <c r="P351" s="69" t="str">
        <f>IF(A22stdlife="n/a","n/a",IF(P$3&gt;(A22stdlife+$F351),(Input!$H$232*(1+vanilla1)^0.5)-SUM($H351:O351),(Input!$H$232*(1+vanilla1)^0.5)/A22stdlife))</f>
        <v>n/a</v>
      </c>
      <c r="Q351" s="69" t="str">
        <f>IF(A22stdlife="n/a","n/a",IF(Q$3&gt;(A22stdlife+$F351),(Input!$H$232*(1+vanilla1)^0.5)-SUM($H351:P351),(Input!$H$232*(1+vanilla1)^0.5)/A22stdlife))</f>
        <v>n/a</v>
      </c>
      <c r="R351" s="69"/>
      <c r="S351" s="103"/>
      <c r="T351" s="103"/>
      <c r="U351" s="103"/>
      <c r="V351" s="103"/>
      <c r="W351" s="103"/>
      <c r="X351" s="103"/>
      <c r="Y351" s="103"/>
      <c r="Z351" s="103"/>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92"/>
      <c r="F352" s="87">
        <v>2</v>
      </c>
      <c r="G352" s="121"/>
      <c r="H352" s="146"/>
      <c r="I352" s="147"/>
      <c r="J352" s="69" t="str">
        <f>IF(A22stdlife="n/a","n/a",IF(J$3&gt;(A22stdlife+$F352),(Input!$I$232*(1+vanilla2)^0.5)-SUM($I352:I352),(Input!$I$232*(1+vanilla2)^0.5)/A22stdlife))</f>
        <v>n/a</v>
      </c>
      <c r="K352" s="69" t="str">
        <f>IF(A22stdlife="n/a","n/a",IF(K$3&gt;(A22stdlife+$F352),(Input!$I$232*(1+vanilla2)^0.5)-SUM($I352:J352),(Input!$I$232*(1+vanilla2)^0.5)/A22stdlife))</f>
        <v>n/a</v>
      </c>
      <c r="L352" s="69" t="str">
        <f>IF(A22stdlife="n/a","n/a",IF(L$3&gt;(A22stdlife+$F352),(Input!$I$232*(1+vanilla2)^0.5)-SUM($I352:K352),(Input!$I$232*(1+vanilla2)^0.5)/A22stdlife))</f>
        <v>n/a</v>
      </c>
      <c r="M352" s="69" t="str">
        <f>IF(A22stdlife="n/a","n/a",IF(M$3&gt;(A22stdlife+$F352),(Input!$I$232*(1+vanilla2)^0.5)-SUM($I352:L352),(Input!$I$232*(1+vanilla2)^0.5)/A22stdlife))</f>
        <v>n/a</v>
      </c>
      <c r="N352" s="69" t="str">
        <f>IF(A22stdlife="n/a","n/a",IF(N$3&gt;(A22stdlife+$F352),(Input!$I$232*(1+vanilla2)^0.5)-SUM($I352:M352),(Input!$I$232*(1+vanilla2)^0.5)/A22stdlife))</f>
        <v>n/a</v>
      </c>
      <c r="O352" s="69" t="str">
        <f>IF(A22stdlife="n/a","n/a",IF(O$3&gt;(A22stdlife+$F352),(Input!$I$232*(1+vanilla2)^0.5)-SUM($I352:N352),(Input!$I$232*(1+vanilla2)^0.5)/A22stdlife))</f>
        <v>n/a</v>
      </c>
      <c r="P352" s="69" t="str">
        <f>IF(A22stdlife="n/a","n/a",IF(P$3&gt;(A22stdlife+$F352),(Input!$I$232*(1+vanilla2)^0.5)-SUM($I352:O352),(Input!$I$232*(1+vanilla2)^0.5)/A22stdlife))</f>
        <v>n/a</v>
      </c>
      <c r="Q352" s="69" t="str">
        <f>IF(A22stdlife="n/a","n/a",IF(Q$3&gt;(A22stdlife+$F352),(Input!$I$232*(1+vanilla2)^0.5)-SUM($I352:P352),(Input!$I$232*(1+vanilla2)^0.5)/A22stdlife))</f>
        <v>n/a</v>
      </c>
      <c r="R352" s="69"/>
      <c r="S352" s="103"/>
      <c r="T352" s="103"/>
      <c r="U352" s="103"/>
      <c r="V352" s="103"/>
      <c r="W352" s="103"/>
      <c r="X352" s="103"/>
      <c r="Y352" s="103"/>
      <c r="Z352" s="103"/>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92"/>
      <c r="F353" s="87">
        <v>3</v>
      </c>
      <c r="G353" s="121"/>
      <c r="H353" s="146"/>
      <c r="I353" s="148"/>
      <c r="J353" s="147"/>
      <c r="K353" s="69" t="str">
        <f>IF(A22stdlife="n/a","n/a",IF(K$3&gt;(A22stdlife+$F353),(Input!$J$232*(1+vanilla3)^0.5)-SUM($J353:J353),(Input!$J$232*(1+vanilla3)^0.5)/A22stdlife))</f>
        <v>n/a</v>
      </c>
      <c r="L353" s="69" t="str">
        <f>IF(A22stdlife="n/a","n/a",IF(L$3&gt;(A22stdlife+$F353),(Input!$J$232*(1+vanilla3)^0.5)-SUM($J353:K353),(Input!$J$232*(1+vanilla3)^0.5)/A22stdlife))</f>
        <v>n/a</v>
      </c>
      <c r="M353" s="69" t="str">
        <f>IF(A22stdlife="n/a","n/a",IF(M$3&gt;(A22stdlife+$F353),(Input!$J$232*(1+vanilla3)^0.5)-SUM($J353:L353),(Input!$J$232*(1+vanilla3)^0.5)/A22stdlife))</f>
        <v>n/a</v>
      </c>
      <c r="N353" s="69" t="str">
        <f>IF(A22stdlife="n/a","n/a",IF(N$3&gt;(A22stdlife+$F353),(Input!$J$232*(1+vanilla3)^0.5)-SUM($J353:M353),(Input!$J$232*(1+vanilla3)^0.5)/A22stdlife))</f>
        <v>n/a</v>
      </c>
      <c r="O353" s="69" t="str">
        <f>IF(A22stdlife="n/a","n/a",IF(O$3&gt;(A22stdlife+$F353),(Input!$J$232*(1+vanilla3)^0.5)-SUM($J353:N353),(Input!$J$232*(1+vanilla3)^0.5)/A22stdlife))</f>
        <v>n/a</v>
      </c>
      <c r="P353" s="69" t="str">
        <f>IF(A22stdlife="n/a","n/a",IF(P$3&gt;(A22stdlife+$F353),(Input!$J$232*(1+vanilla3)^0.5)-SUM($J353:O353),(Input!$J$232*(1+vanilla3)^0.5)/A22stdlife))</f>
        <v>n/a</v>
      </c>
      <c r="Q353" s="69" t="str">
        <f>IF(A22stdlife="n/a","n/a",IF(Q$3&gt;(A22stdlife+$F353),(Input!$J$232*(1+vanilla3)^0.5)-SUM($J353:P353),(Input!$J$232*(1+vanilla3)^0.5)/A22stdlife))</f>
        <v>n/a</v>
      </c>
      <c r="R353" s="69"/>
      <c r="S353" s="103"/>
      <c r="T353" s="103"/>
      <c r="U353" s="103"/>
      <c r="V353" s="103"/>
      <c r="W353" s="103"/>
      <c r="X353" s="103"/>
      <c r="Y353" s="103"/>
      <c r="Z353" s="103"/>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92"/>
      <c r="F354" s="87">
        <v>4</v>
      </c>
      <c r="G354" s="121"/>
      <c r="H354" s="146"/>
      <c r="I354" s="148"/>
      <c r="J354" s="148"/>
      <c r="K354" s="147"/>
      <c r="L354" s="69" t="str">
        <f>IF(A22stdlife="n/a","n/a",IF(L$3&gt;(A22stdlife+$F354),(Input!$K$232*(1+vanilla4)^0.5)-SUM($K354:K354),(Input!$K$232*(1+vanilla4)^0.5)/A22stdlife))</f>
        <v>n/a</v>
      </c>
      <c r="M354" s="69" t="str">
        <f>IF(A22stdlife="n/a","n/a",IF(M$3&gt;(A22stdlife+$F354),(Input!$K$232*(1+vanilla4)^0.5)-SUM($K354:L354),(Input!$K$232*(1+vanilla4)^0.5)/A22stdlife))</f>
        <v>n/a</v>
      </c>
      <c r="N354" s="69" t="str">
        <f>IF(A22stdlife="n/a","n/a",IF(N$3&gt;(A22stdlife+$F354),(Input!$K$232*(1+vanilla4)^0.5)-SUM($K354:M354),(Input!$K$232*(1+vanilla4)^0.5)/A22stdlife))</f>
        <v>n/a</v>
      </c>
      <c r="O354" s="69" t="str">
        <f>IF(A22stdlife="n/a","n/a",IF(O$3&gt;(A22stdlife+$F354),(Input!$K$232*(1+vanilla4)^0.5)-SUM($K354:N354),(Input!$K$232*(1+vanilla4)^0.5)/A22stdlife))</f>
        <v>n/a</v>
      </c>
      <c r="P354" s="69" t="str">
        <f>IF(A22stdlife="n/a","n/a",IF(P$3&gt;(A22stdlife+$F354),(Input!$K$232*(1+vanilla4)^0.5)-SUM($K354:O354),(Input!$K$232*(1+vanilla4)^0.5)/A22stdlife))</f>
        <v>n/a</v>
      </c>
      <c r="Q354" s="69" t="str">
        <f>IF(A22stdlife="n/a","n/a",IF(Q$3&gt;(A22stdlife+$F354),(Input!$K$232*(1+vanilla4)^0.5)-SUM($K354:P354),(Input!$K$232*(1+vanilla4)^0.5)/A22stdlife))</f>
        <v>n/a</v>
      </c>
      <c r="R354" s="69"/>
      <c r="S354" s="103"/>
      <c r="T354" s="103"/>
      <c r="U354" s="103"/>
      <c r="V354" s="103"/>
      <c r="W354" s="103"/>
      <c r="X354" s="103"/>
      <c r="Y354" s="103"/>
      <c r="Z354" s="103"/>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9"/>
      <c r="B355" s="9"/>
      <c r="C355" s="9"/>
      <c r="D355" s="26"/>
      <c r="E355" s="392"/>
      <c r="F355" s="87">
        <v>5</v>
      </c>
      <c r="G355" s="27"/>
      <c r="H355" s="146"/>
      <c r="I355" s="148"/>
      <c r="J355" s="148"/>
      <c r="K355" s="148"/>
      <c r="L355" s="147"/>
      <c r="M355" s="69" t="str">
        <f>IF(A22stdlife="n/a","n/a",IF(M$3&gt;(A22stdlife+$F355),(Input!$L$232*(1+vanilla5)^0.5)-SUM($L355:L355),(Input!$L$232*(1+vanilla5)^0.5)/A22stdlife))</f>
        <v>n/a</v>
      </c>
      <c r="N355" s="69" t="str">
        <f>IF(A22stdlife="n/a","n/a",IF(N$3&gt;(A22stdlife+$F355),(Input!$L$232*(1+vanilla5)^0.5)-SUM($L355:M355),(Input!$L$232*(1+vanilla5)^0.5)/A22stdlife))</f>
        <v>n/a</v>
      </c>
      <c r="O355" s="69" t="str">
        <f>IF(A22stdlife="n/a","n/a",IF(O$3&gt;(A22stdlife+$F355),(Input!$L$232*(1+vanilla5)^0.5)-SUM($L355:N355),(Input!$L$232*(1+vanilla5)^0.5)/A22stdlife))</f>
        <v>n/a</v>
      </c>
      <c r="P355" s="69" t="str">
        <f>IF(A22stdlife="n/a","n/a",IF(P$3&gt;(A22stdlife+$F355),(Input!$L$232*(1+vanilla5)^0.5)-SUM($L355:O355),(Input!$L$232*(1+vanilla5)^0.5)/A22stdlife))</f>
        <v>n/a</v>
      </c>
      <c r="Q355" s="69" t="str">
        <f>IF(A22stdlife="n/a","n/a",IF(Q$3&gt;(A22stdlife+$F355),(Input!$L$232*(1+vanilla5)^0.5)-SUM($L355:P355),(Input!$L$232*(1+vanilla5)^0.5)/A22stdlife))</f>
        <v>n/a</v>
      </c>
      <c r="R355" s="69"/>
      <c r="S355" s="103"/>
      <c r="T355" s="103"/>
      <c r="U355" s="103"/>
      <c r="V355" s="103"/>
      <c r="W355" s="103"/>
      <c r="X355" s="103"/>
      <c r="Y355" s="103"/>
      <c r="Z355" s="103"/>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103"/>
      <c r="BE355" s="103"/>
      <c r="BF355" s="103"/>
      <c r="BG355" s="103"/>
      <c r="BH355" s="103"/>
      <c r="BI355" s="103"/>
      <c r="BJ355" s="103"/>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9"/>
      <c r="D356" s="26"/>
      <c r="E356" s="392"/>
      <c r="F356" s="87">
        <v>6</v>
      </c>
      <c r="G356" s="27"/>
      <c r="H356" s="146"/>
      <c r="I356" s="148"/>
      <c r="J356" s="148"/>
      <c r="K356" s="148"/>
      <c r="L356" s="148"/>
      <c r="M356" s="147"/>
      <c r="N356" s="69" t="str">
        <f>IF(A22stdlife="n/a","n/a",IF(N$3&gt;(A22stdlife+$F356),(Input!$M$232*(1+vanilla6)^0.5)-SUM($M356:M356),(Input!$M$232*(1+vanilla6)^0.5)/A22stdlife))</f>
        <v>n/a</v>
      </c>
      <c r="O356" s="69" t="str">
        <f>IF(A22stdlife="n/a","n/a",IF(O$3&gt;(A22stdlife+$F356),(Input!$M$232*(1+vanilla6)^0.5)-SUM($M356:N356),(Input!$M$232*(1+vanilla6)^0.5)/A22stdlife))</f>
        <v>n/a</v>
      </c>
      <c r="P356" s="69" t="str">
        <f>IF(A22stdlife="n/a","n/a",IF(P$3&gt;(A22stdlife+$F356),(Input!$M$232*(1+vanilla6)^0.5)-SUM($M356:O356),(Input!$M$232*(1+vanilla6)^0.5)/A22stdlife))</f>
        <v>n/a</v>
      </c>
      <c r="Q356" s="69" t="str">
        <f>IF(A22stdlife="n/a","n/a",IF(Q$3&gt;(A22stdlife+$F356),(Input!$M$232*(1+vanilla6)^0.5)-SUM($M356:P356),(Input!$M$232*(1+vanilla6)^0.5)/A22stdlife))</f>
        <v>n/a</v>
      </c>
      <c r="R356" s="69"/>
      <c r="S356" s="103"/>
      <c r="T356" s="103"/>
      <c r="U356" s="103"/>
      <c r="V356" s="103"/>
      <c r="W356" s="103"/>
      <c r="X356" s="103"/>
      <c r="Y356" s="103"/>
      <c r="Z356" s="103"/>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c r="A357" s="9"/>
      <c r="B357" s="9"/>
      <c r="C357" s="9"/>
      <c r="D357" s="26"/>
      <c r="E357" s="392"/>
      <c r="F357" s="87">
        <v>7</v>
      </c>
      <c r="G357" s="27"/>
      <c r="H357" s="146"/>
      <c r="I357" s="148"/>
      <c r="J357" s="148"/>
      <c r="K357" s="148"/>
      <c r="L357" s="148"/>
      <c r="M357" s="148"/>
      <c r="N357" s="147"/>
      <c r="O357" s="69" t="str">
        <f>IF(A22stdlife="n/a","n/a",IF(O$3&gt;(A22stdlife+$F357),(Input!N$232*(1+vanilla7)^0.5)-SUM($N357:N357),(Input!$N$232*(1+vanilla7)^0.5)/A22stdlife))</f>
        <v>n/a</v>
      </c>
      <c r="P357" s="69" t="str">
        <f>IF(A22stdlife="n/a","n/a",IF(P$3&gt;(A22stdlife+$F357),(Input!O$232*(1+vanilla7)^0.5)-SUM($N357:O357),(Input!$N$232*(1+vanilla7)^0.5)/A22stdlife))</f>
        <v>n/a</v>
      </c>
      <c r="Q357" s="69" t="str">
        <f>IF(A22stdlife="n/a","n/a",IF(Q$3&gt;(A22stdlife+$F357),(Input!P$232*(1+vanilla7)^0.5)-SUM($N357:P357),(Input!$N$232*(1+vanilla7)^0.5)/A22stdlife))</f>
        <v>n/a</v>
      </c>
      <c r="R357" s="69"/>
      <c r="S357" s="103"/>
      <c r="T357" s="103"/>
      <c r="U357" s="103"/>
      <c r="V357" s="103"/>
      <c r="W357" s="103"/>
      <c r="X357" s="103"/>
      <c r="Y357" s="103"/>
      <c r="Z357" s="103"/>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92"/>
      <c r="F358" s="87">
        <v>8</v>
      </c>
      <c r="G358" s="27"/>
      <c r="H358" s="146"/>
      <c r="I358" s="148"/>
      <c r="J358" s="148"/>
      <c r="K358" s="148"/>
      <c r="L358" s="148"/>
      <c r="M358" s="148"/>
      <c r="N358" s="148"/>
      <c r="O358" s="147"/>
      <c r="P358" s="69" t="str">
        <f>IF(A22stdlife="n/a","n/a",IF(P$3&gt;(A22stdlife+$F358),(Input!$O$232*(1+vanilla8)^0.5)-SUM($O358:O358),(Input!$O$232*(1+vanilla8)^0.5)/A22stdlife))</f>
        <v>n/a</v>
      </c>
      <c r="Q358" s="69" t="str">
        <f>IF(A22stdlife="n/a","n/a",IF(Q$3&gt;(A22stdlife+$F358),(Input!$O$232*(1+vanilla8)^0.5)-SUM($O358:P358),(Input!$O$232*(1+vanilla8)^0.5)/A22stdlife))</f>
        <v>n/a</v>
      </c>
      <c r="R358" s="69"/>
      <c r="S358" s="103"/>
      <c r="T358" s="103"/>
      <c r="U358" s="103"/>
      <c r="V358" s="103"/>
      <c r="W358" s="103"/>
      <c r="X358" s="103"/>
      <c r="Y358" s="103"/>
      <c r="Z358" s="103"/>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92"/>
      <c r="F359" s="87">
        <v>9</v>
      </c>
      <c r="G359" s="27"/>
      <c r="H359" s="146"/>
      <c r="I359" s="148"/>
      <c r="J359" s="148"/>
      <c r="K359" s="148"/>
      <c r="L359" s="148"/>
      <c r="M359" s="148"/>
      <c r="N359" s="148"/>
      <c r="O359" s="148"/>
      <c r="P359" s="147"/>
      <c r="Q359" s="69" t="str">
        <f>IF(A22stdlife="n/a","n/a",IF(Q$3&gt;(A22stdlife+$F359),(Input!$P$232*(1+vanilla9)^0.5)-SUM($P359:P359),(Input!$P$232*(1+vanilla9)^0.5)/A22stdlife))</f>
        <v>n/a</v>
      </c>
      <c r="R359" s="69"/>
      <c r="S359" s="103"/>
      <c r="T359" s="103"/>
      <c r="U359" s="103"/>
      <c r="V359" s="103"/>
      <c r="W359" s="103"/>
      <c r="X359" s="103"/>
      <c r="Y359" s="103"/>
      <c r="Z359" s="103"/>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92"/>
      <c r="F360" s="88">
        <v>10</v>
      </c>
      <c r="G360" s="27"/>
      <c r="H360" s="146"/>
      <c r="I360" s="148"/>
      <c r="J360" s="148"/>
      <c r="K360" s="148"/>
      <c r="L360" s="148"/>
      <c r="M360" s="148"/>
      <c r="N360" s="148"/>
      <c r="O360" s="148"/>
      <c r="P360" s="148"/>
      <c r="Q360" s="147"/>
      <c r="R360" s="69"/>
      <c r="S360" s="103"/>
      <c r="T360" s="103"/>
      <c r="U360" s="103"/>
      <c r="V360" s="103"/>
      <c r="W360" s="103"/>
      <c r="X360" s="103"/>
      <c r="Y360" s="103"/>
      <c r="Z360" s="103"/>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ollapsed="1">
      <c r="A361" s="9"/>
      <c r="B361" s="9"/>
      <c r="C361" s="9"/>
      <c r="D361" s="271">
        <f>Asset22</f>
        <v>0</v>
      </c>
      <c r="E361" s="9"/>
      <c r="F361" s="9"/>
      <c r="G361" s="121"/>
      <c r="H361" s="162">
        <f t="shared" ref="H361:M361" si="25">-SUM(H349:H360)</f>
        <v>0</v>
      </c>
      <c r="I361" s="162">
        <f t="shared" si="25"/>
        <v>0</v>
      </c>
      <c r="J361" s="162">
        <f t="shared" si="25"/>
        <v>0</v>
      </c>
      <c r="K361" s="162">
        <f t="shared" si="25"/>
        <v>0</v>
      </c>
      <c r="L361" s="162">
        <f t="shared" si="25"/>
        <v>0</v>
      </c>
      <c r="M361" s="162">
        <f t="shared" si="25"/>
        <v>0</v>
      </c>
      <c r="N361" s="69">
        <f>IF(COUNT($H361:M361)&gt;=Input!$Y$7,0, -SUM(N349:N360))</f>
        <v>0</v>
      </c>
      <c r="O361" s="69">
        <f>IF(COUNT($H361:N361)&gt;=Input!$Y$7,0, -SUM(O349:O360))</f>
        <v>0</v>
      </c>
      <c r="P361" s="69">
        <f>IF(COUNT($H361:O361)&gt;=Input!$Y$7,0, -SUM(P349:P360))</f>
        <v>0</v>
      </c>
      <c r="Q361" s="69">
        <f>IF(COUNT($H361:P361)&gt;=Input!$Y$7,0, -SUM(Q349:Q360))</f>
        <v>0</v>
      </c>
      <c r="R361" s="67"/>
      <c r="S361" s="105"/>
      <c r="T361" s="105"/>
      <c r="U361" s="105"/>
      <c r="V361" s="105"/>
      <c r="W361" s="105"/>
      <c r="X361" s="105"/>
      <c r="Y361" s="105"/>
      <c r="Z361" s="105"/>
      <c r="AA361" s="233"/>
      <c r="AB361" s="233"/>
      <c r="AC361" s="233"/>
      <c r="AD361" s="233"/>
      <c r="AE361" s="233"/>
      <c r="AF361" s="233"/>
      <c r="AG361" s="233"/>
      <c r="AH361" s="233"/>
      <c r="AI361" s="233"/>
      <c r="AJ361" s="233"/>
      <c r="AK361" s="233"/>
      <c r="AL361" s="233"/>
      <c r="AM361" s="233"/>
      <c r="AN361" s="233"/>
      <c r="AO361" s="233"/>
      <c r="AP361" s="233"/>
      <c r="AQ361" s="233"/>
      <c r="AR361" s="233"/>
      <c r="AS361" s="233"/>
      <c r="AT361" s="233"/>
      <c r="AU361" s="233"/>
      <c r="AV361" s="233"/>
      <c r="AW361" s="233"/>
      <c r="AX361" s="233"/>
      <c r="AY361" s="233"/>
      <c r="AZ361" s="233"/>
      <c r="BA361" s="233"/>
      <c r="BB361" s="233"/>
      <c r="BC361" s="233"/>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72">
        <f>Asset23</f>
        <v>0</v>
      </c>
      <c r="D362" s="158"/>
      <c r="E362" s="32" t="s">
        <v>26</v>
      </c>
      <c r="F362" s="31"/>
      <c r="G362" s="177"/>
      <c r="H362" s="68" t="str">
        <f>IF(H$3&gt;A23remlife,A23value-$G$652-SUM($G362:G362),IF(A23remlife="N/A","n/a",(A23value-$G$652)/A23remlife))</f>
        <v>n/a</v>
      </c>
      <c r="I362" s="68" t="str">
        <f>IF(I$3&gt;A23remlife,A23value-$G$652-SUM($G362:H362),IF(A23remlife="N/A","n/a",(A23value-$G$652)/A23remlife))</f>
        <v>n/a</v>
      </c>
      <c r="J362" s="68" t="str">
        <f>IF(J$3&gt;A23remlife,A23value-$G$652-SUM($G362:I362),IF(A23remlife="N/A","n/a",(A23value-$G$652)/A23remlife))</f>
        <v>n/a</v>
      </c>
      <c r="K362" s="68" t="str">
        <f>IF(K$3&gt;A23remlife,A23value-$G$652-SUM($G362:J362),IF(A23remlife="N/A","n/a",(A23value-$G$652)/A23remlife))</f>
        <v>n/a</v>
      </c>
      <c r="L362" s="68" t="str">
        <f>IF(L$3&gt;A23remlife,A23value-$G$652-SUM($G362:K362),IF(A23remlife="N/A","n/a",(A23value-$G$652)/A23remlife))</f>
        <v>n/a</v>
      </c>
      <c r="M362" s="68" t="str">
        <f>IF(M$3&gt;A23remlife,A23value-$G$652-SUM($G362:L362),IF(A23remlife="N/A","n/a",(A23value-$G$652)/A23remlife))</f>
        <v>n/a</v>
      </c>
      <c r="N362" s="68" t="str">
        <f>IF(N$3&gt;A23remlife,A23value-$G$652-SUM($G362:M362),IF(A23remlife="N/A","n/a",(A23value-$G$652)/A23remlife))</f>
        <v>n/a</v>
      </c>
      <c r="O362" s="68" t="str">
        <f>IF(O$3&gt;A23remlife,A23value-$G$652-SUM($G362:N362),IF(A23remlife="N/A","n/a",(A23value-$G$652)/A23remlife))</f>
        <v>n/a</v>
      </c>
      <c r="P362" s="68" t="str">
        <f>IF(P$3&gt;A23remlife,A23value-$G$652-SUM($G362:O362),IF(A23remlife="N/A","n/a",(A23value-$G$652)/A23remlife))</f>
        <v>n/a</v>
      </c>
      <c r="Q362" s="68" t="str">
        <f>IF(Q$3&gt;A23remlife,A23value-$G$652-SUM($G362:P362),IF(A23remlife="N/A","n/a",(A23value-$G$652)/A23remlife))</f>
        <v>n/a</v>
      </c>
      <c r="R362" s="68"/>
      <c r="S362" s="103"/>
      <c r="T362" s="103"/>
      <c r="U362" s="103"/>
      <c r="V362" s="103"/>
      <c r="W362" s="103"/>
      <c r="X362" s="103"/>
      <c r="Y362" s="103"/>
      <c r="Z362" s="103"/>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9"/>
      <c r="D363" s="26"/>
      <c r="E363" s="391" t="s">
        <v>82</v>
      </c>
      <c r="F363" s="87"/>
      <c r="G363" s="121"/>
      <c r="H363" s="69"/>
      <c r="I363" s="69"/>
      <c r="J363" s="69"/>
      <c r="K363" s="69"/>
      <c r="L363" s="69"/>
      <c r="M363" s="160"/>
      <c r="N363" s="112"/>
      <c r="O363" s="69"/>
      <c r="P363" s="69"/>
      <c r="Q363" s="69"/>
      <c r="R363" s="69"/>
      <c r="S363" s="103"/>
      <c r="T363" s="103"/>
      <c r="U363" s="103"/>
      <c r="V363" s="103"/>
      <c r="W363" s="103"/>
      <c r="X363" s="103"/>
      <c r="Y363" s="103"/>
      <c r="Z363" s="103"/>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9"/>
      <c r="D364" s="26"/>
      <c r="E364" s="392"/>
      <c r="F364" s="87">
        <v>1</v>
      </c>
      <c r="G364" s="121"/>
      <c r="H364" s="145"/>
      <c r="I364" s="69" t="str">
        <f>IF(A23stdlife="n/a","n/a",IF(I$3&gt;(A23stdlife+$F364),(Input!$H$233*(1+vanilla1)^0.5)-SUM($H364:H364),(Input!$H$233*(1+vanilla1)^0.5)/A23stdlife))</f>
        <v>n/a</v>
      </c>
      <c r="J364" s="69" t="str">
        <f>IF(A23stdlife="n/a","n/a",IF(J$3&gt;(A23stdlife+$F364),(Input!$H$233*(1+vanilla1)^0.5)-SUM($H364:I364),(Input!$H$233*(1+vanilla1)^0.5)/A23stdlife))</f>
        <v>n/a</v>
      </c>
      <c r="K364" s="69" t="str">
        <f>IF(A23stdlife="n/a","n/a",IF(K$3&gt;(A23stdlife+$F364),(Input!$H$233*(1+vanilla1)^0.5)-SUM($H364:J364),(Input!$H$233*(1+vanilla1)^0.5)/A23stdlife))</f>
        <v>n/a</v>
      </c>
      <c r="L364" s="69" t="str">
        <f>IF(A23stdlife="n/a","n/a",IF(L$3&gt;(A23stdlife+$F364),(Input!$H$233*(1+vanilla1)^0.5)-SUM($H364:K364),(Input!$H$233*(1+vanilla1)^0.5)/A23stdlife))</f>
        <v>n/a</v>
      </c>
      <c r="M364" s="69" t="str">
        <f>IF(A23stdlife="n/a","n/a",IF(M$3&gt;(A23stdlife+$F364),(Input!$H$233*(1+vanilla1)^0.5)-SUM($H364:L364),(Input!$H$233*(1+vanilla1)^0.5)/A23stdlife))</f>
        <v>n/a</v>
      </c>
      <c r="N364" s="69" t="str">
        <f>IF(A23stdlife="n/a","n/a",IF(N$3&gt;(A23stdlife+$F364),(Input!$H$233*(1+vanilla1)^0.5)-SUM($H364:M364),(Input!$H$233*(1+vanilla1)^0.5)/A23stdlife))</f>
        <v>n/a</v>
      </c>
      <c r="O364" s="69" t="str">
        <f>IF(A23stdlife="n/a","n/a",IF(O$3&gt;(A23stdlife+$F364),(Input!$H$233*(1+vanilla1)^0.5)-SUM($H364:N364),(Input!$H$233*(1+vanilla1)^0.5)/A23stdlife))</f>
        <v>n/a</v>
      </c>
      <c r="P364" s="69" t="str">
        <f>IF(A23stdlife="n/a","n/a",IF(P$3&gt;(A23stdlife+$F364),(Input!$H$233*(1+vanilla1)^0.5)-SUM($H364:O364),(Input!$H$233*(1+vanilla1)^0.5)/A23stdlife))</f>
        <v>n/a</v>
      </c>
      <c r="Q364" s="69" t="str">
        <f>IF(A23stdlife="n/a","n/a",IF(Q$3&gt;(A23stdlife+$F364),(Input!$H$233*(1+vanilla1)^0.5)-SUM($H364:P364),(Input!$H$233*(1+vanilla1)^0.5)/A23stdlife))</f>
        <v>n/a</v>
      </c>
      <c r="R364" s="69"/>
      <c r="S364" s="103"/>
      <c r="T364" s="103"/>
      <c r="U364" s="103"/>
      <c r="V364" s="103"/>
      <c r="W364" s="103"/>
      <c r="X364" s="103"/>
      <c r="Y364" s="103"/>
      <c r="Z364" s="103"/>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hidden="1" customHeight="1" outlineLevel="2">
      <c r="A365" s="9"/>
      <c r="B365" s="9"/>
      <c r="C365" s="9"/>
      <c r="D365" s="26"/>
      <c r="E365" s="392"/>
      <c r="F365" s="87">
        <v>2</v>
      </c>
      <c r="G365" s="121"/>
      <c r="H365" s="146"/>
      <c r="I365" s="147"/>
      <c r="J365" s="69" t="str">
        <f>IF(A23stdlife="n/a","n/a",IF(J$3&gt;(A23stdlife+$F365),(Input!$I$233*(1+vanilla2)^0.5)-SUM($I365:I365),(Input!$I$233*(1+vanilla2)^0.5)/A23stdlife))</f>
        <v>n/a</v>
      </c>
      <c r="K365" s="69" t="str">
        <f>IF(A23stdlife="n/a","n/a",IF(K$3&gt;(A23stdlife+$F365),(Input!$I$233*(1+vanilla2)^0.5)-SUM($I365:J365),(Input!$I$233*(1+vanilla2)^0.5)/A23stdlife))</f>
        <v>n/a</v>
      </c>
      <c r="L365" s="69" t="str">
        <f>IF(A23stdlife="n/a","n/a",IF(L$3&gt;(A23stdlife+$F365),(Input!$I$233*(1+vanilla2)^0.5)-SUM($I365:K365),(Input!$I$233*(1+vanilla2)^0.5)/A23stdlife))</f>
        <v>n/a</v>
      </c>
      <c r="M365" s="69" t="str">
        <f>IF(A23stdlife="n/a","n/a",IF(M$3&gt;(A23stdlife+$F365),(Input!$I$233*(1+vanilla2)^0.5)-SUM($I365:L365),(Input!$I$233*(1+vanilla2)^0.5)/A23stdlife))</f>
        <v>n/a</v>
      </c>
      <c r="N365" s="69" t="str">
        <f>IF(A23stdlife="n/a","n/a",IF(N$3&gt;(A23stdlife+$F365),(Input!$I$233*(1+vanilla2)^0.5)-SUM($I365:M365),(Input!$I$233*(1+vanilla2)^0.5)/A23stdlife))</f>
        <v>n/a</v>
      </c>
      <c r="O365" s="69" t="str">
        <f>IF(A23stdlife="n/a","n/a",IF(O$3&gt;(A23stdlife+$F365),(Input!$I$233*(1+vanilla2)^0.5)-SUM($I365:N365),(Input!$I$233*(1+vanilla2)^0.5)/A23stdlife))</f>
        <v>n/a</v>
      </c>
      <c r="P365" s="69" t="str">
        <f>IF(A23stdlife="n/a","n/a",IF(P$3&gt;(A23stdlife+$F365),(Input!$I$233*(1+vanilla2)^0.5)-SUM($I365:O365),(Input!$I$233*(1+vanilla2)^0.5)/A23stdlife))</f>
        <v>n/a</v>
      </c>
      <c r="Q365" s="69" t="str">
        <f>IF(A23stdlife="n/a","n/a",IF(Q$3&gt;(A23stdlife+$F365),(Input!$I$233*(1+vanilla2)^0.5)-SUM($I365:P365),(Input!$I$233*(1+vanilla2)^0.5)/A23stdlife))</f>
        <v>n/a</v>
      </c>
      <c r="R365" s="69"/>
      <c r="S365" s="103"/>
      <c r="T365" s="103"/>
      <c r="U365" s="103"/>
      <c r="V365" s="103"/>
      <c r="W365" s="103"/>
      <c r="X365" s="103"/>
      <c r="Y365" s="103"/>
      <c r="Z365" s="103"/>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9"/>
      <c r="C366" s="9"/>
      <c r="D366" s="26"/>
      <c r="E366" s="392"/>
      <c r="F366" s="87">
        <v>3</v>
      </c>
      <c r="G366" s="121"/>
      <c r="H366" s="146"/>
      <c r="I366" s="148"/>
      <c r="J366" s="147"/>
      <c r="K366" s="69" t="str">
        <f>IF(A23stdlife="n/a","n/a",IF(K$3&gt;(A23stdlife+$F366),(Input!$J$233*(1+vanilla3)^0.5)-SUM($J366:J366),(Input!$J$233*(1+vanilla3)^0.5)/A23stdlife))</f>
        <v>n/a</v>
      </c>
      <c r="L366" s="69" t="str">
        <f>IF(A23stdlife="n/a","n/a",IF(L$3&gt;(A23stdlife+$F366),(Input!$J$233*(1+vanilla3)^0.5)-SUM($J366:K366),(Input!$J$233*(1+vanilla3)^0.5)/A23stdlife))</f>
        <v>n/a</v>
      </c>
      <c r="M366" s="69" t="str">
        <f>IF(A23stdlife="n/a","n/a",IF(M$3&gt;(A23stdlife+$F366),(Input!$J$233*(1+vanilla3)^0.5)-SUM($J366:L366),(Input!$J$233*(1+vanilla3)^0.5)/A23stdlife))</f>
        <v>n/a</v>
      </c>
      <c r="N366" s="69" t="str">
        <f>IF(A23stdlife="n/a","n/a",IF(N$3&gt;(A23stdlife+$F366),(Input!$J$233*(1+vanilla3)^0.5)-SUM($J366:M366),(Input!$J$233*(1+vanilla3)^0.5)/A23stdlife))</f>
        <v>n/a</v>
      </c>
      <c r="O366" s="69" t="str">
        <f>IF(A23stdlife="n/a","n/a",IF(O$3&gt;(A23stdlife+$F366),(Input!$J$233*(1+vanilla3)^0.5)-SUM($J366:N366),(Input!$J$233*(1+vanilla3)^0.5)/A23stdlife))</f>
        <v>n/a</v>
      </c>
      <c r="P366" s="69" t="str">
        <f>IF(A23stdlife="n/a","n/a",IF(P$3&gt;(A23stdlife+$F366),(Input!$J$233*(1+vanilla3)^0.5)-SUM($J366:O366),(Input!$J$233*(1+vanilla3)^0.5)/A23stdlife))</f>
        <v>n/a</v>
      </c>
      <c r="Q366" s="69" t="str">
        <f>IF(A23stdlife="n/a","n/a",IF(Q$3&gt;(A23stdlife+$F366),(Input!$J$233*(1+vanilla3)^0.5)-SUM($J366:P366),(Input!$J$233*(1+vanilla3)^0.5)/A23stdlife))</f>
        <v>n/a</v>
      </c>
      <c r="R366" s="69"/>
      <c r="S366" s="103"/>
      <c r="T366" s="103"/>
      <c r="U366" s="103"/>
      <c r="V366" s="103"/>
      <c r="W366" s="103"/>
      <c r="X366" s="103"/>
      <c r="Y366" s="103"/>
      <c r="Z366" s="103"/>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9"/>
      <c r="D367" s="26"/>
      <c r="E367" s="392"/>
      <c r="F367" s="87">
        <v>4</v>
      </c>
      <c r="G367" s="121"/>
      <c r="H367" s="146"/>
      <c r="I367" s="148"/>
      <c r="J367" s="148"/>
      <c r="K367" s="147"/>
      <c r="L367" s="69" t="str">
        <f>IF(A23stdlife="n/a","n/a",IF(L$3&gt;(A23stdlife+$F367),(Input!$K$233*(1+vanilla4)^0.5)-SUM($K367:K367),(Input!$K$233*(1+vanilla4)^0.5)/A23stdlife))</f>
        <v>n/a</v>
      </c>
      <c r="M367" s="69" t="str">
        <f>IF(A23stdlife="n/a","n/a",IF(M$3&gt;(A23stdlife+$F367),(Input!$K$233*(1+vanilla4)^0.5)-SUM($K367:L367),(Input!$K$233*(1+vanilla4)^0.5)/A23stdlife))</f>
        <v>n/a</v>
      </c>
      <c r="N367" s="69" t="str">
        <f>IF(A23stdlife="n/a","n/a",IF(N$3&gt;(A23stdlife+$F367),(Input!$K$233*(1+vanilla4)^0.5)-SUM($K367:M367),(Input!$K$233*(1+vanilla4)^0.5)/A23stdlife))</f>
        <v>n/a</v>
      </c>
      <c r="O367" s="69" t="str">
        <f>IF(A23stdlife="n/a","n/a",IF(O$3&gt;(A23stdlife+$F367),(Input!$K$233*(1+vanilla4)^0.5)-SUM($K367:N367),(Input!$K$233*(1+vanilla4)^0.5)/A23stdlife))</f>
        <v>n/a</v>
      </c>
      <c r="P367" s="69" t="str">
        <f>IF(A23stdlife="n/a","n/a",IF(P$3&gt;(A23stdlife+$F367),(Input!$K$233*(1+vanilla4)^0.5)-SUM($K367:O367),(Input!$K$233*(1+vanilla4)^0.5)/A23stdlife))</f>
        <v>n/a</v>
      </c>
      <c r="Q367" s="69" t="str">
        <f>IF(A23stdlife="n/a","n/a",IF(Q$3&gt;(A23stdlife+$F367),(Input!$K$233*(1+vanilla4)^0.5)-SUM($K367:P367),(Input!$K$233*(1+vanilla4)^0.5)/A23stdlife))</f>
        <v>n/a</v>
      </c>
      <c r="R367" s="69"/>
      <c r="S367" s="103"/>
      <c r="T367" s="103"/>
      <c r="U367" s="103"/>
      <c r="V367" s="103"/>
      <c r="W367" s="103"/>
      <c r="X367" s="103"/>
      <c r="Y367" s="103"/>
      <c r="Z367" s="103"/>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9"/>
      <c r="D368" s="26"/>
      <c r="E368" s="392"/>
      <c r="F368" s="87">
        <v>5</v>
      </c>
      <c r="G368" s="27"/>
      <c r="H368" s="146"/>
      <c r="I368" s="148"/>
      <c r="J368" s="148"/>
      <c r="K368" s="148"/>
      <c r="L368" s="147"/>
      <c r="M368" s="69" t="str">
        <f>IF(A23stdlife="n/a","n/a",IF(M$3&gt;(A23stdlife+$F368),(Input!$L$233*(1+vanilla5)^0.5)-SUM($L368:L368),(Input!$L$233*(1+vanilla5)^0.5)/A23stdlife))</f>
        <v>n/a</v>
      </c>
      <c r="N368" s="69" t="str">
        <f>IF(A23stdlife="n/a","n/a",IF(N$3&gt;(A23stdlife+$F368),(Input!$L$233*(1+vanilla5)^0.5)-SUM($L368:M368),(Input!$L$233*(1+vanilla5)^0.5)/A23stdlife))</f>
        <v>n/a</v>
      </c>
      <c r="O368" s="69" t="str">
        <f>IF(A23stdlife="n/a","n/a",IF(O$3&gt;(A23stdlife+$F368),(Input!$L$233*(1+vanilla5)^0.5)-SUM($L368:N368),(Input!$L$233*(1+vanilla5)^0.5)/A23stdlife))</f>
        <v>n/a</v>
      </c>
      <c r="P368" s="69" t="str">
        <f>IF(A23stdlife="n/a","n/a",IF(P$3&gt;(A23stdlife+$F368),(Input!$L$233*(1+vanilla5)^0.5)-SUM($L368:O368),(Input!$L$233*(1+vanilla5)^0.5)/A23stdlife))</f>
        <v>n/a</v>
      </c>
      <c r="Q368" s="69" t="str">
        <f>IF(A23stdlife="n/a","n/a",IF(Q$3&gt;(A23stdlife+$F368),(Input!$L$233*(1+vanilla5)^0.5)-SUM($L368:P368),(Input!$L$233*(1+vanilla5)^0.5)/A23stdlife))</f>
        <v>n/a</v>
      </c>
      <c r="R368" s="69"/>
      <c r="S368" s="103"/>
      <c r="T368" s="103"/>
      <c r="U368" s="103"/>
      <c r="V368" s="103"/>
      <c r="W368" s="103"/>
      <c r="X368" s="103"/>
      <c r="Y368" s="103"/>
      <c r="Z368" s="103"/>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103"/>
      <c r="BE368" s="103"/>
      <c r="BF368" s="103"/>
      <c r="BG368" s="103"/>
      <c r="BH368" s="103"/>
      <c r="BI368" s="103"/>
      <c r="BJ368" s="103"/>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9"/>
      <c r="D369" s="26"/>
      <c r="E369" s="392"/>
      <c r="F369" s="87">
        <v>6</v>
      </c>
      <c r="G369" s="27"/>
      <c r="H369" s="146"/>
      <c r="I369" s="148"/>
      <c r="J369" s="148"/>
      <c r="K369" s="148"/>
      <c r="L369" s="148"/>
      <c r="M369" s="147"/>
      <c r="N369" s="69" t="str">
        <f>IF(A23stdlife="n/a","n/a",IF(N$3&gt;(A23stdlife+$F369),(Input!$M$233*(1+vanilla6)^0.5)-SUM($M369:M369),(Input!$M$233*(1+vanilla6)^0.5)/A23stdlife))</f>
        <v>n/a</v>
      </c>
      <c r="O369" s="69" t="str">
        <f>IF(A23stdlife="n/a","n/a",IF(O$3&gt;(A23stdlife+$F369),(Input!$M$233*(1+vanilla6)^0.5)-SUM($M369:N369),(Input!$M$233*(1+vanilla6)^0.5)/A23stdlife))</f>
        <v>n/a</v>
      </c>
      <c r="P369" s="69" t="str">
        <f>IF(A23stdlife="n/a","n/a",IF(P$3&gt;(A23stdlife+$F369),(Input!$M$233*(1+vanilla6)^0.5)-SUM($M369:O369),(Input!$M$233*(1+vanilla6)^0.5)/A23stdlife))</f>
        <v>n/a</v>
      </c>
      <c r="Q369" s="69" t="str">
        <f>IF(A23stdlife="n/a","n/a",IF(Q$3&gt;(A23stdlife+$F369),(Input!$M$233*(1+vanilla6)^0.5)-SUM($M369:P369),(Input!$M$233*(1+vanilla6)^0.5)/A23stdlife))</f>
        <v>n/a</v>
      </c>
      <c r="R369" s="69"/>
      <c r="S369" s="103"/>
      <c r="T369" s="103"/>
      <c r="U369" s="103"/>
      <c r="V369" s="103"/>
      <c r="W369" s="103"/>
      <c r="X369" s="103"/>
      <c r="Y369" s="103"/>
      <c r="Z369" s="103"/>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92"/>
      <c r="F370" s="87">
        <v>7</v>
      </c>
      <c r="G370" s="27"/>
      <c r="H370" s="146"/>
      <c r="I370" s="148"/>
      <c r="J370" s="148"/>
      <c r="K370" s="148"/>
      <c r="L370" s="148"/>
      <c r="M370" s="148"/>
      <c r="N370" s="147"/>
      <c r="O370" s="69" t="str">
        <f>IF(A23stdlife="n/a","n/a",IF(O$3&gt;(A23stdlife+$F370),(Input!N$233*(1+vanilla7)^0.5)-SUM($N370:N370),(Input!$N$233*(1+vanilla7)^0.5)/A23stdlife))</f>
        <v>n/a</v>
      </c>
      <c r="P370" s="69" t="str">
        <f>IF(A23stdlife="n/a","n/a",IF(P$3&gt;(A23stdlife+$F370),(Input!O$233*(1+vanilla7)^0.5)-SUM($N370:O370),(Input!$N$233*(1+vanilla7)^0.5)/A23stdlife))</f>
        <v>n/a</v>
      </c>
      <c r="Q370" s="69" t="str">
        <f>IF(A23stdlife="n/a","n/a",IF(Q$3&gt;(A23stdlife+$F370),(Input!P$233*(1+vanilla7)^0.5)-SUM($N370:P370),(Input!$N$233*(1+vanilla7)^0.5)/A23stdlife))</f>
        <v>n/a</v>
      </c>
      <c r="R370" s="69"/>
      <c r="S370" s="103"/>
      <c r="T370" s="103"/>
      <c r="U370" s="103"/>
      <c r="V370" s="103"/>
      <c r="W370" s="103"/>
      <c r="X370" s="103"/>
      <c r="Y370" s="103"/>
      <c r="Z370" s="103"/>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9"/>
      <c r="D371" s="26"/>
      <c r="E371" s="392"/>
      <c r="F371" s="87">
        <v>8</v>
      </c>
      <c r="G371" s="27"/>
      <c r="H371" s="146"/>
      <c r="I371" s="148"/>
      <c r="J371" s="148"/>
      <c r="K371" s="148"/>
      <c r="L371" s="148"/>
      <c r="M371" s="148"/>
      <c r="N371" s="148"/>
      <c r="O371" s="147"/>
      <c r="P371" s="69" t="str">
        <f>IF(A23stdlife="n/a","n/a",IF(P$3&gt;(A23stdlife+$F371),(Input!$O$233*(1+vanilla8)^0.5)-SUM($O371:O371),(Input!$O$233*(1+vanilla8)^0.5)/A23stdlife))</f>
        <v>n/a</v>
      </c>
      <c r="Q371" s="69" t="str">
        <f>IF(A23stdlife="n/a","n/a",IF(Q$3&gt;(A23stdlife+$F371),(Input!$O$233*(1+vanilla8)^0.5)-SUM($O371:P371),(Input!$O$233*(1+vanilla8)^0.5)/A23stdlife))</f>
        <v>n/a</v>
      </c>
      <c r="R371" s="69"/>
      <c r="S371" s="103"/>
      <c r="T371" s="103"/>
      <c r="U371" s="103"/>
      <c r="V371" s="103"/>
      <c r="W371" s="103"/>
      <c r="X371" s="103"/>
      <c r="Y371" s="103"/>
      <c r="Z371" s="103"/>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9"/>
      <c r="D372" s="26"/>
      <c r="E372" s="392"/>
      <c r="F372" s="87">
        <v>9</v>
      </c>
      <c r="G372" s="27"/>
      <c r="H372" s="146"/>
      <c r="I372" s="148"/>
      <c r="J372" s="148"/>
      <c r="K372" s="148"/>
      <c r="L372" s="148"/>
      <c r="M372" s="148"/>
      <c r="N372" s="148"/>
      <c r="O372" s="148"/>
      <c r="P372" s="147"/>
      <c r="Q372" s="69" t="str">
        <f>IF(A23stdlife="n/a","n/a",IF(Q$3&gt;(A23stdlife+$F372),(Input!$P$233*(1+vanilla9)^0.5)-SUM($P372:P372),(Input!$P$233*(1+vanilla9)^0.5)/A23stdlife))</f>
        <v>n/a</v>
      </c>
      <c r="R372" s="69"/>
      <c r="S372" s="103"/>
      <c r="T372" s="103"/>
      <c r="U372" s="103"/>
      <c r="V372" s="103"/>
      <c r="W372" s="103"/>
      <c r="X372" s="103"/>
      <c r="Y372" s="103"/>
      <c r="Z372" s="103"/>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9"/>
      <c r="D373" s="26"/>
      <c r="E373" s="392"/>
      <c r="F373" s="88">
        <v>10</v>
      </c>
      <c r="G373" s="27"/>
      <c r="H373" s="146"/>
      <c r="I373" s="148"/>
      <c r="J373" s="148"/>
      <c r="K373" s="148"/>
      <c r="L373" s="148"/>
      <c r="M373" s="148"/>
      <c r="N373" s="148"/>
      <c r="O373" s="148"/>
      <c r="P373" s="148"/>
      <c r="Q373" s="147"/>
      <c r="R373" s="69"/>
      <c r="S373" s="103"/>
      <c r="T373" s="103"/>
      <c r="U373" s="103"/>
      <c r="V373" s="103"/>
      <c r="W373" s="103"/>
      <c r="X373" s="103"/>
      <c r="Y373" s="103"/>
      <c r="Z373" s="103"/>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ollapsed="1">
      <c r="A374" s="9"/>
      <c r="B374" s="9"/>
      <c r="C374" s="9"/>
      <c r="D374" s="271">
        <f>Asset23</f>
        <v>0</v>
      </c>
      <c r="E374" s="9"/>
      <c r="F374" s="9"/>
      <c r="G374" s="121"/>
      <c r="H374" s="162">
        <f t="shared" ref="H374:M374" si="26">-SUM(H362:H373)</f>
        <v>0</v>
      </c>
      <c r="I374" s="162">
        <f t="shared" si="26"/>
        <v>0</v>
      </c>
      <c r="J374" s="162">
        <f t="shared" si="26"/>
        <v>0</v>
      </c>
      <c r="K374" s="162">
        <f t="shared" si="26"/>
        <v>0</v>
      </c>
      <c r="L374" s="162">
        <f t="shared" si="26"/>
        <v>0</v>
      </c>
      <c r="M374" s="162">
        <f t="shared" si="26"/>
        <v>0</v>
      </c>
      <c r="N374" s="69">
        <f>IF(COUNT($H374:M374)&gt;=Input!$Y$7,0, -SUM(N362:N373))</f>
        <v>0</v>
      </c>
      <c r="O374" s="69">
        <f>IF(COUNT($H374:N374)&gt;=Input!$Y$7,0, -SUM(O362:O373))</f>
        <v>0</v>
      </c>
      <c r="P374" s="69">
        <f>IF(COUNT($H374:O374)&gt;=Input!$Y$7,0, -SUM(P362:P373))</f>
        <v>0</v>
      </c>
      <c r="Q374" s="69">
        <f>IF(COUNT($H374:P374)&gt;=Input!$Y$7,0, -SUM(Q362:Q373))</f>
        <v>0</v>
      </c>
      <c r="R374" s="67"/>
      <c r="S374" s="105"/>
      <c r="T374" s="105"/>
      <c r="U374" s="105"/>
      <c r="V374" s="105"/>
      <c r="W374" s="105"/>
      <c r="X374" s="105"/>
      <c r="Y374" s="105"/>
      <c r="Z374" s="105"/>
      <c r="AA374" s="233"/>
      <c r="AB374" s="233"/>
      <c r="AC374" s="233"/>
      <c r="AD374" s="233"/>
      <c r="AE374" s="233"/>
      <c r="AF374" s="233"/>
      <c r="AG374" s="233"/>
      <c r="AH374" s="233"/>
      <c r="AI374" s="233"/>
      <c r="AJ374" s="233"/>
      <c r="AK374" s="233"/>
      <c r="AL374" s="233"/>
      <c r="AM374" s="233"/>
      <c r="AN374" s="233"/>
      <c r="AO374" s="233"/>
      <c r="AP374" s="233"/>
      <c r="AQ374" s="233"/>
      <c r="AR374" s="233"/>
      <c r="AS374" s="233"/>
      <c r="AT374" s="233"/>
      <c r="AU374" s="233"/>
      <c r="AV374" s="233"/>
      <c r="AW374" s="233"/>
      <c r="AX374" s="233"/>
      <c r="AY374" s="233"/>
      <c r="AZ374" s="233"/>
      <c r="BA374" s="233"/>
      <c r="BB374" s="233"/>
      <c r="BC374" s="233"/>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272">
        <f>Asset24</f>
        <v>0</v>
      </c>
      <c r="D375" s="158"/>
      <c r="E375" s="32" t="s">
        <v>26</v>
      </c>
      <c r="F375" s="31"/>
      <c r="G375" s="177"/>
      <c r="H375" s="68" t="str">
        <f>IF(H$3&gt;A24remlife,A24value-$G$653-SUM($G375:G375),IF(A24remlife="N/A","n/a",(A24value-$G$653)/A24remlife))</f>
        <v>n/a</v>
      </c>
      <c r="I375" s="68" t="str">
        <f>IF(I$3&gt;A24remlife,A24value-$G$653-SUM($G375:H375),IF(A24remlife="N/A","n/a",(A24value-$G$653)/A24remlife))</f>
        <v>n/a</v>
      </c>
      <c r="J375" s="68" t="str">
        <f>IF(J$3&gt;A24remlife,A24value-$G$653-SUM($G375:I375),IF(A24remlife="N/A","n/a",(A24value-$G$653)/A24remlife))</f>
        <v>n/a</v>
      </c>
      <c r="K375" s="68" t="str">
        <f>IF(K$3&gt;A24remlife,A24value-$G$653-SUM($G375:J375),IF(A24remlife="N/A","n/a",(A24value-$G$653)/A24remlife))</f>
        <v>n/a</v>
      </c>
      <c r="L375" s="68" t="str">
        <f>IF(L$3&gt;A24remlife,A24value-$G$653-SUM($G375:K375),IF(A24remlife="N/A","n/a",(A24value-$G$653)/A24remlife))</f>
        <v>n/a</v>
      </c>
      <c r="M375" s="68" t="str">
        <f>IF(M$3&gt;A24remlife,A24value-$G$653-SUM($G375:L375),IF(A24remlife="N/A","n/a",(A24value-$G$653)/A24remlife))</f>
        <v>n/a</v>
      </c>
      <c r="N375" s="68" t="str">
        <f>IF(N$3&gt;A24remlife,A24value-$G$653-SUM($G375:M375),IF(A24remlife="N/A","n/a",(A24value-$G$653)/A24remlife))</f>
        <v>n/a</v>
      </c>
      <c r="O375" s="68" t="str">
        <f>IF(O$3&gt;A24remlife,A24value-$G$653-SUM($G375:N375),IF(A24remlife="N/A","n/a",(A24value-$G$653)/A24remlife))</f>
        <v>n/a</v>
      </c>
      <c r="P375" s="68" t="str">
        <f>IF(P$3&gt;A24remlife,A24value-$G$653-SUM($G375:O375),IF(A24remlife="N/A","n/a",(A24value-$G$653)/A24remlife))</f>
        <v>n/a</v>
      </c>
      <c r="Q375" s="68" t="str">
        <f>IF(Q$3&gt;A24remlife,A24value-$G$653-SUM($G375:P375),IF(A24remlife="N/A","n/a",(A24value-$G$653)/A24remlife))</f>
        <v>n/a</v>
      </c>
      <c r="R375" s="68"/>
      <c r="S375" s="103"/>
      <c r="T375" s="103"/>
      <c r="U375" s="103"/>
      <c r="V375" s="103"/>
      <c r="W375" s="103"/>
      <c r="X375" s="103"/>
      <c r="Y375" s="103"/>
      <c r="Z375" s="103"/>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9"/>
      <c r="D376" s="26"/>
      <c r="E376" s="391" t="s">
        <v>82</v>
      </c>
      <c r="F376" s="87"/>
      <c r="G376" s="121"/>
      <c r="H376" s="69"/>
      <c r="I376" s="69"/>
      <c r="J376" s="69"/>
      <c r="K376" s="69"/>
      <c r="L376" s="69"/>
      <c r="M376" s="160"/>
      <c r="N376" s="112"/>
      <c r="O376" s="69"/>
      <c r="P376" s="69"/>
      <c r="Q376" s="69"/>
      <c r="R376" s="69"/>
      <c r="S376" s="103"/>
      <c r="T376" s="103"/>
      <c r="U376" s="103"/>
      <c r="V376" s="103"/>
      <c r="W376" s="103"/>
      <c r="X376" s="103"/>
      <c r="Y376" s="103"/>
      <c r="Z376" s="103"/>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92"/>
      <c r="F377" s="87">
        <v>1</v>
      </c>
      <c r="G377" s="121"/>
      <c r="H377" s="145"/>
      <c r="I377" s="69" t="str">
        <f>IF(A24stdlife="n/a","n/a",IF(I$3&gt;(A24stdlife+$F377),(Input!$H$234*(1+vanilla1)^0.5)-SUM($H377:H377),(Input!$H$234*(1+vanilla1)^0.5)/A24stdlife))</f>
        <v>n/a</v>
      </c>
      <c r="J377" s="69" t="str">
        <f>IF(A24stdlife="n/a","n/a",IF(J$3&gt;(A24stdlife+$F377),(Input!$H$234*(1+vanilla1)^0.5)-SUM($H377:I377),(Input!$H$234*(1+vanilla1)^0.5)/A24stdlife))</f>
        <v>n/a</v>
      </c>
      <c r="K377" s="69" t="str">
        <f>IF(A24stdlife="n/a","n/a",IF(K$3&gt;(A24stdlife+$F377),(Input!$H$234*(1+vanilla1)^0.5)-SUM($H377:J377),(Input!$H$234*(1+vanilla1)^0.5)/A24stdlife))</f>
        <v>n/a</v>
      </c>
      <c r="L377" s="69" t="str">
        <f>IF(A24stdlife="n/a","n/a",IF(L$3&gt;(A24stdlife+$F377),(Input!$H$234*(1+vanilla1)^0.5)-SUM($H377:K377),(Input!$H$234*(1+vanilla1)^0.5)/A24stdlife))</f>
        <v>n/a</v>
      </c>
      <c r="M377" s="69" t="str">
        <f>IF(A24stdlife="n/a","n/a",IF(M$3&gt;(A24stdlife+$F377),(Input!$H$234*(1+vanilla1)^0.5)-SUM($H377:L377),(Input!$H$234*(1+vanilla1)^0.5)/A24stdlife))</f>
        <v>n/a</v>
      </c>
      <c r="N377" s="69" t="str">
        <f>IF(A24stdlife="n/a","n/a",IF(N$3&gt;(A24stdlife+$F377),(Input!$H$234*(1+vanilla1)^0.5)-SUM($H377:M377),(Input!$H$234*(1+vanilla1)^0.5)/A24stdlife))</f>
        <v>n/a</v>
      </c>
      <c r="O377" s="69" t="str">
        <f>IF(A24stdlife="n/a","n/a",IF(O$3&gt;(A24stdlife+$F377),(Input!$H$234*(1+vanilla1)^0.5)-SUM($H377:N377),(Input!$H$234*(1+vanilla1)^0.5)/A24stdlife))</f>
        <v>n/a</v>
      </c>
      <c r="P377" s="69" t="str">
        <f>IF(A24stdlife="n/a","n/a",IF(P$3&gt;(A24stdlife+$F377),(Input!$H$234*(1+vanilla1)^0.5)-SUM($H377:O377),(Input!$H$234*(1+vanilla1)^0.5)/A24stdlife))</f>
        <v>n/a</v>
      </c>
      <c r="Q377" s="69" t="str">
        <f>IF(A24stdlife="n/a","n/a",IF(Q$3&gt;(A24stdlife+$F377),(Input!$H$234*(1+vanilla1)^0.5)-SUM($H377:P377),(Input!$H$234*(1+vanilla1)^0.5)/A24stdlife))</f>
        <v>n/a</v>
      </c>
      <c r="R377" s="69"/>
      <c r="S377" s="103"/>
      <c r="T377" s="103"/>
      <c r="U377" s="103"/>
      <c r="V377" s="103"/>
      <c r="W377" s="103"/>
      <c r="X377" s="103"/>
      <c r="Y377" s="103"/>
      <c r="Z377" s="103"/>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92"/>
      <c r="F378" s="87">
        <v>2</v>
      </c>
      <c r="G378" s="121"/>
      <c r="H378" s="146"/>
      <c r="I378" s="147"/>
      <c r="J378" s="69" t="str">
        <f>IF(A24stdlife="n/a","n/a",IF(J$3&gt;(A24stdlife+$F378),(Input!$I$234*(1+vanilla2)^0.5)-SUM($I378:I378),(Input!$I$234*(1+vanilla2)^0.5)/A24stdlife))</f>
        <v>n/a</v>
      </c>
      <c r="K378" s="69" t="str">
        <f>IF(A24stdlife="n/a","n/a",IF(K$3&gt;(A24stdlife+$F378),(Input!$I$234*(1+vanilla2)^0.5)-SUM($I378:J378),(Input!$I$234*(1+vanilla2)^0.5)/A24stdlife))</f>
        <v>n/a</v>
      </c>
      <c r="L378" s="69" t="str">
        <f>IF(A24stdlife="n/a","n/a",IF(L$3&gt;(A24stdlife+$F378),(Input!$I$234*(1+vanilla2)^0.5)-SUM($I378:K378),(Input!$I$234*(1+vanilla2)^0.5)/A24stdlife))</f>
        <v>n/a</v>
      </c>
      <c r="M378" s="69" t="str">
        <f>IF(A24stdlife="n/a","n/a",IF(M$3&gt;(A24stdlife+$F378),(Input!$I$234*(1+vanilla2)^0.5)-SUM($I378:L378),(Input!$I$234*(1+vanilla2)^0.5)/A24stdlife))</f>
        <v>n/a</v>
      </c>
      <c r="N378" s="69" t="str">
        <f>IF(A24stdlife="n/a","n/a",IF(N$3&gt;(A24stdlife+$F378),(Input!$I$234*(1+vanilla2)^0.5)-SUM($I378:M378),(Input!$I$234*(1+vanilla2)^0.5)/A24stdlife))</f>
        <v>n/a</v>
      </c>
      <c r="O378" s="69" t="str">
        <f>IF(A24stdlife="n/a","n/a",IF(O$3&gt;(A24stdlife+$F378),(Input!$I$234*(1+vanilla2)^0.5)-SUM($I378:N378),(Input!$I$234*(1+vanilla2)^0.5)/A24stdlife))</f>
        <v>n/a</v>
      </c>
      <c r="P378" s="69" t="str">
        <f>IF(A24stdlife="n/a","n/a",IF(P$3&gt;(A24stdlife+$F378),(Input!$I$234*(1+vanilla2)^0.5)-SUM($I378:O378),(Input!$I$234*(1+vanilla2)^0.5)/A24stdlife))</f>
        <v>n/a</v>
      </c>
      <c r="Q378" s="69" t="str">
        <f>IF(A24stdlife="n/a","n/a",IF(Q$3&gt;(A24stdlife+$F378),(Input!$I$234*(1+vanilla2)^0.5)-SUM($I378:P378),(Input!$I$234*(1+vanilla2)^0.5)/A24stdlife))</f>
        <v>n/a</v>
      </c>
      <c r="R378" s="69"/>
      <c r="S378" s="103"/>
      <c r="T378" s="103"/>
      <c r="U378" s="103"/>
      <c r="V378" s="103"/>
      <c r="W378" s="103"/>
      <c r="X378" s="103"/>
      <c r="Y378" s="103"/>
      <c r="Z378" s="103"/>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92"/>
      <c r="F379" s="87">
        <v>3</v>
      </c>
      <c r="G379" s="121"/>
      <c r="H379" s="146"/>
      <c r="I379" s="148"/>
      <c r="J379" s="147"/>
      <c r="K379" s="69" t="str">
        <f>IF(A24stdlife="n/a","n/a",IF(K$3&gt;(A24stdlife+$F379),(Input!$J$234*(1+vanilla3)^0.5)-SUM($J379:J379),(Input!$J$234*(1+vanilla3)^0.5)/A24stdlife))</f>
        <v>n/a</v>
      </c>
      <c r="L379" s="69" t="str">
        <f>IF(A24stdlife="n/a","n/a",IF(L$3&gt;(A24stdlife+$F379),(Input!$J$234*(1+vanilla3)^0.5)-SUM($J379:K379),(Input!$J$234*(1+vanilla3)^0.5)/A24stdlife))</f>
        <v>n/a</v>
      </c>
      <c r="M379" s="69" t="str">
        <f>IF(A24stdlife="n/a","n/a",IF(M$3&gt;(A24stdlife+$F379),(Input!$J$234*(1+vanilla3)^0.5)-SUM($J379:L379),(Input!$J$234*(1+vanilla3)^0.5)/A24stdlife))</f>
        <v>n/a</v>
      </c>
      <c r="N379" s="69" t="str">
        <f>IF(A24stdlife="n/a","n/a",IF(N$3&gt;(A24stdlife+$F379),(Input!$J$234*(1+vanilla3)^0.5)-SUM($J379:M379),(Input!$J$234*(1+vanilla3)^0.5)/A24stdlife))</f>
        <v>n/a</v>
      </c>
      <c r="O379" s="69" t="str">
        <f>IF(A24stdlife="n/a","n/a",IF(O$3&gt;(A24stdlife+$F379),(Input!$J$234*(1+vanilla3)^0.5)-SUM($J379:N379),(Input!$J$234*(1+vanilla3)^0.5)/A24stdlife))</f>
        <v>n/a</v>
      </c>
      <c r="P379" s="69" t="str">
        <f>IF(A24stdlife="n/a","n/a",IF(P$3&gt;(A24stdlife+$F379),(Input!$J$234*(1+vanilla3)^0.5)-SUM($J379:O379),(Input!$J$234*(1+vanilla3)^0.5)/A24stdlife))</f>
        <v>n/a</v>
      </c>
      <c r="Q379" s="69" t="str">
        <f>IF(A24stdlife="n/a","n/a",IF(Q$3&gt;(A24stdlife+$F379),(Input!$J$234*(1+vanilla3)^0.5)-SUM($J379:P379),(Input!$J$234*(1+vanilla3)^0.5)/A24stdlife))</f>
        <v>n/a</v>
      </c>
      <c r="R379" s="69"/>
      <c r="S379" s="103"/>
      <c r="T379" s="103"/>
      <c r="U379" s="103"/>
      <c r="V379" s="103"/>
      <c r="W379" s="103"/>
      <c r="X379" s="103"/>
      <c r="Y379" s="103"/>
      <c r="Z379" s="103"/>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92"/>
      <c r="F380" s="87">
        <v>4</v>
      </c>
      <c r="G380" s="121"/>
      <c r="H380" s="146"/>
      <c r="I380" s="148"/>
      <c r="J380" s="148"/>
      <c r="K380" s="147"/>
      <c r="L380" s="69" t="str">
        <f>IF(A24stdlife="n/a","n/a",IF(L$3&gt;(A24stdlife+$F380),(Input!$K$234*(1+vanilla4)^0.5)-SUM($K380:K380),(Input!$K$234*(1+vanilla4)^0.5)/A24stdlife))</f>
        <v>n/a</v>
      </c>
      <c r="M380" s="69" t="str">
        <f>IF(A24stdlife="n/a","n/a",IF(M$3&gt;(A24stdlife+$F380),(Input!$K$234*(1+vanilla4)^0.5)-SUM($K380:L380),(Input!$K$234*(1+vanilla4)^0.5)/A24stdlife))</f>
        <v>n/a</v>
      </c>
      <c r="N380" s="69" t="str">
        <f>IF(A24stdlife="n/a","n/a",IF(N$3&gt;(A24stdlife+$F380),(Input!$K$234*(1+vanilla4)^0.5)-SUM($K380:M380),(Input!$K$234*(1+vanilla4)^0.5)/A24stdlife))</f>
        <v>n/a</v>
      </c>
      <c r="O380" s="69" t="str">
        <f>IF(A24stdlife="n/a","n/a",IF(O$3&gt;(A24stdlife+$F380),(Input!$K$234*(1+vanilla4)^0.5)-SUM($K380:N380),(Input!$K$234*(1+vanilla4)^0.5)/A24stdlife))</f>
        <v>n/a</v>
      </c>
      <c r="P380" s="69" t="str">
        <f>IF(A24stdlife="n/a","n/a",IF(P$3&gt;(A24stdlife+$F380),(Input!$K$234*(1+vanilla4)^0.5)-SUM($K380:O380),(Input!$K$234*(1+vanilla4)^0.5)/A24stdlife))</f>
        <v>n/a</v>
      </c>
      <c r="Q380" s="69" t="str">
        <f>IF(A24stdlife="n/a","n/a",IF(Q$3&gt;(A24stdlife+$F380),(Input!$K$234*(1+vanilla4)^0.5)-SUM($K380:P380),(Input!$K$234*(1+vanilla4)^0.5)/A24stdlife))</f>
        <v>n/a</v>
      </c>
      <c r="R380" s="69"/>
      <c r="S380" s="103"/>
      <c r="T380" s="103"/>
      <c r="U380" s="103"/>
      <c r="V380" s="103"/>
      <c r="W380" s="103"/>
      <c r="X380" s="103"/>
      <c r="Y380" s="103"/>
      <c r="Z380" s="103"/>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9"/>
      <c r="B381" s="9"/>
      <c r="C381" s="9"/>
      <c r="D381" s="26"/>
      <c r="E381" s="392"/>
      <c r="F381" s="87">
        <v>5</v>
      </c>
      <c r="G381" s="27"/>
      <c r="H381" s="146"/>
      <c r="I381" s="148"/>
      <c r="J381" s="148"/>
      <c r="K381" s="148"/>
      <c r="L381" s="147"/>
      <c r="M381" s="69" t="str">
        <f>IF(A24stdlife="n/a","n/a",IF(M$3&gt;(A24stdlife+$F381),(Input!$L$234*(1+vanilla5)^0.5)-SUM($L381:L381),(Input!$L$234*(1+vanilla5)^0.5)/A24stdlife))</f>
        <v>n/a</v>
      </c>
      <c r="N381" s="69" t="str">
        <f>IF(A24stdlife="n/a","n/a",IF(N$3&gt;(A24stdlife+$F381),(Input!$L$234*(1+vanilla5)^0.5)-SUM($L381:M381),(Input!$L$234*(1+vanilla5)^0.5)/A24stdlife))</f>
        <v>n/a</v>
      </c>
      <c r="O381" s="69" t="str">
        <f>IF(A24stdlife="n/a","n/a",IF(O$3&gt;(A24stdlife+$F381),(Input!$L$234*(1+vanilla5)^0.5)-SUM($L381:N381),(Input!$L$234*(1+vanilla5)^0.5)/A24stdlife))</f>
        <v>n/a</v>
      </c>
      <c r="P381" s="69" t="str">
        <f>IF(A24stdlife="n/a","n/a",IF(P$3&gt;(A24stdlife+$F381),(Input!$L$234*(1+vanilla5)^0.5)-SUM($L381:O381),(Input!$L$234*(1+vanilla5)^0.5)/A24stdlife))</f>
        <v>n/a</v>
      </c>
      <c r="Q381" s="69" t="str">
        <f>IF(A24stdlife="n/a","n/a",IF(Q$3&gt;(A24stdlife+$F381),(Input!$L$234*(1+vanilla5)^0.5)-SUM($L381:P381),(Input!$L$234*(1+vanilla5)^0.5)/A24stdlife))</f>
        <v>n/a</v>
      </c>
      <c r="R381" s="69"/>
      <c r="S381" s="103"/>
      <c r="T381" s="103"/>
      <c r="U381" s="103"/>
      <c r="V381" s="103"/>
      <c r="W381" s="103"/>
      <c r="X381" s="103"/>
      <c r="Y381" s="103"/>
      <c r="Z381" s="103"/>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103"/>
      <c r="BE381" s="103"/>
      <c r="BF381" s="103"/>
      <c r="BG381" s="103"/>
      <c r="BH381" s="103"/>
      <c r="BI381" s="103"/>
      <c r="BJ381" s="103"/>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9"/>
      <c r="D382" s="26"/>
      <c r="E382" s="392"/>
      <c r="F382" s="87">
        <v>6</v>
      </c>
      <c r="G382" s="27"/>
      <c r="H382" s="146"/>
      <c r="I382" s="148"/>
      <c r="J382" s="148"/>
      <c r="K382" s="148"/>
      <c r="L382" s="148"/>
      <c r="M382" s="147"/>
      <c r="N382" s="69" t="str">
        <f>IF(A24stdlife="n/a","n/a",IF(N$3&gt;(A24stdlife+$F382),(Input!$M$234*(1+vanilla6)^0.5)-SUM($M382:M382),(Input!$M$234*(1+vanilla6)^0.5)/A24stdlife))</f>
        <v>n/a</v>
      </c>
      <c r="O382" s="69" t="str">
        <f>IF(A24stdlife="n/a","n/a",IF(O$3&gt;(A24stdlife+$F382),(Input!$M$234*(1+vanilla6)^0.5)-SUM($M382:N382),(Input!$M$234*(1+vanilla6)^0.5)/A24stdlife))</f>
        <v>n/a</v>
      </c>
      <c r="P382" s="69" t="str">
        <f>IF(A24stdlife="n/a","n/a",IF(P$3&gt;(A24stdlife+$F382),(Input!$M$234*(1+vanilla6)^0.5)-SUM($M382:O382),(Input!$M$234*(1+vanilla6)^0.5)/A24stdlife))</f>
        <v>n/a</v>
      </c>
      <c r="Q382" s="69" t="str">
        <f>IF(A24stdlife="n/a","n/a",IF(Q$3&gt;(A24stdlife+$F382),(Input!$M$234*(1+vanilla6)^0.5)-SUM($M382:P382),(Input!$M$234*(1+vanilla6)^0.5)/A24stdlife))</f>
        <v>n/a</v>
      </c>
      <c r="R382" s="69"/>
      <c r="S382" s="103"/>
      <c r="T382" s="103"/>
      <c r="U382" s="103"/>
      <c r="V382" s="103"/>
      <c r="W382" s="103"/>
      <c r="X382" s="103"/>
      <c r="Y382" s="103"/>
      <c r="Z382" s="103"/>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c r="A383" s="9"/>
      <c r="B383" s="9"/>
      <c r="C383" s="9"/>
      <c r="D383" s="26"/>
      <c r="E383" s="392"/>
      <c r="F383" s="87">
        <v>7</v>
      </c>
      <c r="G383" s="27"/>
      <c r="H383" s="146"/>
      <c r="I383" s="148"/>
      <c r="J383" s="148"/>
      <c r="K383" s="148"/>
      <c r="L383" s="148"/>
      <c r="M383" s="148"/>
      <c r="N383" s="147"/>
      <c r="O383" s="69" t="str">
        <f>IF(A24stdlife="n/a","n/a",IF(O$3&gt;(A24stdlife+$F383),(Input!N$234*(1+vanilla7)^0.5)-SUM($N383:N383),(Input!$N$234*(1+vanilla7)^0.5)/A24stdlife))</f>
        <v>n/a</v>
      </c>
      <c r="P383" s="69" t="str">
        <f>IF(A24stdlife="n/a","n/a",IF(P$3&gt;(A24stdlife+$F383),(Input!O$234*(1+vanilla7)^0.5)-SUM($N383:O383),(Input!$N$234*(1+vanilla7)^0.5)/A24stdlife))</f>
        <v>n/a</v>
      </c>
      <c r="Q383" s="69" t="str">
        <f>IF(A24stdlife="n/a","n/a",IF(Q$3&gt;(A24stdlife+$F383),(Input!P$234*(1+vanilla7)^0.5)-SUM($N383:P383),(Input!$N$234*(1+vanilla7)^0.5)/A24stdlife))</f>
        <v>n/a</v>
      </c>
      <c r="R383" s="69"/>
      <c r="S383" s="103"/>
      <c r="T383" s="103"/>
      <c r="U383" s="103"/>
      <c r="V383" s="103"/>
      <c r="W383" s="103"/>
      <c r="X383" s="103"/>
      <c r="Y383" s="103"/>
      <c r="Z383" s="103"/>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92"/>
      <c r="F384" s="87">
        <v>8</v>
      </c>
      <c r="G384" s="27"/>
      <c r="H384" s="146"/>
      <c r="I384" s="148"/>
      <c r="J384" s="148"/>
      <c r="K384" s="148"/>
      <c r="L384" s="148"/>
      <c r="M384" s="148"/>
      <c r="N384" s="148"/>
      <c r="O384" s="147"/>
      <c r="P384" s="69" t="str">
        <f>IF(A24stdlife="n/a","n/a",IF(P$3&gt;(A24stdlife+$F384),(Input!$O$234*(1+vanilla8)^0.5)-SUM($O384:O384),(Input!$O$234*(1+vanilla8)^0.5)/A24stdlife))</f>
        <v>n/a</v>
      </c>
      <c r="Q384" s="69" t="str">
        <f>IF(A24stdlife="n/a","n/a",IF(Q$3&gt;(A24stdlife+$F384),(Input!$O$234*(1+vanilla8)^0.5)-SUM($O384:P384),(Input!$O$234*(1+vanilla8)^0.5)/A24stdlife))</f>
        <v>n/a</v>
      </c>
      <c r="R384" s="69"/>
      <c r="S384" s="103"/>
      <c r="T384" s="103"/>
      <c r="U384" s="103"/>
      <c r="V384" s="103"/>
      <c r="W384" s="103"/>
      <c r="X384" s="103"/>
      <c r="Y384" s="103"/>
      <c r="Z384" s="103"/>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92"/>
      <c r="F385" s="87">
        <v>9</v>
      </c>
      <c r="G385" s="27"/>
      <c r="H385" s="146"/>
      <c r="I385" s="148"/>
      <c r="J385" s="148"/>
      <c r="K385" s="148"/>
      <c r="L385" s="148"/>
      <c r="M385" s="148"/>
      <c r="N385" s="148"/>
      <c r="O385" s="148"/>
      <c r="P385" s="147"/>
      <c r="Q385" s="69" t="str">
        <f>IF(A24stdlife="n/a","n/a",IF(Q$3&gt;(A24stdlife+$F385),(Input!$P$234*(1+vanilla9)^0.5)-SUM($P385:P385),(Input!$P$234*(1+vanilla9)^0.5)/A24stdlife))</f>
        <v>n/a</v>
      </c>
      <c r="R385" s="69"/>
      <c r="S385" s="103"/>
      <c r="T385" s="103"/>
      <c r="U385" s="103"/>
      <c r="V385" s="103"/>
      <c r="W385" s="103"/>
      <c r="X385" s="103"/>
      <c r="Y385" s="103"/>
      <c r="Z385" s="103"/>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92"/>
      <c r="F386" s="88">
        <v>10</v>
      </c>
      <c r="G386" s="27"/>
      <c r="H386" s="146"/>
      <c r="I386" s="148"/>
      <c r="J386" s="148"/>
      <c r="K386" s="148"/>
      <c r="L386" s="148"/>
      <c r="M386" s="148"/>
      <c r="N386" s="148"/>
      <c r="O386" s="148"/>
      <c r="P386" s="148"/>
      <c r="Q386" s="147"/>
      <c r="R386" s="69"/>
      <c r="S386" s="103"/>
      <c r="T386" s="103"/>
      <c r="U386" s="103"/>
      <c r="V386" s="103"/>
      <c r="W386" s="103"/>
      <c r="X386" s="103"/>
      <c r="Y386" s="103"/>
      <c r="Z386" s="103"/>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ollapsed="1">
      <c r="A387" s="9"/>
      <c r="B387" s="9"/>
      <c r="C387" s="9"/>
      <c r="D387" s="271">
        <f>Asset24</f>
        <v>0</v>
      </c>
      <c r="E387" s="9"/>
      <c r="F387" s="9"/>
      <c r="G387" s="121"/>
      <c r="H387" s="162">
        <f t="shared" ref="H387:M387" si="27">-SUM(H375:H386)</f>
        <v>0</v>
      </c>
      <c r="I387" s="162">
        <f t="shared" si="27"/>
        <v>0</v>
      </c>
      <c r="J387" s="162">
        <f t="shared" si="27"/>
        <v>0</v>
      </c>
      <c r="K387" s="162">
        <f t="shared" si="27"/>
        <v>0</v>
      </c>
      <c r="L387" s="162">
        <f t="shared" si="27"/>
        <v>0</v>
      </c>
      <c r="M387" s="162">
        <f t="shared" si="27"/>
        <v>0</v>
      </c>
      <c r="N387" s="69">
        <f>IF(COUNT($H387:M387)&gt;=Input!$Y$7,0, -SUM(N375:N386))</f>
        <v>0</v>
      </c>
      <c r="O387" s="69">
        <f>IF(COUNT($H387:N387)&gt;=Input!$Y$7,0, -SUM(O375:O386))</f>
        <v>0</v>
      </c>
      <c r="P387" s="69">
        <f>IF(COUNT($H387:O387)&gt;=Input!$Y$7,0, -SUM(P375:P386))</f>
        <v>0</v>
      </c>
      <c r="Q387" s="69">
        <f>IF(COUNT($H387:P387)&gt;=Input!$Y$7,0, -SUM(Q375:Q386))</f>
        <v>0</v>
      </c>
      <c r="R387" s="67"/>
      <c r="S387" s="105"/>
      <c r="T387" s="105"/>
      <c r="U387" s="105"/>
      <c r="V387" s="105"/>
      <c r="W387" s="105"/>
      <c r="X387" s="105"/>
      <c r="Y387" s="105"/>
      <c r="Z387" s="105"/>
      <c r="AA387" s="233"/>
      <c r="AB387" s="233"/>
      <c r="AC387" s="233"/>
      <c r="AD387" s="233"/>
      <c r="AE387" s="233"/>
      <c r="AF387" s="233"/>
      <c r="AG387" s="233"/>
      <c r="AH387" s="233"/>
      <c r="AI387" s="233"/>
      <c r="AJ387" s="233"/>
      <c r="AK387" s="233"/>
      <c r="AL387" s="233"/>
      <c r="AM387" s="233"/>
      <c r="AN387" s="233"/>
      <c r="AO387" s="233"/>
      <c r="AP387" s="233"/>
      <c r="AQ387" s="233"/>
      <c r="AR387" s="233"/>
      <c r="AS387" s="233"/>
      <c r="AT387" s="233"/>
      <c r="AU387" s="233"/>
      <c r="AV387" s="233"/>
      <c r="AW387" s="233"/>
      <c r="AX387" s="233"/>
      <c r="AY387" s="233"/>
      <c r="AZ387" s="233"/>
      <c r="BA387" s="233"/>
      <c r="BB387" s="233"/>
      <c r="BC387" s="233"/>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272">
        <f>Asset25</f>
        <v>0</v>
      </c>
      <c r="D388" s="158"/>
      <c r="E388" s="32" t="s">
        <v>26</v>
      </c>
      <c r="F388" s="31"/>
      <c r="G388" s="177"/>
      <c r="H388" s="68" t="str">
        <f>IF(H$3&gt;A25remlife,A25value-$G$654-SUM($G388:G388),IF(A25remlife="N/A","n/a",(A25value-$G$654)/A25remlife))</f>
        <v>n/a</v>
      </c>
      <c r="I388" s="68" t="str">
        <f>IF(I$3&gt;A25remlife,A25value-$G$654-SUM($G388:H388),IF(A25remlife="N/A","n/a",(A25value-$G$654)/A25remlife))</f>
        <v>n/a</v>
      </c>
      <c r="J388" s="68" t="str">
        <f>IF(J$3&gt;A25remlife,A25value-$G$654-SUM($G388:I388),IF(A25remlife="N/A","n/a",(A25value-$G$654)/A25remlife))</f>
        <v>n/a</v>
      </c>
      <c r="K388" s="68" t="str">
        <f>IF(K$3&gt;A25remlife,A25value-$G$654-SUM($G388:J388),IF(A25remlife="N/A","n/a",(A25value-$G$654)/A25remlife))</f>
        <v>n/a</v>
      </c>
      <c r="L388" s="68" t="str">
        <f>IF(L$3&gt;A25remlife,A25value-$G$654-SUM($G388:K388),IF(A25remlife="N/A","n/a",(A25value-$G$654)/A25remlife))</f>
        <v>n/a</v>
      </c>
      <c r="M388" s="68" t="str">
        <f>IF(M$3&gt;A25remlife,A25value-$G$654-SUM($G388:L388),IF(A25remlife="N/A","n/a",(A25value-$G$654)/A25remlife))</f>
        <v>n/a</v>
      </c>
      <c r="N388" s="68" t="str">
        <f>IF(N$3&gt;A25remlife,A25value-$G$654-SUM($G388:M388),IF(A25remlife="N/A","n/a",(A25value-$G$654)/A25remlife))</f>
        <v>n/a</v>
      </c>
      <c r="O388" s="68" t="str">
        <f>IF(O$3&gt;A25remlife,A25value-$G$654-SUM($G388:N388),IF(A25remlife="N/A","n/a",(A25value-$G$654)/A25remlife))</f>
        <v>n/a</v>
      </c>
      <c r="P388" s="68" t="str">
        <f>IF(P$3&gt;A25remlife,A25value-$G$654-SUM($G388:O388),IF(A25remlife="N/A","n/a",(A25value-$G$654)/A25remlife))</f>
        <v>n/a</v>
      </c>
      <c r="Q388" s="68" t="str">
        <f>IF(Q$3&gt;A25remlife,A25value-$G$654-SUM($G388:P388),IF(A25remlife="N/A","n/a",(A25value-$G$654)/A25remlife))</f>
        <v>n/a</v>
      </c>
      <c r="R388" s="68"/>
      <c r="S388" s="103"/>
      <c r="T388" s="103"/>
      <c r="U388" s="103"/>
      <c r="V388" s="103"/>
      <c r="W388" s="103"/>
      <c r="X388" s="103"/>
      <c r="Y388" s="103"/>
      <c r="Z388" s="103"/>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9"/>
      <c r="D389" s="26"/>
      <c r="E389" s="391" t="s">
        <v>82</v>
      </c>
      <c r="F389" s="87"/>
      <c r="G389" s="121"/>
      <c r="H389" s="69"/>
      <c r="I389" s="69"/>
      <c r="J389" s="69"/>
      <c r="K389" s="69"/>
      <c r="L389" s="69"/>
      <c r="M389" s="160"/>
      <c r="N389" s="112"/>
      <c r="O389" s="69"/>
      <c r="P389" s="69"/>
      <c r="Q389" s="69"/>
      <c r="R389" s="69"/>
      <c r="S389" s="103"/>
      <c r="T389" s="103"/>
      <c r="U389" s="103"/>
      <c r="V389" s="103"/>
      <c r="W389" s="103"/>
      <c r="X389" s="103"/>
      <c r="Y389" s="103"/>
      <c r="Z389" s="103"/>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92"/>
      <c r="F390" s="87">
        <v>1</v>
      </c>
      <c r="G390" s="121"/>
      <c r="H390" s="145"/>
      <c r="I390" s="69" t="str">
        <f>IF(A25stdlife="n/a","n/a",IF(I$3&gt;(A25stdlife+$F390),(Input!$H$235*(1+vanilla1)^0.5)-SUM($H390:H390),(Input!$H$235*(1+vanilla1)^0.5)/A25stdlife))</f>
        <v>n/a</v>
      </c>
      <c r="J390" s="69" t="str">
        <f>IF(A25stdlife="n/a","n/a",IF(J$3&gt;(A25stdlife+$F390),(Input!$H$235*(1+vanilla1)^0.5)-SUM($H390:I390),(Input!$H$235*(1+vanilla1)^0.5)/A25stdlife))</f>
        <v>n/a</v>
      </c>
      <c r="K390" s="69" t="str">
        <f>IF(A25stdlife="n/a","n/a",IF(K$3&gt;(A25stdlife+$F390),(Input!$H$235*(1+vanilla1)^0.5)-SUM($H390:J390),(Input!$H$235*(1+vanilla1)^0.5)/A25stdlife))</f>
        <v>n/a</v>
      </c>
      <c r="L390" s="69" t="str">
        <f>IF(A25stdlife="n/a","n/a",IF(L$3&gt;(A25stdlife+$F390),(Input!$H$235*(1+vanilla1)^0.5)-SUM($H390:K390),(Input!$H$235*(1+vanilla1)^0.5)/A25stdlife))</f>
        <v>n/a</v>
      </c>
      <c r="M390" s="69" t="str">
        <f>IF(A25stdlife="n/a","n/a",IF(M$3&gt;(A25stdlife+$F390),(Input!$H$235*(1+vanilla1)^0.5)-SUM($H390:L390),(Input!$H$235*(1+vanilla1)^0.5)/A25stdlife))</f>
        <v>n/a</v>
      </c>
      <c r="N390" s="69" t="str">
        <f>IF(A25stdlife="n/a","n/a",IF(N$3&gt;(A25stdlife+$F390),(Input!$H$235*(1+vanilla1)^0.5)-SUM($H390:M390),(Input!$H$235*(1+vanilla1)^0.5)/A25stdlife))</f>
        <v>n/a</v>
      </c>
      <c r="O390" s="69" t="str">
        <f>IF(A25stdlife="n/a","n/a",IF(O$3&gt;(A25stdlife+$F390),(Input!$H$235*(1+vanilla1)^0.5)-SUM($H390:N390),(Input!$H$235*(1+vanilla1)^0.5)/A25stdlife))</f>
        <v>n/a</v>
      </c>
      <c r="P390" s="69" t="str">
        <f>IF(A25stdlife="n/a","n/a",IF(P$3&gt;(A25stdlife+$F390),(Input!$H$235*(1+vanilla1)^0.5)-SUM($H390:O390),(Input!$H$235*(1+vanilla1)^0.5)/A25stdlife))</f>
        <v>n/a</v>
      </c>
      <c r="Q390" s="69" t="str">
        <f>IF(A25stdlife="n/a","n/a",IF(Q$3&gt;(A25stdlife+$F390),(Input!$H$235*(1+vanilla1)^0.5)-SUM($H390:P390),(Input!$H$235*(1+vanilla1)^0.5)/A25stdlife))</f>
        <v>n/a</v>
      </c>
      <c r="R390" s="69"/>
      <c r="S390" s="103"/>
      <c r="T390" s="103"/>
      <c r="U390" s="103"/>
      <c r="V390" s="103"/>
      <c r="W390" s="103"/>
      <c r="X390" s="103"/>
      <c r="Y390" s="103"/>
      <c r="Z390" s="103"/>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92"/>
      <c r="F391" s="87">
        <v>2</v>
      </c>
      <c r="G391" s="121"/>
      <c r="H391" s="146"/>
      <c r="I391" s="147"/>
      <c r="J391" s="69" t="str">
        <f>IF(A25stdlife="n/a","n/a",IF(J$3&gt;(A25stdlife+$F391),(Input!$I$235*(1+vanilla2)^0.5)-SUM($I391:I391),(Input!$I$235*(1+vanilla2)^0.5)/A25stdlife))</f>
        <v>n/a</v>
      </c>
      <c r="K391" s="69" t="str">
        <f>IF(A25stdlife="n/a","n/a",IF(K$3&gt;(A25stdlife+$F391),(Input!$I$235*(1+vanilla2)^0.5)-SUM($I391:J391),(Input!$I$235*(1+vanilla2)^0.5)/A25stdlife))</f>
        <v>n/a</v>
      </c>
      <c r="L391" s="69" t="str">
        <f>IF(A25stdlife="n/a","n/a",IF(L$3&gt;(A25stdlife+$F391),(Input!$I$235*(1+vanilla2)^0.5)-SUM($I391:K391),(Input!$I$235*(1+vanilla2)^0.5)/A25stdlife))</f>
        <v>n/a</v>
      </c>
      <c r="M391" s="69" t="str">
        <f>IF(A25stdlife="n/a","n/a",IF(M$3&gt;(A25stdlife+$F391),(Input!$I$235*(1+vanilla2)^0.5)-SUM($I391:L391),(Input!$I$235*(1+vanilla2)^0.5)/A25stdlife))</f>
        <v>n/a</v>
      </c>
      <c r="N391" s="69" t="str">
        <f>IF(A25stdlife="n/a","n/a",IF(N$3&gt;(A25stdlife+$F391),(Input!$I$235*(1+vanilla2)^0.5)-SUM($I391:M391),(Input!$I$235*(1+vanilla2)^0.5)/A25stdlife))</f>
        <v>n/a</v>
      </c>
      <c r="O391" s="69" t="str">
        <f>IF(A25stdlife="n/a","n/a",IF(O$3&gt;(A25stdlife+$F391),(Input!$I$235*(1+vanilla2)^0.5)-SUM($I391:N391),(Input!$I$235*(1+vanilla2)^0.5)/A25stdlife))</f>
        <v>n/a</v>
      </c>
      <c r="P391" s="69" t="str">
        <f>IF(A25stdlife="n/a","n/a",IF(P$3&gt;(A25stdlife+$F391),(Input!$I$235*(1+vanilla2)^0.5)-SUM($I391:O391),(Input!$I$235*(1+vanilla2)^0.5)/A25stdlife))</f>
        <v>n/a</v>
      </c>
      <c r="Q391" s="69" t="str">
        <f>IF(A25stdlife="n/a","n/a",IF(Q$3&gt;(A25stdlife+$F391),(Input!$I$235*(1+vanilla2)^0.5)-SUM($I391:P391),(Input!$I$235*(1+vanilla2)^0.5)/A25stdlife))</f>
        <v>n/a</v>
      </c>
      <c r="R391" s="69"/>
      <c r="S391" s="103"/>
      <c r="T391" s="103"/>
      <c r="U391" s="103"/>
      <c r="V391" s="103"/>
      <c r="W391" s="103"/>
      <c r="X391" s="103"/>
      <c r="Y391" s="103"/>
      <c r="Z391" s="103"/>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92"/>
      <c r="F392" s="87">
        <v>3</v>
      </c>
      <c r="G392" s="121"/>
      <c r="H392" s="146"/>
      <c r="I392" s="148"/>
      <c r="J392" s="147"/>
      <c r="K392" s="69" t="str">
        <f>IF(A25stdlife="n/a","n/a",IF(K$3&gt;(A25stdlife+$F392),(Input!$J$235*(1+vanilla3)^0.5)-SUM($J392:J392),(Input!$J$235*(1+vanilla3)^0.5)/A25stdlife))</f>
        <v>n/a</v>
      </c>
      <c r="L392" s="69" t="str">
        <f>IF(A25stdlife="n/a","n/a",IF(L$3&gt;(A25stdlife+$F392),(Input!$J$235*(1+vanilla3)^0.5)-SUM($J392:K392),(Input!$J$235*(1+vanilla3)^0.5)/A25stdlife))</f>
        <v>n/a</v>
      </c>
      <c r="M392" s="69" t="str">
        <f>IF(A25stdlife="n/a","n/a",IF(M$3&gt;(A25stdlife+$F392),(Input!$J$235*(1+vanilla3)^0.5)-SUM($J392:L392),(Input!$J$235*(1+vanilla3)^0.5)/A25stdlife))</f>
        <v>n/a</v>
      </c>
      <c r="N392" s="69" t="str">
        <f>IF(A25stdlife="n/a","n/a",IF(N$3&gt;(A25stdlife+$F392),(Input!$J$235*(1+vanilla3)^0.5)-SUM($J392:M392),(Input!$J$235*(1+vanilla3)^0.5)/A25stdlife))</f>
        <v>n/a</v>
      </c>
      <c r="O392" s="69" t="str">
        <f>IF(A25stdlife="n/a","n/a",IF(O$3&gt;(A25stdlife+$F392),(Input!$J$235*(1+vanilla3)^0.5)-SUM($J392:N392),(Input!$J$235*(1+vanilla3)^0.5)/A25stdlife))</f>
        <v>n/a</v>
      </c>
      <c r="P392" s="69" t="str">
        <f>IF(A25stdlife="n/a","n/a",IF(P$3&gt;(A25stdlife+$F392),(Input!$J$235*(1+vanilla3)^0.5)-SUM($J392:O392),(Input!$J$235*(1+vanilla3)^0.5)/A25stdlife))</f>
        <v>n/a</v>
      </c>
      <c r="Q392" s="69" t="str">
        <f>IF(A25stdlife="n/a","n/a",IF(Q$3&gt;(A25stdlife+$F392),(Input!$J$235*(1+vanilla3)^0.5)-SUM($J392:P392),(Input!$J$235*(1+vanilla3)^0.5)/A25stdlife))</f>
        <v>n/a</v>
      </c>
      <c r="R392" s="69"/>
      <c r="S392" s="103"/>
      <c r="T392" s="103"/>
      <c r="U392" s="103"/>
      <c r="V392" s="103"/>
      <c r="W392" s="103"/>
      <c r="X392" s="103"/>
      <c r="Y392" s="103"/>
      <c r="Z392" s="103"/>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92"/>
      <c r="F393" s="87">
        <v>4</v>
      </c>
      <c r="G393" s="121"/>
      <c r="H393" s="146"/>
      <c r="I393" s="148"/>
      <c r="J393" s="148"/>
      <c r="K393" s="147"/>
      <c r="L393" s="69" t="str">
        <f>IF(A25stdlife="n/a","n/a",IF(L$3&gt;(A25stdlife+$F393),(Input!$K$235*(1+vanilla4)^0.5)-SUM($K393:K393),(Input!$K$235*(1+vanilla4)^0.5)/A25stdlife))</f>
        <v>n/a</v>
      </c>
      <c r="M393" s="69" t="str">
        <f>IF(A25stdlife="n/a","n/a",IF(M$3&gt;(A25stdlife+$F393),(Input!$K$235*(1+vanilla4)^0.5)-SUM($K393:L393),(Input!$K$235*(1+vanilla4)^0.5)/A25stdlife))</f>
        <v>n/a</v>
      </c>
      <c r="N393" s="69" t="str">
        <f>IF(A25stdlife="n/a","n/a",IF(N$3&gt;(A25stdlife+$F393),(Input!$K$235*(1+vanilla4)^0.5)-SUM($K393:M393),(Input!$K$235*(1+vanilla4)^0.5)/A25stdlife))</f>
        <v>n/a</v>
      </c>
      <c r="O393" s="69" t="str">
        <f>IF(A25stdlife="n/a","n/a",IF(O$3&gt;(A25stdlife+$F393),(Input!$K$235*(1+vanilla4)^0.5)-SUM($K393:N393),(Input!$K$235*(1+vanilla4)^0.5)/A25stdlife))</f>
        <v>n/a</v>
      </c>
      <c r="P393" s="69" t="str">
        <f>IF(A25stdlife="n/a","n/a",IF(P$3&gt;(A25stdlife+$F393),(Input!$K$235*(1+vanilla4)^0.5)-SUM($K393:O393),(Input!$K$235*(1+vanilla4)^0.5)/A25stdlife))</f>
        <v>n/a</v>
      </c>
      <c r="Q393" s="69" t="str">
        <f>IF(A25stdlife="n/a","n/a",IF(Q$3&gt;(A25stdlife+$F393),(Input!$K$235*(1+vanilla4)^0.5)-SUM($K393:P393),(Input!$K$235*(1+vanilla4)^0.5)/A25stdlife))</f>
        <v>n/a</v>
      </c>
      <c r="R393" s="69"/>
      <c r="S393" s="103"/>
      <c r="T393" s="103"/>
      <c r="U393" s="103"/>
      <c r="V393" s="103"/>
      <c r="W393" s="103"/>
      <c r="X393" s="103"/>
      <c r="Y393" s="103"/>
      <c r="Z393" s="103"/>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9"/>
      <c r="B394" s="9"/>
      <c r="C394" s="9"/>
      <c r="D394" s="26"/>
      <c r="E394" s="392"/>
      <c r="F394" s="87">
        <v>5</v>
      </c>
      <c r="G394" s="27"/>
      <c r="H394" s="146"/>
      <c r="I394" s="148"/>
      <c r="J394" s="148"/>
      <c r="K394" s="148"/>
      <c r="L394" s="147"/>
      <c r="M394" s="69" t="str">
        <f>IF(A25stdlife="n/a","n/a",IF(M$3&gt;(A25stdlife+$F394),(Input!$L$235*(1+vanilla5)^0.5)-SUM($L394:L394),(Input!$L$235*(1+vanilla5)^0.5)/A25stdlife))</f>
        <v>n/a</v>
      </c>
      <c r="N394" s="69" t="str">
        <f>IF(A25stdlife="n/a","n/a",IF(N$3&gt;(A25stdlife+$F394),(Input!$L$235*(1+vanilla5)^0.5)-SUM($L394:M394),(Input!$L$235*(1+vanilla5)^0.5)/A25stdlife))</f>
        <v>n/a</v>
      </c>
      <c r="O394" s="69" t="str">
        <f>IF(A25stdlife="n/a","n/a",IF(O$3&gt;(A25stdlife+$F394),(Input!$L$235*(1+vanilla5)^0.5)-SUM($L394:N394),(Input!$L$235*(1+vanilla5)^0.5)/A25stdlife))</f>
        <v>n/a</v>
      </c>
      <c r="P394" s="69" t="str">
        <f>IF(A25stdlife="n/a","n/a",IF(P$3&gt;(A25stdlife+$F394),(Input!$L$235*(1+vanilla5)^0.5)-SUM($L394:O394),(Input!$L$235*(1+vanilla5)^0.5)/A25stdlife))</f>
        <v>n/a</v>
      </c>
      <c r="Q394" s="69" t="str">
        <f>IF(A25stdlife="n/a","n/a",IF(Q$3&gt;(A25stdlife+$F394),(Input!$L$235*(1+vanilla5)^0.5)-SUM($L394:P394),(Input!$L$235*(1+vanilla5)^0.5)/A25stdlife))</f>
        <v>n/a</v>
      </c>
      <c r="R394" s="69"/>
      <c r="S394" s="103"/>
      <c r="T394" s="103"/>
      <c r="U394" s="103"/>
      <c r="V394" s="103"/>
      <c r="W394" s="103"/>
      <c r="X394" s="103"/>
      <c r="Y394" s="103"/>
      <c r="Z394" s="103"/>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103"/>
      <c r="BE394" s="103"/>
      <c r="BF394" s="103"/>
      <c r="BG394" s="103"/>
      <c r="BH394" s="103"/>
      <c r="BI394" s="103"/>
      <c r="BJ394" s="103"/>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9"/>
      <c r="D395" s="26"/>
      <c r="E395" s="392"/>
      <c r="F395" s="87">
        <v>6</v>
      </c>
      <c r="G395" s="27"/>
      <c r="H395" s="146"/>
      <c r="I395" s="148"/>
      <c r="J395" s="148"/>
      <c r="K395" s="148"/>
      <c r="L395" s="148"/>
      <c r="M395" s="147"/>
      <c r="N395" s="69" t="str">
        <f>IF(A25stdlife="n/a","n/a",IF(N$3&gt;(A25stdlife+$F395),(Input!$M$235*(1+vanilla6)^0.5)-SUM($M395:M395),(Input!$M$235*(1+vanilla6)^0.5)/A25stdlife))</f>
        <v>n/a</v>
      </c>
      <c r="O395" s="69" t="str">
        <f>IF(A25stdlife="n/a","n/a",IF(O$3&gt;(A25stdlife+$F395),(Input!$M$235*(1+vanilla6)^0.5)-SUM($M395:N395),(Input!$M$235*(1+vanilla6)^0.5)/A25stdlife))</f>
        <v>n/a</v>
      </c>
      <c r="P395" s="69" t="str">
        <f>IF(A25stdlife="n/a","n/a",IF(P$3&gt;(A25stdlife+$F395),(Input!$M$235*(1+vanilla6)^0.5)-SUM($M395:O395),(Input!$M$235*(1+vanilla6)^0.5)/A25stdlife))</f>
        <v>n/a</v>
      </c>
      <c r="Q395" s="69" t="str">
        <f>IF(A25stdlife="n/a","n/a",IF(Q$3&gt;(A25stdlife+$F395),(Input!$M$235*(1+vanilla6)^0.5)-SUM($M395:P395),(Input!$M$235*(1+vanilla6)^0.5)/A25stdlife))</f>
        <v>n/a</v>
      </c>
      <c r="R395" s="69"/>
      <c r="S395" s="103"/>
      <c r="T395" s="103"/>
      <c r="U395" s="103"/>
      <c r="V395" s="103"/>
      <c r="W395" s="103"/>
      <c r="X395" s="103"/>
      <c r="Y395" s="103"/>
      <c r="Z395" s="103"/>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c r="A396" s="9"/>
      <c r="B396" s="9"/>
      <c r="C396" s="9"/>
      <c r="D396" s="26"/>
      <c r="E396" s="392"/>
      <c r="F396" s="87">
        <v>7</v>
      </c>
      <c r="G396" s="27"/>
      <c r="H396" s="146"/>
      <c r="I396" s="148"/>
      <c r="J396" s="148"/>
      <c r="K396" s="148"/>
      <c r="L396" s="148"/>
      <c r="M396" s="148"/>
      <c r="N396" s="147"/>
      <c r="O396" s="69" t="str">
        <f>IF(A25stdlife="n/a","n/a",IF(O$3&gt;(A25stdlife+$F396),(Input!N$235*(1+vanilla7)^0.5)-SUM($N396:N396),(Input!$N$235*(1+vanilla7)^0.5)/A25stdlife))</f>
        <v>n/a</v>
      </c>
      <c r="P396" s="69" t="str">
        <f>IF(A25stdlife="n/a","n/a",IF(P$3&gt;(A25stdlife+$F396),(Input!O$235*(1+vanilla7)^0.5)-SUM($N396:O396),(Input!$N$235*(1+vanilla7)^0.5)/A25stdlife))</f>
        <v>n/a</v>
      </c>
      <c r="Q396" s="69" t="str">
        <f>IF(A25stdlife="n/a","n/a",IF(Q$3&gt;(A25stdlife+$F396),(Input!P$235*(1+vanilla7)^0.5)-SUM($N396:P396),(Input!$N$235*(1+vanilla7)^0.5)/A25stdlife))</f>
        <v>n/a</v>
      </c>
      <c r="R396" s="69"/>
      <c r="S396" s="103"/>
      <c r="T396" s="103"/>
      <c r="U396" s="103"/>
      <c r="V396" s="103"/>
      <c r="W396" s="103"/>
      <c r="X396" s="103"/>
      <c r="Y396" s="103"/>
      <c r="Z396" s="103"/>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92"/>
      <c r="F397" s="87">
        <v>8</v>
      </c>
      <c r="G397" s="27"/>
      <c r="H397" s="146"/>
      <c r="I397" s="148"/>
      <c r="J397" s="148"/>
      <c r="K397" s="148"/>
      <c r="L397" s="148"/>
      <c r="M397" s="148"/>
      <c r="N397" s="148"/>
      <c r="O397" s="147"/>
      <c r="P397" s="69" t="str">
        <f>IF(A25stdlife="n/a","n/a",IF(P$3&gt;(A25stdlife+$F397),(Input!$O$235*(1+vanilla8)^0.5)-SUM($O397:O397),(Input!$O$235*(1+vanilla8)^0.5)/A25stdlife))</f>
        <v>n/a</v>
      </c>
      <c r="Q397" s="69" t="str">
        <f>IF(A25stdlife="n/a","n/a",IF(Q$3&gt;(A25stdlife+$F397),(Input!$O$235*(1+vanilla8)^0.5)-SUM($O397:P397),(Input!$O$235*(1+vanilla8)^0.5)/A25stdlife))</f>
        <v>n/a</v>
      </c>
      <c r="R397" s="69"/>
      <c r="S397" s="103"/>
      <c r="T397" s="103"/>
      <c r="U397" s="103"/>
      <c r="V397" s="103"/>
      <c r="W397" s="103"/>
      <c r="X397" s="103"/>
      <c r="Y397" s="103"/>
      <c r="Z397" s="103"/>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92"/>
      <c r="F398" s="87">
        <v>9</v>
      </c>
      <c r="G398" s="27"/>
      <c r="H398" s="146"/>
      <c r="I398" s="148"/>
      <c r="J398" s="148"/>
      <c r="K398" s="148"/>
      <c r="L398" s="148"/>
      <c r="M398" s="148"/>
      <c r="N398" s="148"/>
      <c r="O398" s="148"/>
      <c r="P398" s="147"/>
      <c r="Q398" s="69" t="str">
        <f>IF(A25stdlife="n/a","n/a",IF(Q$3&gt;(A25stdlife+$F398),(Input!$P$235*(1+vanilla9)^0.5)-SUM($P398:P398),(Input!$P$235*(1+vanilla9)^0.5)/A25stdlife))</f>
        <v>n/a</v>
      </c>
      <c r="R398" s="69"/>
      <c r="S398" s="103"/>
      <c r="T398" s="103"/>
      <c r="U398" s="103"/>
      <c r="V398" s="103"/>
      <c r="W398" s="103"/>
      <c r="X398" s="103"/>
      <c r="Y398" s="103"/>
      <c r="Z398" s="103"/>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92"/>
      <c r="F399" s="88">
        <v>10</v>
      </c>
      <c r="G399" s="27"/>
      <c r="H399" s="146"/>
      <c r="I399" s="148"/>
      <c r="J399" s="148"/>
      <c r="K399" s="148"/>
      <c r="L399" s="148"/>
      <c r="M399" s="148"/>
      <c r="N399" s="148"/>
      <c r="O399" s="148"/>
      <c r="P399" s="148"/>
      <c r="Q399" s="147"/>
      <c r="R399" s="69"/>
      <c r="S399" s="103"/>
      <c r="T399" s="103"/>
      <c r="U399" s="103"/>
      <c r="V399" s="103"/>
      <c r="W399" s="103"/>
      <c r="X399" s="103"/>
      <c r="Y399" s="103"/>
      <c r="Z399" s="103"/>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ollapsed="1">
      <c r="A400" s="9"/>
      <c r="B400" s="9"/>
      <c r="C400" s="9"/>
      <c r="D400" s="271">
        <f>Asset25</f>
        <v>0</v>
      </c>
      <c r="E400" s="9"/>
      <c r="F400" s="9"/>
      <c r="G400" s="121"/>
      <c r="H400" s="162">
        <f t="shared" ref="H400:M400" si="28">-SUM(H388:H399)</f>
        <v>0</v>
      </c>
      <c r="I400" s="162">
        <f t="shared" si="28"/>
        <v>0</v>
      </c>
      <c r="J400" s="162">
        <f t="shared" si="28"/>
        <v>0</v>
      </c>
      <c r="K400" s="162">
        <f t="shared" si="28"/>
        <v>0</v>
      </c>
      <c r="L400" s="162">
        <f t="shared" si="28"/>
        <v>0</v>
      </c>
      <c r="M400" s="162">
        <f t="shared" si="28"/>
        <v>0</v>
      </c>
      <c r="N400" s="69">
        <f>IF(COUNT($H400:M400)&gt;=Input!$Y$7,0, -SUM(N388:N399))</f>
        <v>0</v>
      </c>
      <c r="O400" s="69">
        <f>IF(COUNT($H400:N400)&gt;=Input!$Y$7,0, -SUM(O388:O399))</f>
        <v>0</v>
      </c>
      <c r="P400" s="69">
        <f>IF(COUNT($H400:O400)&gt;=Input!$Y$7,0, -SUM(P388:P399))</f>
        <v>0</v>
      </c>
      <c r="Q400" s="69">
        <f>IF(COUNT($H400:P400)&gt;=Input!$Y$7,0, -SUM(Q388:Q399))</f>
        <v>0</v>
      </c>
      <c r="R400" s="67"/>
      <c r="S400" s="105"/>
      <c r="T400" s="105"/>
      <c r="U400" s="105"/>
      <c r="V400" s="105"/>
      <c r="W400" s="105"/>
      <c r="X400" s="105"/>
      <c r="Y400" s="105"/>
      <c r="Z400" s="105"/>
      <c r="AA400" s="233"/>
      <c r="AB400" s="233"/>
      <c r="AC400" s="233"/>
      <c r="AD400" s="233"/>
      <c r="AE400" s="233"/>
      <c r="AF400" s="233"/>
      <c r="AG400" s="233"/>
      <c r="AH400" s="233"/>
      <c r="AI400" s="233"/>
      <c r="AJ400" s="233"/>
      <c r="AK400" s="233"/>
      <c r="AL400" s="233"/>
      <c r="AM400" s="233"/>
      <c r="AN400" s="233"/>
      <c r="AO400" s="233"/>
      <c r="AP400" s="233"/>
      <c r="AQ400" s="233"/>
      <c r="AR400" s="233"/>
      <c r="AS400" s="233"/>
      <c r="AT400" s="233"/>
      <c r="AU400" s="233"/>
      <c r="AV400" s="233"/>
      <c r="AW400" s="233"/>
      <c r="AX400" s="233"/>
      <c r="AY400" s="233"/>
      <c r="AZ400" s="233"/>
      <c r="BA400" s="233"/>
      <c r="BB400" s="233"/>
      <c r="BC400" s="233"/>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272">
        <f>Asset26</f>
        <v>0</v>
      </c>
      <c r="D401" s="158"/>
      <c r="E401" s="32" t="s">
        <v>26</v>
      </c>
      <c r="F401" s="31"/>
      <c r="G401" s="177"/>
      <c r="H401" s="68" t="str">
        <f>IF(H$3&gt;A26remlife,A26value-$G$655-SUM($G401:G401),IF(A26remlife="N/A","n/a",(A26value-$G$655)/A26remlife))</f>
        <v>n/a</v>
      </c>
      <c r="I401" s="68" t="str">
        <f>IF(I$3&gt;A26remlife,A26value-$G$655-SUM($G401:H401),IF(A26remlife="N/A","n/a",(A26value-$G$655)/A26remlife))</f>
        <v>n/a</v>
      </c>
      <c r="J401" s="68" t="str">
        <f>IF(J$3&gt;A26remlife,A26value-$G$655-SUM($G401:I401),IF(A26remlife="N/A","n/a",(A26value-$G$655)/A26remlife))</f>
        <v>n/a</v>
      </c>
      <c r="K401" s="68" t="str">
        <f>IF(K$3&gt;A26remlife,A26value-$G$655-SUM($G401:J401),IF(A26remlife="N/A","n/a",(A26value-$G$655)/A26remlife))</f>
        <v>n/a</v>
      </c>
      <c r="L401" s="68" t="str">
        <f>IF(L$3&gt;A26remlife,A26value-$G$655-SUM($G401:K401),IF(A26remlife="N/A","n/a",(A26value-$G$655)/A26remlife))</f>
        <v>n/a</v>
      </c>
      <c r="M401" s="68" t="str">
        <f>IF(M$3&gt;A26remlife,A26value-$G$655-SUM($G401:L401),IF(A26remlife="N/A","n/a",(A26value-$G$655)/A26remlife))</f>
        <v>n/a</v>
      </c>
      <c r="N401" s="68" t="str">
        <f>IF(N$3&gt;A26remlife,A26value-$G$655-SUM($G401:M401),IF(A26remlife="N/A","n/a",(A26value-$G$655)/A26remlife))</f>
        <v>n/a</v>
      </c>
      <c r="O401" s="68" t="str">
        <f>IF(O$3&gt;A26remlife,A26value-$G$655-SUM($G401:N401),IF(A26remlife="N/A","n/a",(A26value-$G$655)/A26remlife))</f>
        <v>n/a</v>
      </c>
      <c r="P401" s="68" t="str">
        <f>IF(P$3&gt;A26remlife,A26value-$G$655-SUM($G401:O401),IF(A26remlife="N/A","n/a",(A26value-$G$655)/A26remlife))</f>
        <v>n/a</v>
      </c>
      <c r="Q401" s="68" t="str">
        <f>IF(Q$3&gt;A26remlife,A26value-$G$655-SUM($G401:P401),IF(A26remlife="N/A","n/a",(A26value-$G$655)/A26remlife))</f>
        <v>n/a</v>
      </c>
      <c r="R401" s="68"/>
      <c r="S401" s="103"/>
      <c r="T401" s="103"/>
      <c r="U401" s="103"/>
      <c r="V401" s="103"/>
      <c r="W401" s="103"/>
      <c r="X401" s="103"/>
      <c r="Y401" s="103"/>
      <c r="Z401" s="103"/>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9"/>
      <c r="D402" s="26"/>
      <c r="E402" s="391" t="s">
        <v>82</v>
      </c>
      <c r="F402" s="87"/>
      <c r="G402" s="121"/>
      <c r="H402" s="69"/>
      <c r="I402" s="69"/>
      <c r="J402" s="69"/>
      <c r="K402" s="69"/>
      <c r="L402" s="69"/>
      <c r="M402" s="160"/>
      <c r="N402" s="112"/>
      <c r="O402" s="69"/>
      <c r="P402" s="69"/>
      <c r="Q402" s="69"/>
      <c r="R402" s="69"/>
      <c r="S402" s="103"/>
      <c r="T402" s="103"/>
      <c r="U402" s="103"/>
      <c r="V402" s="103"/>
      <c r="W402" s="103"/>
      <c r="X402" s="103"/>
      <c r="Y402" s="103"/>
      <c r="Z402" s="103"/>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92"/>
      <c r="F403" s="87">
        <v>1</v>
      </c>
      <c r="G403" s="121"/>
      <c r="H403" s="145"/>
      <c r="I403" s="69" t="str">
        <f>IF(A26stdlife="n/a","n/a",IF(I$3&gt;(A26stdlife+$F403),(Input!$H$236*(1+vanilla1)^0.5)-SUM($H403:H403),(Input!$H$236*(1+vanilla1)^0.5)/A26stdlife))</f>
        <v>n/a</v>
      </c>
      <c r="J403" s="69" t="str">
        <f>IF(A26stdlife="n/a","n/a",IF(J$3&gt;(A26stdlife+$F403),(Input!$H$236*(1+vanilla1)^0.5)-SUM($H403:I403),(Input!$H$236*(1+vanilla1)^0.5)/A26stdlife))</f>
        <v>n/a</v>
      </c>
      <c r="K403" s="69" t="str">
        <f>IF(A26stdlife="n/a","n/a",IF(K$3&gt;(A26stdlife+$F403),(Input!$H$236*(1+vanilla1)^0.5)-SUM($H403:J403),(Input!$H$236*(1+vanilla1)^0.5)/A26stdlife))</f>
        <v>n/a</v>
      </c>
      <c r="L403" s="69" t="str">
        <f>IF(A26stdlife="n/a","n/a",IF(L$3&gt;(A26stdlife+$F403),(Input!$H$236*(1+vanilla1)^0.5)-SUM($H403:K403),(Input!$H$236*(1+vanilla1)^0.5)/A26stdlife))</f>
        <v>n/a</v>
      </c>
      <c r="M403" s="69" t="str">
        <f>IF(A26stdlife="n/a","n/a",IF(M$3&gt;(A26stdlife+$F403),(Input!$H$236*(1+vanilla1)^0.5)-SUM($H403:L403),(Input!$H$236*(1+vanilla1)^0.5)/A26stdlife))</f>
        <v>n/a</v>
      </c>
      <c r="N403" s="69" t="str">
        <f>IF(A26stdlife="n/a","n/a",IF(N$3&gt;(A26stdlife+$F403),(Input!$H$236*(1+vanilla1)^0.5)-SUM($H403:M403),(Input!$H$236*(1+vanilla1)^0.5)/A26stdlife))</f>
        <v>n/a</v>
      </c>
      <c r="O403" s="69" t="str">
        <f>IF(A26stdlife="n/a","n/a",IF(O$3&gt;(A26stdlife+$F403),(Input!$H$236*(1+vanilla1)^0.5)-SUM($H403:N403),(Input!$H$236*(1+vanilla1)^0.5)/A26stdlife))</f>
        <v>n/a</v>
      </c>
      <c r="P403" s="69" t="str">
        <f>IF(A26stdlife="n/a","n/a",IF(P$3&gt;(A26stdlife+$F403),(Input!$H$236*(1+vanilla1)^0.5)-SUM($H403:O403),(Input!$H$236*(1+vanilla1)^0.5)/A26stdlife))</f>
        <v>n/a</v>
      </c>
      <c r="Q403" s="69" t="str">
        <f>IF(A26stdlife="n/a","n/a",IF(Q$3&gt;(A26stdlife+$F403),(Input!$H$236*(1+vanilla1)^0.5)-SUM($H403:P403),(Input!$H$236*(1+vanilla1)^0.5)/A26stdlife))</f>
        <v>n/a</v>
      </c>
      <c r="R403" s="69"/>
      <c r="S403" s="103"/>
      <c r="T403" s="103"/>
      <c r="U403" s="103"/>
      <c r="V403" s="103"/>
      <c r="W403" s="103"/>
      <c r="X403" s="103"/>
      <c r="Y403" s="103"/>
      <c r="Z403" s="103"/>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92"/>
      <c r="F404" s="87">
        <v>2</v>
      </c>
      <c r="G404" s="121"/>
      <c r="H404" s="146"/>
      <c r="I404" s="147"/>
      <c r="J404" s="69" t="str">
        <f>IF(A26stdlife="n/a","n/a",IF(J$3&gt;(A26stdlife+$F404),(Input!$I$236*(1+vanilla2)^0.5)-SUM($I404:I404),(Input!$I$236*(1+vanilla2)^0.5)/A26stdlife))</f>
        <v>n/a</v>
      </c>
      <c r="K404" s="69" t="str">
        <f>IF(A26stdlife="n/a","n/a",IF(K$3&gt;(A26stdlife+$F404),(Input!$I$236*(1+vanilla2)^0.5)-SUM($I404:J404),(Input!$I$236*(1+vanilla2)^0.5)/A26stdlife))</f>
        <v>n/a</v>
      </c>
      <c r="L404" s="69" t="str">
        <f>IF(A26stdlife="n/a","n/a",IF(L$3&gt;(A26stdlife+$F404),(Input!$I$236*(1+vanilla2)^0.5)-SUM($I404:K404),(Input!$I$236*(1+vanilla2)^0.5)/A26stdlife))</f>
        <v>n/a</v>
      </c>
      <c r="M404" s="69" t="str">
        <f>IF(A26stdlife="n/a","n/a",IF(M$3&gt;(A26stdlife+$F404),(Input!$I$236*(1+vanilla2)^0.5)-SUM($I404:L404),(Input!$I$236*(1+vanilla2)^0.5)/A26stdlife))</f>
        <v>n/a</v>
      </c>
      <c r="N404" s="69" t="str">
        <f>IF(A26stdlife="n/a","n/a",IF(N$3&gt;(A26stdlife+$F404),(Input!$I$236*(1+vanilla2)^0.5)-SUM($I404:M404),(Input!$I$236*(1+vanilla2)^0.5)/A26stdlife))</f>
        <v>n/a</v>
      </c>
      <c r="O404" s="69" t="str">
        <f>IF(A26stdlife="n/a","n/a",IF(O$3&gt;(A26stdlife+$F404),(Input!$I$236*(1+vanilla2)^0.5)-SUM($I404:N404),(Input!$I$236*(1+vanilla2)^0.5)/A26stdlife))</f>
        <v>n/a</v>
      </c>
      <c r="P404" s="69" t="str">
        <f>IF(A26stdlife="n/a","n/a",IF(P$3&gt;(A26stdlife+$F404),(Input!$I$236*(1+vanilla2)^0.5)-SUM($I404:O404),(Input!$I$236*(1+vanilla2)^0.5)/A26stdlife))</f>
        <v>n/a</v>
      </c>
      <c r="Q404" s="69" t="str">
        <f>IF(A26stdlife="n/a","n/a",IF(Q$3&gt;(A26stdlife+$F404),(Input!$I$236*(1+vanilla2)^0.5)-SUM($I404:P404),(Input!$I$236*(1+vanilla2)^0.5)/A26stdlife))</f>
        <v>n/a</v>
      </c>
      <c r="R404" s="69"/>
      <c r="S404" s="103"/>
      <c r="T404" s="103"/>
      <c r="U404" s="103"/>
      <c r="V404" s="103"/>
      <c r="W404" s="103"/>
      <c r="X404" s="103"/>
      <c r="Y404" s="103"/>
      <c r="Z404" s="103"/>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92"/>
      <c r="F405" s="87">
        <v>3</v>
      </c>
      <c r="G405" s="121"/>
      <c r="H405" s="146"/>
      <c r="I405" s="148"/>
      <c r="J405" s="147"/>
      <c r="K405" s="69" t="str">
        <f>IF(A26stdlife="n/a","n/a",IF(K$3&gt;(A26stdlife+$F405),(Input!$J$236*(1+vanilla3)^0.5)-SUM($J405:J405),(Input!$J$236*(1+vanilla3)^0.5)/A26stdlife))</f>
        <v>n/a</v>
      </c>
      <c r="L405" s="69" t="str">
        <f>IF(A26stdlife="n/a","n/a",IF(L$3&gt;(A26stdlife+$F405),(Input!$J$236*(1+vanilla3)^0.5)-SUM($J405:K405),(Input!$J$236*(1+vanilla3)^0.5)/A26stdlife))</f>
        <v>n/a</v>
      </c>
      <c r="M405" s="69" t="str">
        <f>IF(A26stdlife="n/a","n/a",IF(M$3&gt;(A26stdlife+$F405),(Input!$J$236*(1+vanilla3)^0.5)-SUM($J405:L405),(Input!$J$236*(1+vanilla3)^0.5)/A26stdlife))</f>
        <v>n/a</v>
      </c>
      <c r="N405" s="69" t="str">
        <f>IF(A26stdlife="n/a","n/a",IF(N$3&gt;(A26stdlife+$F405),(Input!$J$236*(1+vanilla3)^0.5)-SUM($J405:M405),(Input!$J$236*(1+vanilla3)^0.5)/A26stdlife))</f>
        <v>n/a</v>
      </c>
      <c r="O405" s="69" t="str">
        <f>IF(A26stdlife="n/a","n/a",IF(O$3&gt;(A26stdlife+$F405),(Input!$J$236*(1+vanilla3)^0.5)-SUM($J405:N405),(Input!$J$236*(1+vanilla3)^0.5)/A26stdlife))</f>
        <v>n/a</v>
      </c>
      <c r="P405" s="69" t="str">
        <f>IF(A26stdlife="n/a","n/a",IF(P$3&gt;(A26stdlife+$F405),(Input!$J$236*(1+vanilla3)^0.5)-SUM($J405:O405),(Input!$J$236*(1+vanilla3)^0.5)/A26stdlife))</f>
        <v>n/a</v>
      </c>
      <c r="Q405" s="69" t="str">
        <f>IF(A26stdlife="n/a","n/a",IF(Q$3&gt;(A26stdlife+$F405),(Input!$J$236*(1+vanilla3)^0.5)-SUM($J405:P405),(Input!$J$236*(1+vanilla3)^0.5)/A26stdlife))</f>
        <v>n/a</v>
      </c>
      <c r="R405" s="69"/>
      <c r="S405" s="103"/>
      <c r="T405" s="103"/>
      <c r="U405" s="103"/>
      <c r="V405" s="103"/>
      <c r="W405" s="103"/>
      <c r="X405" s="103"/>
      <c r="Y405" s="103"/>
      <c r="Z405" s="103"/>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92"/>
      <c r="F406" s="87">
        <v>4</v>
      </c>
      <c r="G406" s="121"/>
      <c r="H406" s="146"/>
      <c r="I406" s="148"/>
      <c r="J406" s="148"/>
      <c r="K406" s="147"/>
      <c r="L406" s="69" t="str">
        <f>IF(A26stdlife="n/a","n/a",IF(L$3&gt;(A26stdlife+$F406),(Input!$K$236*(1+vanilla4)^0.5)-SUM($K406:K406),(Input!$K$236*(1+vanilla4)^0.5)/A26stdlife))</f>
        <v>n/a</v>
      </c>
      <c r="M406" s="69" t="str">
        <f>IF(A26stdlife="n/a","n/a",IF(M$3&gt;(A26stdlife+$F406),(Input!$K$236*(1+vanilla4)^0.5)-SUM($K406:L406),(Input!$K$236*(1+vanilla4)^0.5)/A26stdlife))</f>
        <v>n/a</v>
      </c>
      <c r="N406" s="69" t="str">
        <f>IF(A26stdlife="n/a","n/a",IF(N$3&gt;(A26stdlife+$F406),(Input!$K$236*(1+vanilla4)^0.5)-SUM($K406:M406),(Input!$K$236*(1+vanilla4)^0.5)/A26stdlife))</f>
        <v>n/a</v>
      </c>
      <c r="O406" s="69" t="str">
        <f>IF(A26stdlife="n/a","n/a",IF(O$3&gt;(A26stdlife+$F406),(Input!$K$236*(1+vanilla4)^0.5)-SUM($K406:N406),(Input!$K$236*(1+vanilla4)^0.5)/A26stdlife))</f>
        <v>n/a</v>
      </c>
      <c r="P406" s="69" t="str">
        <f>IF(A26stdlife="n/a","n/a",IF(P$3&gt;(A26stdlife+$F406),(Input!$K$236*(1+vanilla4)^0.5)-SUM($K406:O406),(Input!$K$236*(1+vanilla4)^0.5)/A26stdlife))</f>
        <v>n/a</v>
      </c>
      <c r="Q406" s="69" t="str">
        <f>IF(A26stdlife="n/a","n/a",IF(Q$3&gt;(A26stdlife+$F406),(Input!$K$236*(1+vanilla4)^0.5)-SUM($K406:P406),(Input!$K$236*(1+vanilla4)^0.5)/A26stdlife))</f>
        <v>n/a</v>
      </c>
      <c r="R406" s="69"/>
      <c r="S406" s="103"/>
      <c r="T406" s="103"/>
      <c r="U406" s="103"/>
      <c r="V406" s="103"/>
      <c r="W406" s="103"/>
      <c r="X406" s="103"/>
      <c r="Y406" s="103"/>
      <c r="Z406" s="103"/>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9"/>
      <c r="B407" s="9"/>
      <c r="C407" s="9"/>
      <c r="D407" s="26"/>
      <c r="E407" s="392"/>
      <c r="F407" s="87">
        <v>5</v>
      </c>
      <c r="G407" s="27"/>
      <c r="H407" s="146"/>
      <c r="I407" s="148"/>
      <c r="J407" s="148"/>
      <c r="K407" s="148"/>
      <c r="L407" s="147"/>
      <c r="M407" s="69" t="str">
        <f>IF(A26stdlife="n/a","n/a",IF(M$3&gt;(A26stdlife+$F407),(Input!$L$236*(1+vanilla5)^0.5)-SUM($L407:L407),(Input!$L$236*(1+vanilla5)^0.5)/A26stdlife))</f>
        <v>n/a</v>
      </c>
      <c r="N407" s="69" t="str">
        <f>IF(A26stdlife="n/a","n/a",IF(N$3&gt;(A26stdlife+$F407),(Input!$L$236*(1+vanilla5)^0.5)-SUM($L407:M407),(Input!$L$236*(1+vanilla5)^0.5)/A26stdlife))</f>
        <v>n/a</v>
      </c>
      <c r="O407" s="69" t="str">
        <f>IF(A26stdlife="n/a","n/a",IF(O$3&gt;(A26stdlife+$F407),(Input!$L$236*(1+vanilla5)^0.5)-SUM($L407:N407),(Input!$L$236*(1+vanilla5)^0.5)/A26stdlife))</f>
        <v>n/a</v>
      </c>
      <c r="P407" s="69" t="str">
        <f>IF(A26stdlife="n/a","n/a",IF(P$3&gt;(A26stdlife+$F407),(Input!$L$236*(1+vanilla5)^0.5)-SUM($L407:O407),(Input!$L$236*(1+vanilla5)^0.5)/A26stdlife))</f>
        <v>n/a</v>
      </c>
      <c r="Q407" s="69" t="str">
        <f>IF(A26stdlife="n/a","n/a",IF(Q$3&gt;(A26stdlife+$F407),(Input!$L$236*(1+vanilla5)^0.5)-SUM($L407:P407),(Input!$L$236*(1+vanilla5)^0.5)/A26stdlife))</f>
        <v>n/a</v>
      </c>
      <c r="R407" s="69"/>
      <c r="S407" s="103"/>
      <c r="T407" s="103"/>
      <c r="U407" s="103"/>
      <c r="V407" s="103"/>
      <c r="W407" s="103"/>
      <c r="X407" s="103"/>
      <c r="Y407" s="103"/>
      <c r="Z407" s="103"/>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103"/>
      <c r="BE407" s="103"/>
      <c r="BF407" s="103"/>
      <c r="BG407" s="103"/>
      <c r="BH407" s="103"/>
      <c r="BI407" s="103"/>
      <c r="BJ407" s="103"/>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9"/>
      <c r="D408" s="26"/>
      <c r="E408" s="392"/>
      <c r="F408" s="87">
        <v>6</v>
      </c>
      <c r="G408" s="27"/>
      <c r="H408" s="146"/>
      <c r="I408" s="148"/>
      <c r="J408" s="148"/>
      <c r="K408" s="148"/>
      <c r="L408" s="148"/>
      <c r="M408" s="147"/>
      <c r="N408" s="69" t="str">
        <f>IF(A26stdlife="n/a","n/a",IF(N$3&gt;(A26stdlife+$F408),(Input!$M$236*(1+vanilla6)^0.5)-SUM($M408:M408),(Input!$M$236*(1+vanilla6)^0.5)/A26stdlife))</f>
        <v>n/a</v>
      </c>
      <c r="O408" s="69" t="str">
        <f>IF(A26stdlife="n/a","n/a",IF(O$3&gt;(A26stdlife+$F408),(Input!$M$236*(1+vanilla6)^0.5)-SUM($M408:N408),(Input!$M$236*(1+vanilla6)^0.5)/A26stdlife))</f>
        <v>n/a</v>
      </c>
      <c r="P408" s="69" t="str">
        <f>IF(A26stdlife="n/a","n/a",IF(P$3&gt;(A26stdlife+$F408),(Input!$M$236*(1+vanilla6)^0.5)-SUM($M408:O408),(Input!$M$236*(1+vanilla6)^0.5)/A26stdlife))</f>
        <v>n/a</v>
      </c>
      <c r="Q408" s="69" t="str">
        <f>IF(A26stdlife="n/a","n/a",IF(Q$3&gt;(A26stdlife+$F408),(Input!$M$236*(1+vanilla6)^0.5)-SUM($M408:P408),(Input!$M$236*(1+vanilla6)^0.5)/A26stdlife))</f>
        <v>n/a</v>
      </c>
      <c r="R408" s="69"/>
      <c r="S408" s="103"/>
      <c r="T408" s="103"/>
      <c r="U408" s="103"/>
      <c r="V408" s="103"/>
      <c r="W408" s="103"/>
      <c r="X408" s="103"/>
      <c r="Y408" s="103"/>
      <c r="Z408" s="103"/>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c r="A409" s="9"/>
      <c r="B409" s="9"/>
      <c r="C409" s="9"/>
      <c r="D409" s="26"/>
      <c r="E409" s="392"/>
      <c r="F409" s="87">
        <v>7</v>
      </c>
      <c r="G409" s="27"/>
      <c r="H409" s="146"/>
      <c r="I409" s="148"/>
      <c r="J409" s="148"/>
      <c r="K409" s="148"/>
      <c r="L409" s="148"/>
      <c r="M409" s="148"/>
      <c r="N409" s="147"/>
      <c r="O409" s="69" t="str">
        <f>IF(A26stdlife="n/a","n/a",IF(O$3&gt;(A26stdlife+$F409),(Input!N$236*(1+vanilla7)^0.5)-SUM($N409:N409),(Input!$N$236*(1+vanilla7)^0.5)/A26stdlife))</f>
        <v>n/a</v>
      </c>
      <c r="P409" s="69" t="str">
        <f>IF(A26stdlife="n/a","n/a",IF(P$3&gt;(A26stdlife+$F409),(Input!O$236*(1+vanilla7)^0.5)-SUM($N409:O409),(Input!$N$236*(1+vanilla7)^0.5)/A26stdlife))</f>
        <v>n/a</v>
      </c>
      <c r="Q409" s="69" t="str">
        <f>IF(A26stdlife="n/a","n/a",IF(Q$3&gt;(A26stdlife+$F409),(Input!P$236*(1+vanilla7)^0.5)-SUM($N409:P409),(Input!$N$236*(1+vanilla7)^0.5)/A26stdlife))</f>
        <v>n/a</v>
      </c>
      <c r="R409" s="69"/>
      <c r="S409" s="103"/>
      <c r="T409" s="103"/>
      <c r="U409" s="103"/>
      <c r="V409" s="103"/>
      <c r="W409" s="103"/>
      <c r="X409" s="103"/>
      <c r="Y409" s="103"/>
      <c r="Z409" s="103"/>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92"/>
      <c r="F410" s="87">
        <v>8</v>
      </c>
      <c r="G410" s="27"/>
      <c r="H410" s="146"/>
      <c r="I410" s="148"/>
      <c r="J410" s="148"/>
      <c r="K410" s="148"/>
      <c r="L410" s="148"/>
      <c r="M410" s="148"/>
      <c r="N410" s="148"/>
      <c r="O410" s="147"/>
      <c r="P410" s="69" t="str">
        <f>IF(A26stdlife="n/a","n/a",IF(P$3&gt;(A26stdlife+$F410),(Input!$O$236*(1+vanilla8)^0.5)-SUM($O410:O410),(Input!$O$236*(1+vanilla8)^0.5)/A26stdlife))</f>
        <v>n/a</v>
      </c>
      <c r="Q410" s="69" t="str">
        <f>IF(A26stdlife="n/a","n/a",IF(Q$3&gt;(A26stdlife+$F410),(Input!$O$236*(1+vanilla8)^0.5)-SUM($O410:P410),(Input!$O$236*(1+vanilla8)^0.5)/A26stdlife))</f>
        <v>n/a</v>
      </c>
      <c r="R410" s="69"/>
      <c r="S410" s="103"/>
      <c r="T410" s="103"/>
      <c r="U410" s="103"/>
      <c r="V410" s="103"/>
      <c r="W410" s="103"/>
      <c r="X410" s="103"/>
      <c r="Y410" s="103"/>
      <c r="Z410" s="103"/>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92"/>
      <c r="F411" s="87">
        <v>9</v>
      </c>
      <c r="G411" s="27"/>
      <c r="H411" s="146"/>
      <c r="I411" s="148"/>
      <c r="J411" s="148"/>
      <c r="K411" s="148"/>
      <c r="L411" s="148"/>
      <c r="M411" s="148"/>
      <c r="N411" s="148"/>
      <c r="O411" s="148"/>
      <c r="P411" s="147"/>
      <c r="Q411" s="69" t="str">
        <f>IF(A26stdlife="n/a","n/a",IF(Q$3&gt;(A26stdlife+$F411),(Input!$P$236*(1+vanilla9)^0.5)-SUM($P411:P411),(Input!$P$236*(1+vanilla9)^0.5)/A26stdlife))</f>
        <v>n/a</v>
      </c>
      <c r="R411" s="69"/>
      <c r="S411" s="103"/>
      <c r="T411" s="103"/>
      <c r="U411" s="103"/>
      <c r="V411" s="103"/>
      <c r="W411" s="103"/>
      <c r="X411" s="103"/>
      <c r="Y411" s="103"/>
      <c r="Z411" s="103"/>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92"/>
      <c r="F412" s="88">
        <v>10</v>
      </c>
      <c r="G412" s="27"/>
      <c r="H412" s="146"/>
      <c r="I412" s="148"/>
      <c r="J412" s="148"/>
      <c r="K412" s="148"/>
      <c r="L412" s="148"/>
      <c r="M412" s="148"/>
      <c r="N412" s="148"/>
      <c r="O412" s="148"/>
      <c r="P412" s="148"/>
      <c r="Q412" s="147"/>
      <c r="R412" s="69"/>
      <c r="S412" s="103"/>
      <c r="T412" s="103"/>
      <c r="U412" s="103"/>
      <c r="V412" s="103"/>
      <c r="W412" s="103"/>
      <c r="X412" s="103"/>
      <c r="Y412" s="103"/>
      <c r="Z412" s="103"/>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ollapsed="1">
      <c r="A413" s="9"/>
      <c r="B413" s="9"/>
      <c r="C413" s="9"/>
      <c r="D413" s="271">
        <f>Asset26</f>
        <v>0</v>
      </c>
      <c r="E413" s="9"/>
      <c r="F413" s="9"/>
      <c r="G413" s="121"/>
      <c r="H413" s="162">
        <f t="shared" ref="H413:M413" si="29">-SUM(H401:H412)</f>
        <v>0</v>
      </c>
      <c r="I413" s="162">
        <f t="shared" si="29"/>
        <v>0</v>
      </c>
      <c r="J413" s="162">
        <f t="shared" si="29"/>
        <v>0</v>
      </c>
      <c r="K413" s="162">
        <f t="shared" si="29"/>
        <v>0</v>
      </c>
      <c r="L413" s="162">
        <f t="shared" si="29"/>
        <v>0</v>
      </c>
      <c r="M413" s="162">
        <f t="shared" si="29"/>
        <v>0</v>
      </c>
      <c r="N413" s="69">
        <f>IF(COUNT($H413:M413)&gt;=Input!$Y$7,0, -SUM(N401:N412))</f>
        <v>0</v>
      </c>
      <c r="O413" s="69">
        <f>IF(COUNT($H413:N413)&gt;=Input!$Y$7,0, -SUM(O401:O412))</f>
        <v>0</v>
      </c>
      <c r="P413" s="69">
        <f>IF(COUNT($H413:O413)&gt;=Input!$Y$7,0, -SUM(P401:P412))</f>
        <v>0</v>
      </c>
      <c r="Q413" s="69">
        <f>IF(COUNT($H413:P413)&gt;=Input!$Y$7,0, -SUM(Q401:Q412))</f>
        <v>0</v>
      </c>
      <c r="R413" s="67"/>
      <c r="S413" s="105"/>
      <c r="T413" s="105"/>
      <c r="U413" s="105"/>
      <c r="V413" s="105"/>
      <c r="W413" s="105"/>
      <c r="X413" s="105"/>
      <c r="Y413" s="105"/>
      <c r="Z413" s="105"/>
      <c r="AA413" s="233"/>
      <c r="AB413" s="233"/>
      <c r="AC413" s="233"/>
      <c r="AD413" s="233"/>
      <c r="AE413" s="233"/>
      <c r="AF413" s="233"/>
      <c r="AG413" s="233"/>
      <c r="AH413" s="233"/>
      <c r="AI413" s="233"/>
      <c r="AJ413" s="233"/>
      <c r="AK413" s="233"/>
      <c r="AL413" s="233"/>
      <c r="AM413" s="233"/>
      <c r="AN413" s="233"/>
      <c r="AO413" s="233"/>
      <c r="AP413" s="233"/>
      <c r="AQ413" s="233"/>
      <c r="AR413" s="233"/>
      <c r="AS413" s="233"/>
      <c r="AT413" s="233"/>
      <c r="AU413" s="233"/>
      <c r="AV413" s="233"/>
      <c r="AW413" s="233"/>
      <c r="AX413" s="233"/>
      <c r="AY413" s="233"/>
      <c r="AZ413" s="233"/>
      <c r="BA413" s="233"/>
      <c r="BB413" s="233"/>
      <c r="BC413" s="233"/>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272">
        <f>Asset27</f>
        <v>0</v>
      </c>
      <c r="D414" s="158"/>
      <c r="E414" s="32" t="s">
        <v>26</v>
      </c>
      <c r="F414" s="31"/>
      <c r="G414" s="177"/>
      <c r="H414" s="68" t="str">
        <f>IF(H$3&gt;A27remlife,A27value-$G$656-SUM($G414:G414),IF(A27remlife="N/A","n/a",(A27value-$G$656)/A27remlife))</f>
        <v>n/a</v>
      </c>
      <c r="I414" s="68" t="str">
        <f>IF(I$3&gt;A27remlife,A27value-$G$656-SUM($G414:H414),IF(A27remlife="N/A","n/a",(A27value-$G$656)/A27remlife))</f>
        <v>n/a</v>
      </c>
      <c r="J414" s="68" t="str">
        <f>IF(J$3&gt;A27remlife,A27value-$G$656-SUM($G414:I414),IF(A27remlife="N/A","n/a",(A27value-$G$656)/A27remlife))</f>
        <v>n/a</v>
      </c>
      <c r="K414" s="68" t="str">
        <f>IF(K$3&gt;A27remlife,A27value-$G$656-SUM($G414:J414),IF(A27remlife="N/A","n/a",(A27value-$G$656)/A27remlife))</f>
        <v>n/a</v>
      </c>
      <c r="L414" s="68" t="str">
        <f>IF(L$3&gt;A27remlife,A27value-$G$656-SUM($G414:K414),IF(A27remlife="N/A","n/a",(A27value-$G$656)/A27remlife))</f>
        <v>n/a</v>
      </c>
      <c r="M414" s="68" t="str">
        <f>IF(M$3&gt;A27remlife,A27value-$G$656-SUM($G414:L414),IF(A27remlife="N/A","n/a",(A27value-$G$656)/A27remlife))</f>
        <v>n/a</v>
      </c>
      <c r="N414" s="68" t="str">
        <f>IF(N$3&gt;A27remlife,A27value-$G$656-SUM($G414:M414),IF(A27remlife="N/A","n/a",(A27value-$G$656)/A27remlife))</f>
        <v>n/a</v>
      </c>
      <c r="O414" s="68" t="str">
        <f>IF(O$3&gt;A27remlife,A27value-$G$656-SUM($G414:N414),IF(A27remlife="N/A","n/a",(A27value-$G$656)/A27remlife))</f>
        <v>n/a</v>
      </c>
      <c r="P414" s="68" t="str">
        <f>IF(P$3&gt;A27remlife,A27value-$G$656-SUM($G414:O414),IF(A27remlife="N/A","n/a",(A27value-$G$656)/A27remlife))</f>
        <v>n/a</v>
      </c>
      <c r="Q414" s="68" t="str">
        <f>IF(Q$3&gt;A27remlife,A27value-$G$656-SUM($G414:P414),IF(A27remlife="N/A","n/a",(A27value-$G$656)/A27remlife))</f>
        <v>n/a</v>
      </c>
      <c r="R414" s="68"/>
      <c r="S414" s="103"/>
      <c r="T414" s="103"/>
      <c r="U414" s="103"/>
      <c r="V414" s="103"/>
      <c r="W414" s="103"/>
      <c r="X414" s="103"/>
      <c r="Y414" s="103"/>
      <c r="Z414" s="103"/>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9"/>
      <c r="D415" s="26"/>
      <c r="E415" s="391" t="s">
        <v>82</v>
      </c>
      <c r="F415" s="87"/>
      <c r="G415" s="121"/>
      <c r="H415" s="69"/>
      <c r="I415" s="69"/>
      <c r="J415" s="69"/>
      <c r="K415" s="69"/>
      <c r="L415" s="69"/>
      <c r="M415" s="160"/>
      <c r="N415" s="112"/>
      <c r="O415" s="69"/>
      <c r="P415" s="69"/>
      <c r="Q415" s="69"/>
      <c r="R415" s="69"/>
      <c r="S415" s="103"/>
      <c r="T415" s="103"/>
      <c r="U415" s="103"/>
      <c r="V415" s="103"/>
      <c r="W415" s="103"/>
      <c r="X415" s="103"/>
      <c r="Y415" s="103"/>
      <c r="Z415" s="103"/>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92"/>
      <c r="F416" s="87">
        <v>1</v>
      </c>
      <c r="G416" s="121"/>
      <c r="H416" s="145"/>
      <c r="I416" s="69" t="str">
        <f>IF(A27stdlife="n/a","n/a",IF(I$3&gt;(A27stdlife+$F416),(Input!$H$237*(1+vanilla1)^0.5)-SUM($H416:H416),(Input!$H$237*(1+vanilla1)^0.5)/A27stdlife))</f>
        <v>n/a</v>
      </c>
      <c r="J416" s="69" t="str">
        <f>IF(A27stdlife="n/a","n/a",IF(J$3&gt;(A27stdlife+$F416),(Input!$H$237*(1+vanilla1)^0.5)-SUM($H416:I416),(Input!$H$237*(1+vanilla1)^0.5)/A27stdlife))</f>
        <v>n/a</v>
      </c>
      <c r="K416" s="69" t="str">
        <f>IF(A27stdlife="n/a","n/a",IF(K$3&gt;(A27stdlife+$F416),(Input!$H$237*(1+vanilla1)^0.5)-SUM($H416:J416),(Input!$H$237*(1+vanilla1)^0.5)/A27stdlife))</f>
        <v>n/a</v>
      </c>
      <c r="L416" s="69" t="str">
        <f>IF(A27stdlife="n/a","n/a",IF(L$3&gt;(A27stdlife+$F416),(Input!$H$237*(1+vanilla1)^0.5)-SUM($H416:K416),(Input!$H$237*(1+vanilla1)^0.5)/A27stdlife))</f>
        <v>n/a</v>
      </c>
      <c r="M416" s="69" t="str">
        <f>IF(A27stdlife="n/a","n/a",IF(M$3&gt;(A27stdlife+$F416),(Input!$H$237*(1+vanilla1)^0.5)-SUM($H416:L416),(Input!$H$237*(1+vanilla1)^0.5)/A27stdlife))</f>
        <v>n/a</v>
      </c>
      <c r="N416" s="69" t="str">
        <f>IF(A27stdlife="n/a","n/a",IF(N$3&gt;(A27stdlife+$F416),(Input!$H$237*(1+vanilla1)^0.5)-SUM($H416:M416),(Input!$H$237*(1+vanilla1)^0.5)/A27stdlife))</f>
        <v>n/a</v>
      </c>
      <c r="O416" s="69" t="str">
        <f>IF(A27stdlife="n/a","n/a",IF(O$3&gt;(A27stdlife+$F416),(Input!$H$237*(1+vanilla1)^0.5)-SUM($H416:N416),(Input!$H$237*(1+vanilla1)^0.5)/A27stdlife))</f>
        <v>n/a</v>
      </c>
      <c r="P416" s="69" t="str">
        <f>IF(A27stdlife="n/a","n/a",IF(P$3&gt;(A27stdlife+$F416),(Input!$H$237*(1+vanilla1)^0.5)-SUM($H416:O416),(Input!$H$237*(1+vanilla1)^0.5)/A27stdlife))</f>
        <v>n/a</v>
      </c>
      <c r="Q416" s="69" t="str">
        <f>IF(A27stdlife="n/a","n/a",IF(Q$3&gt;(A27stdlife+$F416),(Input!$H$237*(1+vanilla1)^0.5)-SUM($H416:P416),(Input!$H$237*(1+vanilla1)^0.5)/A27stdlife))</f>
        <v>n/a</v>
      </c>
      <c r="R416" s="69"/>
      <c r="S416" s="103"/>
      <c r="T416" s="103"/>
      <c r="U416" s="103"/>
      <c r="V416" s="103"/>
      <c r="W416" s="103"/>
      <c r="X416" s="103"/>
      <c r="Y416" s="103"/>
      <c r="Z416" s="103"/>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92"/>
      <c r="F417" s="87">
        <v>2</v>
      </c>
      <c r="G417" s="121"/>
      <c r="H417" s="146"/>
      <c r="I417" s="147"/>
      <c r="J417" s="69" t="str">
        <f>IF(A27stdlife="n/a","n/a",IF(J$3&gt;(A27stdlife+$F417),(Input!$I$237*(1+vanilla2)^0.5)-SUM($I417:I417),(Input!$I$237*(1+vanilla2)^0.5)/A27stdlife))</f>
        <v>n/a</v>
      </c>
      <c r="K417" s="69" t="str">
        <f>IF(A27stdlife="n/a","n/a",IF(K$3&gt;(A27stdlife+$F417),(Input!$I$237*(1+vanilla2)^0.5)-SUM($I417:J417),(Input!$I$237*(1+vanilla2)^0.5)/A27stdlife))</f>
        <v>n/a</v>
      </c>
      <c r="L417" s="69" t="str">
        <f>IF(A27stdlife="n/a","n/a",IF(L$3&gt;(A27stdlife+$F417),(Input!$I$237*(1+vanilla2)^0.5)-SUM($I417:K417),(Input!$I$237*(1+vanilla2)^0.5)/A27stdlife))</f>
        <v>n/a</v>
      </c>
      <c r="M417" s="69" t="str">
        <f>IF(A27stdlife="n/a","n/a",IF(M$3&gt;(A27stdlife+$F417),(Input!$I$237*(1+vanilla2)^0.5)-SUM($I417:L417),(Input!$I$237*(1+vanilla2)^0.5)/A27stdlife))</f>
        <v>n/a</v>
      </c>
      <c r="N417" s="69" t="str">
        <f>IF(A27stdlife="n/a","n/a",IF(N$3&gt;(A27stdlife+$F417),(Input!$I$237*(1+vanilla2)^0.5)-SUM($I417:M417),(Input!$I$237*(1+vanilla2)^0.5)/A27stdlife))</f>
        <v>n/a</v>
      </c>
      <c r="O417" s="69" t="str">
        <f>IF(A27stdlife="n/a","n/a",IF(O$3&gt;(A27stdlife+$F417),(Input!$I$237*(1+vanilla2)^0.5)-SUM($I417:N417),(Input!$I$237*(1+vanilla2)^0.5)/A27stdlife))</f>
        <v>n/a</v>
      </c>
      <c r="P417" s="69" t="str">
        <f>IF(A27stdlife="n/a","n/a",IF(P$3&gt;(A27stdlife+$F417),(Input!$I$237*(1+vanilla2)^0.5)-SUM($I417:O417),(Input!$I$237*(1+vanilla2)^0.5)/A27stdlife))</f>
        <v>n/a</v>
      </c>
      <c r="Q417" s="69" t="str">
        <f>IF(A27stdlife="n/a","n/a",IF(Q$3&gt;(A27stdlife+$F417),(Input!$I$237*(1+vanilla2)^0.5)-SUM($I417:P417),(Input!$I$237*(1+vanilla2)^0.5)/A27stdlife))</f>
        <v>n/a</v>
      </c>
      <c r="R417" s="69"/>
      <c r="S417" s="103"/>
      <c r="T417" s="103"/>
      <c r="U417" s="103"/>
      <c r="V417" s="103"/>
      <c r="W417" s="103"/>
      <c r="X417" s="103"/>
      <c r="Y417" s="103"/>
      <c r="Z417" s="103"/>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92"/>
      <c r="F418" s="87">
        <v>3</v>
      </c>
      <c r="G418" s="121"/>
      <c r="H418" s="146"/>
      <c r="I418" s="148"/>
      <c r="J418" s="147"/>
      <c r="K418" s="69" t="str">
        <f>IF(A27stdlife="n/a","n/a",IF(K$3&gt;(A27stdlife+$F418),(Input!$J$237*(1+vanilla3)^0.5)-SUM($J418:J418),(Input!$J$237*(1+vanilla3)^0.5)/A27stdlife))</f>
        <v>n/a</v>
      </c>
      <c r="L418" s="69" t="str">
        <f>IF(A27stdlife="n/a","n/a",IF(L$3&gt;(A27stdlife+$F418),(Input!$J$237*(1+vanilla3)^0.5)-SUM($J418:K418),(Input!$J$237*(1+vanilla3)^0.5)/A27stdlife))</f>
        <v>n/a</v>
      </c>
      <c r="M418" s="69" t="str">
        <f>IF(A27stdlife="n/a","n/a",IF(M$3&gt;(A27stdlife+$F418),(Input!$J$237*(1+vanilla3)^0.5)-SUM($J418:L418),(Input!$J$237*(1+vanilla3)^0.5)/A27stdlife))</f>
        <v>n/a</v>
      </c>
      <c r="N418" s="69" t="str">
        <f>IF(A27stdlife="n/a","n/a",IF(N$3&gt;(A27stdlife+$F418),(Input!$J$237*(1+vanilla3)^0.5)-SUM($J418:M418),(Input!$J$237*(1+vanilla3)^0.5)/A27stdlife))</f>
        <v>n/a</v>
      </c>
      <c r="O418" s="69" t="str">
        <f>IF(A27stdlife="n/a","n/a",IF(O$3&gt;(A27stdlife+$F418),(Input!$J$237*(1+vanilla3)^0.5)-SUM($J418:N418),(Input!$J$237*(1+vanilla3)^0.5)/A27stdlife))</f>
        <v>n/a</v>
      </c>
      <c r="P418" s="69" t="str">
        <f>IF(A27stdlife="n/a","n/a",IF(P$3&gt;(A27stdlife+$F418),(Input!$J$237*(1+vanilla3)^0.5)-SUM($J418:O418),(Input!$J$237*(1+vanilla3)^0.5)/A27stdlife))</f>
        <v>n/a</v>
      </c>
      <c r="Q418" s="69" t="str">
        <f>IF(A27stdlife="n/a","n/a",IF(Q$3&gt;(A27stdlife+$F418),(Input!$J$237*(1+vanilla3)^0.5)-SUM($J418:P418),(Input!$J$237*(1+vanilla3)^0.5)/A27stdlife))</f>
        <v>n/a</v>
      </c>
      <c r="R418" s="69"/>
      <c r="S418" s="103"/>
      <c r="T418" s="103"/>
      <c r="U418" s="103"/>
      <c r="V418" s="103"/>
      <c r="W418" s="103"/>
      <c r="X418" s="103"/>
      <c r="Y418" s="103"/>
      <c r="Z418" s="103"/>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92"/>
      <c r="F419" s="87">
        <v>4</v>
      </c>
      <c r="G419" s="121"/>
      <c r="H419" s="146"/>
      <c r="I419" s="148"/>
      <c r="J419" s="148"/>
      <c r="K419" s="147"/>
      <c r="L419" s="69" t="str">
        <f>IF(A27stdlife="n/a","n/a",IF(L$3&gt;(A27stdlife+$F419),(Input!$K$237*(1+vanilla4)^0.5)-SUM($K419:K419),(Input!$K$237*(1+vanilla4)^0.5)/A27stdlife))</f>
        <v>n/a</v>
      </c>
      <c r="M419" s="69" t="str">
        <f>IF(A27stdlife="n/a","n/a",IF(M$3&gt;(A27stdlife+$F419),(Input!$K$237*(1+vanilla4)^0.5)-SUM($K419:L419),(Input!$K$237*(1+vanilla4)^0.5)/A27stdlife))</f>
        <v>n/a</v>
      </c>
      <c r="N419" s="69" t="str">
        <f>IF(A27stdlife="n/a","n/a",IF(N$3&gt;(A27stdlife+$F419),(Input!$K$237*(1+vanilla4)^0.5)-SUM($K419:M419),(Input!$K$237*(1+vanilla4)^0.5)/A27stdlife))</f>
        <v>n/a</v>
      </c>
      <c r="O419" s="69" t="str">
        <f>IF(A27stdlife="n/a","n/a",IF(O$3&gt;(A27stdlife+$F419),(Input!$K$237*(1+vanilla4)^0.5)-SUM($K419:N419),(Input!$K$237*(1+vanilla4)^0.5)/A27stdlife))</f>
        <v>n/a</v>
      </c>
      <c r="P419" s="69" t="str">
        <f>IF(A27stdlife="n/a","n/a",IF(P$3&gt;(A27stdlife+$F419),(Input!$K$237*(1+vanilla4)^0.5)-SUM($K419:O419),(Input!$K$237*(1+vanilla4)^0.5)/A27stdlife))</f>
        <v>n/a</v>
      </c>
      <c r="Q419" s="69" t="str">
        <f>IF(A27stdlife="n/a","n/a",IF(Q$3&gt;(A27stdlife+$F419),(Input!$K$237*(1+vanilla4)^0.5)-SUM($K419:P419),(Input!$K$237*(1+vanilla4)^0.5)/A27stdlife))</f>
        <v>n/a</v>
      </c>
      <c r="R419" s="69"/>
      <c r="S419" s="103"/>
      <c r="T419" s="103"/>
      <c r="U419" s="103"/>
      <c r="V419" s="103"/>
      <c r="W419" s="103"/>
      <c r="X419" s="103"/>
      <c r="Y419" s="103"/>
      <c r="Z419" s="103"/>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9"/>
      <c r="B420" s="9"/>
      <c r="C420" s="9"/>
      <c r="D420" s="26"/>
      <c r="E420" s="392"/>
      <c r="F420" s="87">
        <v>5</v>
      </c>
      <c r="G420" s="27"/>
      <c r="H420" s="146"/>
      <c r="I420" s="148"/>
      <c r="J420" s="148"/>
      <c r="K420" s="148"/>
      <c r="L420" s="147"/>
      <c r="M420" s="69" t="str">
        <f>IF(A27stdlife="n/a","n/a",IF(M$3&gt;(A27stdlife+$F420),(Input!$L$237*(1+vanilla5)^0.5)-SUM($L420:L420),(Input!$L$237*(1+vanilla5)^0.5)/A27stdlife))</f>
        <v>n/a</v>
      </c>
      <c r="N420" s="69" t="str">
        <f>IF(A27stdlife="n/a","n/a",IF(N$3&gt;(A27stdlife+$F420),(Input!$L$237*(1+vanilla5)^0.5)-SUM($L420:M420),(Input!$L$237*(1+vanilla5)^0.5)/A27stdlife))</f>
        <v>n/a</v>
      </c>
      <c r="O420" s="69" t="str">
        <f>IF(A27stdlife="n/a","n/a",IF(O$3&gt;(A27stdlife+$F420),(Input!$L$237*(1+vanilla5)^0.5)-SUM($L420:N420),(Input!$L$237*(1+vanilla5)^0.5)/A27stdlife))</f>
        <v>n/a</v>
      </c>
      <c r="P420" s="69" t="str">
        <f>IF(A27stdlife="n/a","n/a",IF(P$3&gt;(A27stdlife+$F420),(Input!$L$237*(1+vanilla5)^0.5)-SUM($L420:O420),(Input!$L$237*(1+vanilla5)^0.5)/A27stdlife))</f>
        <v>n/a</v>
      </c>
      <c r="Q420" s="69" t="str">
        <f>IF(A27stdlife="n/a","n/a",IF(Q$3&gt;(A27stdlife+$F420),(Input!$L$237*(1+vanilla5)^0.5)-SUM($L420:P420),(Input!$L$237*(1+vanilla5)^0.5)/A27stdlife))</f>
        <v>n/a</v>
      </c>
      <c r="R420" s="69"/>
      <c r="S420" s="103"/>
      <c r="T420" s="103"/>
      <c r="U420" s="103"/>
      <c r="V420" s="103"/>
      <c r="W420" s="103"/>
      <c r="X420" s="103"/>
      <c r="Y420" s="103"/>
      <c r="Z420" s="103"/>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103"/>
      <c r="BE420" s="103"/>
      <c r="BF420" s="103"/>
      <c r="BG420" s="103"/>
      <c r="BH420" s="103"/>
      <c r="BI420" s="103"/>
      <c r="BJ420" s="103"/>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9"/>
      <c r="D421" s="26"/>
      <c r="E421" s="392"/>
      <c r="F421" s="87">
        <v>6</v>
      </c>
      <c r="G421" s="27"/>
      <c r="H421" s="146"/>
      <c r="I421" s="148"/>
      <c r="J421" s="148"/>
      <c r="K421" s="148"/>
      <c r="L421" s="148"/>
      <c r="M421" s="147"/>
      <c r="N421" s="69" t="str">
        <f>IF(A27stdlife="n/a","n/a",IF(N$3&gt;(A27stdlife+$F421),(Input!$M$237*(1+vanilla6)^0.5)-SUM($M421:M421),(Input!$M$237*(1+vanilla6)^0.5)/A27stdlife))</f>
        <v>n/a</v>
      </c>
      <c r="O421" s="69" t="str">
        <f>IF(A27stdlife="n/a","n/a",IF(O$3&gt;(A27stdlife+$F421),(Input!$M$237*(1+vanilla6)^0.5)-SUM($M421:N421),(Input!$M$237*(1+vanilla6)^0.5)/A27stdlife))</f>
        <v>n/a</v>
      </c>
      <c r="P421" s="69" t="str">
        <f>IF(A27stdlife="n/a","n/a",IF(P$3&gt;(A27stdlife+$F421),(Input!$M$237*(1+vanilla6)^0.5)-SUM($M421:O421),(Input!$M$237*(1+vanilla6)^0.5)/A27stdlife))</f>
        <v>n/a</v>
      </c>
      <c r="Q421" s="69" t="str">
        <f>IF(A27stdlife="n/a","n/a",IF(Q$3&gt;(A27stdlife+$F421),(Input!$M$237*(1+vanilla6)^0.5)-SUM($M421:P421),(Input!$M$237*(1+vanilla6)^0.5)/A27stdlife))</f>
        <v>n/a</v>
      </c>
      <c r="R421" s="69"/>
      <c r="S421" s="103"/>
      <c r="T421" s="103"/>
      <c r="U421" s="103"/>
      <c r="V421" s="103"/>
      <c r="W421" s="103"/>
      <c r="X421" s="103"/>
      <c r="Y421" s="103"/>
      <c r="Z421" s="103"/>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c r="A422" s="9"/>
      <c r="B422" s="9"/>
      <c r="C422" s="9"/>
      <c r="D422" s="26"/>
      <c r="E422" s="392"/>
      <c r="F422" s="87">
        <v>7</v>
      </c>
      <c r="G422" s="27"/>
      <c r="H422" s="146"/>
      <c r="I422" s="148"/>
      <c r="J422" s="148"/>
      <c r="K422" s="148"/>
      <c r="L422" s="148"/>
      <c r="M422" s="148"/>
      <c r="N422" s="147"/>
      <c r="O422" s="69" t="str">
        <f>IF(A27stdlife="n/a","n/a",IF(O$3&gt;(A27stdlife+$F422),(Input!N$237*(1+vanilla7)^0.5)-SUM($N422:N422),(Input!$N$237*(1+vanilla7)^0.5)/A27stdlife))</f>
        <v>n/a</v>
      </c>
      <c r="P422" s="69" t="str">
        <f>IF(A27stdlife="n/a","n/a",IF(P$3&gt;(A27stdlife+$F422),(Input!O$237*(1+vanilla7)^0.5)-SUM($N422:O422),(Input!$N$237*(1+vanilla7)^0.5)/A27stdlife))</f>
        <v>n/a</v>
      </c>
      <c r="Q422" s="69" t="str">
        <f>IF(A27stdlife="n/a","n/a",IF(Q$3&gt;(A27stdlife+$F422),(Input!P$237*(1+vanilla7)^0.5)-SUM($N422:P422),(Input!$N$237*(1+vanilla7)^0.5)/A27stdlife))</f>
        <v>n/a</v>
      </c>
      <c r="R422" s="69"/>
      <c r="S422" s="103"/>
      <c r="T422" s="103"/>
      <c r="U422" s="103"/>
      <c r="V422" s="103"/>
      <c r="W422" s="103"/>
      <c r="X422" s="103"/>
      <c r="Y422" s="103"/>
      <c r="Z422" s="103"/>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92"/>
      <c r="F423" s="87">
        <v>8</v>
      </c>
      <c r="G423" s="27"/>
      <c r="H423" s="146"/>
      <c r="I423" s="148"/>
      <c r="J423" s="148"/>
      <c r="K423" s="148"/>
      <c r="L423" s="148"/>
      <c r="M423" s="148"/>
      <c r="N423" s="148"/>
      <c r="O423" s="147"/>
      <c r="P423" s="69" t="str">
        <f>IF(A27stdlife="n/a","n/a",IF(P$3&gt;(A27stdlife+$F423),(Input!$O$237*(1+vanilla8)^0.5)-SUM($O423:O423),(Input!$O$237*(1+vanilla8)^0.5)/A27stdlife))</f>
        <v>n/a</v>
      </c>
      <c r="Q423" s="69" t="str">
        <f>IF(A27stdlife="n/a","n/a",IF(Q$3&gt;(A27stdlife+$F423),(Input!$O$237*(1+vanilla8)^0.5)-SUM($O423:P423),(Input!$O$237*(1+vanilla8)^0.5)/A27stdlife))</f>
        <v>n/a</v>
      </c>
      <c r="R423" s="69"/>
      <c r="S423" s="103"/>
      <c r="T423" s="103"/>
      <c r="U423" s="103"/>
      <c r="V423" s="103"/>
      <c r="W423" s="103"/>
      <c r="X423" s="103"/>
      <c r="Y423" s="103"/>
      <c r="Z423" s="103"/>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92"/>
      <c r="F424" s="87">
        <v>9</v>
      </c>
      <c r="G424" s="27"/>
      <c r="H424" s="146"/>
      <c r="I424" s="148"/>
      <c r="J424" s="148"/>
      <c r="K424" s="148"/>
      <c r="L424" s="148"/>
      <c r="M424" s="148"/>
      <c r="N424" s="148"/>
      <c r="O424" s="148"/>
      <c r="P424" s="147"/>
      <c r="Q424" s="69" t="str">
        <f>IF(A27stdlife="n/a","n/a",IF(Q$3&gt;(A27stdlife+$F424),(Input!$P$237*(1+vanilla9)^0.5)-SUM($P424:P424),(Input!$P$237*(1+vanilla9)^0.5)/A27stdlife))</f>
        <v>n/a</v>
      </c>
      <c r="R424" s="69"/>
      <c r="S424" s="103"/>
      <c r="T424" s="103"/>
      <c r="U424" s="103"/>
      <c r="V424" s="103"/>
      <c r="W424" s="103"/>
      <c r="X424" s="103"/>
      <c r="Y424" s="103"/>
      <c r="Z424" s="103"/>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92"/>
      <c r="F425" s="88">
        <v>10</v>
      </c>
      <c r="G425" s="27"/>
      <c r="H425" s="146"/>
      <c r="I425" s="148"/>
      <c r="J425" s="148"/>
      <c r="K425" s="148"/>
      <c r="L425" s="148"/>
      <c r="M425" s="148"/>
      <c r="N425" s="148"/>
      <c r="O425" s="148"/>
      <c r="P425" s="148"/>
      <c r="Q425" s="147"/>
      <c r="R425" s="69"/>
      <c r="S425" s="103"/>
      <c r="T425" s="103"/>
      <c r="U425" s="103"/>
      <c r="V425" s="103"/>
      <c r="W425" s="103"/>
      <c r="X425" s="103"/>
      <c r="Y425" s="103"/>
      <c r="Z425" s="103"/>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ollapsed="1">
      <c r="A426" s="9"/>
      <c r="B426" s="9"/>
      <c r="C426" s="9"/>
      <c r="D426" s="271">
        <f>Asset27</f>
        <v>0</v>
      </c>
      <c r="E426" s="9"/>
      <c r="F426" s="9"/>
      <c r="G426" s="121"/>
      <c r="H426" s="162">
        <f t="shared" ref="H426:M426" si="30">-SUM(H414:H425)</f>
        <v>0</v>
      </c>
      <c r="I426" s="162">
        <f t="shared" si="30"/>
        <v>0</v>
      </c>
      <c r="J426" s="162">
        <f t="shared" si="30"/>
        <v>0</v>
      </c>
      <c r="K426" s="162">
        <f t="shared" si="30"/>
        <v>0</v>
      </c>
      <c r="L426" s="162">
        <f t="shared" si="30"/>
        <v>0</v>
      </c>
      <c r="M426" s="162">
        <f t="shared" si="30"/>
        <v>0</v>
      </c>
      <c r="N426" s="69">
        <f>IF(COUNT($H426:M426)&gt;=Input!$Y$7,0, -SUM(N414:N425))</f>
        <v>0</v>
      </c>
      <c r="O426" s="69">
        <f>IF(COUNT($H426:N426)&gt;=Input!$Y$7,0, -SUM(O414:O425))</f>
        <v>0</v>
      </c>
      <c r="P426" s="69">
        <f>IF(COUNT($H426:O426)&gt;=Input!$Y$7,0, -SUM(P414:P425))</f>
        <v>0</v>
      </c>
      <c r="Q426" s="69">
        <f>IF(COUNT($H426:P426)&gt;=Input!$Y$7,0, -SUM(Q414:Q425))</f>
        <v>0</v>
      </c>
      <c r="R426" s="67"/>
      <c r="S426" s="105"/>
      <c r="T426" s="105"/>
      <c r="U426" s="105"/>
      <c r="V426" s="105"/>
      <c r="W426" s="105"/>
      <c r="X426" s="105"/>
      <c r="Y426" s="105"/>
      <c r="Z426" s="105"/>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272">
        <f>Asset28</f>
        <v>0</v>
      </c>
      <c r="D427" s="158"/>
      <c r="E427" s="32" t="s">
        <v>26</v>
      </c>
      <c r="F427" s="31"/>
      <c r="G427" s="177"/>
      <c r="H427" s="68" t="str">
        <f>IF(H$3&gt;A28remlife,A28value-$G$657-SUM($G427:G427),IF(A28remlife="N/A","n/a",(A28value-$G$657)/A28remlife))</f>
        <v>n/a</v>
      </c>
      <c r="I427" s="68" t="str">
        <f>IF(I$3&gt;A28remlife,A28value-$G$657-SUM($G427:H427),IF(A28remlife="N/A","n/a",(A28value-$G$657)/A28remlife))</f>
        <v>n/a</v>
      </c>
      <c r="J427" s="68" t="str">
        <f>IF(J$3&gt;A28remlife,A28value-$G$657-SUM($G427:I427),IF(A28remlife="N/A","n/a",(A28value-$G$657)/A28remlife))</f>
        <v>n/a</v>
      </c>
      <c r="K427" s="68" t="str">
        <f>IF(K$3&gt;A28remlife,A28value-$G$657-SUM($G427:J427),IF(A28remlife="N/A","n/a",(A28value-$G$657)/A28remlife))</f>
        <v>n/a</v>
      </c>
      <c r="L427" s="68" t="str">
        <f>IF(L$3&gt;A28remlife,A28value-$G$657-SUM($G427:K427),IF(A28remlife="N/A","n/a",(A28value-$G$657)/A28remlife))</f>
        <v>n/a</v>
      </c>
      <c r="M427" s="68" t="str">
        <f>IF(M$3&gt;A28remlife,A28value-$G$657-SUM($G427:L427),IF(A28remlife="N/A","n/a",(A28value-$G$657)/A28remlife))</f>
        <v>n/a</v>
      </c>
      <c r="N427" s="68" t="str">
        <f>IF(N$3&gt;A28remlife,A28value-$G$657-SUM($G427:M427),IF(A28remlife="N/A","n/a",(A28value-$G$657)/A28remlife))</f>
        <v>n/a</v>
      </c>
      <c r="O427" s="68" t="str">
        <f>IF(O$3&gt;A28remlife,A28value-$G$657-SUM($G427:N427),IF(A28remlife="N/A","n/a",(A28value-$G$657)/A28remlife))</f>
        <v>n/a</v>
      </c>
      <c r="P427" s="68" t="str">
        <f>IF(P$3&gt;A28remlife,A28value-$G$657-SUM($G427:O427),IF(A28remlife="N/A","n/a",(A28value-$G$657)/A28remlife))</f>
        <v>n/a</v>
      </c>
      <c r="Q427" s="68" t="str">
        <f>IF(Q$3&gt;A28remlife,A28value-$G$657-SUM($G427:P427),IF(A28remlife="N/A","n/a",(A28value-$G$657)/A28remlife))</f>
        <v>n/a</v>
      </c>
      <c r="R427" s="68"/>
      <c r="S427" s="103"/>
      <c r="T427" s="103"/>
      <c r="U427" s="103"/>
      <c r="V427" s="103"/>
      <c r="W427" s="103"/>
      <c r="X427" s="103"/>
      <c r="Y427" s="103"/>
      <c r="Z427" s="103"/>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9"/>
      <c r="D428" s="26"/>
      <c r="E428" s="391" t="s">
        <v>82</v>
      </c>
      <c r="F428" s="87"/>
      <c r="G428" s="121"/>
      <c r="H428" s="69"/>
      <c r="I428" s="69"/>
      <c r="J428" s="69"/>
      <c r="K428" s="69"/>
      <c r="L428" s="69"/>
      <c r="M428" s="160"/>
      <c r="N428" s="112"/>
      <c r="O428" s="69"/>
      <c r="P428" s="69"/>
      <c r="Q428" s="69"/>
      <c r="R428" s="69"/>
      <c r="S428" s="103"/>
      <c r="T428" s="103"/>
      <c r="U428" s="103"/>
      <c r="V428" s="103"/>
      <c r="W428" s="103"/>
      <c r="X428" s="103"/>
      <c r="Y428" s="103"/>
      <c r="Z428" s="103"/>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92"/>
      <c r="F429" s="87">
        <v>1</v>
      </c>
      <c r="G429" s="121"/>
      <c r="H429" s="145"/>
      <c r="I429" s="69" t="str">
        <f>IF(A28stdlife="n/a","n/a",IF(I$3&gt;(A28stdlife+$F429),(Input!$H$238*(1+vanilla1)^0.5)-SUM($H429:H429),(Input!$H$238*(1+vanilla1)^0.5)/A28stdlife))</f>
        <v>n/a</v>
      </c>
      <c r="J429" s="69" t="str">
        <f>IF(A28stdlife="n/a","n/a",IF(J$3&gt;(A28stdlife+$F429),(Input!$H$238*(1+vanilla1)^0.5)-SUM($H429:I429),(Input!$H$238*(1+vanilla1)^0.5)/A28stdlife))</f>
        <v>n/a</v>
      </c>
      <c r="K429" s="69" t="str">
        <f>IF(A28stdlife="n/a","n/a",IF(K$3&gt;(A28stdlife+$F429),(Input!$H$238*(1+vanilla1)^0.5)-SUM($H429:J429),(Input!$H$238*(1+vanilla1)^0.5)/A28stdlife))</f>
        <v>n/a</v>
      </c>
      <c r="L429" s="69" t="str">
        <f>IF(A28stdlife="n/a","n/a",IF(L$3&gt;(A28stdlife+$F429),(Input!$H$238*(1+vanilla1)^0.5)-SUM($H429:K429),(Input!$H$238*(1+vanilla1)^0.5)/A28stdlife))</f>
        <v>n/a</v>
      </c>
      <c r="M429" s="69" t="str">
        <f>IF(A28stdlife="n/a","n/a",IF(M$3&gt;(A28stdlife+$F429),(Input!$H$238*(1+vanilla1)^0.5)-SUM($H429:L429),(Input!$H$238*(1+vanilla1)^0.5)/A28stdlife))</f>
        <v>n/a</v>
      </c>
      <c r="N429" s="69" t="str">
        <f>IF(A28stdlife="n/a","n/a",IF(N$3&gt;(A28stdlife+$F429),(Input!$H$238*(1+vanilla1)^0.5)-SUM($H429:M429),(Input!$H$238*(1+vanilla1)^0.5)/A28stdlife))</f>
        <v>n/a</v>
      </c>
      <c r="O429" s="69" t="str">
        <f>IF(A28stdlife="n/a","n/a",IF(O$3&gt;(A28stdlife+$F429),(Input!$H$238*(1+vanilla1)^0.5)-SUM($H429:N429),(Input!$H$238*(1+vanilla1)^0.5)/A28stdlife))</f>
        <v>n/a</v>
      </c>
      <c r="P429" s="69" t="str">
        <f>IF(A28stdlife="n/a","n/a",IF(P$3&gt;(A28stdlife+$F429),(Input!$H$238*(1+vanilla1)^0.5)-SUM($H429:O429),(Input!$H$238*(1+vanilla1)^0.5)/A28stdlife))</f>
        <v>n/a</v>
      </c>
      <c r="Q429" s="69" t="str">
        <f>IF(A28stdlife="n/a","n/a",IF(Q$3&gt;(A28stdlife+$F429),(Input!$H$238*(1+vanilla1)^0.5)-SUM($H429:P429),(Input!$H$238*(1+vanilla1)^0.5)/A28stdlife))</f>
        <v>n/a</v>
      </c>
      <c r="R429" s="69"/>
      <c r="S429" s="103"/>
      <c r="T429" s="103"/>
      <c r="U429" s="103"/>
      <c r="V429" s="103"/>
      <c r="W429" s="103"/>
      <c r="X429" s="103"/>
      <c r="Y429" s="103"/>
      <c r="Z429" s="103"/>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92"/>
      <c r="F430" s="87">
        <v>2</v>
      </c>
      <c r="G430" s="121"/>
      <c r="H430" s="146"/>
      <c r="I430" s="147"/>
      <c r="J430" s="69" t="str">
        <f>IF(A28stdlife="n/a","n/a",IF(J$3&gt;(A28stdlife+$F430),(Input!$I$238*(1+vanilla2)^0.5)-SUM($I430:I430),(Input!$I$238*(1+vanilla2)^0.5)/A28stdlife))</f>
        <v>n/a</v>
      </c>
      <c r="K430" s="69" t="str">
        <f>IF(A28stdlife="n/a","n/a",IF(K$3&gt;(A28stdlife+$F430),(Input!$I$238*(1+vanilla2)^0.5)-SUM($I430:J430),(Input!$I$238*(1+vanilla2)^0.5)/A28stdlife))</f>
        <v>n/a</v>
      </c>
      <c r="L430" s="69" t="str">
        <f>IF(A28stdlife="n/a","n/a",IF(L$3&gt;(A28stdlife+$F430),(Input!$I$238*(1+vanilla2)^0.5)-SUM($I430:K430),(Input!$I$238*(1+vanilla2)^0.5)/A28stdlife))</f>
        <v>n/a</v>
      </c>
      <c r="M430" s="69" t="str">
        <f>IF(A28stdlife="n/a","n/a",IF(M$3&gt;(A28stdlife+$F430),(Input!$I$238*(1+vanilla2)^0.5)-SUM($I430:L430),(Input!$I$238*(1+vanilla2)^0.5)/A28stdlife))</f>
        <v>n/a</v>
      </c>
      <c r="N430" s="69" t="str">
        <f>IF(A28stdlife="n/a","n/a",IF(N$3&gt;(A28stdlife+$F430),(Input!$I$238*(1+vanilla2)^0.5)-SUM($I430:M430),(Input!$I$238*(1+vanilla2)^0.5)/A28stdlife))</f>
        <v>n/a</v>
      </c>
      <c r="O430" s="69" t="str">
        <f>IF(A28stdlife="n/a","n/a",IF(O$3&gt;(A28stdlife+$F430),(Input!$I$238*(1+vanilla2)^0.5)-SUM($I430:N430),(Input!$I$238*(1+vanilla2)^0.5)/A28stdlife))</f>
        <v>n/a</v>
      </c>
      <c r="P430" s="69" t="str">
        <f>IF(A28stdlife="n/a","n/a",IF(P$3&gt;(A28stdlife+$F430),(Input!$I$238*(1+vanilla2)^0.5)-SUM($I430:O430),(Input!$I$238*(1+vanilla2)^0.5)/A28stdlife))</f>
        <v>n/a</v>
      </c>
      <c r="Q430" s="69" t="str">
        <f>IF(A28stdlife="n/a","n/a",IF(Q$3&gt;(A28stdlife+$F430),(Input!$I$238*(1+vanilla2)^0.5)-SUM($I430:P430),(Input!$I$238*(1+vanilla2)^0.5)/A28stdlife))</f>
        <v>n/a</v>
      </c>
      <c r="R430" s="69"/>
      <c r="S430" s="103"/>
      <c r="T430" s="103"/>
      <c r="U430" s="103"/>
      <c r="V430" s="103"/>
      <c r="W430" s="103"/>
      <c r="X430" s="103"/>
      <c r="Y430" s="103"/>
      <c r="Z430" s="103"/>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92"/>
      <c r="F431" s="87">
        <v>3</v>
      </c>
      <c r="G431" s="121"/>
      <c r="H431" s="146"/>
      <c r="I431" s="148"/>
      <c r="J431" s="147"/>
      <c r="K431" s="69" t="str">
        <f>IF(A28stdlife="n/a","n/a",IF(K$3&gt;(A28stdlife+$F431),(Input!$J$238*(1+vanilla3)^0.5)-SUM($J431:J431),(Input!$J$238*(1+vanilla3)^0.5)/A28stdlife))</f>
        <v>n/a</v>
      </c>
      <c r="L431" s="69" t="str">
        <f>IF(A28stdlife="n/a","n/a",IF(L$3&gt;(A28stdlife+$F431),(Input!$J$238*(1+vanilla3)^0.5)-SUM($J431:K431),(Input!$J$238*(1+vanilla3)^0.5)/A28stdlife))</f>
        <v>n/a</v>
      </c>
      <c r="M431" s="69" t="str">
        <f>IF(A28stdlife="n/a","n/a",IF(M$3&gt;(A28stdlife+$F431),(Input!$J$238*(1+vanilla3)^0.5)-SUM($J431:L431),(Input!$J$238*(1+vanilla3)^0.5)/A28stdlife))</f>
        <v>n/a</v>
      </c>
      <c r="N431" s="69" t="str">
        <f>IF(A28stdlife="n/a","n/a",IF(N$3&gt;(A28stdlife+$F431),(Input!$J$238*(1+vanilla3)^0.5)-SUM($J431:M431),(Input!$J$238*(1+vanilla3)^0.5)/A28stdlife))</f>
        <v>n/a</v>
      </c>
      <c r="O431" s="69" t="str">
        <f>IF(A28stdlife="n/a","n/a",IF(O$3&gt;(A28stdlife+$F431),(Input!$J$238*(1+vanilla3)^0.5)-SUM($J431:N431),(Input!$J$238*(1+vanilla3)^0.5)/A28stdlife))</f>
        <v>n/a</v>
      </c>
      <c r="P431" s="69" t="str">
        <f>IF(A28stdlife="n/a","n/a",IF(P$3&gt;(A28stdlife+$F431),(Input!$J$238*(1+vanilla3)^0.5)-SUM($J431:O431),(Input!$J$238*(1+vanilla3)^0.5)/A28stdlife))</f>
        <v>n/a</v>
      </c>
      <c r="Q431" s="69" t="str">
        <f>IF(A28stdlife="n/a","n/a",IF(Q$3&gt;(A28stdlife+$F431),(Input!$J$238*(1+vanilla3)^0.5)-SUM($J431:P431),(Input!$J$238*(1+vanilla3)^0.5)/A28stdlife))</f>
        <v>n/a</v>
      </c>
      <c r="R431" s="69"/>
      <c r="S431" s="103"/>
      <c r="T431" s="103"/>
      <c r="U431" s="103"/>
      <c r="V431" s="103"/>
      <c r="W431" s="103"/>
      <c r="X431" s="103"/>
      <c r="Y431" s="103"/>
      <c r="Z431" s="103"/>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92"/>
      <c r="F432" s="87">
        <v>4</v>
      </c>
      <c r="G432" s="121"/>
      <c r="H432" s="146"/>
      <c r="I432" s="148"/>
      <c r="J432" s="148"/>
      <c r="K432" s="147"/>
      <c r="L432" s="69" t="str">
        <f>IF(A28stdlife="n/a","n/a",IF(L$3&gt;(A28stdlife+$F432),(Input!$K$238*(1+vanilla4)^0.5)-SUM($K432:K432),(Input!$K$238*(1+vanilla4)^0.5)/A28stdlife))</f>
        <v>n/a</v>
      </c>
      <c r="M432" s="69" t="str">
        <f>IF(A28stdlife="n/a","n/a",IF(M$3&gt;(A28stdlife+$F432),(Input!$K$238*(1+vanilla4)^0.5)-SUM($K432:L432),(Input!$K$238*(1+vanilla4)^0.5)/A28stdlife))</f>
        <v>n/a</v>
      </c>
      <c r="N432" s="69" t="str">
        <f>IF(A28stdlife="n/a","n/a",IF(N$3&gt;(A28stdlife+$F432),(Input!$K$238*(1+vanilla4)^0.5)-SUM($K432:M432),(Input!$K$238*(1+vanilla4)^0.5)/A28stdlife))</f>
        <v>n/a</v>
      </c>
      <c r="O432" s="69" t="str">
        <f>IF(A28stdlife="n/a","n/a",IF(O$3&gt;(A28stdlife+$F432),(Input!$K$238*(1+vanilla4)^0.5)-SUM($K432:N432),(Input!$K$238*(1+vanilla4)^0.5)/A28stdlife))</f>
        <v>n/a</v>
      </c>
      <c r="P432" s="69" t="str">
        <f>IF(A28stdlife="n/a","n/a",IF(P$3&gt;(A28stdlife+$F432),(Input!$K$238*(1+vanilla4)^0.5)-SUM($K432:O432),(Input!$K$238*(1+vanilla4)^0.5)/A28stdlife))</f>
        <v>n/a</v>
      </c>
      <c r="Q432" s="69" t="str">
        <f>IF(A28stdlife="n/a","n/a",IF(Q$3&gt;(A28stdlife+$F432),(Input!$K$238*(1+vanilla4)^0.5)-SUM($K432:P432),(Input!$K$238*(1+vanilla4)^0.5)/A28stdlife))</f>
        <v>n/a</v>
      </c>
      <c r="R432" s="69"/>
      <c r="S432" s="103"/>
      <c r="T432" s="103"/>
      <c r="U432" s="103"/>
      <c r="V432" s="103"/>
      <c r="W432" s="103"/>
      <c r="X432" s="103"/>
      <c r="Y432" s="103"/>
      <c r="Z432" s="103"/>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9"/>
      <c r="B433" s="9"/>
      <c r="C433" s="9"/>
      <c r="D433" s="26"/>
      <c r="E433" s="392"/>
      <c r="F433" s="87">
        <v>5</v>
      </c>
      <c r="G433" s="27"/>
      <c r="H433" s="146"/>
      <c r="I433" s="148"/>
      <c r="J433" s="148"/>
      <c r="K433" s="148"/>
      <c r="L433" s="147"/>
      <c r="M433" s="69" t="str">
        <f>IF(A28stdlife="n/a","n/a",IF(M$3&gt;(A28stdlife+$F433),(Input!$L$238*(1+vanilla5)^0.5)-SUM($L433:L433),(Input!$L$238*(1+vanilla5)^0.5)/A28stdlife))</f>
        <v>n/a</v>
      </c>
      <c r="N433" s="69" t="str">
        <f>IF(A28stdlife="n/a","n/a",IF(N$3&gt;(A28stdlife+$F433),(Input!$L$238*(1+vanilla5)^0.5)-SUM($L433:M433),(Input!$L$238*(1+vanilla5)^0.5)/A28stdlife))</f>
        <v>n/a</v>
      </c>
      <c r="O433" s="69" t="str">
        <f>IF(A28stdlife="n/a","n/a",IF(O$3&gt;(A28stdlife+$F433),(Input!$L$238*(1+vanilla5)^0.5)-SUM($L433:N433),(Input!$L$238*(1+vanilla5)^0.5)/A28stdlife))</f>
        <v>n/a</v>
      </c>
      <c r="P433" s="69" t="str">
        <f>IF(A28stdlife="n/a","n/a",IF(P$3&gt;(A28stdlife+$F433),(Input!$L$238*(1+vanilla5)^0.5)-SUM($L433:O433),(Input!$L$238*(1+vanilla5)^0.5)/A28stdlife))</f>
        <v>n/a</v>
      </c>
      <c r="Q433" s="69" t="str">
        <f>IF(A28stdlife="n/a","n/a",IF(Q$3&gt;(A28stdlife+$F433),(Input!$L$238*(1+vanilla5)^0.5)-SUM($L433:P433),(Input!$L$238*(1+vanilla5)^0.5)/A28stdlife))</f>
        <v>n/a</v>
      </c>
      <c r="R433" s="69"/>
      <c r="S433" s="103"/>
      <c r="T433" s="103"/>
      <c r="U433" s="103"/>
      <c r="V433" s="103"/>
      <c r="W433" s="103"/>
      <c r="X433" s="103"/>
      <c r="Y433" s="103"/>
      <c r="Z433" s="103"/>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103"/>
      <c r="BE433" s="103"/>
      <c r="BF433" s="103"/>
      <c r="BG433" s="103"/>
      <c r="BH433" s="103"/>
      <c r="BI433" s="103"/>
      <c r="BJ433" s="103"/>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9"/>
      <c r="B434" s="9"/>
      <c r="C434" s="9"/>
      <c r="D434" s="26"/>
      <c r="E434" s="392"/>
      <c r="F434" s="87">
        <v>6</v>
      </c>
      <c r="G434" s="27"/>
      <c r="H434" s="146"/>
      <c r="I434" s="148"/>
      <c r="J434" s="148"/>
      <c r="K434" s="148"/>
      <c r="L434" s="148"/>
      <c r="M434" s="147"/>
      <c r="N434" s="69" t="str">
        <f>IF(A28stdlife="n/a","n/a",IF(N$3&gt;(A28stdlife+$F434),(Input!$M$238*(1+vanilla6)^0.5)-SUM($M434:M434),(Input!$M$238*(1+vanilla6)^0.5)/A28stdlife))</f>
        <v>n/a</v>
      </c>
      <c r="O434" s="69" t="str">
        <f>IF(A28stdlife="n/a","n/a",IF(O$3&gt;(A28stdlife+$F434),(Input!$M$238*(1+vanilla6)^0.5)-SUM($M434:N434),(Input!$M$238*(1+vanilla6)^0.5)/A28stdlife))</f>
        <v>n/a</v>
      </c>
      <c r="P434" s="69" t="str">
        <f>IF(A28stdlife="n/a","n/a",IF(P$3&gt;(A28stdlife+$F434),(Input!$M$238*(1+vanilla6)^0.5)-SUM($M434:O434),(Input!$M$238*(1+vanilla6)^0.5)/A28stdlife))</f>
        <v>n/a</v>
      </c>
      <c r="Q434" s="69" t="str">
        <f>IF(A28stdlife="n/a","n/a",IF(Q$3&gt;(A28stdlife+$F434),(Input!$M$238*(1+vanilla6)^0.5)-SUM($M434:P434),(Input!$M$238*(1+vanilla6)^0.5)/A28stdlife))</f>
        <v>n/a</v>
      </c>
      <c r="R434" s="69"/>
      <c r="S434" s="103"/>
      <c r="T434" s="103"/>
      <c r="U434" s="103"/>
      <c r="V434" s="103"/>
      <c r="W434" s="103"/>
      <c r="X434" s="103"/>
      <c r="Y434" s="103"/>
      <c r="Z434" s="103"/>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103"/>
      <c r="BE434" s="103"/>
      <c r="BF434" s="103"/>
      <c r="BG434" s="103"/>
      <c r="BH434" s="103"/>
      <c r="BI434" s="103"/>
      <c r="BJ434" s="103"/>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c r="A435" s="9"/>
      <c r="B435" s="9"/>
      <c r="C435" s="9"/>
      <c r="D435" s="26"/>
      <c r="E435" s="392"/>
      <c r="F435" s="87">
        <v>7</v>
      </c>
      <c r="G435" s="27"/>
      <c r="H435" s="146"/>
      <c r="I435" s="148"/>
      <c r="J435" s="148"/>
      <c r="K435" s="148"/>
      <c r="L435" s="148"/>
      <c r="M435" s="148"/>
      <c r="N435" s="147"/>
      <c r="O435" s="69" t="str">
        <f>IF(A28stdlife="n/a","n/a",IF(O$3&gt;(A28stdlife+$F435),(Input!N$238*(1+vanilla7)^0.5)-SUM($N435:N435),(Input!$N$238*(1+vanilla7)^0.5)/A28stdlife))</f>
        <v>n/a</v>
      </c>
      <c r="P435" s="69" t="str">
        <f>IF(A28stdlife="n/a","n/a",IF(P$3&gt;(A28stdlife+$F435),(Input!O$238*(1+vanilla7)^0.5)-SUM($N435:O435),(Input!$N$238*(1+vanilla7)^0.5)/A28stdlife))</f>
        <v>n/a</v>
      </c>
      <c r="Q435" s="69" t="str">
        <f>IF(A28stdlife="n/a","n/a",IF(Q$3&gt;(A28stdlife+$F435),(Input!P$238*(1+vanilla7)^0.5)-SUM($N435:P435),(Input!$N$238*(1+vanilla7)^0.5)/A28stdlife))</f>
        <v>n/a</v>
      </c>
      <c r="R435" s="69"/>
      <c r="S435" s="103"/>
      <c r="T435" s="103"/>
      <c r="U435" s="103"/>
      <c r="V435" s="103"/>
      <c r="W435" s="103"/>
      <c r="X435" s="103"/>
      <c r="Y435" s="103"/>
      <c r="Z435" s="103"/>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103"/>
      <c r="BE435" s="103"/>
      <c r="BF435" s="103"/>
      <c r="BG435" s="103"/>
      <c r="BH435" s="103"/>
      <c r="BI435" s="103"/>
      <c r="BJ435" s="103"/>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c r="A436" s="9"/>
      <c r="B436" s="9"/>
      <c r="C436" s="9"/>
      <c r="D436" s="26"/>
      <c r="E436" s="392"/>
      <c r="F436" s="87">
        <v>8</v>
      </c>
      <c r="G436" s="27"/>
      <c r="H436" s="146"/>
      <c r="I436" s="148"/>
      <c r="J436" s="148"/>
      <c r="K436" s="148"/>
      <c r="L436" s="148"/>
      <c r="M436" s="148"/>
      <c r="N436" s="148"/>
      <c r="O436" s="147"/>
      <c r="P436" s="69" t="str">
        <f>IF(A28stdlife="n/a","n/a",IF(P$3&gt;(A28stdlife+$F436),(Input!$O$238*(1+vanilla8)^0.5)-SUM($O436:O436),(Input!$O$238*(1+vanilla8)^0.5)/A28stdlife))</f>
        <v>n/a</v>
      </c>
      <c r="Q436" s="69" t="str">
        <f>IF(A28stdlife="n/a","n/a",IF(Q$3&gt;(A28stdlife+$F436),(Input!$O$238*(1+vanilla8)^0.5)-SUM($O436:P436),(Input!$O$238*(1+vanilla8)^0.5)/A28stdlife))</f>
        <v>n/a</v>
      </c>
      <c r="R436" s="69"/>
      <c r="S436" s="103"/>
      <c r="T436" s="103"/>
      <c r="U436" s="103"/>
      <c r="V436" s="103"/>
      <c r="W436" s="103"/>
      <c r="X436" s="103"/>
      <c r="Y436" s="103"/>
      <c r="Z436" s="103"/>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103"/>
      <c r="BE436" s="103"/>
      <c r="BF436" s="103"/>
      <c r="BG436" s="103"/>
      <c r="BH436" s="103"/>
      <c r="BI436" s="103"/>
      <c r="BJ436" s="103"/>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c r="A437" s="9"/>
      <c r="B437" s="9"/>
      <c r="C437" s="9"/>
      <c r="D437" s="26"/>
      <c r="E437" s="392"/>
      <c r="F437" s="87">
        <v>9</v>
      </c>
      <c r="G437" s="27"/>
      <c r="H437" s="146"/>
      <c r="I437" s="148"/>
      <c r="J437" s="148"/>
      <c r="K437" s="148"/>
      <c r="L437" s="148"/>
      <c r="M437" s="148"/>
      <c r="N437" s="148"/>
      <c r="O437" s="148"/>
      <c r="P437" s="147"/>
      <c r="Q437" s="69" t="str">
        <f>IF(A28stdlife="n/a","n/a",IF(Q$3&gt;(A28stdlife+$F437),(Input!$P$238*(1+vanilla9)^0.5)-SUM($P437:P437),(Input!$P$238*(1+vanilla9)^0.5)/A28stdlife))</f>
        <v>n/a</v>
      </c>
      <c r="R437" s="69"/>
      <c r="S437" s="103"/>
      <c r="T437" s="103"/>
      <c r="U437" s="103"/>
      <c r="V437" s="103"/>
      <c r="W437" s="103"/>
      <c r="X437" s="103"/>
      <c r="Y437" s="103"/>
      <c r="Z437" s="103"/>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103"/>
      <c r="BE437" s="103"/>
      <c r="BF437" s="103"/>
      <c r="BG437" s="103"/>
      <c r="BH437" s="103"/>
      <c r="BI437" s="103"/>
      <c r="BJ437" s="103"/>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9"/>
      <c r="B438" s="9"/>
      <c r="C438" s="9"/>
      <c r="D438" s="26"/>
      <c r="E438" s="392"/>
      <c r="F438" s="88">
        <v>10</v>
      </c>
      <c r="G438" s="27"/>
      <c r="H438" s="146"/>
      <c r="I438" s="148"/>
      <c r="J438" s="148"/>
      <c r="K438" s="148"/>
      <c r="L438" s="148"/>
      <c r="M438" s="148"/>
      <c r="N438" s="148"/>
      <c r="O438" s="148"/>
      <c r="P438" s="148"/>
      <c r="Q438" s="147"/>
      <c r="R438" s="69"/>
      <c r="S438" s="103"/>
      <c r="T438" s="103"/>
      <c r="U438" s="103"/>
      <c r="V438" s="103"/>
      <c r="W438" s="103"/>
      <c r="X438" s="103"/>
      <c r="Y438" s="103"/>
      <c r="Z438" s="103"/>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103"/>
      <c r="BE438" s="103"/>
      <c r="BF438" s="103"/>
      <c r="BG438" s="103"/>
      <c r="BH438" s="103"/>
      <c r="BI438" s="103"/>
      <c r="BJ438" s="103"/>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ollapsed="1">
      <c r="A439" s="9"/>
      <c r="B439" s="9"/>
      <c r="C439" s="9"/>
      <c r="D439" s="271">
        <f>Asset28</f>
        <v>0</v>
      </c>
      <c r="E439" s="9"/>
      <c r="F439" s="9"/>
      <c r="G439" s="121"/>
      <c r="H439" s="162">
        <f t="shared" ref="H439:M439" si="31">-SUM(H427:H438)</f>
        <v>0</v>
      </c>
      <c r="I439" s="162">
        <f t="shared" si="31"/>
        <v>0</v>
      </c>
      <c r="J439" s="162">
        <f t="shared" si="31"/>
        <v>0</v>
      </c>
      <c r="K439" s="162">
        <f t="shared" si="31"/>
        <v>0</v>
      </c>
      <c r="L439" s="162">
        <f t="shared" si="31"/>
        <v>0</v>
      </c>
      <c r="M439" s="162">
        <f t="shared" si="31"/>
        <v>0</v>
      </c>
      <c r="N439" s="69">
        <f>IF(COUNT($H439:M439)&gt;=Input!$Y$7,0, -SUM(N427:N438))</f>
        <v>0</v>
      </c>
      <c r="O439" s="69">
        <f>IF(COUNT($H439:N439)&gt;=Input!$Y$7,0, -SUM(O427:O438))</f>
        <v>0</v>
      </c>
      <c r="P439" s="69">
        <f>IF(COUNT($H439:O439)&gt;=Input!$Y$7,0, -SUM(P427:P438))</f>
        <v>0</v>
      </c>
      <c r="Q439" s="69">
        <f>IF(COUNT($H439:P439)&gt;=Input!$Y$7,0, -SUM(Q427:Q438))</f>
        <v>0</v>
      </c>
      <c r="R439" s="67"/>
      <c r="S439" s="105"/>
      <c r="T439" s="105"/>
      <c r="U439" s="105"/>
      <c r="V439" s="105"/>
      <c r="W439" s="105"/>
      <c r="X439" s="105"/>
      <c r="Y439" s="105"/>
      <c r="Z439" s="105"/>
      <c r="AA439" s="233"/>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105"/>
      <c r="BE439" s="105"/>
      <c r="BF439" s="105"/>
      <c r="BG439" s="105"/>
      <c r="BH439" s="105"/>
      <c r="BI439" s="105"/>
      <c r="BJ439" s="105"/>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72">
        <f>Asset29</f>
        <v>0</v>
      </c>
      <c r="D440" s="158"/>
      <c r="E440" s="32" t="s">
        <v>26</v>
      </c>
      <c r="F440" s="31"/>
      <c r="G440" s="177"/>
      <c r="H440" s="68" t="str">
        <f>IF(H$3&gt;A29remlife,A29value-$G$658-SUM($G440:G440),IF(A29remlife="N/A","n/a",(A29value-$G$658)/A29remlife))</f>
        <v>n/a</v>
      </c>
      <c r="I440" s="68" t="str">
        <f>IF(I$3&gt;A29remlife,A29value-$G$658-SUM($G440:H440),IF(A29remlife="N/A","n/a",(A29value-$G$658)/A29remlife))</f>
        <v>n/a</v>
      </c>
      <c r="J440" s="68" t="str">
        <f>IF(J$3&gt;A29remlife,A29value-$G$658-SUM($G440:I440),IF(A29remlife="N/A","n/a",(A29value-$G$658)/A29remlife))</f>
        <v>n/a</v>
      </c>
      <c r="K440" s="68" t="str">
        <f>IF(K$3&gt;A29remlife,A29value-$G$658-SUM($G440:J440),IF(A29remlife="N/A","n/a",(A29value-$G$658)/A29remlife))</f>
        <v>n/a</v>
      </c>
      <c r="L440" s="68" t="str">
        <f>IF(L$3&gt;A29remlife,A29value-$G$658-SUM($G440:K440),IF(A29remlife="N/A","n/a",(A29value-$G$658)/A29remlife))</f>
        <v>n/a</v>
      </c>
      <c r="M440" s="68" t="str">
        <f>IF(M$3&gt;A29remlife,A29value-$G$658-SUM($G440:L440),IF(A29remlife="N/A","n/a",(A29value-$G$658)/A29remlife))</f>
        <v>n/a</v>
      </c>
      <c r="N440" s="68" t="str">
        <f>IF(N$3&gt;A29remlife,A29value-$G$658-SUM($G440:M440),IF(A29remlife="N/A","n/a",(A29value-$G$658)/A29remlife))</f>
        <v>n/a</v>
      </c>
      <c r="O440" s="68" t="str">
        <f>IF(O$3&gt;A29remlife,A29value-$G$658-SUM($G440:N440),IF(A29remlife="N/A","n/a",(A29value-$G$658)/A29remlife))</f>
        <v>n/a</v>
      </c>
      <c r="P440" s="68" t="str">
        <f>IF(P$3&gt;A29remlife,A29value-$G$658-SUM($G440:O440),IF(A29remlife="N/A","n/a",(A29value-$G$658)/A29remlife))</f>
        <v>n/a</v>
      </c>
      <c r="Q440" s="68" t="str">
        <f>IF(Q$3&gt;A29remlife,A29value-$G$658-SUM($G440:P440),IF(A29remlife="N/A","n/a",(A29value-$G$658)/A29remlife))</f>
        <v>n/a</v>
      </c>
      <c r="R440" s="68"/>
      <c r="S440" s="103"/>
      <c r="T440" s="103"/>
      <c r="U440" s="103"/>
      <c r="V440" s="103"/>
      <c r="W440" s="103"/>
      <c r="X440" s="103"/>
      <c r="Y440" s="103"/>
      <c r="Z440" s="103"/>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103"/>
      <c r="BE440" s="103"/>
      <c r="BF440" s="103"/>
      <c r="BG440" s="103"/>
      <c r="BH440" s="103"/>
      <c r="BI440" s="103"/>
      <c r="BJ440" s="103"/>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9"/>
      <c r="D441" s="26"/>
      <c r="E441" s="391" t="s">
        <v>82</v>
      </c>
      <c r="F441" s="87"/>
      <c r="G441" s="121"/>
      <c r="H441" s="69"/>
      <c r="I441" s="69"/>
      <c r="J441" s="69"/>
      <c r="K441" s="69"/>
      <c r="L441" s="69"/>
      <c r="M441" s="160"/>
      <c r="N441" s="112"/>
      <c r="O441" s="69"/>
      <c r="P441" s="69"/>
      <c r="Q441" s="69"/>
      <c r="R441" s="69"/>
      <c r="S441" s="103"/>
      <c r="T441" s="103"/>
      <c r="U441" s="103"/>
      <c r="V441" s="103"/>
      <c r="W441" s="103"/>
      <c r="X441" s="103"/>
      <c r="Y441" s="103"/>
      <c r="Z441" s="103"/>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103"/>
      <c r="BE441" s="103"/>
      <c r="BF441" s="103"/>
      <c r="BG441" s="103"/>
      <c r="BH441" s="103"/>
      <c r="BI441" s="103"/>
      <c r="BJ441" s="103"/>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9"/>
      <c r="D442" s="26"/>
      <c r="E442" s="392"/>
      <c r="F442" s="87">
        <v>1</v>
      </c>
      <c r="G442" s="121"/>
      <c r="H442" s="145"/>
      <c r="I442" s="69" t="str">
        <f>IF(A29stdlife="n/a","n/a",IF(I$3&gt;(A29stdlife+$F442),(Input!$H$239*(1+vanilla1)^0.5)-SUM($H442:H442),(Input!$H$239*(1+vanilla1)^0.5)/A29stdlife))</f>
        <v>n/a</v>
      </c>
      <c r="J442" s="69" t="str">
        <f>IF(A29stdlife="n/a","n/a",IF(J$3&gt;(A29stdlife+$F442),(Input!$H$239*(1+vanilla1)^0.5)-SUM($H442:I442),(Input!$H$239*(1+vanilla1)^0.5)/A29stdlife))</f>
        <v>n/a</v>
      </c>
      <c r="K442" s="69" t="str">
        <f>IF(A29stdlife="n/a","n/a",IF(K$3&gt;(A29stdlife+$F442),(Input!$H$239*(1+vanilla1)^0.5)-SUM($H442:J442),(Input!$H$239*(1+vanilla1)^0.5)/A29stdlife))</f>
        <v>n/a</v>
      </c>
      <c r="L442" s="69" t="str">
        <f>IF(A29stdlife="n/a","n/a",IF(L$3&gt;(A29stdlife+$F442),(Input!$H$239*(1+vanilla1)^0.5)-SUM($H442:K442),(Input!$H$239*(1+vanilla1)^0.5)/A29stdlife))</f>
        <v>n/a</v>
      </c>
      <c r="M442" s="69" t="str">
        <f>IF(A29stdlife="n/a","n/a",IF(M$3&gt;(A29stdlife+$F442),(Input!$H$239*(1+vanilla1)^0.5)-SUM($H442:L442),(Input!$H$239*(1+vanilla1)^0.5)/A29stdlife))</f>
        <v>n/a</v>
      </c>
      <c r="N442" s="69" t="str">
        <f>IF(A29stdlife="n/a","n/a",IF(N$3&gt;(A29stdlife+$F442),(Input!$H$239*(1+vanilla1)^0.5)-SUM($H442:M442),(Input!$H$239*(1+vanilla1)^0.5)/A29stdlife))</f>
        <v>n/a</v>
      </c>
      <c r="O442" s="69" t="str">
        <f>IF(A29stdlife="n/a","n/a",IF(O$3&gt;(A29stdlife+$F442),(Input!$H$239*(1+vanilla1)^0.5)-SUM($H442:N442),(Input!$H$239*(1+vanilla1)^0.5)/A29stdlife))</f>
        <v>n/a</v>
      </c>
      <c r="P442" s="69" t="str">
        <f>IF(A29stdlife="n/a","n/a",IF(P$3&gt;(A29stdlife+$F442),(Input!$H$239*(1+vanilla1)^0.5)-SUM($H442:O442),(Input!$H$239*(1+vanilla1)^0.5)/A29stdlife))</f>
        <v>n/a</v>
      </c>
      <c r="Q442" s="69" t="str">
        <f>IF(A29stdlife="n/a","n/a",IF(Q$3&gt;(A29stdlife+$F442),(Input!$H$239*(1+vanilla1)^0.5)-SUM($H442:P442),(Input!$H$239*(1+vanilla1)^0.5)/A29stdlife))</f>
        <v>n/a</v>
      </c>
      <c r="R442" s="69"/>
      <c r="S442" s="103"/>
      <c r="T442" s="103"/>
      <c r="U442" s="103"/>
      <c r="V442" s="103"/>
      <c r="W442" s="103"/>
      <c r="X442" s="103"/>
      <c r="Y442" s="103"/>
      <c r="Z442" s="103"/>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103"/>
      <c r="BE442" s="103"/>
      <c r="BF442" s="103"/>
      <c r="BG442" s="103"/>
      <c r="BH442" s="103"/>
      <c r="BI442" s="103"/>
      <c r="BJ442" s="103"/>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9"/>
      <c r="D443" s="26"/>
      <c r="E443" s="392"/>
      <c r="F443" s="87">
        <v>2</v>
      </c>
      <c r="G443" s="121"/>
      <c r="H443" s="146"/>
      <c r="I443" s="147"/>
      <c r="J443" s="69" t="str">
        <f>IF(A29stdlife="n/a","n/a",IF(J$3&gt;(A29stdlife+$F443),(Input!$I$239*(1+vanilla2)^0.5)-SUM($I443:I443),(Input!$I$239*(1+vanilla2)^0.5)/A29stdlife))</f>
        <v>n/a</v>
      </c>
      <c r="K443" s="69" t="str">
        <f>IF(A29stdlife="n/a","n/a",IF(K$3&gt;(A29stdlife+$F443),(Input!$I$239*(1+vanilla2)^0.5)-SUM($I443:J443),(Input!$I$239*(1+vanilla2)^0.5)/A29stdlife))</f>
        <v>n/a</v>
      </c>
      <c r="L443" s="69" t="str">
        <f>IF(A29stdlife="n/a","n/a",IF(L$3&gt;(A29stdlife+$F443),(Input!$I$239*(1+vanilla2)^0.5)-SUM($I443:K443),(Input!$I$239*(1+vanilla2)^0.5)/A29stdlife))</f>
        <v>n/a</v>
      </c>
      <c r="M443" s="69" t="str">
        <f>IF(A29stdlife="n/a","n/a",IF(M$3&gt;(A29stdlife+$F443),(Input!$I$239*(1+vanilla2)^0.5)-SUM($I443:L443),(Input!$I$239*(1+vanilla2)^0.5)/A29stdlife))</f>
        <v>n/a</v>
      </c>
      <c r="N443" s="69" t="str">
        <f>IF(A29stdlife="n/a","n/a",IF(N$3&gt;(A29stdlife+$F443),(Input!$I$239*(1+vanilla2)^0.5)-SUM($I443:M443),(Input!$I$239*(1+vanilla2)^0.5)/A29stdlife))</f>
        <v>n/a</v>
      </c>
      <c r="O443" s="69" t="str">
        <f>IF(A29stdlife="n/a","n/a",IF(O$3&gt;(A29stdlife+$F443),(Input!$I$239*(1+vanilla2)^0.5)-SUM($I443:N443),(Input!$I$239*(1+vanilla2)^0.5)/A29stdlife))</f>
        <v>n/a</v>
      </c>
      <c r="P443" s="69" t="str">
        <f>IF(A29stdlife="n/a","n/a",IF(P$3&gt;(A29stdlife+$F443),(Input!$I$239*(1+vanilla2)^0.5)-SUM($I443:O443),(Input!$I$239*(1+vanilla2)^0.5)/A29stdlife))</f>
        <v>n/a</v>
      </c>
      <c r="Q443" s="69" t="str">
        <f>IF(A29stdlife="n/a","n/a",IF(Q$3&gt;(A29stdlife+$F443),(Input!$I$239*(1+vanilla2)^0.5)-SUM($I443:P443),(Input!$I$239*(1+vanilla2)^0.5)/A29stdlife))</f>
        <v>n/a</v>
      </c>
      <c r="R443" s="69"/>
      <c r="S443" s="103"/>
      <c r="T443" s="103"/>
      <c r="U443" s="103"/>
      <c r="V443" s="103"/>
      <c r="W443" s="103"/>
      <c r="X443" s="103"/>
      <c r="Y443" s="103"/>
      <c r="Z443" s="103"/>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103"/>
      <c r="BE443" s="103"/>
      <c r="BF443" s="103"/>
      <c r="BG443" s="103"/>
      <c r="BH443" s="103"/>
      <c r="BI443" s="103"/>
      <c r="BJ443" s="103"/>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9"/>
      <c r="D444" s="26"/>
      <c r="E444" s="392"/>
      <c r="F444" s="87">
        <v>3</v>
      </c>
      <c r="G444" s="121"/>
      <c r="H444" s="146"/>
      <c r="I444" s="148"/>
      <c r="J444" s="147"/>
      <c r="K444" s="69" t="str">
        <f>IF(A29stdlife="n/a","n/a",IF(K$3&gt;(A29stdlife+$F444),(Input!$J$239*(1+vanilla3)^0.5)-SUM($J444:J444),(Input!$J$239*(1+vanilla3)^0.5)/A29stdlife))</f>
        <v>n/a</v>
      </c>
      <c r="L444" s="69" t="str">
        <f>IF(A29stdlife="n/a","n/a",IF(L$3&gt;(A29stdlife+$F444),(Input!$J$239*(1+vanilla3)^0.5)-SUM($J444:K444),(Input!$J$239*(1+vanilla3)^0.5)/A29stdlife))</f>
        <v>n/a</v>
      </c>
      <c r="M444" s="69" t="str">
        <f>IF(A29stdlife="n/a","n/a",IF(M$3&gt;(A29stdlife+$F444),(Input!$J$239*(1+vanilla3)^0.5)-SUM($J444:L444),(Input!$J$239*(1+vanilla3)^0.5)/A29stdlife))</f>
        <v>n/a</v>
      </c>
      <c r="N444" s="69" t="str">
        <f>IF(A29stdlife="n/a","n/a",IF(N$3&gt;(A29stdlife+$F444),(Input!$J$239*(1+vanilla3)^0.5)-SUM($J444:M444),(Input!$J$239*(1+vanilla3)^0.5)/A29stdlife))</f>
        <v>n/a</v>
      </c>
      <c r="O444" s="69" t="str">
        <f>IF(A29stdlife="n/a","n/a",IF(O$3&gt;(A29stdlife+$F444),(Input!$J$239*(1+vanilla3)^0.5)-SUM($J444:N444),(Input!$J$239*(1+vanilla3)^0.5)/A29stdlife))</f>
        <v>n/a</v>
      </c>
      <c r="P444" s="69" t="str">
        <f>IF(A29stdlife="n/a","n/a",IF(P$3&gt;(A29stdlife+$F444),(Input!$J$239*(1+vanilla3)^0.5)-SUM($J444:O444),(Input!$J$239*(1+vanilla3)^0.5)/A29stdlife))</f>
        <v>n/a</v>
      </c>
      <c r="Q444" s="69" t="str">
        <f>IF(A29stdlife="n/a","n/a",IF(Q$3&gt;(A29stdlife+$F444),(Input!$J$239*(1+vanilla3)^0.5)-SUM($J444:P444),(Input!$J$239*(1+vanilla3)^0.5)/A29stdlife))</f>
        <v>n/a</v>
      </c>
      <c r="R444" s="69"/>
      <c r="S444" s="103"/>
      <c r="T444" s="103"/>
      <c r="U444" s="103"/>
      <c r="V444" s="103"/>
      <c r="W444" s="103"/>
      <c r="X444" s="103"/>
      <c r="Y444" s="103"/>
      <c r="Z444" s="103"/>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103"/>
      <c r="BE444" s="103"/>
      <c r="BF444" s="103"/>
      <c r="BG444" s="103"/>
      <c r="BH444" s="103"/>
      <c r="BI444" s="103"/>
      <c r="BJ444" s="103"/>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9"/>
      <c r="D445" s="26"/>
      <c r="E445" s="392"/>
      <c r="F445" s="87">
        <v>4</v>
      </c>
      <c r="G445" s="121"/>
      <c r="H445" s="146"/>
      <c r="I445" s="148"/>
      <c r="J445" s="148"/>
      <c r="K445" s="147"/>
      <c r="L445" s="69" t="str">
        <f>IF(A29stdlife="n/a","n/a",IF(L$3&gt;(A29stdlife+$F445),(Input!$K$239*(1+vanilla4)^0.5)-SUM($K445:K445),(Input!$K$239*(1+vanilla4)^0.5)/A29stdlife))</f>
        <v>n/a</v>
      </c>
      <c r="M445" s="69" t="str">
        <f>IF(A29stdlife="n/a","n/a",IF(M$3&gt;(A29stdlife+$F445),(Input!$K$239*(1+vanilla4)^0.5)-SUM($K445:L445),(Input!$K$239*(1+vanilla4)^0.5)/A29stdlife))</f>
        <v>n/a</v>
      </c>
      <c r="N445" s="69" t="str">
        <f>IF(A29stdlife="n/a","n/a",IF(N$3&gt;(A29stdlife+$F445),(Input!$K$239*(1+vanilla4)^0.5)-SUM($K445:M445),(Input!$K$239*(1+vanilla4)^0.5)/A29stdlife))</f>
        <v>n/a</v>
      </c>
      <c r="O445" s="69" t="str">
        <f>IF(A29stdlife="n/a","n/a",IF(O$3&gt;(A29stdlife+$F445),(Input!$K$239*(1+vanilla4)^0.5)-SUM($K445:N445),(Input!$K$239*(1+vanilla4)^0.5)/A29stdlife))</f>
        <v>n/a</v>
      </c>
      <c r="P445" s="69" t="str">
        <f>IF(A29stdlife="n/a","n/a",IF(P$3&gt;(A29stdlife+$F445),(Input!$K$239*(1+vanilla4)^0.5)-SUM($K445:O445),(Input!$K$239*(1+vanilla4)^0.5)/A29stdlife))</f>
        <v>n/a</v>
      </c>
      <c r="Q445" s="69" t="str">
        <f>IF(A29stdlife="n/a","n/a",IF(Q$3&gt;(A29stdlife+$F445),(Input!$K$239*(1+vanilla4)^0.5)-SUM($K445:P445),(Input!$K$239*(1+vanilla4)^0.5)/A29stdlife))</f>
        <v>n/a</v>
      </c>
      <c r="R445" s="69"/>
      <c r="S445" s="103"/>
      <c r="T445" s="103"/>
      <c r="U445" s="103"/>
      <c r="V445" s="103"/>
      <c r="W445" s="103"/>
      <c r="X445" s="103"/>
      <c r="Y445" s="103"/>
      <c r="Z445" s="103"/>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103"/>
      <c r="BE445" s="103"/>
      <c r="BF445" s="103"/>
      <c r="BG445" s="103"/>
      <c r="BH445" s="103"/>
      <c r="BI445" s="103"/>
      <c r="BJ445" s="103"/>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9"/>
      <c r="D446" s="26"/>
      <c r="E446" s="392"/>
      <c r="F446" s="87">
        <v>5</v>
      </c>
      <c r="G446" s="27"/>
      <c r="H446" s="146"/>
      <c r="I446" s="148"/>
      <c r="J446" s="148"/>
      <c r="K446" s="148"/>
      <c r="L446" s="147"/>
      <c r="M446" s="69" t="str">
        <f>IF(A29stdlife="n/a","n/a",IF(M$3&gt;(A29stdlife+$F446),(Input!$L$239*(1+vanilla5)^0.5)-SUM($L446:L446),(Input!$L$239*(1+vanilla5)^0.5)/A29stdlife))</f>
        <v>n/a</v>
      </c>
      <c r="N446" s="69" t="str">
        <f>IF(A29stdlife="n/a","n/a",IF(N$3&gt;(A29stdlife+$F446),(Input!$L$239*(1+vanilla5)^0.5)-SUM($L446:M446),(Input!$L$239*(1+vanilla5)^0.5)/A29stdlife))</f>
        <v>n/a</v>
      </c>
      <c r="O446" s="69" t="str">
        <f>IF(A29stdlife="n/a","n/a",IF(O$3&gt;(A29stdlife+$F446),(Input!$L$239*(1+vanilla5)^0.5)-SUM($L446:N446),(Input!$L$239*(1+vanilla5)^0.5)/A29stdlife))</f>
        <v>n/a</v>
      </c>
      <c r="P446" s="69" t="str">
        <f>IF(A29stdlife="n/a","n/a",IF(P$3&gt;(A29stdlife+$F446),(Input!$L$239*(1+vanilla5)^0.5)-SUM($L446:O446),(Input!$L$239*(1+vanilla5)^0.5)/A29stdlife))</f>
        <v>n/a</v>
      </c>
      <c r="Q446" s="69" t="str">
        <f>IF(A29stdlife="n/a","n/a",IF(Q$3&gt;(A29stdlife+$F446),(Input!$L$239*(1+vanilla5)^0.5)-SUM($L446:P446),(Input!$L$239*(1+vanilla5)^0.5)/A29stdlife))</f>
        <v>n/a</v>
      </c>
      <c r="R446" s="69"/>
      <c r="S446" s="103"/>
      <c r="T446" s="103"/>
      <c r="U446" s="103"/>
      <c r="V446" s="103"/>
      <c r="W446" s="103"/>
      <c r="X446" s="103"/>
      <c r="Y446" s="103"/>
      <c r="Z446" s="103"/>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103"/>
      <c r="BE446" s="103"/>
      <c r="BF446" s="103"/>
      <c r="BG446" s="103"/>
      <c r="BH446" s="103"/>
      <c r="BI446" s="103"/>
      <c r="BJ446" s="103"/>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9"/>
      <c r="D447" s="26"/>
      <c r="E447" s="392"/>
      <c r="F447" s="87">
        <v>6</v>
      </c>
      <c r="G447" s="27"/>
      <c r="H447" s="146"/>
      <c r="I447" s="148"/>
      <c r="J447" s="148"/>
      <c r="K447" s="148"/>
      <c r="L447" s="148"/>
      <c r="M447" s="147"/>
      <c r="N447" s="69" t="str">
        <f>IF(A29stdlife="n/a","n/a",IF(N$3&gt;(A29stdlife+$F447),(Input!$M$239*(1+vanilla6)^0.5)-SUM($M447:M447),(Input!$M$239*(1+vanilla6)^0.5)/A29stdlife))</f>
        <v>n/a</v>
      </c>
      <c r="O447" s="69" t="str">
        <f>IF(A29stdlife="n/a","n/a",IF(O$3&gt;(A29stdlife+$F447),(Input!$M$239*(1+vanilla6)^0.5)-SUM($M447:N447),(Input!$M$239*(1+vanilla6)^0.5)/A29stdlife))</f>
        <v>n/a</v>
      </c>
      <c r="P447" s="69" t="str">
        <f>IF(A29stdlife="n/a","n/a",IF(P$3&gt;(A29stdlife+$F447),(Input!$M$239*(1+vanilla6)^0.5)-SUM($M447:O447),(Input!$M$239*(1+vanilla6)^0.5)/A29stdlife))</f>
        <v>n/a</v>
      </c>
      <c r="Q447" s="69" t="str">
        <f>IF(A29stdlife="n/a","n/a",IF(Q$3&gt;(A29stdlife+$F447),(Input!$M$239*(1+vanilla6)^0.5)-SUM($M447:P447),(Input!$M$239*(1+vanilla6)^0.5)/A29stdlife))</f>
        <v>n/a</v>
      </c>
      <c r="R447" s="69"/>
      <c r="S447" s="103"/>
      <c r="T447" s="103"/>
      <c r="U447" s="103"/>
      <c r="V447" s="103"/>
      <c r="W447" s="103"/>
      <c r="X447" s="103"/>
      <c r="Y447" s="103"/>
      <c r="Z447" s="103"/>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103"/>
      <c r="BE447" s="103"/>
      <c r="BF447" s="103"/>
      <c r="BG447" s="103"/>
      <c r="BH447" s="103"/>
      <c r="BI447" s="103"/>
      <c r="BJ447" s="103"/>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9"/>
      <c r="D448" s="26"/>
      <c r="E448" s="392"/>
      <c r="F448" s="87">
        <v>7</v>
      </c>
      <c r="G448" s="27"/>
      <c r="H448" s="146"/>
      <c r="I448" s="148"/>
      <c r="J448" s="148"/>
      <c r="K448" s="148"/>
      <c r="L448" s="148"/>
      <c r="M448" s="148"/>
      <c r="N448" s="147"/>
      <c r="O448" s="69" t="str">
        <f>IF(A29stdlife="n/a","n/a",IF(O$3&gt;(A29stdlife+$F448),(Input!N$239*(1+vanilla7)^0.5)-SUM($N448:N448),(Input!$N$239*(1+vanilla7)^0.5)/A29stdlife))</f>
        <v>n/a</v>
      </c>
      <c r="P448" s="69" t="str">
        <f>IF(A29stdlife="n/a","n/a",IF(P$3&gt;(A29stdlife+$F448),(Input!O$239*(1+vanilla7)^0.5)-SUM($N448:O448),(Input!$N$239*(1+vanilla7)^0.5)/A29stdlife))</f>
        <v>n/a</v>
      </c>
      <c r="Q448" s="69" t="str">
        <f>IF(A29stdlife="n/a","n/a",IF(Q$3&gt;(A29stdlife+$F448),(Input!P$239*(1+vanilla7)^0.5)-SUM($N448:P448),(Input!$N$239*(1+vanilla7)^0.5)/A29stdlife))</f>
        <v>n/a</v>
      </c>
      <c r="R448" s="69"/>
      <c r="S448" s="103"/>
      <c r="T448" s="103"/>
      <c r="U448" s="103"/>
      <c r="V448" s="103"/>
      <c r="W448" s="103"/>
      <c r="X448" s="103"/>
      <c r="Y448" s="103"/>
      <c r="Z448" s="103"/>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103"/>
      <c r="BE448" s="103"/>
      <c r="BF448" s="103"/>
      <c r="BG448" s="103"/>
      <c r="BH448" s="103"/>
      <c r="BI448" s="103"/>
      <c r="BJ448" s="103"/>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hidden="1" customHeight="1" outlineLevel="2">
      <c r="A449" s="9"/>
      <c r="B449" s="9"/>
      <c r="C449" s="9"/>
      <c r="D449" s="26"/>
      <c r="E449" s="392"/>
      <c r="F449" s="87">
        <v>8</v>
      </c>
      <c r="G449" s="27"/>
      <c r="H449" s="146"/>
      <c r="I449" s="148"/>
      <c r="J449" s="148"/>
      <c r="K449" s="148"/>
      <c r="L449" s="148"/>
      <c r="M449" s="148"/>
      <c r="N449" s="148"/>
      <c r="O449" s="147"/>
      <c r="P449" s="69" t="str">
        <f>IF(A29stdlife="n/a","n/a",IF(P$3&gt;(A29stdlife+$F449),(Input!$O$239*(1+vanilla8)^0.5)-SUM($O449:O449),(Input!$O$239*(1+vanilla8)^0.5)/A29stdlife))</f>
        <v>n/a</v>
      </c>
      <c r="Q449" s="69" t="str">
        <f>IF(A29stdlife="n/a","n/a",IF(Q$3&gt;(A29stdlife+$F449),(Input!$O$239*(1+vanilla8)^0.5)-SUM($O449:P449),(Input!$O$239*(1+vanilla8)^0.5)/A29stdlife))</f>
        <v>n/a</v>
      </c>
      <c r="R449" s="69"/>
      <c r="S449" s="103"/>
      <c r="T449" s="103"/>
      <c r="U449" s="103"/>
      <c r="V449" s="103"/>
      <c r="W449" s="103"/>
      <c r="X449" s="103"/>
      <c r="Y449" s="103"/>
      <c r="Z449" s="103"/>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103"/>
      <c r="BE449" s="103"/>
      <c r="BF449" s="103"/>
      <c r="BG449" s="103"/>
      <c r="BH449" s="103"/>
      <c r="BI449" s="103"/>
      <c r="BJ449" s="103"/>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9"/>
      <c r="D450" s="26"/>
      <c r="E450" s="392"/>
      <c r="F450" s="87">
        <v>9</v>
      </c>
      <c r="G450" s="27"/>
      <c r="H450" s="146"/>
      <c r="I450" s="148"/>
      <c r="J450" s="148"/>
      <c r="K450" s="148"/>
      <c r="L450" s="148"/>
      <c r="M450" s="148"/>
      <c r="N450" s="148"/>
      <c r="O450" s="148"/>
      <c r="P450" s="147"/>
      <c r="Q450" s="69" t="str">
        <f>IF(A29stdlife="n/a","n/a",IF(Q$3&gt;(A29stdlife+$F450),(Input!$P$239*(1+vanilla9)^0.5)-SUM($P450:P450),(Input!$P$239*(1+vanilla9)^0.5)/A29stdlife))</f>
        <v>n/a</v>
      </c>
      <c r="R450" s="69"/>
      <c r="S450" s="103"/>
      <c r="T450" s="103"/>
      <c r="U450" s="103"/>
      <c r="V450" s="103"/>
      <c r="W450" s="103"/>
      <c r="X450" s="103"/>
      <c r="Y450" s="103"/>
      <c r="Z450" s="103"/>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103"/>
      <c r="BE450" s="103"/>
      <c r="BF450" s="103"/>
      <c r="BG450" s="103"/>
      <c r="BH450" s="103"/>
      <c r="BI450" s="103"/>
      <c r="BJ450" s="103"/>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9"/>
      <c r="D451" s="26"/>
      <c r="E451" s="392"/>
      <c r="F451" s="88">
        <v>10</v>
      </c>
      <c r="G451" s="27"/>
      <c r="H451" s="146"/>
      <c r="I451" s="148"/>
      <c r="J451" s="148"/>
      <c r="K451" s="148"/>
      <c r="L451" s="148"/>
      <c r="M451" s="148"/>
      <c r="N451" s="148"/>
      <c r="O451" s="148"/>
      <c r="P451" s="148"/>
      <c r="Q451" s="147"/>
      <c r="R451" s="69"/>
      <c r="S451" s="103"/>
      <c r="T451" s="103"/>
      <c r="U451" s="103"/>
      <c r="V451" s="103"/>
      <c r="W451" s="103"/>
      <c r="X451" s="103"/>
      <c r="Y451" s="103"/>
      <c r="Z451" s="103"/>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103"/>
      <c r="BE451" s="103"/>
      <c r="BF451" s="103"/>
      <c r="BG451" s="103"/>
      <c r="BH451" s="103"/>
      <c r="BI451" s="103"/>
      <c r="BJ451" s="103"/>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ollapsed="1">
      <c r="A452" s="9"/>
      <c r="B452" s="9"/>
      <c r="C452" s="9"/>
      <c r="D452" s="271">
        <f>Asset29</f>
        <v>0</v>
      </c>
      <c r="E452" s="9"/>
      <c r="F452" s="9"/>
      <c r="G452" s="121"/>
      <c r="H452" s="162">
        <f t="shared" ref="H452:M452" si="32">-SUM(H440:H451)</f>
        <v>0</v>
      </c>
      <c r="I452" s="162">
        <f t="shared" si="32"/>
        <v>0</v>
      </c>
      <c r="J452" s="162">
        <f t="shared" si="32"/>
        <v>0</v>
      </c>
      <c r="K452" s="162">
        <f t="shared" si="32"/>
        <v>0</v>
      </c>
      <c r="L452" s="162">
        <f t="shared" si="32"/>
        <v>0</v>
      </c>
      <c r="M452" s="162">
        <f t="shared" si="32"/>
        <v>0</v>
      </c>
      <c r="N452" s="69">
        <f>IF(COUNT($H452:M452)&gt;=Input!$Y$7,0, -SUM(N440:N451))</f>
        <v>0</v>
      </c>
      <c r="O452" s="69">
        <f>IF(COUNT($H452:N452)&gt;=Input!$Y$7,0, -SUM(O440:O451))</f>
        <v>0</v>
      </c>
      <c r="P452" s="69">
        <f>IF(COUNT($H452:O452)&gt;=Input!$Y$7,0, -SUM(P440:P451))</f>
        <v>0</v>
      </c>
      <c r="Q452" s="69">
        <f>IF(COUNT($H452:P452)&gt;=Input!$Y$7,0, -SUM(Q440:Q451))</f>
        <v>0</v>
      </c>
      <c r="R452" s="67"/>
      <c r="S452" s="105"/>
      <c r="T452" s="105"/>
      <c r="U452" s="105"/>
      <c r="V452" s="105"/>
      <c r="W452" s="105"/>
      <c r="X452" s="105"/>
      <c r="Y452" s="105"/>
      <c r="Z452" s="105"/>
      <c r="AA452" s="233"/>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105"/>
      <c r="BE452" s="105"/>
      <c r="BF452" s="105"/>
      <c r="BG452" s="105"/>
      <c r="BH452" s="105"/>
      <c r="BI452" s="105"/>
      <c r="BJ452" s="105"/>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72">
        <f>Asset30</f>
        <v>0</v>
      </c>
      <c r="D453" s="158"/>
      <c r="E453" s="32" t="s">
        <v>26</v>
      </c>
      <c r="F453" s="31"/>
      <c r="G453" s="177"/>
      <c r="H453" s="68" t="str">
        <f>IF(H$3&gt;A30remlife,A30value-$G$659-SUM($G453:G453),IF(A30remlife="N/A","n/a",(A30value-$G$659)/A30remlife))</f>
        <v>n/a</v>
      </c>
      <c r="I453" s="68" t="str">
        <f>IF(I$3&gt;A30remlife,A30value-$G$659-SUM($G453:H453),IF(A30remlife="N/A","n/a",(A30value-$G$659)/A30remlife))</f>
        <v>n/a</v>
      </c>
      <c r="J453" s="68" t="str">
        <f>IF(J$3&gt;A30remlife,A30value-$G$659-SUM($G453:I453),IF(A30remlife="N/A","n/a",(A30value-$G$659)/A30remlife))</f>
        <v>n/a</v>
      </c>
      <c r="K453" s="68" t="str">
        <f>IF(K$3&gt;A30remlife,A30value-$G$659-SUM($G453:J453),IF(A30remlife="N/A","n/a",(A30value-$G$659)/A30remlife))</f>
        <v>n/a</v>
      </c>
      <c r="L453" s="68" t="str">
        <f>IF(L$3&gt;A30remlife,A30value-$G$659-SUM($G453:K453),IF(A30remlife="N/A","n/a",(A30value-$G$659)/A30remlife))</f>
        <v>n/a</v>
      </c>
      <c r="M453" s="68" t="str">
        <f>IF(M$3&gt;A30remlife,A30value-$G$659-SUM($G453:L453),IF(A30remlife="N/A","n/a",(A30value-$G$659)/A30remlife))</f>
        <v>n/a</v>
      </c>
      <c r="N453" s="68" t="str">
        <f>IF(N$3&gt;A30remlife,A30value-$G$659-SUM($G453:M453),IF(A30remlife="N/A","n/a",(A30value-$G$659)/A30remlife))</f>
        <v>n/a</v>
      </c>
      <c r="O453" s="68" t="str">
        <f>IF(O$3&gt;A30remlife,A30value-$G$659-SUM($G453:N453),IF(A30remlife="N/A","n/a",(A30value-$G$659)/A30remlife))</f>
        <v>n/a</v>
      </c>
      <c r="P453" s="68" t="str">
        <f>IF(P$3&gt;A30remlife,A30value-$G$659-SUM($G453:O453),IF(A30remlife="N/A","n/a",(A30value-$G$659)/A30remlife))</f>
        <v>n/a</v>
      </c>
      <c r="Q453" s="68" t="str">
        <f>IF(Q$3&gt;A30remlife,A30value-$G$659-SUM($G453:P453),IF(A30remlife="N/A","n/a",(A30value-$G$659)/A30remlife))</f>
        <v>n/a</v>
      </c>
      <c r="R453" s="68"/>
      <c r="S453" s="103"/>
      <c r="T453" s="103"/>
      <c r="U453" s="103"/>
      <c r="V453" s="103"/>
      <c r="W453" s="103"/>
      <c r="X453" s="103"/>
      <c r="Y453" s="103"/>
      <c r="Z453" s="103"/>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103"/>
      <c r="BE453" s="103"/>
      <c r="BF453" s="103"/>
      <c r="BG453" s="103"/>
      <c r="BH453" s="103"/>
      <c r="BI453" s="103"/>
      <c r="BJ453" s="103"/>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9"/>
      <c r="D454" s="26"/>
      <c r="E454" s="391" t="s">
        <v>82</v>
      </c>
      <c r="F454" s="87"/>
      <c r="G454" s="121"/>
      <c r="H454" s="69"/>
      <c r="I454" s="69"/>
      <c r="J454" s="69"/>
      <c r="K454" s="69"/>
      <c r="L454" s="69"/>
      <c r="M454" s="160"/>
      <c r="N454" s="112"/>
      <c r="O454" s="69"/>
      <c r="P454" s="69"/>
      <c r="Q454" s="69"/>
      <c r="R454" s="69"/>
      <c r="S454" s="103"/>
      <c r="T454" s="103"/>
      <c r="U454" s="103"/>
      <c r="V454" s="103"/>
      <c r="W454" s="103"/>
      <c r="X454" s="103"/>
      <c r="Y454" s="103"/>
      <c r="Z454" s="103"/>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103"/>
      <c r="BE454" s="103"/>
      <c r="BF454" s="103"/>
      <c r="BG454" s="103"/>
      <c r="BH454" s="103"/>
      <c r="BI454" s="103"/>
      <c r="BJ454" s="103"/>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9"/>
      <c r="D455" s="26"/>
      <c r="E455" s="392"/>
      <c r="F455" s="87">
        <v>1</v>
      </c>
      <c r="G455" s="121"/>
      <c r="H455" s="145"/>
      <c r="I455" s="69" t="str">
        <f>IF(A30stdlife="n/a","n/a",IF(I$3&gt;(A30stdlife+$F455),(Input!$H$240*(1+vanilla1)^0.5)-SUM($H455:H455),(Input!$H$240*(1+vanilla1)^0.5)/A30stdlife))</f>
        <v>n/a</v>
      </c>
      <c r="J455" s="69" t="str">
        <f>IF(A30stdlife="n/a","n/a",IF(J$3&gt;(A30stdlife+$F455),(Input!$H$240*(1+vanilla1)^0.5)-SUM($H455:I455),(Input!$H$240*(1+vanilla1)^0.5)/A30stdlife))</f>
        <v>n/a</v>
      </c>
      <c r="K455" s="69" t="str">
        <f>IF(A30stdlife="n/a","n/a",IF(K$3&gt;(A30stdlife+$F455),(Input!$H$240*(1+vanilla1)^0.5)-SUM($H455:J455),(Input!$H$240*(1+vanilla1)^0.5)/A30stdlife))</f>
        <v>n/a</v>
      </c>
      <c r="L455" s="69" t="str">
        <f>IF(A30stdlife="n/a","n/a",IF(L$3&gt;(A30stdlife+$F455),(Input!$H$240*(1+vanilla1)^0.5)-SUM($H455:K455),(Input!$H$240*(1+vanilla1)^0.5)/A30stdlife))</f>
        <v>n/a</v>
      </c>
      <c r="M455" s="69" t="str">
        <f>IF(A30stdlife="n/a","n/a",IF(M$3&gt;(A30stdlife+$F455),(Input!$H$240*(1+vanilla1)^0.5)-SUM($H455:L455),(Input!$H$240*(1+vanilla1)^0.5)/A30stdlife))</f>
        <v>n/a</v>
      </c>
      <c r="N455" s="69" t="str">
        <f>IF(A30stdlife="n/a","n/a",IF(N$3&gt;(A30stdlife+$F455),(Input!$H$240*(1+vanilla1)^0.5)-SUM($H455:M455),(Input!$H$240*(1+vanilla1)^0.5)/A30stdlife))</f>
        <v>n/a</v>
      </c>
      <c r="O455" s="69" t="str">
        <f>IF(A30stdlife="n/a","n/a",IF(O$3&gt;(A30stdlife+$F455),(Input!$H$240*(1+vanilla1)^0.5)-SUM($H455:N455),(Input!$H$240*(1+vanilla1)^0.5)/A30stdlife))</f>
        <v>n/a</v>
      </c>
      <c r="P455" s="69" t="str">
        <f>IF(A30stdlife="n/a","n/a",IF(P$3&gt;(A30stdlife+$F455),(Input!$H$240*(1+vanilla1)^0.5)-SUM($H455:O455),(Input!$H$240*(1+vanilla1)^0.5)/A30stdlife))</f>
        <v>n/a</v>
      </c>
      <c r="Q455" s="69" t="str">
        <f>IF(A30stdlife="n/a","n/a",IF(Q$3&gt;(A30stdlife+$F455),(Input!$H$240*(1+vanilla1)^0.5)-SUM($H455:P455),(Input!$H$240*(1+vanilla1)^0.5)/A30stdlife))</f>
        <v>n/a</v>
      </c>
      <c r="R455" s="69"/>
      <c r="S455" s="103"/>
      <c r="T455" s="103"/>
      <c r="U455" s="103"/>
      <c r="V455" s="103"/>
      <c r="W455" s="103"/>
      <c r="X455" s="103"/>
      <c r="Y455" s="103"/>
      <c r="Z455" s="103"/>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103"/>
      <c r="BE455" s="103"/>
      <c r="BF455" s="103"/>
      <c r="BG455" s="103"/>
      <c r="BH455" s="103"/>
      <c r="BI455" s="103"/>
      <c r="BJ455" s="103"/>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9"/>
      <c r="D456" s="26"/>
      <c r="E456" s="392"/>
      <c r="F456" s="87">
        <v>2</v>
      </c>
      <c r="G456" s="121"/>
      <c r="H456" s="146"/>
      <c r="I456" s="147"/>
      <c r="J456" s="69" t="str">
        <f>IF(A30stdlife="n/a","n/a",IF(J$3&gt;(A30stdlife+$F456),(Input!$I$240*(1+vanilla2)^0.5)-SUM($I456:I456),(Input!$I$240*(1+vanilla2)^0.5)/A30stdlife))</f>
        <v>n/a</v>
      </c>
      <c r="K456" s="69" t="str">
        <f>IF(A30stdlife="n/a","n/a",IF(K$3&gt;(A30stdlife+$F456),(Input!$I$240*(1+vanilla2)^0.5)-SUM($I456:J456),(Input!$I$240*(1+vanilla2)^0.5)/A30stdlife))</f>
        <v>n/a</v>
      </c>
      <c r="L456" s="69" t="str">
        <f>IF(A30stdlife="n/a","n/a",IF(L$3&gt;(A30stdlife+$F456),(Input!$I$240*(1+vanilla2)^0.5)-SUM($I456:K456),(Input!$I$240*(1+vanilla2)^0.5)/A30stdlife))</f>
        <v>n/a</v>
      </c>
      <c r="M456" s="69" t="str">
        <f>IF(A30stdlife="n/a","n/a",IF(M$3&gt;(A30stdlife+$F456),(Input!$I$240*(1+vanilla2)^0.5)-SUM($I456:L456),(Input!$I$240*(1+vanilla2)^0.5)/A30stdlife))</f>
        <v>n/a</v>
      </c>
      <c r="N456" s="69" t="str">
        <f>IF(A30stdlife="n/a","n/a",IF(N$3&gt;(A30stdlife+$F456),(Input!$I$240*(1+vanilla2)^0.5)-SUM($I456:M456),(Input!$I$240*(1+vanilla2)^0.5)/A30stdlife))</f>
        <v>n/a</v>
      </c>
      <c r="O456" s="69" t="str">
        <f>IF(A30stdlife="n/a","n/a",IF(O$3&gt;(A30stdlife+$F456),(Input!$I$240*(1+vanilla2)^0.5)-SUM($I456:N456),(Input!$I$240*(1+vanilla2)^0.5)/A30stdlife))</f>
        <v>n/a</v>
      </c>
      <c r="P456" s="69" t="str">
        <f>IF(A30stdlife="n/a","n/a",IF(P$3&gt;(A30stdlife+$F456),(Input!$I$240*(1+vanilla2)^0.5)-SUM($I456:O456),(Input!$I$240*(1+vanilla2)^0.5)/A30stdlife))</f>
        <v>n/a</v>
      </c>
      <c r="Q456" s="69" t="str">
        <f>IF(A30stdlife="n/a","n/a",IF(Q$3&gt;(A30stdlife+$F456),(Input!$I$240*(1+vanilla2)^0.5)-SUM($I456:P456),(Input!$I$240*(1+vanilla2)^0.5)/A30stdlife))</f>
        <v>n/a</v>
      </c>
      <c r="R456" s="69"/>
      <c r="S456" s="103"/>
      <c r="T456" s="103"/>
      <c r="U456" s="103"/>
      <c r="V456" s="103"/>
      <c r="W456" s="103"/>
      <c r="X456" s="103"/>
      <c r="Y456" s="103"/>
      <c r="Z456" s="103"/>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103"/>
      <c r="BE456" s="103"/>
      <c r="BF456" s="103"/>
      <c r="BG456" s="103"/>
      <c r="BH456" s="103"/>
      <c r="BI456" s="103"/>
      <c r="BJ456" s="103"/>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9"/>
      <c r="D457" s="26"/>
      <c r="E457" s="392"/>
      <c r="F457" s="87">
        <v>3</v>
      </c>
      <c r="G457" s="121"/>
      <c r="H457" s="146"/>
      <c r="I457" s="148"/>
      <c r="J457" s="147"/>
      <c r="K457" s="69" t="str">
        <f>IF(A30stdlife="n/a","n/a",IF(K$3&gt;(A30stdlife+$F457),(Input!$J$240*(1+vanilla3)^0.5)-SUM($J457:J457),(Input!$J$240*(1+vanilla3)^0.5)/A30stdlife))</f>
        <v>n/a</v>
      </c>
      <c r="L457" s="69" t="str">
        <f>IF(A30stdlife="n/a","n/a",IF(L$3&gt;(A30stdlife+$F457),(Input!$J$240*(1+vanilla3)^0.5)-SUM($J457:K457),(Input!$J$240*(1+vanilla3)^0.5)/A30stdlife))</f>
        <v>n/a</v>
      </c>
      <c r="M457" s="69" t="str">
        <f>IF(A30stdlife="n/a","n/a",IF(M$3&gt;(A30stdlife+$F457),(Input!$J$240*(1+vanilla3)^0.5)-SUM($J457:L457),(Input!$J$240*(1+vanilla3)^0.5)/A30stdlife))</f>
        <v>n/a</v>
      </c>
      <c r="N457" s="69" t="str">
        <f>IF(A30stdlife="n/a","n/a",IF(N$3&gt;(A30stdlife+$F457),(Input!$J$240*(1+vanilla3)^0.5)-SUM($J457:M457),(Input!$J$240*(1+vanilla3)^0.5)/A30stdlife))</f>
        <v>n/a</v>
      </c>
      <c r="O457" s="69" t="str">
        <f>IF(A30stdlife="n/a","n/a",IF(O$3&gt;(A30stdlife+$F457),(Input!$J$240*(1+vanilla3)^0.5)-SUM($J457:N457),(Input!$J$240*(1+vanilla3)^0.5)/A30stdlife))</f>
        <v>n/a</v>
      </c>
      <c r="P457" s="69" t="str">
        <f>IF(A30stdlife="n/a","n/a",IF(P$3&gt;(A30stdlife+$F457),(Input!$J$240*(1+vanilla3)^0.5)-SUM($J457:O457),(Input!$J$240*(1+vanilla3)^0.5)/A30stdlife))</f>
        <v>n/a</v>
      </c>
      <c r="Q457" s="69" t="str">
        <f>IF(A30stdlife="n/a","n/a",IF(Q$3&gt;(A30stdlife+$F457),(Input!$J$240*(1+vanilla3)^0.5)-SUM($J457:P457),(Input!$J$240*(1+vanilla3)^0.5)/A30stdlife))</f>
        <v>n/a</v>
      </c>
      <c r="R457" s="69"/>
      <c r="S457" s="103"/>
      <c r="T457" s="103"/>
      <c r="U457" s="103"/>
      <c r="V457" s="103"/>
      <c r="W457" s="103"/>
      <c r="X457" s="103"/>
      <c r="Y457" s="103"/>
      <c r="Z457" s="103"/>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103"/>
      <c r="BE457" s="103"/>
      <c r="BF457" s="103"/>
      <c r="BG457" s="103"/>
      <c r="BH457" s="103"/>
      <c r="BI457" s="103"/>
      <c r="BJ457" s="103"/>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9"/>
      <c r="D458" s="26"/>
      <c r="E458" s="392"/>
      <c r="F458" s="87">
        <v>4</v>
      </c>
      <c r="G458" s="121"/>
      <c r="H458" s="146"/>
      <c r="I458" s="148"/>
      <c r="J458" s="148"/>
      <c r="K458" s="147"/>
      <c r="L458" s="69" t="str">
        <f>IF(A30stdlife="n/a","n/a",IF(L$3&gt;(A30stdlife+$F458),(Input!$K$240*(1+vanilla4)^0.5)-SUM($K458:K458),(Input!$K$240*(1+vanilla4)^0.5)/A30stdlife))</f>
        <v>n/a</v>
      </c>
      <c r="M458" s="69" t="str">
        <f>IF(A30stdlife="n/a","n/a",IF(M$3&gt;(A30stdlife+$F458),(Input!$K$240*(1+vanilla4)^0.5)-SUM($K458:L458),(Input!$K$240*(1+vanilla4)^0.5)/A30stdlife))</f>
        <v>n/a</v>
      </c>
      <c r="N458" s="69" t="str">
        <f>IF(A30stdlife="n/a","n/a",IF(N$3&gt;(A30stdlife+$F458),(Input!$K$240*(1+vanilla4)^0.5)-SUM($K458:M458),(Input!$K$240*(1+vanilla4)^0.5)/A30stdlife))</f>
        <v>n/a</v>
      </c>
      <c r="O458" s="69" t="str">
        <f>IF(A30stdlife="n/a","n/a",IF(O$3&gt;(A30stdlife+$F458),(Input!$K$240*(1+vanilla4)^0.5)-SUM($K458:N458),(Input!$K$240*(1+vanilla4)^0.5)/A30stdlife))</f>
        <v>n/a</v>
      </c>
      <c r="P458" s="69" t="str">
        <f>IF(A30stdlife="n/a","n/a",IF(P$3&gt;(A30stdlife+$F458),(Input!$K$240*(1+vanilla4)^0.5)-SUM($K458:O458),(Input!$K$240*(1+vanilla4)^0.5)/A30stdlife))</f>
        <v>n/a</v>
      </c>
      <c r="Q458" s="69" t="str">
        <f>IF(A30stdlife="n/a","n/a",IF(Q$3&gt;(A30stdlife+$F458),(Input!$K$240*(1+vanilla4)^0.5)-SUM($K458:P458),(Input!$K$240*(1+vanilla4)^0.5)/A30stdlife))</f>
        <v>n/a</v>
      </c>
      <c r="R458" s="69"/>
      <c r="S458" s="103"/>
      <c r="T458" s="103"/>
      <c r="U458" s="103"/>
      <c r="V458" s="103"/>
      <c r="W458" s="103"/>
      <c r="X458" s="103"/>
      <c r="Y458" s="103"/>
      <c r="Z458" s="103"/>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103"/>
      <c r="BE458" s="103"/>
      <c r="BF458" s="103"/>
      <c r="BG458" s="103"/>
      <c r="BH458" s="103"/>
      <c r="BI458" s="103"/>
      <c r="BJ458" s="103"/>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9"/>
      <c r="D459" s="26"/>
      <c r="E459" s="392"/>
      <c r="F459" s="87">
        <v>5</v>
      </c>
      <c r="G459" s="27"/>
      <c r="H459" s="146"/>
      <c r="I459" s="148"/>
      <c r="J459" s="148"/>
      <c r="K459" s="148"/>
      <c r="L459" s="147"/>
      <c r="M459" s="69" t="str">
        <f>IF(A30stdlife="n/a","n/a",IF(M$3&gt;(A30stdlife+$F459),(Input!$L$240*(1+vanilla5)^0.5)-SUM($L459:L459),(Input!$L$240*(1+vanilla5)^0.5)/A30stdlife))</f>
        <v>n/a</v>
      </c>
      <c r="N459" s="69" t="str">
        <f>IF(A30stdlife="n/a","n/a",IF(N$3&gt;(A30stdlife+$F459),(Input!$L$240*(1+vanilla5)^0.5)-SUM($L459:M459),(Input!$L$240*(1+vanilla5)^0.5)/A30stdlife))</f>
        <v>n/a</v>
      </c>
      <c r="O459" s="69" t="str">
        <f>IF(A30stdlife="n/a","n/a",IF(O$3&gt;(A30stdlife+$F459),(Input!$L$240*(1+vanilla5)^0.5)-SUM($L459:N459),(Input!$L$240*(1+vanilla5)^0.5)/A30stdlife))</f>
        <v>n/a</v>
      </c>
      <c r="P459" s="69" t="str">
        <f>IF(A30stdlife="n/a","n/a",IF(P$3&gt;(A30stdlife+$F459),(Input!$L$240*(1+vanilla5)^0.5)-SUM($L459:O459),(Input!$L$240*(1+vanilla5)^0.5)/A30stdlife))</f>
        <v>n/a</v>
      </c>
      <c r="Q459" s="69" t="str">
        <f>IF(A30stdlife="n/a","n/a",IF(Q$3&gt;(A30stdlife+$F459),(Input!$L$240*(1+vanilla5)^0.5)-SUM($L459:P459),(Input!$L$240*(1+vanilla5)^0.5)/A30stdlife))</f>
        <v>n/a</v>
      </c>
      <c r="R459" s="69"/>
      <c r="S459" s="103"/>
      <c r="T459" s="103"/>
      <c r="U459" s="103"/>
      <c r="V459" s="103"/>
      <c r="W459" s="103"/>
      <c r="X459" s="103"/>
      <c r="Y459" s="103"/>
      <c r="Z459" s="103"/>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103"/>
      <c r="BE459" s="103"/>
      <c r="BF459" s="103"/>
      <c r="BG459" s="103"/>
      <c r="BH459" s="103"/>
      <c r="BI459" s="103"/>
      <c r="BJ459" s="103"/>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9"/>
      <c r="D460" s="26"/>
      <c r="E460" s="392"/>
      <c r="F460" s="87">
        <v>6</v>
      </c>
      <c r="G460" s="27"/>
      <c r="H460" s="146"/>
      <c r="I460" s="148"/>
      <c r="J460" s="148"/>
      <c r="K460" s="148"/>
      <c r="L460" s="148"/>
      <c r="M460" s="147"/>
      <c r="N460" s="69" t="str">
        <f>IF(A30stdlife="n/a","n/a",IF(N$3&gt;(A30stdlife+$F460),(Input!$M$240*(1+vanilla6)^0.5)-SUM($M460:M460),(Input!$M$240*(1+vanilla6)^0.5)/A30stdlife))</f>
        <v>n/a</v>
      </c>
      <c r="O460" s="69" t="str">
        <f>IF(A30stdlife="n/a","n/a",IF(O$3&gt;(A30stdlife+$F460),(Input!$M$240*(1+vanilla6)^0.5)-SUM($M460:N460),(Input!$M$240*(1+vanilla6)^0.5)/A30stdlife))</f>
        <v>n/a</v>
      </c>
      <c r="P460" s="69" t="str">
        <f>IF(A30stdlife="n/a","n/a",IF(P$3&gt;(A30stdlife+$F460),(Input!$M$240*(1+vanilla6)^0.5)-SUM($M460:O460),(Input!$M$240*(1+vanilla6)^0.5)/A30stdlife))</f>
        <v>n/a</v>
      </c>
      <c r="Q460" s="69" t="str">
        <f>IF(A30stdlife="n/a","n/a",IF(Q$3&gt;(A30stdlife+$F460),(Input!$M$240*(1+vanilla6)^0.5)-SUM($M460:P460),(Input!$M$240*(1+vanilla6)^0.5)/A30stdlife))</f>
        <v>n/a</v>
      </c>
      <c r="R460" s="69"/>
      <c r="S460" s="103"/>
      <c r="T460" s="103"/>
      <c r="U460" s="103"/>
      <c r="V460" s="103"/>
      <c r="W460" s="103"/>
      <c r="X460" s="103"/>
      <c r="Y460" s="103"/>
      <c r="Z460" s="103"/>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103"/>
      <c r="BE460" s="103"/>
      <c r="BF460" s="103"/>
      <c r="BG460" s="103"/>
      <c r="BH460" s="103"/>
      <c r="BI460" s="103"/>
      <c r="BJ460" s="103"/>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9"/>
      <c r="D461" s="26"/>
      <c r="E461" s="392"/>
      <c r="F461" s="87">
        <v>7</v>
      </c>
      <c r="G461" s="27"/>
      <c r="H461" s="146"/>
      <c r="I461" s="148"/>
      <c r="J461" s="148"/>
      <c r="K461" s="148"/>
      <c r="L461" s="148"/>
      <c r="M461" s="148"/>
      <c r="N461" s="147"/>
      <c r="O461" s="69" t="str">
        <f>IF(A30stdlife="n/a","n/a",IF(O$3&gt;(A30stdlife+$F461),(Input!N$240*(1+vanilla7)^0.5)-SUM($N461:N461),(Input!$N$240*(1+vanilla7)^0.5)/A30stdlife))</f>
        <v>n/a</v>
      </c>
      <c r="P461" s="69" t="str">
        <f>IF(A30stdlife="n/a","n/a",IF(P$3&gt;(A30stdlife+$F461),(Input!O$240*(1+vanilla7)^0.5)-SUM($N461:O461),(Input!$N$240*(1+vanilla7)^0.5)/A30stdlife))</f>
        <v>n/a</v>
      </c>
      <c r="Q461" s="69" t="str">
        <f>IF(A30stdlife="n/a","n/a",IF(Q$3&gt;(A30stdlife+$F461),(Input!P$240*(1+vanilla7)^0.5)-SUM($N461:P461),(Input!$N$240*(1+vanilla7)^0.5)/A30stdlife))</f>
        <v>n/a</v>
      </c>
      <c r="R461" s="69"/>
      <c r="S461" s="103"/>
      <c r="T461" s="103"/>
      <c r="U461" s="103"/>
      <c r="V461" s="103"/>
      <c r="W461" s="103"/>
      <c r="X461" s="103"/>
      <c r="Y461" s="103"/>
      <c r="Z461" s="103"/>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103"/>
      <c r="BE461" s="103"/>
      <c r="BF461" s="103"/>
      <c r="BG461" s="103"/>
      <c r="BH461" s="103"/>
      <c r="BI461" s="103"/>
      <c r="BJ461" s="103"/>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9"/>
      <c r="D462" s="26"/>
      <c r="E462" s="392"/>
      <c r="F462" s="87">
        <v>8</v>
      </c>
      <c r="G462" s="27"/>
      <c r="H462" s="146"/>
      <c r="I462" s="148"/>
      <c r="J462" s="148"/>
      <c r="K462" s="148"/>
      <c r="L462" s="148"/>
      <c r="M462" s="148"/>
      <c r="N462" s="148"/>
      <c r="O462" s="147"/>
      <c r="P462" s="69" t="str">
        <f>IF(A30stdlife="n/a","n/a",IF(P$3&gt;(A30stdlife+$F462),(Input!$O$240*(1+vanilla8)^0.5)-SUM($O462:O462),(Input!$O$240*(1+vanilla8)^0.5)/A30stdlife))</f>
        <v>n/a</v>
      </c>
      <c r="Q462" s="69" t="str">
        <f>IF(A30stdlife="n/a","n/a",IF(Q$3&gt;(A30stdlife+$F462),(Input!$O$240*(1+vanilla8)^0.5)-SUM($O462:P462),(Input!$O$240*(1+vanilla8)^0.5)/A30stdlife))</f>
        <v>n/a</v>
      </c>
      <c r="R462" s="69"/>
      <c r="S462" s="103"/>
      <c r="T462" s="103"/>
      <c r="U462" s="103"/>
      <c r="V462" s="103"/>
      <c r="W462" s="103"/>
      <c r="X462" s="103"/>
      <c r="Y462" s="103"/>
      <c r="Z462" s="103"/>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103"/>
      <c r="BE462" s="103"/>
      <c r="BF462" s="103"/>
      <c r="BG462" s="103"/>
      <c r="BH462" s="103"/>
      <c r="BI462" s="103"/>
      <c r="BJ462" s="103"/>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9"/>
      <c r="D463" s="26"/>
      <c r="E463" s="392"/>
      <c r="F463" s="87">
        <v>9</v>
      </c>
      <c r="G463" s="27"/>
      <c r="H463" s="146"/>
      <c r="I463" s="148"/>
      <c r="J463" s="148"/>
      <c r="K463" s="148"/>
      <c r="L463" s="148"/>
      <c r="M463" s="148"/>
      <c r="N463" s="148"/>
      <c r="O463" s="148"/>
      <c r="P463" s="147"/>
      <c r="Q463" s="69" t="str">
        <f>IF(A30stdlife="n/a","n/a",IF(Q$3&gt;(A30stdlife+$F463),(Input!$P$240*(1+vanilla9)^0.5)-SUM($P463:P463),(Input!$P$240*(1+vanilla9)^0.5)/A30stdlife))</f>
        <v>n/a</v>
      </c>
      <c r="R463" s="69"/>
      <c r="S463" s="103"/>
      <c r="T463" s="103"/>
      <c r="U463" s="103"/>
      <c r="V463" s="103"/>
      <c r="W463" s="103"/>
      <c r="X463" s="103"/>
      <c r="Y463" s="103"/>
      <c r="Z463" s="103"/>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103"/>
      <c r="BE463" s="103"/>
      <c r="BF463" s="103"/>
      <c r="BG463" s="103"/>
      <c r="BH463" s="103"/>
      <c r="BI463" s="103"/>
      <c r="BJ463" s="103"/>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9"/>
      <c r="C464" s="9"/>
      <c r="D464" s="26"/>
      <c r="E464" s="392"/>
      <c r="F464" s="88">
        <v>10</v>
      </c>
      <c r="G464" s="27"/>
      <c r="H464" s="146"/>
      <c r="I464" s="148"/>
      <c r="J464" s="148"/>
      <c r="K464" s="148"/>
      <c r="L464" s="148"/>
      <c r="M464" s="148"/>
      <c r="N464" s="148"/>
      <c r="O464" s="148"/>
      <c r="P464" s="148"/>
      <c r="Q464" s="147"/>
      <c r="R464" s="69"/>
      <c r="S464" s="103"/>
      <c r="T464" s="103"/>
      <c r="U464" s="103"/>
      <c r="V464" s="103"/>
      <c r="W464" s="103"/>
      <c r="X464" s="103"/>
      <c r="Y464" s="103"/>
      <c r="Z464" s="103"/>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103"/>
      <c r="BE464" s="103"/>
      <c r="BF464" s="103"/>
      <c r="BG464" s="103"/>
      <c r="BH464" s="103"/>
      <c r="BI464" s="103"/>
      <c r="BJ464" s="103"/>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ollapsed="1">
      <c r="A465" s="9"/>
      <c r="B465" s="9"/>
      <c r="C465" s="9"/>
      <c r="D465" s="271">
        <f>Asset30</f>
        <v>0</v>
      </c>
      <c r="E465" s="9"/>
      <c r="F465" s="9"/>
      <c r="G465" s="121"/>
      <c r="H465" s="162">
        <f t="shared" ref="H465:M465" si="33">-SUM(H453:H464)</f>
        <v>0</v>
      </c>
      <c r="I465" s="162">
        <f t="shared" si="33"/>
        <v>0</v>
      </c>
      <c r="J465" s="162">
        <f t="shared" si="33"/>
        <v>0</v>
      </c>
      <c r="K465" s="162">
        <f t="shared" si="33"/>
        <v>0</v>
      </c>
      <c r="L465" s="162">
        <f t="shared" si="33"/>
        <v>0</v>
      </c>
      <c r="M465" s="162">
        <f t="shared" si="33"/>
        <v>0</v>
      </c>
      <c r="N465" s="69">
        <f>IF(COUNT($H465:M465)&gt;=Input!$Y$7,0, -SUM(N453:N464))</f>
        <v>0</v>
      </c>
      <c r="O465" s="69">
        <f>IF(COUNT($H465:N465)&gt;=Input!$Y$7,0, -SUM(O453:O464))</f>
        <v>0</v>
      </c>
      <c r="P465" s="69">
        <f>IF(COUNT($H465:O465)&gt;=Input!$Y$7,0, -SUM(P453:P464))</f>
        <v>0</v>
      </c>
      <c r="Q465" s="69">
        <f>IF(COUNT($H465:P465)&gt;=Input!$Y$7,0, -SUM(Q453:Q464))</f>
        <v>0</v>
      </c>
      <c r="R465" s="67"/>
      <c r="S465" s="105"/>
      <c r="T465" s="105"/>
      <c r="U465" s="105"/>
      <c r="V465" s="105"/>
      <c r="W465" s="105"/>
      <c r="X465" s="105"/>
      <c r="Y465" s="105"/>
      <c r="Z465" s="105"/>
      <c r="AA465" s="233"/>
      <c r="AB465" s="233"/>
      <c r="AC465" s="233"/>
      <c r="AD465" s="233"/>
      <c r="AE465" s="233"/>
      <c r="AF465" s="233"/>
      <c r="AG465" s="233"/>
      <c r="AH465" s="233"/>
      <c r="AI465" s="233"/>
      <c r="AJ465" s="233"/>
      <c r="AK465" s="233"/>
      <c r="AL465" s="233"/>
      <c r="AM465" s="233"/>
      <c r="AN465" s="233"/>
      <c r="AO465" s="233"/>
      <c r="AP465" s="233"/>
      <c r="AQ465" s="233"/>
      <c r="AR465" s="233"/>
      <c r="AS465" s="233"/>
      <c r="AT465" s="233"/>
      <c r="AU465" s="233"/>
      <c r="AV465" s="233"/>
      <c r="AW465" s="233"/>
      <c r="AX465" s="233"/>
      <c r="AY465" s="233"/>
      <c r="AZ465" s="233"/>
      <c r="BA465" s="233"/>
      <c r="BB465" s="233"/>
      <c r="BC465" s="233"/>
      <c r="BD465" s="105"/>
      <c r="BE465" s="105"/>
      <c r="BF465" s="105"/>
      <c r="BG465" s="105"/>
      <c r="BH465" s="105"/>
      <c r="BI465" s="105"/>
      <c r="BJ465" s="105"/>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ollapsed="1">
      <c r="AA466" s="198"/>
    </row>
    <row r="467" spans="1:256">
      <c r="A467" s="74"/>
      <c r="B467" s="74"/>
      <c r="C467" s="81" t="s">
        <v>96</v>
      </c>
      <c r="D467" s="74"/>
      <c r="E467" s="74"/>
      <c r="F467" s="74"/>
      <c r="G467" s="84"/>
      <c r="H467" s="117"/>
      <c r="I467" s="117"/>
      <c r="J467" s="117"/>
      <c r="K467" s="117"/>
      <c r="L467" s="117"/>
      <c r="M467" s="117"/>
      <c r="N467" s="85"/>
      <c r="O467" s="85"/>
      <c r="P467" s="85"/>
      <c r="Q467" s="85"/>
      <c r="R467" s="85"/>
      <c r="S467" s="85"/>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106"/>
      <c r="BE467" s="106"/>
      <c r="BF467" s="106"/>
      <c r="BG467" s="106"/>
      <c r="BH467" s="106"/>
      <c r="BI467" s="106"/>
      <c r="BJ467" s="106"/>
      <c r="BK467" s="12"/>
      <c r="BL467" s="12"/>
    </row>
    <row r="468" spans="1:256">
      <c r="A468" s="9"/>
      <c r="B468" s="12"/>
      <c r="C468" s="17"/>
      <c r="D468" s="12"/>
      <c r="E468" s="12"/>
      <c r="F468" s="12"/>
      <c r="G468" s="114"/>
      <c r="H468" s="118"/>
      <c r="I468" s="118"/>
      <c r="J468" s="118"/>
      <c r="K468" s="118"/>
      <c r="L468" s="118"/>
      <c r="M468" s="118"/>
      <c r="N468" s="106"/>
      <c r="O468" s="106"/>
      <c r="P468" s="106"/>
      <c r="Q468" s="106"/>
      <c r="R468" s="106"/>
      <c r="S468" s="106"/>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106"/>
      <c r="BE468" s="106"/>
      <c r="BF468" s="106"/>
      <c r="BG468" s="106"/>
      <c r="BH468" s="106"/>
      <c r="BI468" s="106"/>
      <c r="BJ468" s="106"/>
      <c r="BK468" s="12"/>
      <c r="BL468" s="12"/>
    </row>
    <row r="469" spans="1:256">
      <c r="A469" s="9"/>
      <c r="B469" s="9"/>
      <c r="C469" s="44" t="s">
        <v>86</v>
      </c>
      <c r="D469" s="9"/>
      <c r="E469" s="9"/>
      <c r="F469" s="9"/>
      <c r="G469" s="310">
        <f>SUM(G470:G499)</f>
        <v>1956.232102585243</v>
      </c>
      <c r="H469" s="340">
        <f>SUM(H470:H499)</f>
        <v>2191.2022382795412</v>
      </c>
      <c r="I469" s="311">
        <f t="shared" ref="I469:Q469" si="34">SUM(I470:I499)</f>
        <v>2260.6505132977918</v>
      </c>
      <c r="J469" s="311">
        <f t="shared" si="34"/>
        <v>2310.8275393247645</v>
      </c>
      <c r="K469" s="311">
        <f t="shared" si="34"/>
        <v>2366.9009282775273</v>
      </c>
      <c r="L469" s="311">
        <f t="shared" si="34"/>
        <v>2453.9571044789645</v>
      </c>
      <c r="M469" s="311">
        <f t="shared" si="34"/>
        <v>2552.3518830385533</v>
      </c>
      <c r="N469" s="311">
        <f t="shared" si="34"/>
        <v>2628.5343906569533</v>
      </c>
      <c r="O469" s="311">
        <f t="shared" si="34"/>
        <v>0</v>
      </c>
      <c r="P469" s="311">
        <f t="shared" si="34"/>
        <v>0</v>
      </c>
      <c r="Q469" s="311">
        <f t="shared" si="34"/>
        <v>0</v>
      </c>
      <c r="R469" s="311">
        <f>SUM(R470:R499)</f>
        <v>0</v>
      </c>
      <c r="S469" s="99"/>
      <c r="T469" s="99"/>
      <c r="U469" s="99"/>
      <c r="V469" s="99"/>
      <c r="W469" s="99"/>
      <c r="X469" s="99"/>
      <c r="Y469" s="99"/>
      <c r="Z469" s="99"/>
      <c r="AA469" s="230"/>
      <c r="AB469" s="230"/>
      <c r="AC469" s="230"/>
      <c r="AD469" s="230"/>
      <c r="AE469" s="230"/>
      <c r="AF469" s="230"/>
      <c r="AG469" s="230"/>
      <c r="AH469" s="230"/>
      <c r="AI469" s="230"/>
      <c r="AJ469" s="230"/>
      <c r="AK469" s="230"/>
      <c r="AL469" s="230"/>
      <c r="AM469" s="230"/>
      <c r="AN469" s="230"/>
      <c r="AO469" s="230"/>
      <c r="AP469" s="230"/>
      <c r="AQ469" s="230"/>
      <c r="AR469" s="230"/>
      <c r="AS469" s="230"/>
      <c r="AT469" s="230"/>
      <c r="AU469" s="230"/>
      <c r="AV469" s="230"/>
      <c r="AW469" s="230"/>
      <c r="AX469" s="230"/>
      <c r="AY469" s="230"/>
      <c r="AZ469" s="230"/>
      <c r="BA469" s="230"/>
      <c r="BB469" s="230"/>
      <c r="BC469" s="230"/>
      <c r="BD469" s="99"/>
      <c r="BE469" s="99"/>
      <c r="BF469" s="99"/>
      <c r="BG469" s="99"/>
      <c r="BH469" s="99"/>
      <c r="BI469" s="99"/>
      <c r="BJ469" s="99"/>
      <c r="BK469" s="12"/>
      <c r="BL469" s="12"/>
    </row>
    <row r="470" spans="1:256" hidden="1" outlineLevel="1">
      <c r="A470" s="9"/>
      <c r="B470" s="9"/>
      <c r="C470" s="9"/>
      <c r="D470" s="270" t="str">
        <f>Asset1</f>
        <v>Secondary</v>
      </c>
      <c r="E470" s="9"/>
      <c r="F470" s="9"/>
      <c r="G470" s="201">
        <f>Input!J7</f>
        <v>132.02570901226696</v>
      </c>
      <c r="H470" s="331">
        <f>G470+G502+G534+G566+G598+G630+G662</f>
        <v>149.09855703295875</v>
      </c>
      <c r="I470" s="345">
        <f t="shared" ref="I470:N470" si="35">H470+H502+H534</f>
        <v>148.09246395499585</v>
      </c>
      <c r="J470" s="345">
        <f t="shared" si="35"/>
        <v>140.57618745560214</v>
      </c>
      <c r="K470" s="345">
        <f t="shared" si="35"/>
        <v>137.74842339189263</v>
      </c>
      <c r="L470" s="345">
        <f t="shared" si="35"/>
        <v>139.98175238307149</v>
      </c>
      <c r="M470" s="345">
        <f t="shared" si="35"/>
        <v>158.0147813810334</v>
      </c>
      <c r="N470" s="345">
        <f t="shared" si="35"/>
        <v>169.46253702053301</v>
      </c>
      <c r="O470" s="111">
        <f>IF(COUNT($H470:N470)&gt;Input!$Y$7,0, N470+N502+N534)</f>
        <v>0</v>
      </c>
      <c r="P470" s="111">
        <f>IF(COUNT($H470:O470)&gt;Input!$Y$7,0, O470+O502+O534)</f>
        <v>0</v>
      </c>
      <c r="Q470" s="111">
        <f>IF(COUNT($H470:P470)&gt;Input!$Y$7,0, P470+P502+P534)</f>
        <v>0</v>
      </c>
      <c r="R470" s="111">
        <f>IF(COUNT($H470:Q470)&gt;Input!$Y$7,0, Q470+Q502+Q534)</f>
        <v>0</v>
      </c>
      <c r="S470" s="9"/>
      <c r="T470" s="9"/>
      <c r="U470" s="9"/>
      <c r="V470" s="9"/>
      <c r="W470" s="9"/>
      <c r="X470" s="9"/>
      <c r="Y470" s="9"/>
      <c r="Z470" s="9"/>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9"/>
      <c r="BE470" s="9"/>
      <c r="BF470" s="9"/>
      <c r="BG470" s="9"/>
      <c r="BH470" s="9"/>
      <c r="BI470" s="9"/>
      <c r="BJ470" s="9"/>
      <c r="BK470" s="9"/>
      <c r="BL470" s="9"/>
    </row>
    <row r="471" spans="1:256" hidden="1" outlineLevel="1">
      <c r="A471" s="9"/>
      <c r="B471" s="9"/>
      <c r="C471" s="44"/>
      <c r="D471" s="270" t="str">
        <f>Asset2</f>
        <v>Switchgear</v>
      </c>
      <c r="E471" s="9"/>
      <c r="F471" s="9"/>
      <c r="G471" s="201">
        <f>Input!J8</f>
        <v>248.91247950836242</v>
      </c>
      <c r="H471" s="331">
        <f t="shared" ref="H471:H499" si="36">G471+G503+G535+G567+G599+G631+G663</f>
        <v>354.76480248198641</v>
      </c>
      <c r="I471" s="345">
        <f t="shared" ref="I471:N483" si="37">H471+H503+H535</f>
        <v>379.87245297092682</v>
      </c>
      <c r="J471" s="345">
        <f t="shared" si="37"/>
        <v>409.19733180017533</v>
      </c>
      <c r="K471" s="345">
        <f t="shared" si="37"/>
        <v>431.68371028230138</v>
      </c>
      <c r="L471" s="345">
        <f t="shared" si="37"/>
        <v>452.70948875538687</v>
      </c>
      <c r="M471" s="345">
        <f t="shared" si="37"/>
        <v>481.1586232710398</v>
      </c>
      <c r="N471" s="345">
        <f t="shared" si="37"/>
        <v>512.24470725413789</v>
      </c>
      <c r="O471" s="111">
        <f>IF(COUNT($H471:N471)&gt;Input!$Y$7,0, N471+N503+N535)</f>
        <v>0</v>
      </c>
      <c r="P471" s="111">
        <f>IF(COUNT($H471:O471)&gt;Input!$Y$7,0, O471+O503+O535)</f>
        <v>0</v>
      </c>
      <c r="Q471" s="111">
        <f>IF(COUNT($H471:P471)&gt;Input!$Y$7,0, P471+P503+P535)</f>
        <v>0</v>
      </c>
      <c r="R471" s="111">
        <f>IF(COUNT($H471:Q471)&gt;Input!$Y$7,0, Q471+Q503+Q535)</f>
        <v>0</v>
      </c>
      <c r="S471" s="100"/>
      <c r="T471" s="100"/>
      <c r="U471" s="100"/>
      <c r="V471" s="100"/>
      <c r="W471" s="100"/>
      <c r="X471" s="100"/>
      <c r="Y471" s="100"/>
      <c r="Z471" s="100"/>
      <c r="AA471" s="228"/>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100"/>
      <c r="BE471" s="100"/>
      <c r="BF471" s="100"/>
      <c r="BG471" s="100"/>
      <c r="BH471" s="100"/>
      <c r="BI471" s="100"/>
      <c r="BJ471" s="100"/>
      <c r="BK471" s="12"/>
      <c r="BL471" s="12"/>
    </row>
    <row r="472" spans="1:256" hidden="1" outlineLevel="1">
      <c r="A472" s="9"/>
      <c r="B472" s="9"/>
      <c r="C472" s="44"/>
      <c r="D472" s="270" t="str">
        <f>Asset3</f>
        <v>Transformers</v>
      </c>
      <c r="E472" s="9"/>
      <c r="F472" s="9"/>
      <c r="G472" s="201">
        <f>Input!J9</f>
        <v>154.11914424024289</v>
      </c>
      <c r="H472" s="331">
        <f t="shared" si="36"/>
        <v>167.05795975892104</v>
      </c>
      <c r="I472" s="345">
        <f t="shared" si="37"/>
        <v>171.59913569948725</v>
      </c>
      <c r="J472" s="345">
        <f t="shared" si="37"/>
        <v>168.82972528837934</v>
      </c>
      <c r="K472" s="345">
        <f t="shared" si="37"/>
        <v>176.50440200754466</v>
      </c>
      <c r="L472" s="345">
        <f t="shared" si="37"/>
        <v>191.64386717940701</v>
      </c>
      <c r="M472" s="345">
        <f t="shared" si="37"/>
        <v>214.97100664077112</v>
      </c>
      <c r="N472" s="345">
        <f t="shared" si="37"/>
        <v>239.13151329868236</v>
      </c>
      <c r="O472" s="111">
        <f>IF(COUNT($H472:N472)&gt;Input!$Y$7,0, N472+N504+N536)</f>
        <v>0</v>
      </c>
      <c r="P472" s="111">
        <f>IF(COUNT($H472:O472)&gt;Input!$Y$7,0, O472+O504+O536)</f>
        <v>0</v>
      </c>
      <c r="Q472" s="111">
        <f>IF(COUNT($H472:P472)&gt;Input!$Y$7,0, P472+P504+P536)</f>
        <v>0</v>
      </c>
      <c r="R472" s="111">
        <f>IF(COUNT($H472:Q472)&gt;Input!$Y$7,0, Q472+Q504+Q536)</f>
        <v>0</v>
      </c>
      <c r="S472" s="100"/>
      <c r="T472" s="100"/>
      <c r="U472" s="100"/>
      <c r="V472" s="100"/>
      <c r="W472" s="100"/>
      <c r="X472" s="100"/>
      <c r="Y472" s="100"/>
      <c r="Z472" s="100"/>
      <c r="AA472" s="228"/>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100"/>
      <c r="BE472" s="100"/>
      <c r="BF472" s="100"/>
      <c r="BG472" s="100"/>
      <c r="BH472" s="100"/>
      <c r="BI472" s="100"/>
      <c r="BJ472" s="100"/>
      <c r="BK472" s="12"/>
      <c r="BL472" s="12"/>
    </row>
    <row r="473" spans="1:256" hidden="1" outlineLevel="1">
      <c r="A473" s="9"/>
      <c r="B473" s="9"/>
      <c r="C473" s="44"/>
      <c r="D473" s="270" t="str">
        <f>Asset4</f>
        <v>Reactive</v>
      </c>
      <c r="E473" s="9"/>
      <c r="F473" s="9"/>
      <c r="G473" s="201">
        <f>Input!J10</f>
        <v>83.253732687574384</v>
      </c>
      <c r="H473" s="331">
        <f t="shared" si="36"/>
        <v>87.678038523711535</v>
      </c>
      <c r="I473" s="345">
        <f t="shared" si="37"/>
        <v>88.469875763215654</v>
      </c>
      <c r="J473" s="345">
        <f t="shared" si="37"/>
        <v>87.495692367126736</v>
      </c>
      <c r="K473" s="345">
        <f t="shared" si="37"/>
        <v>85.578624042900202</v>
      </c>
      <c r="L473" s="345">
        <f t="shared" si="37"/>
        <v>85.060218018164875</v>
      </c>
      <c r="M473" s="345">
        <f t="shared" si="37"/>
        <v>82.905969365585491</v>
      </c>
      <c r="N473" s="345">
        <f t="shared" si="37"/>
        <v>80.71562896563313</v>
      </c>
      <c r="O473" s="111">
        <f>IF(COUNT($H473:N473)&gt;Input!$Y$7,0, N473+N505+N537)</f>
        <v>0</v>
      </c>
      <c r="P473" s="111">
        <f>IF(COUNT($H473:O473)&gt;Input!$Y$7,0, O473+O505+O537)</f>
        <v>0</v>
      </c>
      <c r="Q473" s="111">
        <f>IF(COUNT($H473:P473)&gt;Input!$Y$7,0, P473+P505+P537)</f>
        <v>0</v>
      </c>
      <c r="R473" s="111">
        <f>IF(COUNT($H473:Q473)&gt;Input!$Y$7,0, Q473+Q505+Q537)</f>
        <v>0</v>
      </c>
      <c r="S473" s="100"/>
      <c r="T473" s="100"/>
      <c r="U473" s="100"/>
      <c r="V473" s="100"/>
      <c r="W473" s="100"/>
      <c r="X473" s="100"/>
      <c r="Y473" s="100"/>
      <c r="Z473" s="100"/>
      <c r="AA473" s="228"/>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100"/>
      <c r="BE473" s="100"/>
      <c r="BF473" s="100"/>
      <c r="BG473" s="100"/>
      <c r="BH473" s="100"/>
      <c r="BI473" s="100"/>
      <c r="BJ473" s="100"/>
      <c r="BK473" s="12"/>
      <c r="BL473" s="12"/>
    </row>
    <row r="474" spans="1:256" hidden="1" outlineLevel="1">
      <c r="A474" s="9"/>
      <c r="B474" s="9"/>
      <c r="C474" s="44"/>
      <c r="D474" s="270" t="str">
        <f>Asset5</f>
        <v>Towers and Conductor</v>
      </c>
      <c r="E474" s="9"/>
      <c r="F474" s="9"/>
      <c r="G474" s="201">
        <f>Input!J11</f>
        <v>984.93801110802451</v>
      </c>
      <c r="H474" s="331">
        <f t="shared" si="36"/>
        <v>1044.452748092953</v>
      </c>
      <c r="I474" s="345">
        <f t="shared" si="37"/>
        <v>1053.8828413021693</v>
      </c>
      <c r="J474" s="345">
        <f t="shared" si="37"/>
        <v>1052.9299642250808</v>
      </c>
      <c r="K474" s="345">
        <f t="shared" si="37"/>
        <v>1067.3607744629628</v>
      </c>
      <c r="L474" s="345">
        <f t="shared" si="37"/>
        <v>1093.4699750601903</v>
      </c>
      <c r="M474" s="345">
        <f t="shared" si="37"/>
        <v>1099.6901477398671</v>
      </c>
      <c r="N474" s="345">
        <f t="shared" si="37"/>
        <v>1087.8312112184137</v>
      </c>
      <c r="O474" s="111">
        <f>IF(COUNT($H474:N474)&gt;Input!$Y$7,0, N474+N506+N538)</f>
        <v>0</v>
      </c>
      <c r="P474" s="111">
        <f>IF(COUNT($H474:O474)&gt;Input!$Y$7,0, O474+O506+O538)</f>
        <v>0</v>
      </c>
      <c r="Q474" s="111">
        <f>IF(COUNT($H474:P474)&gt;Input!$Y$7,0, P474+P506+P538)</f>
        <v>0</v>
      </c>
      <c r="R474" s="111">
        <f>IF(COUNT($H474:Q474)&gt;Input!$Y$7,0, Q474+Q506+Q538)</f>
        <v>0</v>
      </c>
      <c r="S474" s="100"/>
      <c r="T474" s="100"/>
      <c r="U474" s="100"/>
      <c r="V474" s="100"/>
      <c r="W474" s="100"/>
      <c r="X474" s="100"/>
      <c r="Y474" s="100"/>
      <c r="Z474" s="100"/>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100"/>
      <c r="BE474" s="100"/>
      <c r="BF474" s="100"/>
      <c r="BG474" s="100"/>
      <c r="BH474" s="100"/>
      <c r="BI474" s="100"/>
      <c r="BJ474" s="100"/>
      <c r="BK474" s="12"/>
      <c r="BL474" s="12"/>
    </row>
    <row r="475" spans="1:256" hidden="1" outlineLevel="1">
      <c r="A475" s="9"/>
      <c r="B475" s="9"/>
      <c r="C475" s="44"/>
      <c r="D475" s="270" t="str">
        <f>Asset6</f>
        <v>Establishment</v>
      </c>
      <c r="E475" s="9"/>
      <c r="F475" s="9"/>
      <c r="G475" s="201">
        <f>Input!J12</f>
        <v>79.839482548432514</v>
      </c>
      <c r="H475" s="331">
        <f t="shared" si="36"/>
        <v>99.813803729564498</v>
      </c>
      <c r="I475" s="345">
        <f t="shared" si="37"/>
        <v>111.15579706185812</v>
      </c>
      <c r="J475" s="345">
        <f t="shared" si="37"/>
        <v>120.52611952435421</v>
      </c>
      <c r="K475" s="345">
        <f t="shared" si="37"/>
        <v>123.13302893792525</v>
      </c>
      <c r="L475" s="345">
        <f t="shared" si="37"/>
        <v>134.00858801397573</v>
      </c>
      <c r="M475" s="345">
        <f t="shared" si="37"/>
        <v>141.88231645875879</v>
      </c>
      <c r="N475" s="345">
        <f t="shared" si="37"/>
        <v>149.27480321898707</v>
      </c>
      <c r="O475" s="111">
        <f>IF(COUNT($H475:N475)&gt;Input!$Y$7,0, N475+N507+N539)</f>
        <v>0</v>
      </c>
      <c r="P475" s="111">
        <f>IF(COUNT($H475:O475)&gt;Input!$Y$7,0, O475+O507+O539)</f>
        <v>0</v>
      </c>
      <c r="Q475" s="111">
        <f>IF(COUNT($H475:P475)&gt;Input!$Y$7,0, P475+P507+P539)</f>
        <v>0</v>
      </c>
      <c r="R475" s="111">
        <f>IF(COUNT($H475:Q475)&gt;Input!$Y$7,0, Q475+Q507+Q539)</f>
        <v>0</v>
      </c>
      <c r="S475" s="100"/>
      <c r="T475" s="100"/>
      <c r="U475" s="100"/>
      <c r="V475" s="100"/>
      <c r="W475" s="100"/>
      <c r="X475" s="100"/>
      <c r="Y475" s="100"/>
      <c r="Z475" s="100"/>
      <c r="AA475" s="228"/>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100"/>
      <c r="BE475" s="100"/>
      <c r="BF475" s="100"/>
      <c r="BG475" s="100"/>
      <c r="BH475" s="100"/>
      <c r="BI475" s="100"/>
      <c r="BJ475" s="100"/>
      <c r="BK475" s="12"/>
      <c r="BL475" s="12"/>
    </row>
    <row r="476" spans="1:256" hidden="1" outlineLevel="1">
      <c r="A476" s="9"/>
      <c r="B476" s="9"/>
      <c r="C476" s="44"/>
      <c r="D476" s="270" t="str">
        <f>Asset7</f>
        <v>Communications</v>
      </c>
      <c r="E476" s="9"/>
      <c r="F476" s="9"/>
      <c r="G476" s="201">
        <f>Input!J13</f>
        <v>36.743106530439206</v>
      </c>
      <c r="H476" s="331">
        <f t="shared" si="36"/>
        <v>8.1938315503739449</v>
      </c>
      <c r="I476" s="345">
        <f t="shared" si="37"/>
        <v>14.895757964189402</v>
      </c>
      <c r="J476" s="345">
        <f t="shared" si="37"/>
        <v>33.75557812710997</v>
      </c>
      <c r="K476" s="345">
        <f t="shared" si="37"/>
        <v>37.705923588405803</v>
      </c>
      <c r="L476" s="345">
        <f t="shared" si="37"/>
        <v>40.080073198758392</v>
      </c>
      <c r="M476" s="345">
        <f t="shared" si="37"/>
        <v>42.39955469901313</v>
      </c>
      <c r="N476" s="345">
        <f t="shared" si="37"/>
        <v>45.758762521135296</v>
      </c>
      <c r="O476" s="111">
        <f>IF(COUNT($H476:N476)&gt;Input!$Y$7,0, N476+N508+N540)</f>
        <v>0</v>
      </c>
      <c r="P476" s="111">
        <f>IF(COUNT($H476:O476)&gt;Input!$Y$7,0, O476+O508+O540)</f>
        <v>0</v>
      </c>
      <c r="Q476" s="111">
        <f>IF(COUNT($H476:P476)&gt;Input!$Y$7,0, P476+P508+P540)</f>
        <v>0</v>
      </c>
      <c r="R476" s="111">
        <f>IF(COUNT($H476:Q476)&gt;Input!$Y$7,0, Q476+Q508+Q540)</f>
        <v>0</v>
      </c>
      <c r="S476" s="100"/>
      <c r="T476" s="100"/>
      <c r="U476" s="100"/>
      <c r="V476" s="100"/>
      <c r="W476" s="100"/>
      <c r="X476" s="100"/>
      <c r="Y476" s="100"/>
      <c r="Z476" s="100"/>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100"/>
      <c r="BE476" s="100"/>
      <c r="BF476" s="100"/>
      <c r="BG476" s="100"/>
      <c r="BH476" s="100"/>
      <c r="BI476" s="100"/>
      <c r="BJ476" s="100"/>
      <c r="BK476" s="12"/>
      <c r="BL476" s="12"/>
    </row>
    <row r="477" spans="1:256" hidden="1" outlineLevel="1">
      <c r="A477" s="9"/>
      <c r="B477" s="9"/>
      <c r="C477" s="44"/>
      <c r="D477" s="270" t="str">
        <f>Asset8</f>
        <v>Inventory</v>
      </c>
      <c r="E477" s="9"/>
      <c r="F477" s="9"/>
      <c r="G477" s="201">
        <f>Input!J14</f>
        <v>4.7007864066062357</v>
      </c>
      <c r="H477" s="331">
        <f t="shared" si="36"/>
        <v>7.3396858953920949</v>
      </c>
      <c r="I477" s="345">
        <f t="shared" si="37"/>
        <v>7.6101677616182872</v>
      </c>
      <c r="J477" s="345">
        <f t="shared" si="37"/>
        <v>7.770623105989757</v>
      </c>
      <c r="K477" s="345">
        <f t="shared" si="37"/>
        <v>7.9769228344673619</v>
      </c>
      <c r="L477" s="345">
        <f t="shared" si="37"/>
        <v>8.2244825086404862</v>
      </c>
      <c r="M477" s="345">
        <f t="shared" si="37"/>
        <v>8.4057837262658293</v>
      </c>
      <c r="N477" s="345">
        <f t="shared" si="37"/>
        <v>8.6159283194224745</v>
      </c>
      <c r="O477" s="111">
        <f>IF(COUNT($H477:N477)&gt;Input!$Y$7,0, N477+N509+N541)</f>
        <v>0</v>
      </c>
      <c r="P477" s="111">
        <f>IF(COUNT($H477:O477)&gt;Input!$Y$7,0, O477+O509+O541)</f>
        <v>0</v>
      </c>
      <c r="Q477" s="111">
        <f>IF(COUNT($H477:P477)&gt;Input!$Y$7,0, P477+P509+P541)</f>
        <v>0</v>
      </c>
      <c r="R477" s="111">
        <f>IF(COUNT($H477:Q477)&gt;Input!$Y$7,0, Q477+Q509+Q541)</f>
        <v>0</v>
      </c>
      <c r="S477" s="100"/>
      <c r="T477" s="100"/>
      <c r="U477" s="100"/>
      <c r="V477" s="100"/>
      <c r="W477" s="100"/>
      <c r="X477" s="100"/>
      <c r="Y477" s="100"/>
      <c r="Z477" s="100"/>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100"/>
      <c r="BE477" s="100"/>
      <c r="BF477" s="100"/>
      <c r="BG477" s="100"/>
      <c r="BH477" s="100"/>
      <c r="BI477" s="100"/>
      <c r="BJ477" s="100"/>
      <c r="BK477" s="12"/>
      <c r="BL477" s="12"/>
    </row>
    <row r="478" spans="1:256" hidden="1" outlineLevel="1">
      <c r="A478" s="9"/>
      <c r="B478" s="9"/>
      <c r="C478" s="44"/>
      <c r="D478" s="270" t="str">
        <f>Asset9</f>
        <v>IT</v>
      </c>
      <c r="E478" s="9"/>
      <c r="F478" s="9"/>
      <c r="G478" s="201">
        <f>Input!J15</f>
        <v>16.14271263150075</v>
      </c>
      <c r="H478" s="331">
        <f t="shared" si="36"/>
        <v>42.630945805012978</v>
      </c>
      <c r="I478" s="345">
        <f t="shared" si="37"/>
        <v>45.733824261653368</v>
      </c>
      <c r="J478" s="345">
        <f t="shared" si="37"/>
        <v>46.335260292747563</v>
      </c>
      <c r="K478" s="345">
        <f t="shared" si="37"/>
        <v>50.878058083326529</v>
      </c>
      <c r="L478" s="345">
        <f t="shared" si="37"/>
        <v>55.253162612062127</v>
      </c>
      <c r="M478" s="345">
        <f t="shared" si="37"/>
        <v>63.512346243522224</v>
      </c>
      <c r="N478" s="345">
        <f t="shared" si="37"/>
        <v>70.167161495434655</v>
      </c>
      <c r="O478" s="111">
        <f>IF(COUNT($H478:N478)&gt;Input!$Y$7,0, N478+N510+N542)</f>
        <v>0</v>
      </c>
      <c r="P478" s="111">
        <f>IF(COUNT($H478:O478)&gt;Input!$Y$7,0, O478+O510+O542)</f>
        <v>0</v>
      </c>
      <c r="Q478" s="111">
        <f>IF(COUNT($H478:P478)&gt;Input!$Y$7,0, P478+P510+P542)</f>
        <v>0</v>
      </c>
      <c r="R478" s="111">
        <f>IF(COUNT($H478:Q478)&gt;Input!$Y$7,0, Q478+Q510+Q542)</f>
        <v>0</v>
      </c>
      <c r="S478" s="100"/>
      <c r="T478" s="100"/>
      <c r="U478" s="100"/>
      <c r="V478" s="100"/>
      <c r="W478" s="100"/>
      <c r="X478" s="100"/>
      <c r="Y478" s="100"/>
      <c r="Z478" s="100"/>
      <c r="AA478" s="228"/>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100"/>
      <c r="BE478" s="100"/>
      <c r="BF478" s="100"/>
      <c r="BG478" s="100"/>
      <c r="BH478" s="100"/>
      <c r="BI478" s="100"/>
      <c r="BJ478" s="100"/>
      <c r="BK478" s="12"/>
      <c r="BL478" s="12"/>
    </row>
    <row r="479" spans="1:256" hidden="1" outlineLevel="1">
      <c r="A479" s="9"/>
      <c r="B479" s="9"/>
      <c r="C479" s="44"/>
      <c r="D479" s="270" t="str">
        <f>Asset10</f>
        <v>Vehicles</v>
      </c>
      <c r="E479" s="9"/>
      <c r="F479" s="9"/>
      <c r="G479" s="201">
        <f>Input!J16</f>
        <v>3.8998256791301116</v>
      </c>
      <c r="H479" s="331">
        <f t="shared" si="36"/>
        <v>4.1948540252504873</v>
      </c>
      <c r="I479" s="345">
        <f t="shared" si="37"/>
        <v>3.9193820079226485</v>
      </c>
      <c r="J479" s="345">
        <f t="shared" si="37"/>
        <v>3.3026536189901927</v>
      </c>
      <c r="K479" s="345">
        <f t="shared" si="37"/>
        <v>2.3518553018032087</v>
      </c>
      <c r="L479" s="345">
        <f t="shared" si="37"/>
        <v>2.3109094017920619</v>
      </c>
      <c r="M479" s="345">
        <f t="shared" si="37"/>
        <v>3.6772597945514116</v>
      </c>
      <c r="N479" s="345">
        <f t="shared" si="37"/>
        <v>4.8434134503161177</v>
      </c>
      <c r="O479" s="111">
        <f>IF(COUNT($H479:N479)&gt;Input!$Y$7,0, N479+N511+N543)</f>
        <v>0</v>
      </c>
      <c r="P479" s="111">
        <f>IF(COUNT($H479:O479)&gt;Input!$Y$7,0, O479+O511+O543)</f>
        <v>0</v>
      </c>
      <c r="Q479" s="111">
        <f>IF(COUNT($H479:P479)&gt;Input!$Y$7,0, P479+P511+P543)</f>
        <v>0</v>
      </c>
      <c r="R479" s="111">
        <f>IF(COUNT($H479:Q479)&gt;Input!$Y$7,0, Q479+Q511+Q543)</f>
        <v>0</v>
      </c>
      <c r="S479" s="100"/>
      <c r="T479" s="100"/>
      <c r="U479" s="100"/>
      <c r="V479" s="100"/>
      <c r="W479" s="100"/>
      <c r="X479" s="100"/>
      <c r="Y479" s="100"/>
      <c r="Z479" s="100"/>
      <c r="AA479" s="228"/>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100"/>
      <c r="BE479" s="100"/>
      <c r="BF479" s="100"/>
      <c r="BG479" s="100"/>
      <c r="BH479" s="100"/>
      <c r="BI479" s="100"/>
      <c r="BJ479" s="100"/>
      <c r="BK479" s="12"/>
      <c r="BL479" s="12"/>
    </row>
    <row r="480" spans="1:256" hidden="1" outlineLevel="1">
      <c r="A480" s="9"/>
      <c r="B480" s="9"/>
      <c r="C480" s="44"/>
      <c r="D480" s="270" t="str">
        <f>Asset11</f>
        <v>other</v>
      </c>
      <c r="E480" s="9"/>
      <c r="F480" s="9"/>
      <c r="G480" s="201">
        <f>Input!J17</f>
        <v>3.8757526879064059</v>
      </c>
      <c r="H480" s="331">
        <f t="shared" si="36"/>
        <v>12.83862977015842</v>
      </c>
      <c r="I480" s="345">
        <f t="shared" si="37"/>
        <v>15.59783132462011</v>
      </c>
      <c r="J480" s="345">
        <f t="shared" si="37"/>
        <v>16.888229264966313</v>
      </c>
      <c r="K480" s="345">
        <f t="shared" si="37"/>
        <v>18.612538678813451</v>
      </c>
      <c r="L480" s="345">
        <f t="shared" si="37"/>
        <v>18.786129295236577</v>
      </c>
      <c r="M480" s="345">
        <f t="shared" si="37"/>
        <v>19.203861963060486</v>
      </c>
      <c r="N480" s="345">
        <f t="shared" si="37"/>
        <v>19.017629448866572</v>
      </c>
      <c r="O480" s="111">
        <f>IF(COUNT($H480:N480)&gt;Input!$Y$7,0, N480+N512+N544)</f>
        <v>0</v>
      </c>
      <c r="P480" s="111">
        <f>IF(COUNT($H480:O480)&gt;Input!$Y$7,0, O480+O512+O544)</f>
        <v>0</v>
      </c>
      <c r="Q480" s="111">
        <f>IF(COUNT($H480:P480)&gt;Input!$Y$7,0, P480+P512+P544)</f>
        <v>0</v>
      </c>
      <c r="R480" s="111">
        <f>IF(COUNT($H480:Q480)&gt;Input!$Y$7,0, Q480+Q512+Q544)</f>
        <v>0</v>
      </c>
      <c r="S480" s="100"/>
      <c r="T480" s="100"/>
      <c r="U480" s="100"/>
      <c r="V480" s="100"/>
      <c r="W480" s="100"/>
      <c r="X480" s="100"/>
      <c r="Y480" s="100"/>
      <c r="Z480" s="100"/>
      <c r="AA480" s="228"/>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100"/>
      <c r="BE480" s="100"/>
      <c r="BF480" s="100"/>
      <c r="BG480" s="100"/>
      <c r="BH480" s="100"/>
      <c r="BI480" s="100"/>
      <c r="BJ480" s="100"/>
      <c r="BK480" s="12"/>
      <c r="BL480" s="12"/>
    </row>
    <row r="481" spans="1:64" hidden="1" outlineLevel="1">
      <c r="A481" s="9"/>
      <c r="B481" s="9"/>
      <c r="C481" s="44"/>
      <c r="D481" s="270" t="str">
        <f>Asset12</f>
        <v>premises</v>
      </c>
      <c r="E481" s="9"/>
      <c r="F481" s="9"/>
      <c r="G481" s="201">
        <f>Input!J18</f>
        <v>5.2657279599188227</v>
      </c>
      <c r="H481" s="331">
        <f t="shared" si="36"/>
        <v>8.4078322708407711</v>
      </c>
      <c r="I481" s="345">
        <f t="shared" si="37"/>
        <v>7.5457103279380924</v>
      </c>
      <c r="J481" s="345">
        <f t="shared" si="37"/>
        <v>6.4692178923447372</v>
      </c>
      <c r="K481" s="345">
        <f t="shared" si="37"/>
        <v>5.358020565222839</v>
      </c>
      <c r="L481" s="345">
        <f t="shared" si="37"/>
        <v>4.5465837928136903</v>
      </c>
      <c r="M481" s="345">
        <f t="shared" si="37"/>
        <v>3.6249093656521296</v>
      </c>
      <c r="N481" s="345">
        <f t="shared" si="37"/>
        <v>2.743138996222263</v>
      </c>
      <c r="O481" s="111">
        <f>IF(COUNT($H481:N481)&gt;Input!$Y$7,0, N481+N513+N545)</f>
        <v>0</v>
      </c>
      <c r="P481" s="111">
        <f>IF(COUNT($H481:O481)&gt;Input!$Y$7,0, O481+O513+O545)</f>
        <v>0</v>
      </c>
      <c r="Q481" s="111">
        <f>IF(COUNT($H481:P481)&gt;Input!$Y$7,0, P481+P513+P545)</f>
        <v>0</v>
      </c>
      <c r="R481" s="111">
        <f>IF(COUNT($H481:Q481)&gt;Input!$Y$7,0, Q481+Q513+Q545)</f>
        <v>0</v>
      </c>
      <c r="S481" s="100"/>
      <c r="T481" s="100"/>
      <c r="U481" s="100"/>
      <c r="V481" s="100"/>
      <c r="W481" s="100"/>
      <c r="X481" s="100"/>
      <c r="Y481" s="100"/>
      <c r="Z481" s="100"/>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100"/>
      <c r="BE481" s="100"/>
      <c r="BF481" s="100"/>
      <c r="BG481" s="100"/>
      <c r="BH481" s="100"/>
      <c r="BI481" s="100"/>
      <c r="BJ481" s="100"/>
      <c r="BK481" s="12"/>
      <c r="BL481" s="12"/>
    </row>
    <row r="482" spans="1:64" hidden="1" outlineLevel="1">
      <c r="A482" s="9"/>
      <c r="B482" s="9"/>
      <c r="C482" s="44"/>
      <c r="D482" s="270" t="str">
        <f>Asset13</f>
        <v>Land</v>
      </c>
      <c r="E482" s="9"/>
      <c r="F482" s="9"/>
      <c r="G482" s="201">
        <f>Input!J19</f>
        <v>96.385254729241879</v>
      </c>
      <c r="H482" s="331">
        <f t="shared" si="36"/>
        <v>95.756770018212507</v>
      </c>
      <c r="I482" s="345">
        <f t="shared" si="37"/>
        <v>99.285595396772493</v>
      </c>
      <c r="J482" s="345">
        <f t="shared" si="37"/>
        <v>101.37896638405384</v>
      </c>
      <c r="K482" s="345">
        <f t="shared" si="37"/>
        <v>103.57368293686469</v>
      </c>
      <c r="L482" s="345">
        <f t="shared" si="37"/>
        <v>105.77134327406523</v>
      </c>
      <c r="M482" s="345">
        <f t="shared" si="37"/>
        <v>108.10297609173001</v>
      </c>
      <c r="N482" s="345">
        <f t="shared" si="37"/>
        <v>110.80555049402327</v>
      </c>
      <c r="O482" s="111">
        <f>IF(COUNT($H482:N482)&gt;Input!$Y$7,0, N482+N514+N546)</f>
        <v>0</v>
      </c>
      <c r="P482" s="111">
        <f>IF(COUNT($H482:O482)&gt;Input!$Y$7,0, O482+O514+O546)</f>
        <v>0</v>
      </c>
      <c r="Q482" s="111">
        <f>IF(COUNT($H482:P482)&gt;Input!$Y$7,0, P482+P514+P546)</f>
        <v>0</v>
      </c>
      <c r="R482" s="111">
        <f>IF(COUNT($H482:Q482)&gt;Input!$Y$7,0, Q482+Q514+Q546)</f>
        <v>0</v>
      </c>
      <c r="S482" s="100"/>
      <c r="T482" s="100"/>
      <c r="U482" s="100"/>
      <c r="V482" s="100"/>
      <c r="W482" s="100"/>
      <c r="X482" s="100"/>
      <c r="Y482" s="100"/>
      <c r="Z482" s="100"/>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100"/>
      <c r="BE482" s="100"/>
      <c r="BF482" s="100"/>
      <c r="BG482" s="100"/>
      <c r="BH482" s="100"/>
      <c r="BI482" s="100"/>
      <c r="BJ482" s="100"/>
      <c r="BK482" s="12"/>
      <c r="BL482" s="12"/>
    </row>
    <row r="483" spans="1:64" hidden="1" outlineLevel="1">
      <c r="A483" s="9"/>
      <c r="B483" s="9"/>
      <c r="C483" s="44"/>
      <c r="D483" s="270" t="str">
        <f>Asset14</f>
        <v>Easements</v>
      </c>
      <c r="E483" s="9"/>
      <c r="F483" s="9"/>
      <c r="G483" s="201">
        <f>Input!J20</f>
        <v>106.13037685559563</v>
      </c>
      <c r="H483" s="331">
        <f t="shared" si="36"/>
        <v>108.97377932420517</v>
      </c>
      <c r="I483" s="345">
        <f t="shared" si="37"/>
        <v>112.9896775004251</v>
      </c>
      <c r="J483" s="345">
        <f t="shared" si="37"/>
        <v>115.37198997784371</v>
      </c>
      <c r="K483" s="345">
        <f t="shared" si="37"/>
        <v>118.4349631630962</v>
      </c>
      <c r="L483" s="345">
        <f t="shared" si="37"/>
        <v>122.11053098539918</v>
      </c>
      <c r="M483" s="345">
        <f t="shared" si="37"/>
        <v>124.80234629770258</v>
      </c>
      <c r="N483" s="345">
        <f t="shared" si="37"/>
        <v>127.92240495514515</v>
      </c>
      <c r="O483" s="111">
        <f>IF(COUNT($H483:N483)&gt;Input!$Y$7,0, N483+N515+N547)</f>
        <v>0</v>
      </c>
      <c r="P483" s="111">
        <f>IF(COUNT($H483:O483)&gt;Input!$Y$7,0, O483+O515+O547)</f>
        <v>0</v>
      </c>
      <c r="Q483" s="111">
        <f>IF(COUNT($H483:P483)&gt;Input!$Y$7,0, P483+P515+P547)</f>
        <v>0</v>
      </c>
      <c r="R483" s="111">
        <f>IF(COUNT($H483:Q483)&gt;Input!$Y$7,0, Q483+Q515+Q547)</f>
        <v>0</v>
      </c>
      <c r="S483" s="100"/>
      <c r="T483" s="100"/>
      <c r="U483" s="100"/>
      <c r="V483" s="100"/>
      <c r="W483" s="100"/>
      <c r="X483" s="100"/>
      <c r="Y483" s="100"/>
      <c r="Z483" s="100"/>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100"/>
      <c r="BE483" s="100"/>
      <c r="BF483" s="100"/>
      <c r="BG483" s="100"/>
      <c r="BH483" s="100"/>
      <c r="BI483" s="100"/>
      <c r="BJ483" s="100"/>
      <c r="BK483" s="12"/>
      <c r="BL483" s="12"/>
    </row>
    <row r="484" spans="1:64" hidden="1" outlineLevel="1">
      <c r="A484" s="9"/>
      <c r="B484" s="9"/>
      <c r="C484" s="44"/>
      <c r="D484" s="270">
        <f>Asset15</f>
        <v>0</v>
      </c>
      <c r="E484" s="9"/>
      <c r="F484" s="9"/>
      <c r="G484" s="201">
        <f>Input!J21</f>
        <v>0</v>
      </c>
      <c r="H484" s="331">
        <f t="shared" si="36"/>
        <v>0</v>
      </c>
      <c r="I484" s="111">
        <f t="shared" ref="I484:N489" si="38">H484+H516+H548</f>
        <v>0</v>
      </c>
      <c r="J484" s="111">
        <f t="shared" si="38"/>
        <v>0</v>
      </c>
      <c r="K484" s="111">
        <f t="shared" si="38"/>
        <v>0</v>
      </c>
      <c r="L484" s="111">
        <f t="shared" si="38"/>
        <v>0</v>
      </c>
      <c r="M484" s="111">
        <f t="shared" si="38"/>
        <v>0</v>
      </c>
      <c r="N484" s="111">
        <f t="shared" si="38"/>
        <v>0</v>
      </c>
      <c r="O484" s="111">
        <f>IF(COUNT($H484:N484)&gt;Input!$Y$7,0, N484+N516+N548)</f>
        <v>0</v>
      </c>
      <c r="P484" s="111">
        <f>IF(COUNT($H484:O484)&gt;Input!$Y$7,0, O484+O516+O548)</f>
        <v>0</v>
      </c>
      <c r="Q484" s="111">
        <f>IF(COUNT($H484:P484)&gt;Input!$Y$7,0, P484+P516+P548)</f>
        <v>0</v>
      </c>
      <c r="R484" s="111">
        <f>IF(COUNT($H484:Q484)&gt;Input!$Y$7,0, Q484+Q516+Q548)</f>
        <v>0</v>
      </c>
      <c r="S484" s="100"/>
      <c r="T484" s="100"/>
      <c r="U484" s="100"/>
      <c r="V484" s="100"/>
      <c r="W484" s="100"/>
      <c r="X484" s="100"/>
      <c r="Y484" s="100"/>
      <c r="Z484" s="100"/>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100"/>
      <c r="BE484" s="100"/>
      <c r="BF484" s="100"/>
      <c r="BG484" s="100"/>
      <c r="BH484" s="100"/>
      <c r="BI484" s="100"/>
      <c r="BJ484" s="100"/>
      <c r="BK484" s="12"/>
      <c r="BL484" s="12"/>
    </row>
    <row r="485" spans="1:64" hidden="1" outlineLevel="1">
      <c r="A485" s="9"/>
      <c r="B485" s="9"/>
      <c r="C485" s="44"/>
      <c r="D485" s="270">
        <f>Asset16</f>
        <v>0</v>
      </c>
      <c r="E485" s="9"/>
      <c r="F485" s="9"/>
      <c r="G485" s="201">
        <f>Input!J22</f>
        <v>0</v>
      </c>
      <c r="H485" s="331">
        <f t="shared" si="36"/>
        <v>0</v>
      </c>
      <c r="I485" s="111">
        <f t="shared" si="38"/>
        <v>0</v>
      </c>
      <c r="J485" s="111">
        <f t="shared" si="38"/>
        <v>0</v>
      </c>
      <c r="K485" s="111">
        <f t="shared" si="38"/>
        <v>0</v>
      </c>
      <c r="L485" s="111">
        <f t="shared" si="38"/>
        <v>0</v>
      </c>
      <c r="M485" s="111">
        <f t="shared" si="38"/>
        <v>0</v>
      </c>
      <c r="N485" s="111">
        <f t="shared" si="38"/>
        <v>0</v>
      </c>
      <c r="O485" s="111">
        <f>IF(COUNT($H485:N485)&gt;Input!$Y$7,0, N485+N517+N549)</f>
        <v>0</v>
      </c>
      <c r="P485" s="111">
        <f>IF(COUNT($H485:O485)&gt;Input!$Y$7,0, O485+O517+O549)</f>
        <v>0</v>
      </c>
      <c r="Q485" s="111">
        <f>IF(COUNT($H485:P485)&gt;Input!$Y$7,0, P485+P517+P549)</f>
        <v>0</v>
      </c>
      <c r="R485" s="111">
        <f>IF(COUNT($H485:Q485)&gt;Input!$Y$7,0, Q485+Q517+Q549)</f>
        <v>0</v>
      </c>
      <c r="S485" s="100"/>
      <c r="T485" s="100"/>
      <c r="U485" s="100"/>
      <c r="V485" s="100"/>
      <c r="W485" s="100"/>
      <c r="X485" s="100"/>
      <c r="Y485" s="100"/>
      <c r="Z485" s="100"/>
      <c r="AA485" s="228"/>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100"/>
      <c r="BE485" s="100"/>
      <c r="BF485" s="100"/>
      <c r="BG485" s="100"/>
      <c r="BH485" s="100"/>
      <c r="BI485" s="100"/>
      <c r="BJ485" s="100"/>
      <c r="BK485" s="12"/>
      <c r="BL485" s="12"/>
    </row>
    <row r="486" spans="1:64" hidden="1" outlineLevel="1">
      <c r="A486" s="9"/>
      <c r="B486" s="9"/>
      <c r="C486" s="44"/>
      <c r="D486" s="270">
        <f>Asset17</f>
        <v>0</v>
      </c>
      <c r="E486" s="9"/>
      <c r="F486" s="9"/>
      <c r="G486" s="201">
        <f>Input!J23</f>
        <v>0</v>
      </c>
      <c r="H486" s="331">
        <f t="shared" si="36"/>
        <v>0</v>
      </c>
      <c r="I486" s="111">
        <f t="shared" si="38"/>
        <v>0</v>
      </c>
      <c r="J486" s="111">
        <f t="shared" si="38"/>
        <v>0</v>
      </c>
      <c r="K486" s="111">
        <f t="shared" si="38"/>
        <v>0</v>
      </c>
      <c r="L486" s="111">
        <f t="shared" si="38"/>
        <v>0</v>
      </c>
      <c r="M486" s="111">
        <f t="shared" si="38"/>
        <v>0</v>
      </c>
      <c r="N486" s="111">
        <f t="shared" si="38"/>
        <v>0</v>
      </c>
      <c r="O486" s="111">
        <f>IF(COUNT($H486:N486)&gt;Input!$Y$7,0, N486+N518+N550)</f>
        <v>0</v>
      </c>
      <c r="P486" s="111">
        <f>IF(COUNT($H486:O486)&gt;Input!$Y$7,0, O486+O518+O550)</f>
        <v>0</v>
      </c>
      <c r="Q486" s="111">
        <f>IF(COUNT($H486:P486)&gt;Input!$Y$7,0, P486+P518+P550)</f>
        <v>0</v>
      </c>
      <c r="R486" s="111">
        <f>IF(COUNT($H486:Q486)&gt;Input!$Y$7,0, Q486+Q518+Q550)</f>
        <v>0</v>
      </c>
      <c r="S486" s="100"/>
      <c r="T486" s="100"/>
      <c r="U486" s="100"/>
      <c r="V486" s="100"/>
      <c r="W486" s="100"/>
      <c r="X486" s="100"/>
      <c r="Y486" s="100"/>
      <c r="Z486" s="100"/>
      <c r="AA486" s="228"/>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100"/>
      <c r="BE486" s="100"/>
      <c r="BF486" s="100"/>
      <c r="BG486" s="100"/>
      <c r="BH486" s="100"/>
      <c r="BI486" s="100"/>
      <c r="BJ486" s="100"/>
      <c r="BK486" s="12"/>
      <c r="BL486" s="12"/>
    </row>
    <row r="487" spans="1:64" hidden="1" outlineLevel="1">
      <c r="A487" s="9"/>
      <c r="B487" s="9"/>
      <c r="C487" s="44"/>
      <c r="D487" s="270">
        <f>Asset18</f>
        <v>0</v>
      </c>
      <c r="E487" s="9"/>
      <c r="F487" s="9"/>
      <c r="G487" s="201">
        <f>Input!J24</f>
        <v>0</v>
      </c>
      <c r="H487" s="331">
        <f t="shared" si="36"/>
        <v>0</v>
      </c>
      <c r="I487" s="111">
        <f t="shared" si="38"/>
        <v>0</v>
      </c>
      <c r="J487" s="111">
        <f t="shared" si="38"/>
        <v>0</v>
      </c>
      <c r="K487" s="111">
        <f t="shared" si="38"/>
        <v>0</v>
      </c>
      <c r="L487" s="111">
        <f t="shared" si="38"/>
        <v>0</v>
      </c>
      <c r="M487" s="111">
        <f t="shared" si="38"/>
        <v>0</v>
      </c>
      <c r="N487" s="111">
        <f t="shared" si="38"/>
        <v>0</v>
      </c>
      <c r="O487" s="111">
        <f>IF(COUNT($H487:N487)&gt;Input!$Y$7,0, N487+N519+N551)</f>
        <v>0</v>
      </c>
      <c r="P487" s="111">
        <f>IF(COUNT($H487:O487)&gt;Input!$Y$7,0, O487+O519+O551)</f>
        <v>0</v>
      </c>
      <c r="Q487" s="111">
        <f>IF(COUNT($H487:P487)&gt;Input!$Y$7,0, P487+P519+P551)</f>
        <v>0</v>
      </c>
      <c r="R487" s="111">
        <f>IF(COUNT($H487:Q487)&gt;Input!$Y$7,0, Q487+Q519+Q551)</f>
        <v>0</v>
      </c>
      <c r="S487" s="100"/>
      <c r="T487" s="100"/>
      <c r="U487" s="100"/>
      <c r="V487" s="100"/>
      <c r="W487" s="100"/>
      <c r="X487" s="100"/>
      <c r="Y487" s="100"/>
      <c r="Z487" s="100"/>
      <c r="AA487" s="228"/>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100"/>
      <c r="BE487" s="100"/>
      <c r="BF487" s="100"/>
      <c r="BG487" s="100"/>
      <c r="BH487" s="100"/>
      <c r="BI487" s="100"/>
      <c r="BJ487" s="100"/>
      <c r="BK487" s="12"/>
      <c r="BL487" s="12"/>
    </row>
    <row r="488" spans="1:64" hidden="1" outlineLevel="1">
      <c r="A488" s="9"/>
      <c r="B488" s="9"/>
      <c r="C488" s="44"/>
      <c r="D488" s="270">
        <f>Asset19</f>
        <v>0</v>
      </c>
      <c r="E488" s="9"/>
      <c r="F488" s="9"/>
      <c r="G488" s="201">
        <f>Input!J25</f>
        <v>0</v>
      </c>
      <c r="H488" s="331">
        <f t="shared" si="36"/>
        <v>0</v>
      </c>
      <c r="I488" s="111">
        <f t="shared" si="38"/>
        <v>0</v>
      </c>
      <c r="J488" s="111">
        <f t="shared" si="38"/>
        <v>0</v>
      </c>
      <c r="K488" s="111">
        <f t="shared" si="38"/>
        <v>0</v>
      </c>
      <c r="L488" s="111">
        <f t="shared" si="38"/>
        <v>0</v>
      </c>
      <c r="M488" s="111">
        <f t="shared" si="38"/>
        <v>0</v>
      </c>
      <c r="N488" s="111">
        <f t="shared" si="38"/>
        <v>0</v>
      </c>
      <c r="O488" s="111">
        <f>IF(COUNT($H488:N488)&gt;Input!$Y$7,0, N488+N520+N552)</f>
        <v>0</v>
      </c>
      <c r="P488" s="111">
        <f>IF(COUNT($H488:O488)&gt;Input!$Y$7,0, O488+O520+O552)</f>
        <v>0</v>
      </c>
      <c r="Q488" s="111">
        <f>IF(COUNT($H488:P488)&gt;Input!$Y$7,0, P488+P520+P552)</f>
        <v>0</v>
      </c>
      <c r="R488" s="111">
        <f>IF(COUNT($H488:Q488)&gt;Input!$Y$7,0, Q488+Q520+Q552)</f>
        <v>0</v>
      </c>
      <c r="S488" s="100"/>
      <c r="T488" s="100"/>
      <c r="U488" s="100"/>
      <c r="V488" s="100"/>
      <c r="W488" s="100"/>
      <c r="X488" s="100"/>
      <c r="Y488" s="100"/>
      <c r="Z488" s="100"/>
      <c r="AA488" s="228"/>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100"/>
      <c r="BE488" s="100"/>
      <c r="BF488" s="100"/>
      <c r="BG488" s="100"/>
      <c r="BH488" s="100"/>
      <c r="BI488" s="100"/>
      <c r="BJ488" s="100"/>
      <c r="BK488" s="12"/>
      <c r="BL488" s="12"/>
    </row>
    <row r="489" spans="1:64" hidden="1" outlineLevel="1">
      <c r="A489" s="9"/>
      <c r="B489" s="9"/>
      <c r="C489" s="44"/>
      <c r="D489" s="270">
        <f>Asset20</f>
        <v>0</v>
      </c>
      <c r="E489" s="9"/>
      <c r="F489" s="9"/>
      <c r="G489" s="201">
        <f>Input!J26</f>
        <v>0</v>
      </c>
      <c r="H489" s="331">
        <f t="shared" si="36"/>
        <v>0</v>
      </c>
      <c r="I489" s="111">
        <f t="shared" si="38"/>
        <v>0</v>
      </c>
      <c r="J489" s="111">
        <f t="shared" si="38"/>
        <v>0</v>
      </c>
      <c r="K489" s="111">
        <f t="shared" si="38"/>
        <v>0</v>
      </c>
      <c r="L489" s="111">
        <f t="shared" si="38"/>
        <v>0</v>
      </c>
      <c r="M489" s="111">
        <f t="shared" si="38"/>
        <v>0</v>
      </c>
      <c r="N489" s="111">
        <f t="shared" si="38"/>
        <v>0</v>
      </c>
      <c r="O489" s="111">
        <f>IF(COUNT($H489:N489)&gt;Input!$Y$7,0, N489+N521+N553)</f>
        <v>0</v>
      </c>
      <c r="P489" s="111">
        <f>IF(COUNT($H489:O489)&gt;Input!$Y$7,0, O489+O521+O553)</f>
        <v>0</v>
      </c>
      <c r="Q489" s="111">
        <f>IF(COUNT($H489:P489)&gt;Input!$Y$7,0, P489+P521+P553)</f>
        <v>0</v>
      </c>
      <c r="R489" s="111">
        <f>IF(COUNT($H489:Q489)&gt;Input!$Y$7,0, Q489+Q521+Q553)</f>
        <v>0</v>
      </c>
      <c r="S489" s="100"/>
      <c r="T489" s="100"/>
      <c r="U489" s="100"/>
      <c r="V489" s="100"/>
      <c r="W489" s="100"/>
      <c r="X489" s="100"/>
      <c r="Y489" s="100"/>
      <c r="Z489" s="100"/>
      <c r="AA489" s="228"/>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100"/>
      <c r="BE489" s="100"/>
      <c r="BF489" s="100"/>
      <c r="BG489" s="100"/>
      <c r="BH489" s="100"/>
      <c r="BI489" s="100"/>
      <c r="BJ489" s="100"/>
      <c r="BK489" s="12"/>
      <c r="BL489" s="12"/>
    </row>
    <row r="490" spans="1:64" hidden="1" outlineLevel="1">
      <c r="A490" s="9"/>
      <c r="B490" s="9"/>
      <c r="C490" s="44"/>
      <c r="D490" s="270">
        <f>Asset21</f>
        <v>0</v>
      </c>
      <c r="E490" s="9"/>
      <c r="F490" s="9"/>
      <c r="G490" s="201">
        <f>Input!J27</f>
        <v>0</v>
      </c>
      <c r="H490" s="331">
        <f t="shared" si="36"/>
        <v>0</v>
      </c>
      <c r="I490" s="111">
        <f>H490+H522+H554</f>
        <v>0</v>
      </c>
      <c r="J490" s="111">
        <f t="shared" ref="J490:N498" si="39">I490+I522+I554</f>
        <v>0</v>
      </c>
      <c r="K490" s="111">
        <f t="shared" si="39"/>
        <v>0</v>
      </c>
      <c r="L490" s="111">
        <f t="shared" si="39"/>
        <v>0</v>
      </c>
      <c r="M490" s="111">
        <f t="shared" si="39"/>
        <v>0</v>
      </c>
      <c r="N490" s="111">
        <f t="shared" si="39"/>
        <v>0</v>
      </c>
      <c r="O490" s="111">
        <f>IF(COUNT($H490:N490)&gt;Input!$Y$7,0, N490+N522+N554)</f>
        <v>0</v>
      </c>
      <c r="P490" s="111">
        <f>IF(COUNT($H490:O490)&gt;Input!$Y$7,0, O490+O522+O554)</f>
        <v>0</v>
      </c>
      <c r="Q490" s="111">
        <f>IF(COUNT($H490:P490)&gt;Input!$Y$7,0, P490+P522+P554)</f>
        <v>0</v>
      </c>
      <c r="R490" s="111">
        <f>IF(COUNT($H490:Q490)&gt;Input!$Y$7,0, Q490+Q522+Q554)</f>
        <v>0</v>
      </c>
      <c r="S490" s="100"/>
      <c r="T490" s="100"/>
      <c r="U490" s="100"/>
      <c r="V490" s="100"/>
      <c r="W490" s="100"/>
      <c r="X490" s="100"/>
      <c r="Y490" s="100"/>
      <c r="Z490" s="100"/>
      <c r="AA490" s="228"/>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100"/>
      <c r="BE490" s="100"/>
      <c r="BF490" s="100"/>
      <c r="BG490" s="100"/>
      <c r="BH490" s="100"/>
      <c r="BI490" s="100"/>
      <c r="BJ490" s="100"/>
      <c r="BK490" s="12"/>
      <c r="BL490" s="12"/>
    </row>
    <row r="491" spans="1:64" hidden="1" outlineLevel="1">
      <c r="A491" s="9"/>
      <c r="B491" s="9"/>
      <c r="C491" s="44"/>
      <c r="D491" s="270">
        <f>Asset22</f>
        <v>0</v>
      </c>
      <c r="E491" s="9"/>
      <c r="F491" s="9"/>
      <c r="G491" s="201">
        <f>Input!J28</f>
        <v>0</v>
      </c>
      <c r="H491" s="331">
        <f t="shared" si="36"/>
        <v>0</v>
      </c>
      <c r="I491" s="111">
        <f>H491+H523+H555</f>
        <v>0</v>
      </c>
      <c r="J491" s="111">
        <f t="shared" si="39"/>
        <v>0</v>
      </c>
      <c r="K491" s="111">
        <f t="shared" si="39"/>
        <v>0</v>
      </c>
      <c r="L491" s="111">
        <f t="shared" si="39"/>
        <v>0</v>
      </c>
      <c r="M491" s="111">
        <f t="shared" si="39"/>
        <v>0</v>
      </c>
      <c r="N491" s="111">
        <f t="shared" si="39"/>
        <v>0</v>
      </c>
      <c r="O491" s="111">
        <f>IF(COUNT($H491:N491)&gt;Input!$Y$7,0, N491+N523+N555)</f>
        <v>0</v>
      </c>
      <c r="P491" s="111">
        <f>IF(COUNT($H491:O491)&gt;Input!$Y$7,0, O491+O523+O555)</f>
        <v>0</v>
      </c>
      <c r="Q491" s="111">
        <f>IF(COUNT($H491:P491)&gt;Input!$Y$7,0, P491+P523+P555)</f>
        <v>0</v>
      </c>
      <c r="R491" s="111">
        <f>IF(COUNT($H491:Q491)&gt;Input!$Y$7,0, Q491+Q523+Q555)</f>
        <v>0</v>
      </c>
      <c r="S491" s="100"/>
      <c r="T491" s="100"/>
      <c r="U491" s="100"/>
      <c r="V491" s="100"/>
      <c r="W491" s="100"/>
      <c r="X491" s="100"/>
      <c r="Y491" s="100"/>
      <c r="Z491" s="100"/>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100"/>
      <c r="BE491" s="100"/>
      <c r="BF491" s="100"/>
      <c r="BG491" s="100"/>
      <c r="BH491" s="100"/>
      <c r="BI491" s="100"/>
      <c r="BJ491" s="100"/>
      <c r="BK491" s="12"/>
      <c r="BL491" s="12"/>
    </row>
    <row r="492" spans="1:64" hidden="1" outlineLevel="1">
      <c r="A492" s="9"/>
      <c r="B492" s="9"/>
      <c r="C492" s="44"/>
      <c r="D492" s="270">
        <f>Asset23</f>
        <v>0</v>
      </c>
      <c r="E492" s="9"/>
      <c r="F492" s="9"/>
      <c r="G492" s="201">
        <f>Input!J29</f>
        <v>0</v>
      </c>
      <c r="H492" s="331">
        <f t="shared" si="36"/>
        <v>0</v>
      </c>
      <c r="I492" s="111">
        <f t="shared" ref="I492:I499" si="40">H492+H524+H556</f>
        <v>0</v>
      </c>
      <c r="J492" s="111">
        <f t="shared" si="39"/>
        <v>0</v>
      </c>
      <c r="K492" s="111">
        <f t="shared" si="39"/>
        <v>0</v>
      </c>
      <c r="L492" s="111">
        <f t="shared" si="39"/>
        <v>0</v>
      </c>
      <c r="M492" s="111">
        <f t="shared" si="39"/>
        <v>0</v>
      </c>
      <c r="N492" s="111">
        <f t="shared" si="39"/>
        <v>0</v>
      </c>
      <c r="O492" s="111">
        <f>IF(COUNT($H492:N492)&gt;Input!$Y$7,0, N492+N524+N556)</f>
        <v>0</v>
      </c>
      <c r="P492" s="111">
        <f>IF(COUNT($H492:O492)&gt;Input!$Y$7,0, O492+O524+O556)</f>
        <v>0</v>
      </c>
      <c r="Q492" s="111">
        <f>IF(COUNT($H492:P492)&gt;Input!$Y$7,0, P492+P524+P556)</f>
        <v>0</v>
      </c>
      <c r="R492" s="111">
        <f>IF(COUNT($H492:Q492)&gt;Input!$Y$7,0, Q492+Q524+Q556)</f>
        <v>0</v>
      </c>
      <c r="S492" s="100"/>
      <c r="T492" s="100"/>
      <c r="U492" s="100"/>
      <c r="V492" s="100"/>
      <c r="W492" s="100"/>
      <c r="X492" s="100"/>
      <c r="Y492" s="100"/>
      <c r="Z492" s="100"/>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100"/>
      <c r="BE492" s="100"/>
      <c r="BF492" s="100"/>
      <c r="BG492" s="100"/>
      <c r="BH492" s="100"/>
      <c r="BI492" s="100"/>
      <c r="BJ492" s="100"/>
      <c r="BK492" s="12"/>
      <c r="BL492" s="12"/>
    </row>
    <row r="493" spans="1:64" hidden="1" outlineLevel="1">
      <c r="A493" s="9"/>
      <c r="B493" s="9"/>
      <c r="C493" s="44"/>
      <c r="D493" s="270">
        <f>Asset24</f>
        <v>0</v>
      </c>
      <c r="E493" s="9"/>
      <c r="F493" s="9"/>
      <c r="G493" s="201">
        <f>Input!J30</f>
        <v>0</v>
      </c>
      <c r="H493" s="331">
        <f t="shared" si="36"/>
        <v>0</v>
      </c>
      <c r="I493" s="111">
        <f t="shared" si="40"/>
        <v>0</v>
      </c>
      <c r="J493" s="111">
        <f t="shared" si="39"/>
        <v>0</v>
      </c>
      <c r="K493" s="111">
        <f t="shared" si="39"/>
        <v>0</v>
      </c>
      <c r="L493" s="111">
        <f t="shared" si="39"/>
        <v>0</v>
      </c>
      <c r="M493" s="111">
        <f t="shared" si="39"/>
        <v>0</v>
      </c>
      <c r="N493" s="111">
        <f t="shared" si="39"/>
        <v>0</v>
      </c>
      <c r="O493" s="111">
        <f>IF(COUNT($H493:N493)&gt;Input!$Y$7,0, N493+N525+N557)</f>
        <v>0</v>
      </c>
      <c r="P493" s="111">
        <f>IF(COUNT($H493:O493)&gt;Input!$Y$7,0, O493+O525+O557)</f>
        <v>0</v>
      </c>
      <c r="Q493" s="111">
        <f>IF(COUNT($H493:P493)&gt;Input!$Y$7,0, P493+P525+P557)</f>
        <v>0</v>
      </c>
      <c r="R493" s="111">
        <f>IF(COUNT($H493:Q493)&gt;Input!$Y$7,0, Q493+Q525+Q557)</f>
        <v>0</v>
      </c>
      <c r="S493" s="100"/>
      <c r="T493" s="100"/>
      <c r="U493" s="100"/>
      <c r="V493" s="100"/>
      <c r="W493" s="100"/>
      <c r="X493" s="100"/>
      <c r="Y493" s="100"/>
      <c r="Z493" s="100"/>
      <c r="AA493" s="228"/>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100"/>
      <c r="BE493" s="100"/>
      <c r="BF493" s="100"/>
      <c r="BG493" s="100"/>
      <c r="BH493" s="100"/>
      <c r="BI493" s="100"/>
      <c r="BJ493" s="100"/>
      <c r="BK493" s="12"/>
      <c r="BL493" s="12"/>
    </row>
    <row r="494" spans="1:64" hidden="1" outlineLevel="1">
      <c r="A494" s="9"/>
      <c r="B494" s="9"/>
      <c r="C494" s="44"/>
      <c r="D494" s="270">
        <f>Asset25</f>
        <v>0</v>
      </c>
      <c r="E494" s="9"/>
      <c r="F494" s="9"/>
      <c r="G494" s="201">
        <f>Input!J31</f>
        <v>0</v>
      </c>
      <c r="H494" s="331">
        <f t="shared" si="36"/>
        <v>0</v>
      </c>
      <c r="I494" s="111">
        <f t="shared" si="40"/>
        <v>0</v>
      </c>
      <c r="J494" s="111">
        <f t="shared" si="39"/>
        <v>0</v>
      </c>
      <c r="K494" s="111">
        <f t="shared" si="39"/>
        <v>0</v>
      </c>
      <c r="L494" s="111">
        <f t="shared" si="39"/>
        <v>0</v>
      </c>
      <c r="M494" s="111">
        <f t="shared" si="39"/>
        <v>0</v>
      </c>
      <c r="N494" s="111">
        <f t="shared" si="39"/>
        <v>0</v>
      </c>
      <c r="O494" s="111">
        <f>IF(COUNT($H494:N494)&gt;Input!$Y$7,0, N494+N526+N558)</f>
        <v>0</v>
      </c>
      <c r="P494" s="111">
        <f>IF(COUNT($H494:O494)&gt;Input!$Y$7,0, O494+O526+O558)</f>
        <v>0</v>
      </c>
      <c r="Q494" s="111">
        <f>IF(COUNT($H494:P494)&gt;Input!$Y$7,0, P494+P526+P558)</f>
        <v>0</v>
      </c>
      <c r="R494" s="111">
        <f>IF(COUNT($H494:Q494)&gt;Input!$Y$7,0, Q494+Q526+Q558)</f>
        <v>0</v>
      </c>
      <c r="S494" s="100"/>
      <c r="T494" s="100"/>
      <c r="U494" s="100"/>
      <c r="V494" s="100"/>
      <c r="W494" s="100"/>
      <c r="X494" s="100"/>
      <c r="Y494" s="100"/>
      <c r="Z494" s="100"/>
      <c r="AA494" s="228"/>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100"/>
      <c r="BE494" s="100"/>
      <c r="BF494" s="100"/>
      <c r="BG494" s="100"/>
      <c r="BH494" s="100"/>
      <c r="BI494" s="100"/>
      <c r="BJ494" s="100"/>
      <c r="BK494" s="12"/>
      <c r="BL494" s="12"/>
    </row>
    <row r="495" spans="1:64" hidden="1" outlineLevel="1">
      <c r="A495" s="9"/>
      <c r="B495" s="9"/>
      <c r="C495" s="44"/>
      <c r="D495" s="270">
        <f>Asset26</f>
        <v>0</v>
      </c>
      <c r="E495" s="9"/>
      <c r="F495" s="9"/>
      <c r="G495" s="201">
        <f>Input!J32</f>
        <v>0</v>
      </c>
      <c r="H495" s="331">
        <f t="shared" si="36"/>
        <v>0</v>
      </c>
      <c r="I495" s="111">
        <f t="shared" si="40"/>
        <v>0</v>
      </c>
      <c r="J495" s="111">
        <f t="shared" si="39"/>
        <v>0</v>
      </c>
      <c r="K495" s="111">
        <f t="shared" si="39"/>
        <v>0</v>
      </c>
      <c r="L495" s="111">
        <f t="shared" si="39"/>
        <v>0</v>
      </c>
      <c r="M495" s="111">
        <f t="shared" si="39"/>
        <v>0</v>
      </c>
      <c r="N495" s="111">
        <f t="shared" si="39"/>
        <v>0</v>
      </c>
      <c r="O495" s="111">
        <f>IF(COUNT($H495:N495)&gt;Input!$Y$7,0, N495+N527+N559)</f>
        <v>0</v>
      </c>
      <c r="P495" s="111">
        <f>IF(COUNT($H495:O495)&gt;Input!$Y$7,0, O495+O527+O559)</f>
        <v>0</v>
      </c>
      <c r="Q495" s="111">
        <f>IF(COUNT($H495:P495)&gt;Input!$Y$7,0, P495+P527+P559)</f>
        <v>0</v>
      </c>
      <c r="R495" s="111">
        <f>IF(COUNT($H495:Q495)&gt;Input!$Y$7,0, Q495+Q527+Q559)</f>
        <v>0</v>
      </c>
      <c r="S495" s="100"/>
      <c r="T495" s="100"/>
      <c r="U495" s="100"/>
      <c r="V495" s="100"/>
      <c r="W495" s="100"/>
      <c r="X495" s="100"/>
      <c r="Y495" s="100"/>
      <c r="Z495" s="100"/>
      <c r="AA495" s="228"/>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100"/>
      <c r="BE495" s="100"/>
      <c r="BF495" s="100"/>
      <c r="BG495" s="100"/>
      <c r="BH495" s="100"/>
      <c r="BI495" s="100"/>
      <c r="BJ495" s="100"/>
      <c r="BK495" s="12"/>
      <c r="BL495" s="12"/>
    </row>
    <row r="496" spans="1:64" hidden="1" outlineLevel="1">
      <c r="A496" s="9"/>
      <c r="B496" s="9"/>
      <c r="C496" s="44"/>
      <c r="D496" s="270">
        <f>Asset27</f>
        <v>0</v>
      </c>
      <c r="E496" s="9"/>
      <c r="F496" s="9"/>
      <c r="G496" s="201">
        <f>Input!J33</f>
        <v>0</v>
      </c>
      <c r="H496" s="331">
        <f t="shared" si="36"/>
        <v>0</v>
      </c>
      <c r="I496" s="111">
        <f t="shared" si="40"/>
        <v>0</v>
      </c>
      <c r="J496" s="111">
        <f t="shared" si="39"/>
        <v>0</v>
      </c>
      <c r="K496" s="111">
        <f t="shared" si="39"/>
        <v>0</v>
      </c>
      <c r="L496" s="111">
        <f t="shared" si="39"/>
        <v>0</v>
      </c>
      <c r="M496" s="111">
        <f t="shared" si="39"/>
        <v>0</v>
      </c>
      <c r="N496" s="111">
        <f t="shared" si="39"/>
        <v>0</v>
      </c>
      <c r="O496" s="111">
        <f>IF(COUNT($H496:N496)&gt;Input!$Y$7,0, N496+N528+N560)</f>
        <v>0</v>
      </c>
      <c r="P496" s="111">
        <f>IF(COUNT($H496:O496)&gt;Input!$Y$7,0, O496+O528+O560)</f>
        <v>0</v>
      </c>
      <c r="Q496" s="111">
        <f>IF(COUNT($H496:P496)&gt;Input!$Y$7,0, P496+P528+P560)</f>
        <v>0</v>
      </c>
      <c r="R496" s="111">
        <f>IF(COUNT($H496:Q496)&gt;Input!$Y$7,0, Q496+Q528+Q560)</f>
        <v>0</v>
      </c>
      <c r="S496" s="100"/>
      <c r="T496" s="100"/>
      <c r="U496" s="100"/>
      <c r="V496" s="100"/>
      <c r="W496" s="100"/>
      <c r="X496" s="100"/>
      <c r="Y496" s="100"/>
      <c r="Z496" s="100"/>
      <c r="AA496" s="228"/>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100"/>
      <c r="BE496" s="100"/>
      <c r="BF496" s="100"/>
      <c r="BG496" s="100"/>
      <c r="BH496" s="100"/>
      <c r="BI496" s="100"/>
      <c r="BJ496" s="100"/>
      <c r="BK496" s="12"/>
      <c r="BL496" s="12"/>
    </row>
    <row r="497" spans="1:64" hidden="1" outlineLevel="1">
      <c r="A497" s="9"/>
      <c r="B497" s="9"/>
      <c r="C497" s="44"/>
      <c r="D497" s="270">
        <f>Asset28</f>
        <v>0</v>
      </c>
      <c r="E497" s="9"/>
      <c r="F497" s="9"/>
      <c r="G497" s="201">
        <f>Input!J34</f>
        <v>0</v>
      </c>
      <c r="H497" s="331">
        <f t="shared" si="36"/>
        <v>0</v>
      </c>
      <c r="I497" s="111">
        <f t="shared" si="40"/>
        <v>0</v>
      </c>
      <c r="J497" s="111">
        <f t="shared" si="39"/>
        <v>0</v>
      </c>
      <c r="K497" s="111">
        <f t="shared" si="39"/>
        <v>0</v>
      </c>
      <c r="L497" s="111">
        <f t="shared" si="39"/>
        <v>0</v>
      </c>
      <c r="M497" s="111">
        <f t="shared" si="39"/>
        <v>0</v>
      </c>
      <c r="N497" s="111">
        <f t="shared" si="39"/>
        <v>0</v>
      </c>
      <c r="O497" s="111">
        <f>IF(COUNT($H497:N497)&gt;Input!$Y$7,0, N497+N529+N561)</f>
        <v>0</v>
      </c>
      <c r="P497" s="111">
        <f>IF(COUNT($H497:O497)&gt;Input!$Y$7,0, O497+O529+O561)</f>
        <v>0</v>
      </c>
      <c r="Q497" s="111">
        <f>IF(COUNT($H497:P497)&gt;Input!$Y$7,0, P497+P529+P561)</f>
        <v>0</v>
      </c>
      <c r="R497" s="111">
        <f>IF(COUNT($H497:Q497)&gt;Input!$Y$7,0, Q497+Q529+Q561)</f>
        <v>0</v>
      </c>
      <c r="S497" s="100"/>
      <c r="T497" s="100"/>
      <c r="U497" s="100"/>
      <c r="V497" s="100"/>
      <c r="W497" s="100"/>
      <c r="X497" s="100"/>
      <c r="Y497" s="100"/>
      <c r="Z497" s="100"/>
      <c r="AA497" s="228"/>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100"/>
      <c r="BE497" s="100"/>
      <c r="BF497" s="100"/>
      <c r="BG497" s="100"/>
      <c r="BH497" s="100"/>
      <c r="BI497" s="100"/>
      <c r="BJ497" s="100"/>
      <c r="BK497" s="12"/>
      <c r="BL497" s="12"/>
    </row>
    <row r="498" spans="1:64" hidden="1" outlineLevel="1">
      <c r="A498" s="9"/>
      <c r="B498" s="9"/>
      <c r="C498" s="44"/>
      <c r="D498" s="270">
        <f>Asset29</f>
        <v>0</v>
      </c>
      <c r="E498" s="9"/>
      <c r="F498" s="9"/>
      <c r="G498" s="201">
        <f>Input!J35</f>
        <v>0</v>
      </c>
      <c r="H498" s="331">
        <f t="shared" si="36"/>
        <v>0</v>
      </c>
      <c r="I498" s="111">
        <f t="shared" si="40"/>
        <v>0</v>
      </c>
      <c r="J498" s="111">
        <f t="shared" si="39"/>
        <v>0</v>
      </c>
      <c r="K498" s="111">
        <f t="shared" si="39"/>
        <v>0</v>
      </c>
      <c r="L498" s="111">
        <f t="shared" si="39"/>
        <v>0</v>
      </c>
      <c r="M498" s="111">
        <f t="shared" si="39"/>
        <v>0</v>
      </c>
      <c r="N498" s="111">
        <f t="shared" si="39"/>
        <v>0</v>
      </c>
      <c r="O498" s="111">
        <f>IF(COUNT($H498:N498)&gt;Input!$Y$7,0, N498+N530+N562)</f>
        <v>0</v>
      </c>
      <c r="P498" s="111">
        <f>IF(COUNT($H498:O498)&gt;Input!$Y$7,0, O498+O530+O562)</f>
        <v>0</v>
      </c>
      <c r="Q498" s="111">
        <f>IF(COUNT($H498:P498)&gt;Input!$Y$7,0, P498+P530+P562)</f>
        <v>0</v>
      </c>
      <c r="R498" s="111">
        <f>IF(COUNT($H498:Q498)&gt;Input!$Y$7,0, Q498+Q530+Q562)</f>
        <v>0</v>
      </c>
      <c r="S498" s="100"/>
      <c r="T498" s="100"/>
      <c r="U498" s="100"/>
      <c r="V498" s="100"/>
      <c r="W498" s="100"/>
      <c r="X498" s="100"/>
      <c r="Y498" s="100"/>
      <c r="Z498" s="100"/>
      <c r="AA498" s="228"/>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100"/>
      <c r="BE498" s="100"/>
      <c r="BF498" s="100"/>
      <c r="BG498" s="100"/>
      <c r="BH498" s="100"/>
      <c r="BI498" s="100"/>
      <c r="BJ498" s="100"/>
      <c r="BK498" s="12"/>
      <c r="BL498" s="12"/>
    </row>
    <row r="499" spans="1:64" hidden="1" outlineLevel="1">
      <c r="A499" s="9"/>
      <c r="B499" s="9"/>
      <c r="C499" s="44"/>
      <c r="D499" s="270">
        <f>Asset30</f>
        <v>0</v>
      </c>
      <c r="E499" s="9"/>
      <c r="F499" s="9"/>
      <c r="G499" s="201">
        <f>Input!J36</f>
        <v>0</v>
      </c>
      <c r="H499" s="331">
        <f t="shared" si="36"/>
        <v>0</v>
      </c>
      <c r="I499" s="111">
        <f t="shared" si="40"/>
        <v>0</v>
      </c>
      <c r="J499" s="111">
        <f>I499+I531+I563</f>
        <v>0</v>
      </c>
      <c r="K499" s="111">
        <f>J499+J531+J563</f>
        <v>0</v>
      </c>
      <c r="L499" s="111">
        <f>K499+K531+K563</f>
        <v>0</v>
      </c>
      <c r="M499" s="111">
        <f>L499+L531+L563</f>
        <v>0</v>
      </c>
      <c r="N499" s="111">
        <f>M499+M531+M563</f>
        <v>0</v>
      </c>
      <c r="O499" s="111">
        <f>IF(COUNT($H499:N499)&gt;Input!$Y$7,0, N499+N531+N563)</f>
        <v>0</v>
      </c>
      <c r="P499" s="111">
        <f>IF(COUNT($H499:O499)&gt;Input!$Y$7,0, O499+O531+O563)</f>
        <v>0</v>
      </c>
      <c r="Q499" s="111">
        <f>IF(COUNT($H499:P499)&gt;Input!$Y$7,0, P499+P531+P563)</f>
        <v>0</v>
      </c>
      <c r="R499" s="111">
        <f>IF(COUNT($H499:Q499)&gt;Input!$Y$7,0, Q499+Q531+Q563)</f>
        <v>0</v>
      </c>
      <c r="S499" s="100"/>
      <c r="T499" s="100"/>
      <c r="U499" s="100"/>
      <c r="V499" s="100"/>
      <c r="W499" s="100"/>
      <c r="X499" s="100"/>
      <c r="Y499" s="100"/>
      <c r="Z499" s="100"/>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100"/>
      <c r="BE499" s="100"/>
      <c r="BF499" s="100"/>
      <c r="BG499" s="100"/>
      <c r="BH499" s="100"/>
      <c r="BI499" s="100"/>
      <c r="BJ499" s="100"/>
      <c r="BK499" s="12"/>
      <c r="BL499" s="12"/>
    </row>
    <row r="500" spans="1:64" collapsed="1">
      <c r="A500" s="9"/>
      <c r="B500" s="9"/>
      <c r="C500" s="44"/>
      <c r="D500" s="113"/>
      <c r="E500" s="9"/>
      <c r="F500" s="9"/>
      <c r="G500" s="208"/>
      <c r="H500" s="35"/>
      <c r="I500" s="35"/>
      <c r="J500" s="35"/>
      <c r="K500" s="35"/>
      <c r="L500" s="35"/>
      <c r="M500" s="35"/>
      <c r="N500" s="29"/>
      <c r="O500" s="29"/>
      <c r="P500" s="29"/>
      <c r="Q500" s="29"/>
      <c r="R500" s="29"/>
      <c r="S500" s="100"/>
      <c r="T500" s="100"/>
      <c r="U500" s="100"/>
      <c r="V500" s="100"/>
      <c r="W500" s="100"/>
      <c r="X500" s="100"/>
      <c r="Y500" s="100"/>
      <c r="Z500" s="100"/>
      <c r="AA500" s="228"/>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100"/>
      <c r="BE500" s="100"/>
      <c r="BF500" s="100"/>
      <c r="BG500" s="100"/>
      <c r="BH500" s="100"/>
      <c r="BI500" s="100"/>
      <c r="BJ500" s="100"/>
      <c r="BK500" s="12"/>
      <c r="BL500" s="12"/>
    </row>
    <row r="501" spans="1:64">
      <c r="A501" s="9"/>
      <c r="B501" s="9"/>
      <c r="C501" s="44" t="s">
        <v>31</v>
      </c>
      <c r="D501" s="9"/>
      <c r="E501" s="9"/>
      <c r="F501" s="9"/>
      <c r="G501" s="202">
        <f>SUM(G502:G531)</f>
        <v>85.232652528569361</v>
      </c>
      <c r="H501" s="35">
        <f>SUM(H502:H531)</f>
        <v>95.714331267037892</v>
      </c>
      <c r="I501" s="35">
        <f t="shared" ref="I501:P501" si="41">SUM(I502:I531)</f>
        <v>115.27392403614901</v>
      </c>
      <c r="J501" s="35">
        <f t="shared" si="41"/>
        <v>113.54235649014853</v>
      </c>
      <c r="K501" s="35">
        <f t="shared" si="41"/>
        <v>137.26393314693607</v>
      </c>
      <c r="L501" s="35">
        <f t="shared" si="41"/>
        <v>173.83789126844454</v>
      </c>
      <c r="M501" s="35">
        <f t="shared" si="41"/>
        <v>141.53848969445835</v>
      </c>
      <c r="N501" s="35">
        <f t="shared" si="41"/>
        <v>0</v>
      </c>
      <c r="O501" s="35">
        <f t="shared" si="41"/>
        <v>0</v>
      </c>
      <c r="P501" s="35">
        <f t="shared" si="41"/>
        <v>0</v>
      </c>
      <c r="Q501" s="35">
        <f>SUM(Q502:Q531)</f>
        <v>0</v>
      </c>
      <c r="R501" s="29"/>
      <c r="S501" s="100"/>
      <c r="T501" s="100"/>
      <c r="U501" s="100"/>
      <c r="V501" s="100"/>
      <c r="W501" s="100"/>
      <c r="X501" s="100"/>
      <c r="Y501" s="100"/>
      <c r="Z501" s="100"/>
      <c r="AA501" s="228"/>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100"/>
      <c r="BE501" s="100"/>
      <c r="BF501" s="100"/>
      <c r="BG501" s="100"/>
      <c r="BH501" s="100"/>
      <c r="BI501" s="100"/>
      <c r="BJ501" s="100"/>
      <c r="BK501" s="12"/>
      <c r="BL501" s="12"/>
    </row>
    <row r="502" spans="1:64" hidden="1" outlineLevel="1">
      <c r="A502" s="9"/>
      <c r="B502" s="9"/>
      <c r="C502" s="44"/>
      <c r="D502" s="270" t="str">
        <f>Asset1</f>
        <v>Secondary</v>
      </c>
      <c r="E502" s="9"/>
      <c r="F502" s="9"/>
      <c r="G502" s="204">
        <f>'Adjustment for previous period'!G478</f>
        <v>14.463151023717792</v>
      </c>
      <c r="H502" s="111">
        <f>H12*H$7</f>
        <v>12.088237581288125</v>
      </c>
      <c r="I502" s="111">
        <f t="shared" ref="I502:Q502" si="42">I12*I$7</f>
        <v>9.152659361757058</v>
      </c>
      <c r="J502" s="111">
        <f t="shared" si="42"/>
        <v>13.859183430935365</v>
      </c>
      <c r="K502" s="111">
        <f t="shared" si="42"/>
        <v>19.684524960953144</v>
      </c>
      <c r="L502" s="111">
        <f t="shared" si="42"/>
        <v>34.94700276273943</v>
      </c>
      <c r="M502" s="111">
        <f t="shared" si="42"/>
        <v>20.049049730985125</v>
      </c>
      <c r="N502" s="111">
        <f t="shared" si="42"/>
        <v>0</v>
      </c>
      <c r="O502" s="111">
        <f t="shared" si="42"/>
        <v>0</v>
      </c>
      <c r="P502" s="111">
        <f t="shared" si="42"/>
        <v>0</v>
      </c>
      <c r="Q502" s="111">
        <f t="shared" si="42"/>
        <v>0</v>
      </c>
      <c r="R502" s="29"/>
      <c r="S502" s="100"/>
      <c r="T502" s="100"/>
      <c r="U502" s="100"/>
      <c r="V502" s="100"/>
      <c r="W502" s="100"/>
      <c r="X502" s="100"/>
      <c r="Y502" s="100"/>
      <c r="Z502" s="100"/>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100"/>
      <c r="BE502" s="100"/>
      <c r="BF502" s="100"/>
      <c r="BG502" s="100"/>
      <c r="BH502" s="100"/>
      <c r="BI502" s="100"/>
      <c r="BJ502" s="100"/>
      <c r="BK502" s="12"/>
      <c r="BL502" s="12"/>
    </row>
    <row r="503" spans="1:64" hidden="1" outlineLevel="1">
      <c r="A503" s="9"/>
      <c r="B503" s="9"/>
      <c r="C503" s="44"/>
      <c r="D503" s="270" t="str">
        <f>Asset2</f>
        <v>Switchgear</v>
      </c>
      <c r="E503" s="9"/>
      <c r="F503" s="9"/>
      <c r="G503" s="204">
        <f>'Adjustment for previous period'!G479</f>
        <v>40.012027975872329</v>
      </c>
      <c r="H503" s="111">
        <f t="shared" ref="H503:Q503" si="43">H13*H$7</f>
        <v>30.244748263404926</v>
      </c>
      <c r="I503" s="111">
        <f t="shared" si="43"/>
        <v>40.348173371165032</v>
      </c>
      <c r="J503" s="111">
        <f t="shared" si="43"/>
        <v>31.681915364339229</v>
      </c>
      <c r="K503" s="111">
        <f t="shared" si="43"/>
        <v>29.384239315310325</v>
      </c>
      <c r="L503" s="111">
        <f t="shared" si="43"/>
        <v>41.689374238642159</v>
      </c>
      <c r="M503" s="111">
        <f t="shared" si="43"/>
        <v>43.44487427432292</v>
      </c>
      <c r="N503" s="111">
        <f t="shared" si="43"/>
        <v>0</v>
      </c>
      <c r="O503" s="111">
        <f t="shared" si="43"/>
        <v>0</v>
      </c>
      <c r="P503" s="111">
        <f t="shared" si="43"/>
        <v>0</v>
      </c>
      <c r="Q503" s="111">
        <f t="shared" si="43"/>
        <v>0</v>
      </c>
      <c r="R503" s="29"/>
      <c r="S503" s="100"/>
      <c r="T503" s="100"/>
      <c r="U503" s="100"/>
      <c r="V503" s="100"/>
      <c r="W503" s="100"/>
      <c r="X503" s="100"/>
      <c r="Y503" s="100"/>
      <c r="Z503" s="100"/>
      <c r="AA503" s="228"/>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100"/>
      <c r="BE503" s="100"/>
      <c r="BF503" s="100"/>
      <c r="BG503" s="100"/>
      <c r="BH503" s="100"/>
      <c r="BI503" s="100"/>
      <c r="BJ503" s="100"/>
      <c r="BK503" s="12"/>
      <c r="BL503" s="12"/>
    </row>
    <row r="504" spans="1:64" hidden="1" outlineLevel="1">
      <c r="A504" s="9"/>
      <c r="B504" s="9"/>
      <c r="C504" s="44"/>
      <c r="D504" s="270" t="str">
        <f>Asset3</f>
        <v>Transformers</v>
      </c>
      <c r="E504" s="9"/>
      <c r="F504" s="9"/>
      <c r="G504" s="204">
        <f>'Adjustment for previous period'!G480</f>
        <v>7.479869950034308</v>
      </c>
      <c r="H504" s="111">
        <f t="shared" ref="H504:Q504" si="44">H14*H$7</f>
        <v>11.346962790102502</v>
      </c>
      <c r="I504" s="111">
        <f t="shared" si="44"/>
        <v>7.1676554738503215</v>
      </c>
      <c r="J504" s="111">
        <f t="shared" si="44"/>
        <v>17.178687877875738</v>
      </c>
      <c r="K504" s="111">
        <f t="shared" si="44"/>
        <v>24.276029228253289</v>
      </c>
      <c r="L504" s="111">
        <f t="shared" si="44"/>
        <v>34.385967776302515</v>
      </c>
      <c r="M504" s="111">
        <f t="shared" si="44"/>
        <v>34.995092485693505</v>
      </c>
      <c r="N504" s="111">
        <f t="shared" si="44"/>
        <v>0</v>
      </c>
      <c r="O504" s="111">
        <f t="shared" si="44"/>
        <v>0</v>
      </c>
      <c r="P504" s="111">
        <f t="shared" si="44"/>
        <v>0</v>
      </c>
      <c r="Q504" s="111">
        <f t="shared" si="44"/>
        <v>0</v>
      </c>
      <c r="R504" s="29"/>
      <c r="S504" s="100"/>
      <c r="T504" s="100"/>
      <c r="U504" s="100"/>
      <c r="V504" s="100"/>
      <c r="W504" s="100"/>
      <c r="X504" s="100"/>
      <c r="Y504" s="100"/>
      <c r="Z504" s="100"/>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100"/>
      <c r="BE504" s="100"/>
      <c r="BF504" s="100"/>
      <c r="BG504" s="100"/>
      <c r="BH504" s="100"/>
      <c r="BI504" s="100"/>
      <c r="BJ504" s="100"/>
      <c r="BK504" s="12"/>
      <c r="BL504" s="12"/>
    </row>
    <row r="505" spans="1:64" hidden="1" outlineLevel="1">
      <c r="A505" s="9"/>
      <c r="B505" s="9"/>
      <c r="C505" s="44"/>
      <c r="D505" s="270" t="str">
        <f>Asset4</f>
        <v>Reactive</v>
      </c>
      <c r="E505" s="9"/>
      <c r="F505" s="9"/>
      <c r="G505" s="204">
        <f>'Adjustment for previous period'!G481</f>
        <v>0.62073609543853181</v>
      </c>
      <c r="H505" s="111">
        <f t="shared" ref="H505:Q505" si="45">H15*H$7</f>
        <v>1.9989121107679773</v>
      </c>
      <c r="I505" s="111">
        <f t="shared" si="45"/>
        <v>1.7623908130567203</v>
      </c>
      <c r="J505" s="111">
        <f t="shared" si="45"/>
        <v>0.48539752056331725</v>
      </c>
      <c r="K505" s="111">
        <f t="shared" si="45"/>
        <v>1.6777834140882568</v>
      </c>
      <c r="L505" s="111">
        <f t="shared" si="45"/>
        <v>0.98750152938871161</v>
      </c>
      <c r="M505" s="111">
        <f t="shared" si="45"/>
        <v>0.88976931453972929</v>
      </c>
      <c r="N505" s="111">
        <f t="shared" si="45"/>
        <v>0</v>
      </c>
      <c r="O505" s="111">
        <f t="shared" si="45"/>
        <v>0</v>
      </c>
      <c r="P505" s="111">
        <f t="shared" si="45"/>
        <v>0</v>
      </c>
      <c r="Q505" s="111">
        <f t="shared" si="45"/>
        <v>0</v>
      </c>
      <c r="R505" s="29"/>
      <c r="S505" s="100"/>
      <c r="T505" s="100"/>
      <c r="U505" s="100"/>
      <c r="V505" s="100"/>
      <c r="W505" s="100"/>
      <c r="X505" s="100"/>
      <c r="Y505" s="100"/>
      <c r="Z505" s="100"/>
      <c r="AA505" s="228"/>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100"/>
      <c r="BE505" s="100"/>
      <c r="BF505" s="100"/>
      <c r="BG505" s="100"/>
      <c r="BH505" s="100"/>
      <c r="BI505" s="100"/>
      <c r="BJ505" s="100"/>
      <c r="BK505" s="12"/>
      <c r="BL505" s="12"/>
    </row>
    <row r="506" spans="1:64" hidden="1" outlineLevel="1">
      <c r="A506" s="9"/>
      <c r="B506" s="9"/>
      <c r="C506" s="44"/>
      <c r="D506" s="270" t="str">
        <f>Asset5</f>
        <v>Towers and Conductor</v>
      </c>
      <c r="E506" s="9"/>
      <c r="F506" s="9"/>
      <c r="G506" s="204">
        <f>'Adjustment for previous period'!G482</f>
        <v>1.7484066688185314</v>
      </c>
      <c r="H506" s="111">
        <f t="shared" ref="H506:Q506" si="46">H16*H$7</f>
        <v>8.1300102947956976</v>
      </c>
      <c r="I506" s="111">
        <f t="shared" si="46"/>
        <v>15.484960226551722</v>
      </c>
      <c r="J506" s="111">
        <f t="shared" si="46"/>
        <v>26.288964559847479</v>
      </c>
      <c r="K506" s="111">
        <f t="shared" si="46"/>
        <v>34.015639022544036</v>
      </c>
      <c r="L506" s="111">
        <f t="shared" si="46"/>
        <v>25.150714844245954</v>
      </c>
      <c r="M506" s="111">
        <f t="shared" si="46"/>
        <v>5.0570564541130922</v>
      </c>
      <c r="N506" s="111">
        <f t="shared" si="46"/>
        <v>0</v>
      </c>
      <c r="O506" s="111">
        <f t="shared" si="46"/>
        <v>0</v>
      </c>
      <c r="P506" s="111">
        <f t="shared" si="46"/>
        <v>0</v>
      </c>
      <c r="Q506" s="111">
        <f t="shared" si="46"/>
        <v>0</v>
      </c>
      <c r="R506" s="29"/>
      <c r="S506" s="100"/>
      <c r="T506" s="100"/>
      <c r="U506" s="100"/>
      <c r="V506" s="100"/>
      <c r="W506" s="100"/>
      <c r="X506" s="100"/>
      <c r="Y506" s="100"/>
      <c r="Z506" s="100"/>
      <c r="AA506" s="228"/>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100"/>
      <c r="BE506" s="100"/>
      <c r="BF506" s="100"/>
      <c r="BG506" s="100"/>
      <c r="BH506" s="100"/>
      <c r="BI506" s="100"/>
      <c r="BJ506" s="100"/>
      <c r="BK506" s="12"/>
      <c r="BL506" s="12"/>
    </row>
    <row r="507" spans="1:64" hidden="1" outlineLevel="1">
      <c r="A507" s="9"/>
      <c r="B507" s="9"/>
      <c r="C507" s="44"/>
      <c r="D507" s="270" t="str">
        <f>Asset6</f>
        <v>Establishment</v>
      </c>
      <c r="E507" s="9"/>
      <c r="F507" s="9"/>
      <c r="G507" s="204">
        <f>'Adjustment for previous period'!G483</f>
        <v>13.314789247156508</v>
      </c>
      <c r="H507" s="111">
        <f t="shared" ref="H507:Q507" si="47">H17*H$7</f>
        <v>11.585565496229279</v>
      </c>
      <c r="I507" s="111">
        <f t="shared" si="47"/>
        <v>11.389097118668237</v>
      </c>
      <c r="J507" s="111">
        <f t="shared" si="47"/>
        <v>4.1264810003788526</v>
      </c>
      <c r="K507" s="111">
        <f t="shared" si="47"/>
        <v>12.054212719803077</v>
      </c>
      <c r="L507" s="111">
        <f t="shared" si="47"/>
        <v>10.199775396009017</v>
      </c>
      <c r="M507" s="111">
        <f t="shared" si="47"/>
        <v>9.4221821180808796</v>
      </c>
      <c r="N507" s="111">
        <f t="shared" si="47"/>
        <v>0</v>
      </c>
      <c r="O507" s="111">
        <f t="shared" si="47"/>
        <v>0</v>
      </c>
      <c r="P507" s="111">
        <f t="shared" si="47"/>
        <v>0</v>
      </c>
      <c r="Q507" s="111">
        <f t="shared" si="47"/>
        <v>0</v>
      </c>
      <c r="R507" s="29"/>
      <c r="S507" s="100"/>
      <c r="T507" s="100"/>
      <c r="U507" s="100"/>
      <c r="V507" s="100"/>
      <c r="W507" s="100"/>
      <c r="X507" s="100"/>
      <c r="Y507" s="100"/>
      <c r="Z507" s="100"/>
      <c r="AA507" s="228"/>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100"/>
      <c r="BE507" s="100"/>
      <c r="BF507" s="100"/>
      <c r="BG507" s="100"/>
      <c r="BH507" s="100"/>
      <c r="BI507" s="100"/>
      <c r="BJ507" s="100"/>
      <c r="BK507" s="12"/>
      <c r="BL507" s="12"/>
    </row>
    <row r="508" spans="1:64" hidden="1" outlineLevel="1">
      <c r="A508" s="9"/>
      <c r="B508" s="9"/>
      <c r="C508" s="44"/>
      <c r="D508" s="270" t="str">
        <f>Asset7</f>
        <v>Communications</v>
      </c>
      <c r="E508" s="9"/>
      <c r="F508" s="9"/>
      <c r="G508" s="204">
        <f>'Adjustment for previous period'!G484</f>
        <v>3.465776532865136</v>
      </c>
      <c r="H508" s="111">
        <f t="shared" ref="H508:Q508" si="48">H18*H$7</f>
        <v>8.2052393701768889</v>
      </c>
      <c r="I508" s="111">
        <f t="shared" si="48"/>
        <v>20.442128366976981</v>
      </c>
      <c r="J508" s="111">
        <f t="shared" si="48"/>
        <v>5.1379827120911328</v>
      </c>
      <c r="K508" s="111">
        <f t="shared" si="48"/>
        <v>4.1868624230565494</v>
      </c>
      <c r="L508" s="111">
        <f t="shared" si="48"/>
        <v>4.846922111964644</v>
      </c>
      <c r="M508" s="111">
        <f t="shared" si="48"/>
        <v>5.6727717048479374</v>
      </c>
      <c r="N508" s="111">
        <f t="shared" si="48"/>
        <v>0</v>
      </c>
      <c r="O508" s="111">
        <f t="shared" si="48"/>
        <v>0</v>
      </c>
      <c r="P508" s="111">
        <f t="shared" si="48"/>
        <v>0</v>
      </c>
      <c r="Q508" s="111">
        <f t="shared" si="48"/>
        <v>0</v>
      </c>
      <c r="R508" s="29"/>
      <c r="S508" s="100"/>
      <c r="T508" s="100"/>
      <c r="U508" s="100"/>
      <c r="V508" s="100"/>
      <c r="W508" s="100"/>
      <c r="X508" s="100"/>
      <c r="Y508" s="100"/>
      <c r="Z508" s="100"/>
      <c r="AA508" s="228"/>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100"/>
      <c r="BE508" s="100"/>
      <c r="BF508" s="100"/>
      <c r="BG508" s="100"/>
      <c r="BH508" s="100"/>
      <c r="BI508" s="100"/>
      <c r="BJ508" s="100"/>
      <c r="BK508" s="12"/>
      <c r="BL508" s="12"/>
    </row>
    <row r="509" spans="1:64" hidden="1" outlineLevel="1">
      <c r="A509" s="9"/>
      <c r="B509" s="9"/>
      <c r="C509" s="44"/>
      <c r="D509" s="270" t="str">
        <f>Asset8</f>
        <v>Inventory</v>
      </c>
      <c r="E509" s="9"/>
      <c r="F509" s="9"/>
      <c r="G509" s="204">
        <f>'Adjustment for previous period'!G485</f>
        <v>0.29219122749760001</v>
      </c>
      <c r="H509" s="111">
        <f t="shared" ref="H509:Q509" si="49">H19*H$7</f>
        <v>0</v>
      </c>
      <c r="I509" s="111">
        <f t="shared" si="49"/>
        <v>0</v>
      </c>
      <c r="J509" s="111">
        <f t="shared" si="49"/>
        <v>0</v>
      </c>
      <c r="K509" s="111">
        <f t="shared" si="49"/>
        <v>0</v>
      </c>
      <c r="L509" s="111">
        <f t="shared" si="49"/>
        <v>0</v>
      </c>
      <c r="M509" s="111">
        <f t="shared" si="49"/>
        <v>0</v>
      </c>
      <c r="N509" s="111">
        <f t="shared" si="49"/>
        <v>0</v>
      </c>
      <c r="O509" s="111">
        <f t="shared" si="49"/>
        <v>0</v>
      </c>
      <c r="P509" s="111">
        <f t="shared" si="49"/>
        <v>0</v>
      </c>
      <c r="Q509" s="111">
        <f t="shared" si="49"/>
        <v>0</v>
      </c>
      <c r="R509" s="29"/>
      <c r="S509" s="100"/>
      <c r="T509" s="100"/>
      <c r="U509" s="100"/>
      <c r="V509" s="100"/>
      <c r="W509" s="100"/>
      <c r="X509" s="100"/>
      <c r="Y509" s="100"/>
      <c r="Z509" s="100"/>
      <c r="AA509" s="228"/>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100"/>
      <c r="BE509" s="100"/>
      <c r="BF509" s="100"/>
      <c r="BG509" s="100"/>
      <c r="BH509" s="100"/>
      <c r="BI509" s="100"/>
      <c r="BJ509" s="100"/>
      <c r="BK509" s="12"/>
      <c r="BL509" s="12"/>
    </row>
    <row r="510" spans="1:64" hidden="1" outlineLevel="1">
      <c r="A510" s="9"/>
      <c r="B510" s="9"/>
      <c r="C510" s="44"/>
      <c r="D510" s="270" t="str">
        <f>Asset9</f>
        <v>IT</v>
      </c>
      <c r="E510" s="9"/>
      <c r="F510" s="9"/>
      <c r="G510" s="204">
        <f>'Adjustment for previous period'!G486</f>
        <v>2.3183776984613531</v>
      </c>
      <c r="H510" s="111">
        <f t="shared" ref="H510:Q510" si="50">H20*H$7</f>
        <v>7.3996478512430288</v>
      </c>
      <c r="I510" s="111">
        <f t="shared" si="50"/>
        <v>6.2858420175921728</v>
      </c>
      <c r="J510" s="111">
        <f t="shared" si="50"/>
        <v>12.178803035821065</v>
      </c>
      <c r="K510" s="111">
        <f t="shared" si="50"/>
        <v>11.331673889676635</v>
      </c>
      <c r="L510" s="111">
        <f t="shared" si="50"/>
        <v>17.568026484590561</v>
      </c>
      <c r="M510" s="111">
        <f t="shared" si="50"/>
        <v>18.358849747921258</v>
      </c>
      <c r="N510" s="111">
        <f t="shared" si="50"/>
        <v>0</v>
      </c>
      <c r="O510" s="111">
        <f t="shared" si="50"/>
        <v>0</v>
      </c>
      <c r="P510" s="111">
        <f t="shared" si="50"/>
        <v>0</v>
      </c>
      <c r="Q510" s="111">
        <f t="shared" si="50"/>
        <v>0</v>
      </c>
      <c r="R510" s="29"/>
      <c r="S510" s="100"/>
      <c r="T510" s="100"/>
      <c r="U510" s="100"/>
      <c r="V510" s="100"/>
      <c r="W510" s="100"/>
      <c r="X510" s="100"/>
      <c r="Y510" s="100"/>
      <c r="Z510" s="100"/>
      <c r="AA510" s="228"/>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100"/>
      <c r="BE510" s="100"/>
      <c r="BF510" s="100"/>
      <c r="BG510" s="100"/>
      <c r="BH510" s="100"/>
      <c r="BI510" s="100"/>
      <c r="BJ510" s="100"/>
      <c r="BK510" s="12"/>
      <c r="BL510" s="12"/>
    </row>
    <row r="511" spans="1:64" hidden="1" outlineLevel="1">
      <c r="A511" s="9"/>
      <c r="B511" s="9"/>
      <c r="C511" s="44"/>
      <c r="D511" s="270" t="str">
        <f>Asset10</f>
        <v>Vehicles</v>
      </c>
      <c r="E511" s="9"/>
      <c r="F511" s="9"/>
      <c r="G511" s="204">
        <f>'Adjustment for previous period'!G487</f>
        <v>0.31500994680163003</v>
      </c>
      <c r="H511" s="111">
        <f t="shared" ref="H511:Q511" si="51">H21*H$7</f>
        <v>0.51594205280522987</v>
      </c>
      <c r="I511" s="111">
        <f t="shared" si="51"/>
        <v>0.27401574403535234</v>
      </c>
      <c r="J511" s="111">
        <f t="shared" si="51"/>
        <v>-0.15878381242087061</v>
      </c>
      <c r="K511" s="111">
        <f t="shared" si="51"/>
        <v>0.18107644395338571</v>
      </c>
      <c r="L511" s="111">
        <f t="shared" si="51"/>
        <v>1.6470024829303653</v>
      </c>
      <c r="M511" s="111">
        <f t="shared" si="51"/>
        <v>1.7009132647820038</v>
      </c>
      <c r="N511" s="111">
        <f t="shared" si="51"/>
        <v>0</v>
      </c>
      <c r="O511" s="111">
        <f t="shared" si="51"/>
        <v>0</v>
      </c>
      <c r="P511" s="111">
        <f t="shared" si="51"/>
        <v>0</v>
      </c>
      <c r="Q511" s="111">
        <f t="shared" si="51"/>
        <v>0</v>
      </c>
      <c r="R511" s="29"/>
      <c r="S511" s="100"/>
      <c r="T511" s="100"/>
      <c r="U511" s="100"/>
      <c r="V511" s="100"/>
      <c r="W511" s="100"/>
      <c r="X511" s="100"/>
      <c r="Y511" s="100"/>
      <c r="Z511" s="100"/>
      <c r="AA511" s="228"/>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100"/>
      <c r="BE511" s="100"/>
      <c r="BF511" s="100"/>
      <c r="BG511" s="100"/>
      <c r="BH511" s="100"/>
      <c r="BI511" s="100"/>
      <c r="BJ511" s="100"/>
      <c r="BK511" s="12"/>
      <c r="BL511" s="12"/>
    </row>
    <row r="512" spans="1:64" hidden="1" outlineLevel="1">
      <c r="A512" s="9"/>
      <c r="B512" s="9"/>
      <c r="C512" s="44"/>
      <c r="D512" s="270" t="str">
        <f>Asset11</f>
        <v>other</v>
      </c>
      <c r="E512" s="9"/>
      <c r="F512" s="9"/>
      <c r="G512" s="204">
        <f>'Adjustment for previous period'!G488</f>
        <v>0.56364122439537223</v>
      </c>
      <c r="H512" s="111">
        <f t="shared" ref="H512:Q512" si="52">H22*H$7</f>
        <v>3.9489361152607332</v>
      </c>
      <c r="I512" s="111">
        <f t="shared" si="52"/>
        <v>2.7302293077472415</v>
      </c>
      <c r="J512" s="111">
        <f t="shared" si="52"/>
        <v>3.1238456132649302</v>
      </c>
      <c r="K512" s="111">
        <f t="shared" si="52"/>
        <v>1.3745171397379281</v>
      </c>
      <c r="L512" s="111">
        <f t="shared" si="52"/>
        <v>2.1960033105738201</v>
      </c>
      <c r="M512" s="111">
        <f t="shared" si="52"/>
        <v>1.7211421638676176</v>
      </c>
      <c r="N512" s="111">
        <f t="shared" si="52"/>
        <v>0</v>
      </c>
      <c r="O512" s="111">
        <f t="shared" si="52"/>
        <v>0</v>
      </c>
      <c r="P512" s="111">
        <f t="shared" si="52"/>
        <v>0</v>
      </c>
      <c r="Q512" s="111">
        <f t="shared" si="52"/>
        <v>0</v>
      </c>
      <c r="R512" s="29"/>
      <c r="S512" s="100"/>
      <c r="T512" s="100"/>
      <c r="U512" s="100"/>
      <c r="V512" s="100"/>
      <c r="W512" s="100"/>
      <c r="X512" s="100"/>
      <c r="Y512" s="100"/>
      <c r="Z512" s="100"/>
      <c r="AA512" s="228"/>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100"/>
      <c r="BE512" s="100"/>
      <c r="BF512" s="100"/>
      <c r="BG512" s="100"/>
      <c r="BH512" s="100"/>
      <c r="BI512" s="100"/>
      <c r="BJ512" s="100"/>
      <c r="BK512" s="12"/>
      <c r="BL512" s="12"/>
    </row>
    <row r="513" spans="1:64" hidden="1" outlineLevel="1">
      <c r="A513" s="9"/>
      <c r="B513" s="9"/>
      <c r="C513" s="44"/>
      <c r="D513" s="270" t="str">
        <f>Asset12</f>
        <v>premises</v>
      </c>
      <c r="E513" s="9"/>
      <c r="F513" s="9"/>
      <c r="G513" s="204">
        <f>'Adjustment for previous period'!G489</f>
        <v>0.63867493751028093</v>
      </c>
      <c r="H513" s="111">
        <f t="shared" ref="H513:Q513" si="53">H23*H$7</f>
        <v>0.25012934096350947</v>
      </c>
      <c r="I513" s="111">
        <f t="shared" si="53"/>
        <v>0.23677223474816644</v>
      </c>
      <c r="J513" s="111">
        <f t="shared" si="53"/>
        <v>0.13663961828890619</v>
      </c>
      <c r="K513" s="111">
        <f t="shared" si="53"/>
        <v>0.1140699297099033</v>
      </c>
      <c r="L513" s="111">
        <f t="shared" si="53"/>
        <v>0.21960033105738203</v>
      </c>
      <c r="M513" s="111">
        <f t="shared" si="53"/>
        <v>0.22678843530426721</v>
      </c>
      <c r="N513" s="111">
        <f t="shared" si="53"/>
        <v>0</v>
      </c>
      <c r="O513" s="111">
        <f t="shared" si="53"/>
        <v>0</v>
      </c>
      <c r="P513" s="111">
        <f t="shared" si="53"/>
        <v>0</v>
      </c>
      <c r="Q513" s="111">
        <f t="shared" si="53"/>
        <v>0</v>
      </c>
      <c r="R513" s="29"/>
      <c r="S513" s="100"/>
      <c r="T513" s="100"/>
      <c r="U513" s="100"/>
      <c r="V513" s="100"/>
      <c r="W513" s="100"/>
      <c r="X513" s="100"/>
      <c r="Y513" s="100"/>
      <c r="Z513" s="100"/>
      <c r="AA513" s="228"/>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100"/>
      <c r="BE513" s="100"/>
      <c r="BF513" s="100"/>
      <c r="BG513" s="100"/>
      <c r="BH513" s="100"/>
      <c r="BI513" s="100"/>
      <c r="BJ513" s="100"/>
      <c r="BK513" s="12"/>
      <c r="BL513" s="12"/>
    </row>
    <row r="514" spans="1:64" hidden="1" outlineLevel="1">
      <c r="A514" s="9"/>
      <c r="B514" s="9"/>
      <c r="C514" s="44"/>
      <c r="D514" s="270" t="str">
        <f>Asset13</f>
        <v>Land</v>
      </c>
      <c r="E514" s="9"/>
      <c r="F514" s="9"/>
      <c r="G514" s="204">
        <f>'Adjustment for previous period'!G490</f>
        <v>0</v>
      </c>
      <c r="H514" s="111">
        <f t="shared" ref="H514:Q514" si="54">H24*H$7</f>
        <v>0</v>
      </c>
      <c r="I514" s="111">
        <f t="shared" si="54"/>
        <v>0</v>
      </c>
      <c r="J514" s="111">
        <f t="shared" si="54"/>
        <v>-0.49676043083659671</v>
      </c>
      <c r="K514" s="111">
        <f t="shared" si="54"/>
        <v>-1.0166953401504202</v>
      </c>
      <c r="L514" s="111">
        <f t="shared" si="54"/>
        <v>0</v>
      </c>
      <c r="M514" s="111">
        <f t="shared" si="54"/>
        <v>0</v>
      </c>
      <c r="N514" s="111">
        <f t="shared" si="54"/>
        <v>0</v>
      </c>
      <c r="O514" s="111">
        <f t="shared" si="54"/>
        <v>0</v>
      </c>
      <c r="P514" s="111">
        <f t="shared" si="54"/>
        <v>0</v>
      </c>
      <c r="Q514" s="111">
        <f t="shared" si="54"/>
        <v>0</v>
      </c>
      <c r="R514" s="29"/>
      <c r="S514" s="100"/>
      <c r="T514" s="100"/>
      <c r="U514" s="100"/>
      <c r="V514" s="100"/>
      <c r="W514" s="100"/>
      <c r="X514" s="100"/>
      <c r="Y514" s="100"/>
      <c r="Z514" s="100"/>
      <c r="AA514" s="228"/>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100"/>
      <c r="BE514" s="100"/>
      <c r="BF514" s="100"/>
      <c r="BG514" s="100"/>
      <c r="BH514" s="100"/>
      <c r="BI514" s="100"/>
      <c r="BJ514" s="100"/>
      <c r="BK514" s="12"/>
      <c r="BL514" s="12"/>
    </row>
    <row r="515" spans="1:64" hidden="1" outlineLevel="1">
      <c r="A515" s="9"/>
      <c r="B515" s="9"/>
      <c r="C515" s="44"/>
      <c r="D515" s="270" t="str">
        <f>Asset14</f>
        <v>Easements</v>
      </c>
      <c r="E515" s="9"/>
      <c r="F515" s="9"/>
      <c r="G515" s="204">
        <f>'Adjustment for previous period'!G491</f>
        <v>0</v>
      </c>
      <c r="H515" s="111">
        <f t="shared" ref="H515:Q515" si="55">H25*H$7</f>
        <v>0</v>
      </c>
      <c r="I515" s="111">
        <f t="shared" si="55"/>
        <v>0</v>
      </c>
      <c r="J515" s="111">
        <f t="shared" si="55"/>
        <v>0</v>
      </c>
      <c r="K515" s="111">
        <f t="shared" si="55"/>
        <v>0</v>
      </c>
      <c r="L515" s="111">
        <f t="shared" si="55"/>
        <v>0</v>
      </c>
      <c r="M515" s="111">
        <f t="shared" si="55"/>
        <v>0</v>
      </c>
      <c r="N515" s="111">
        <f t="shared" si="55"/>
        <v>0</v>
      </c>
      <c r="O515" s="111">
        <f t="shared" si="55"/>
        <v>0</v>
      </c>
      <c r="P515" s="111">
        <f t="shared" si="55"/>
        <v>0</v>
      </c>
      <c r="Q515" s="111">
        <f t="shared" si="55"/>
        <v>0</v>
      </c>
      <c r="R515" s="29"/>
      <c r="S515" s="100"/>
      <c r="T515" s="100"/>
      <c r="U515" s="100"/>
      <c r="V515" s="100"/>
      <c r="W515" s="100"/>
      <c r="X515" s="100"/>
      <c r="Y515" s="100"/>
      <c r="Z515" s="100"/>
      <c r="AA515" s="228"/>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100"/>
      <c r="BE515" s="100"/>
      <c r="BF515" s="100"/>
      <c r="BG515" s="100"/>
      <c r="BH515" s="100"/>
      <c r="BI515" s="100"/>
      <c r="BJ515" s="100"/>
      <c r="BK515" s="12"/>
      <c r="BL515" s="12"/>
    </row>
    <row r="516" spans="1:64" hidden="1" outlineLevel="1">
      <c r="A516" s="9"/>
      <c r="B516" s="9"/>
      <c r="C516" s="44"/>
      <c r="D516" s="270">
        <f>Asset15</f>
        <v>0</v>
      </c>
      <c r="E516" s="9"/>
      <c r="F516" s="9"/>
      <c r="G516" s="204">
        <f>'Adjustment for previous period'!G492</f>
        <v>0</v>
      </c>
      <c r="H516" s="111">
        <f t="shared" ref="H516:Q516" si="56">H26*H$7</f>
        <v>0</v>
      </c>
      <c r="I516" s="111">
        <f t="shared" si="56"/>
        <v>0</v>
      </c>
      <c r="J516" s="111">
        <f t="shared" si="56"/>
        <v>0</v>
      </c>
      <c r="K516" s="111">
        <f t="shared" si="56"/>
        <v>0</v>
      </c>
      <c r="L516" s="111">
        <f t="shared" si="56"/>
        <v>0</v>
      </c>
      <c r="M516" s="111">
        <f t="shared" si="56"/>
        <v>0</v>
      </c>
      <c r="N516" s="111">
        <f t="shared" si="56"/>
        <v>0</v>
      </c>
      <c r="O516" s="111">
        <f t="shared" si="56"/>
        <v>0</v>
      </c>
      <c r="P516" s="111">
        <f t="shared" si="56"/>
        <v>0</v>
      </c>
      <c r="Q516" s="111">
        <f t="shared" si="56"/>
        <v>0</v>
      </c>
      <c r="R516" s="29"/>
      <c r="S516" s="100"/>
      <c r="T516" s="100"/>
      <c r="U516" s="100"/>
      <c r="V516" s="100"/>
      <c r="W516" s="100"/>
      <c r="X516" s="100"/>
      <c r="Y516" s="100"/>
      <c r="Z516" s="100"/>
      <c r="AA516" s="228"/>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100"/>
      <c r="BE516" s="100"/>
      <c r="BF516" s="100"/>
      <c r="BG516" s="100"/>
      <c r="BH516" s="100"/>
      <c r="BI516" s="100"/>
      <c r="BJ516" s="100"/>
      <c r="BK516" s="12"/>
      <c r="BL516" s="12"/>
    </row>
    <row r="517" spans="1:64" hidden="1" outlineLevel="1">
      <c r="A517" s="9"/>
      <c r="B517" s="9"/>
      <c r="C517" s="44"/>
      <c r="D517" s="270">
        <f>Asset16</f>
        <v>0</v>
      </c>
      <c r="E517" s="9"/>
      <c r="F517" s="9"/>
      <c r="G517" s="204">
        <f>'Adjustment for previous period'!G493</f>
        <v>0</v>
      </c>
      <c r="H517" s="111">
        <f t="shared" ref="H517:Q517" si="57">H27*H$7</f>
        <v>0</v>
      </c>
      <c r="I517" s="111">
        <f t="shared" si="57"/>
        <v>0</v>
      </c>
      <c r="J517" s="111">
        <f t="shared" si="57"/>
        <v>0</v>
      </c>
      <c r="K517" s="111">
        <f t="shared" si="57"/>
        <v>0</v>
      </c>
      <c r="L517" s="111">
        <f t="shared" si="57"/>
        <v>0</v>
      </c>
      <c r="M517" s="111">
        <f t="shared" si="57"/>
        <v>0</v>
      </c>
      <c r="N517" s="111">
        <f t="shared" si="57"/>
        <v>0</v>
      </c>
      <c r="O517" s="111">
        <f t="shared" si="57"/>
        <v>0</v>
      </c>
      <c r="P517" s="111">
        <f t="shared" si="57"/>
        <v>0</v>
      </c>
      <c r="Q517" s="111">
        <f t="shared" si="57"/>
        <v>0</v>
      </c>
      <c r="R517" s="29"/>
      <c r="S517" s="100"/>
      <c r="T517" s="100"/>
      <c r="U517" s="100"/>
      <c r="V517" s="100"/>
      <c r="W517" s="100"/>
      <c r="X517" s="100"/>
      <c r="Y517" s="100"/>
      <c r="Z517" s="100"/>
      <c r="AA517" s="228"/>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100"/>
      <c r="BE517" s="100"/>
      <c r="BF517" s="100"/>
      <c r="BG517" s="100"/>
      <c r="BH517" s="100"/>
      <c r="BI517" s="100"/>
      <c r="BJ517" s="100"/>
      <c r="BK517" s="12"/>
      <c r="BL517" s="12"/>
    </row>
    <row r="518" spans="1:64" hidden="1" outlineLevel="1">
      <c r="A518" s="9"/>
      <c r="B518" s="9"/>
      <c r="C518" s="44"/>
      <c r="D518" s="270">
        <f>Asset17</f>
        <v>0</v>
      </c>
      <c r="E518" s="9"/>
      <c r="F518" s="9"/>
      <c r="G518" s="204">
        <f>'Adjustment for previous period'!G494</f>
        <v>0</v>
      </c>
      <c r="H518" s="111">
        <f t="shared" ref="H518:Q518" si="58">H28*H$7</f>
        <v>0</v>
      </c>
      <c r="I518" s="111">
        <f t="shared" si="58"/>
        <v>0</v>
      </c>
      <c r="J518" s="111">
        <f t="shared" si="58"/>
        <v>0</v>
      </c>
      <c r="K518" s="111">
        <f t="shared" si="58"/>
        <v>0</v>
      </c>
      <c r="L518" s="111">
        <f t="shared" si="58"/>
        <v>0</v>
      </c>
      <c r="M518" s="111">
        <f t="shared" si="58"/>
        <v>0</v>
      </c>
      <c r="N518" s="111">
        <f t="shared" si="58"/>
        <v>0</v>
      </c>
      <c r="O518" s="111">
        <f t="shared" si="58"/>
        <v>0</v>
      </c>
      <c r="P518" s="111">
        <f t="shared" si="58"/>
        <v>0</v>
      </c>
      <c r="Q518" s="111">
        <f t="shared" si="58"/>
        <v>0</v>
      </c>
      <c r="R518" s="29"/>
      <c r="S518" s="100"/>
      <c r="T518" s="100"/>
      <c r="U518" s="100"/>
      <c r="V518" s="100"/>
      <c r="W518" s="100"/>
      <c r="X518" s="100"/>
      <c r="Y518" s="100"/>
      <c r="Z518" s="100"/>
      <c r="AA518" s="228"/>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100"/>
      <c r="BE518" s="100"/>
      <c r="BF518" s="100"/>
      <c r="BG518" s="100"/>
      <c r="BH518" s="100"/>
      <c r="BI518" s="100"/>
      <c r="BJ518" s="100"/>
      <c r="BK518" s="12"/>
      <c r="BL518" s="12"/>
    </row>
    <row r="519" spans="1:64" hidden="1" outlineLevel="1">
      <c r="A519" s="9"/>
      <c r="B519" s="9"/>
      <c r="C519" s="44"/>
      <c r="D519" s="270">
        <f>Asset18</f>
        <v>0</v>
      </c>
      <c r="E519" s="9"/>
      <c r="F519" s="9"/>
      <c r="G519" s="204">
        <f>'Adjustment for previous period'!G495</f>
        <v>0</v>
      </c>
      <c r="H519" s="111">
        <f t="shared" ref="H519:Q519" si="59">H29*H$7</f>
        <v>0</v>
      </c>
      <c r="I519" s="111">
        <f t="shared" si="59"/>
        <v>0</v>
      </c>
      <c r="J519" s="111">
        <f t="shared" si="59"/>
        <v>0</v>
      </c>
      <c r="K519" s="111">
        <f t="shared" si="59"/>
        <v>0</v>
      </c>
      <c r="L519" s="111">
        <f t="shared" si="59"/>
        <v>0</v>
      </c>
      <c r="M519" s="111">
        <f t="shared" si="59"/>
        <v>0</v>
      </c>
      <c r="N519" s="111">
        <f t="shared" si="59"/>
        <v>0</v>
      </c>
      <c r="O519" s="111">
        <f t="shared" si="59"/>
        <v>0</v>
      </c>
      <c r="P519" s="111">
        <f t="shared" si="59"/>
        <v>0</v>
      </c>
      <c r="Q519" s="111">
        <f t="shared" si="59"/>
        <v>0</v>
      </c>
      <c r="R519" s="29"/>
      <c r="S519" s="100"/>
      <c r="T519" s="100"/>
      <c r="U519" s="100"/>
      <c r="V519" s="100"/>
      <c r="W519" s="100"/>
      <c r="X519" s="100"/>
      <c r="Y519" s="100"/>
      <c r="Z519" s="100"/>
      <c r="AA519" s="228"/>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100"/>
      <c r="BE519" s="100"/>
      <c r="BF519" s="100"/>
      <c r="BG519" s="100"/>
      <c r="BH519" s="100"/>
      <c r="BI519" s="100"/>
      <c r="BJ519" s="100"/>
      <c r="BK519" s="12"/>
      <c r="BL519" s="12"/>
    </row>
    <row r="520" spans="1:64" hidden="1" outlineLevel="1">
      <c r="A520" s="9"/>
      <c r="B520" s="9"/>
      <c r="C520" s="44"/>
      <c r="D520" s="270">
        <f>Asset19</f>
        <v>0</v>
      </c>
      <c r="E520" s="9"/>
      <c r="F520" s="9"/>
      <c r="G520" s="204">
        <f>'Adjustment for previous period'!G496</f>
        <v>0</v>
      </c>
      <c r="H520" s="111">
        <f t="shared" ref="H520:Q520" si="60">H30*H$7</f>
        <v>0</v>
      </c>
      <c r="I520" s="111">
        <f t="shared" si="60"/>
        <v>0</v>
      </c>
      <c r="J520" s="111">
        <f t="shared" si="60"/>
        <v>0</v>
      </c>
      <c r="K520" s="111">
        <f t="shared" si="60"/>
        <v>0</v>
      </c>
      <c r="L520" s="111">
        <f t="shared" si="60"/>
        <v>0</v>
      </c>
      <c r="M520" s="111">
        <f t="shared" si="60"/>
        <v>0</v>
      </c>
      <c r="N520" s="111">
        <f t="shared" si="60"/>
        <v>0</v>
      </c>
      <c r="O520" s="111">
        <f t="shared" si="60"/>
        <v>0</v>
      </c>
      <c r="P520" s="111">
        <f t="shared" si="60"/>
        <v>0</v>
      </c>
      <c r="Q520" s="111">
        <f t="shared" si="60"/>
        <v>0</v>
      </c>
      <c r="R520" s="29"/>
      <c r="S520" s="100"/>
      <c r="T520" s="100"/>
      <c r="U520" s="100"/>
      <c r="V520" s="100"/>
      <c r="W520" s="100"/>
      <c r="X520" s="100"/>
      <c r="Y520" s="100"/>
      <c r="Z520" s="100"/>
      <c r="AA520" s="228"/>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100"/>
      <c r="BE520" s="100"/>
      <c r="BF520" s="100"/>
      <c r="BG520" s="100"/>
      <c r="BH520" s="100"/>
      <c r="BI520" s="100"/>
      <c r="BJ520" s="100"/>
      <c r="BK520" s="12"/>
      <c r="BL520" s="12"/>
    </row>
    <row r="521" spans="1:64" hidden="1" outlineLevel="1">
      <c r="A521" s="9"/>
      <c r="B521" s="9"/>
      <c r="C521" s="44"/>
      <c r="D521" s="270">
        <f>Asset20</f>
        <v>0</v>
      </c>
      <c r="E521" s="9"/>
      <c r="F521" s="9"/>
      <c r="G521" s="204">
        <f>'Adjustment for previous period'!G497</f>
        <v>0</v>
      </c>
      <c r="H521" s="111">
        <f>H31*H$7</f>
        <v>0</v>
      </c>
      <c r="I521" s="111">
        <f t="shared" ref="I521:Q521" si="61">I31*I$7</f>
        <v>0</v>
      </c>
      <c r="J521" s="111">
        <f t="shared" si="61"/>
        <v>0</v>
      </c>
      <c r="K521" s="111">
        <f t="shared" si="61"/>
        <v>0</v>
      </c>
      <c r="L521" s="111">
        <f t="shared" si="61"/>
        <v>0</v>
      </c>
      <c r="M521" s="111">
        <f t="shared" si="61"/>
        <v>0</v>
      </c>
      <c r="N521" s="111">
        <f t="shared" si="61"/>
        <v>0</v>
      </c>
      <c r="O521" s="111">
        <f t="shared" si="61"/>
        <v>0</v>
      </c>
      <c r="P521" s="111">
        <f t="shared" si="61"/>
        <v>0</v>
      </c>
      <c r="Q521" s="111">
        <f t="shared" si="61"/>
        <v>0</v>
      </c>
      <c r="R521" s="29"/>
      <c r="S521" s="100"/>
      <c r="T521" s="100"/>
      <c r="U521" s="100"/>
      <c r="V521" s="100"/>
      <c r="W521" s="100"/>
      <c r="X521" s="100"/>
      <c r="Y521" s="100"/>
      <c r="Z521" s="100"/>
      <c r="AA521" s="228"/>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100"/>
      <c r="BE521" s="100"/>
      <c r="BF521" s="100"/>
      <c r="BG521" s="100"/>
      <c r="BH521" s="100"/>
      <c r="BI521" s="100"/>
      <c r="BJ521" s="100"/>
      <c r="BK521" s="12"/>
      <c r="BL521" s="12"/>
    </row>
    <row r="522" spans="1:64" hidden="1" outlineLevel="1">
      <c r="A522" s="9"/>
      <c r="B522" s="9"/>
      <c r="C522" s="44"/>
      <c r="D522" s="270">
        <f>Asset21</f>
        <v>0</v>
      </c>
      <c r="E522" s="9"/>
      <c r="F522" s="9"/>
      <c r="G522" s="204">
        <f>'Adjustment for previous period'!G498</f>
        <v>0</v>
      </c>
      <c r="H522" s="111">
        <f t="shared" ref="H522:Q530" si="62">H32*H$7</f>
        <v>0</v>
      </c>
      <c r="I522" s="111">
        <f t="shared" si="62"/>
        <v>0</v>
      </c>
      <c r="J522" s="111">
        <f t="shared" si="62"/>
        <v>0</v>
      </c>
      <c r="K522" s="111">
        <f t="shared" si="62"/>
        <v>0</v>
      </c>
      <c r="L522" s="111">
        <f t="shared" si="62"/>
        <v>0</v>
      </c>
      <c r="M522" s="111">
        <f>M32*M$7</f>
        <v>0</v>
      </c>
      <c r="N522" s="111">
        <f>N32*N$7</f>
        <v>0</v>
      </c>
      <c r="O522" s="111">
        <f>O32*O$7</f>
        <v>0</v>
      </c>
      <c r="P522" s="111">
        <f>P32*P$7</f>
        <v>0</v>
      </c>
      <c r="Q522" s="111">
        <f>Q32*Q$7</f>
        <v>0</v>
      </c>
      <c r="R522" s="29"/>
      <c r="S522" s="100"/>
      <c r="T522" s="100"/>
      <c r="U522" s="100"/>
      <c r="V522" s="100"/>
      <c r="W522" s="100"/>
      <c r="X522" s="100"/>
      <c r="Y522" s="100"/>
      <c r="Z522" s="100"/>
      <c r="AA522" s="228"/>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100"/>
      <c r="BE522" s="100"/>
      <c r="BF522" s="100"/>
      <c r="BG522" s="100"/>
      <c r="BH522" s="100"/>
      <c r="BI522" s="100"/>
      <c r="BJ522" s="100"/>
      <c r="BK522" s="12"/>
      <c r="BL522" s="12"/>
    </row>
    <row r="523" spans="1:64" hidden="1" outlineLevel="1">
      <c r="A523" s="9"/>
      <c r="B523" s="9"/>
      <c r="C523" s="44"/>
      <c r="D523" s="270">
        <f>Asset22</f>
        <v>0</v>
      </c>
      <c r="E523" s="9"/>
      <c r="F523" s="9"/>
      <c r="G523" s="204">
        <f>'Adjustment for previous period'!G499</f>
        <v>0</v>
      </c>
      <c r="H523" s="111">
        <f t="shared" si="62"/>
        <v>0</v>
      </c>
      <c r="I523" s="111">
        <f t="shared" si="62"/>
        <v>0</v>
      </c>
      <c r="J523" s="111">
        <f t="shared" si="62"/>
        <v>0</v>
      </c>
      <c r="K523" s="111">
        <f t="shared" si="62"/>
        <v>0</v>
      </c>
      <c r="L523" s="111">
        <f t="shared" si="62"/>
        <v>0</v>
      </c>
      <c r="M523" s="111">
        <f t="shared" si="62"/>
        <v>0</v>
      </c>
      <c r="N523" s="111">
        <f t="shared" si="62"/>
        <v>0</v>
      </c>
      <c r="O523" s="111">
        <f t="shared" si="62"/>
        <v>0</v>
      </c>
      <c r="P523" s="111">
        <f t="shared" si="62"/>
        <v>0</v>
      </c>
      <c r="Q523" s="111">
        <f t="shared" si="62"/>
        <v>0</v>
      </c>
      <c r="R523" s="29"/>
      <c r="S523" s="100"/>
      <c r="T523" s="100"/>
      <c r="U523" s="100"/>
      <c r="V523" s="100"/>
      <c r="W523" s="100"/>
      <c r="X523" s="100"/>
      <c r="Y523" s="100"/>
      <c r="Z523" s="100"/>
      <c r="AA523" s="228"/>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100"/>
      <c r="BE523" s="100"/>
      <c r="BF523" s="100"/>
      <c r="BG523" s="100"/>
      <c r="BH523" s="100"/>
      <c r="BI523" s="100"/>
      <c r="BJ523" s="100"/>
      <c r="BK523" s="12"/>
      <c r="BL523" s="12"/>
    </row>
    <row r="524" spans="1:64" hidden="1" outlineLevel="1">
      <c r="A524" s="9"/>
      <c r="B524" s="9"/>
      <c r="C524" s="44"/>
      <c r="D524" s="270">
        <f>Asset23</f>
        <v>0</v>
      </c>
      <c r="E524" s="9"/>
      <c r="F524" s="9"/>
      <c r="G524" s="204">
        <f>'Adjustment for previous period'!G500</f>
        <v>0</v>
      </c>
      <c r="H524" s="111">
        <f t="shared" si="62"/>
        <v>0</v>
      </c>
      <c r="I524" s="111">
        <f t="shared" si="62"/>
        <v>0</v>
      </c>
      <c r="J524" s="111">
        <f t="shared" si="62"/>
        <v>0</v>
      </c>
      <c r="K524" s="111">
        <f t="shared" si="62"/>
        <v>0</v>
      </c>
      <c r="L524" s="111">
        <f t="shared" si="62"/>
        <v>0</v>
      </c>
      <c r="M524" s="111">
        <f t="shared" si="62"/>
        <v>0</v>
      </c>
      <c r="N524" s="111">
        <f t="shared" si="62"/>
        <v>0</v>
      </c>
      <c r="O524" s="111">
        <f t="shared" si="62"/>
        <v>0</v>
      </c>
      <c r="P524" s="111">
        <f t="shared" si="62"/>
        <v>0</v>
      </c>
      <c r="Q524" s="111">
        <f t="shared" si="62"/>
        <v>0</v>
      </c>
      <c r="R524" s="29"/>
      <c r="S524" s="100"/>
      <c r="T524" s="100"/>
      <c r="U524" s="100"/>
      <c r="V524" s="100"/>
      <c r="W524" s="100"/>
      <c r="X524" s="100"/>
      <c r="Y524" s="100"/>
      <c r="Z524" s="100"/>
      <c r="AA524" s="228"/>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100"/>
      <c r="BE524" s="100"/>
      <c r="BF524" s="100"/>
      <c r="BG524" s="100"/>
      <c r="BH524" s="100"/>
      <c r="BI524" s="100"/>
      <c r="BJ524" s="100"/>
      <c r="BK524" s="12"/>
      <c r="BL524" s="12"/>
    </row>
    <row r="525" spans="1:64" hidden="1" outlineLevel="1">
      <c r="A525" s="9"/>
      <c r="B525" s="9"/>
      <c r="C525" s="44"/>
      <c r="D525" s="270">
        <f>Asset24</f>
        <v>0</v>
      </c>
      <c r="E525" s="9"/>
      <c r="F525" s="9"/>
      <c r="G525" s="204">
        <f>'Adjustment for previous period'!G501</f>
        <v>0</v>
      </c>
      <c r="H525" s="111">
        <f t="shared" si="62"/>
        <v>0</v>
      </c>
      <c r="I525" s="111">
        <f t="shared" si="62"/>
        <v>0</v>
      </c>
      <c r="J525" s="111">
        <f t="shared" si="62"/>
        <v>0</v>
      </c>
      <c r="K525" s="111">
        <f t="shared" si="62"/>
        <v>0</v>
      </c>
      <c r="L525" s="111">
        <f t="shared" si="62"/>
        <v>0</v>
      </c>
      <c r="M525" s="111">
        <f t="shared" si="62"/>
        <v>0</v>
      </c>
      <c r="N525" s="111">
        <f t="shared" si="62"/>
        <v>0</v>
      </c>
      <c r="O525" s="111">
        <f t="shared" si="62"/>
        <v>0</v>
      </c>
      <c r="P525" s="111">
        <f t="shared" si="62"/>
        <v>0</v>
      </c>
      <c r="Q525" s="111">
        <f t="shared" si="62"/>
        <v>0</v>
      </c>
      <c r="R525" s="29"/>
      <c r="S525" s="100"/>
      <c r="T525" s="100"/>
      <c r="U525" s="100"/>
      <c r="V525" s="100"/>
      <c r="W525" s="100"/>
      <c r="X525" s="100"/>
      <c r="Y525" s="100"/>
      <c r="Z525" s="100"/>
      <c r="AA525" s="228"/>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100"/>
      <c r="BE525" s="100"/>
      <c r="BF525" s="100"/>
      <c r="BG525" s="100"/>
      <c r="BH525" s="100"/>
      <c r="BI525" s="100"/>
      <c r="BJ525" s="100"/>
      <c r="BK525" s="12"/>
      <c r="BL525" s="12"/>
    </row>
    <row r="526" spans="1:64" hidden="1" outlineLevel="1">
      <c r="A526" s="9"/>
      <c r="B526" s="9"/>
      <c r="C526" s="44"/>
      <c r="D526" s="270">
        <f>Asset25</f>
        <v>0</v>
      </c>
      <c r="E526" s="9"/>
      <c r="F526" s="9"/>
      <c r="G526" s="204">
        <f>'Adjustment for previous period'!G502</f>
        <v>0</v>
      </c>
      <c r="H526" s="111">
        <f t="shared" si="62"/>
        <v>0</v>
      </c>
      <c r="I526" s="111">
        <f t="shared" si="62"/>
        <v>0</v>
      </c>
      <c r="J526" s="111">
        <f t="shared" si="62"/>
        <v>0</v>
      </c>
      <c r="K526" s="111">
        <f t="shared" si="62"/>
        <v>0</v>
      </c>
      <c r="L526" s="111">
        <f t="shared" si="62"/>
        <v>0</v>
      </c>
      <c r="M526" s="111">
        <f t="shared" si="62"/>
        <v>0</v>
      </c>
      <c r="N526" s="111">
        <f t="shared" si="62"/>
        <v>0</v>
      </c>
      <c r="O526" s="111">
        <f t="shared" si="62"/>
        <v>0</v>
      </c>
      <c r="P526" s="111">
        <f t="shared" si="62"/>
        <v>0</v>
      </c>
      <c r="Q526" s="111">
        <f t="shared" si="62"/>
        <v>0</v>
      </c>
      <c r="R526" s="29"/>
      <c r="S526" s="100"/>
      <c r="T526" s="100"/>
      <c r="U526" s="100"/>
      <c r="V526" s="100"/>
      <c r="W526" s="100"/>
      <c r="X526" s="100"/>
      <c r="Y526" s="100"/>
      <c r="Z526" s="100"/>
      <c r="AA526" s="228"/>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100"/>
      <c r="BE526" s="100"/>
      <c r="BF526" s="100"/>
      <c r="BG526" s="100"/>
      <c r="BH526" s="100"/>
      <c r="BI526" s="100"/>
      <c r="BJ526" s="100"/>
      <c r="BK526" s="12"/>
      <c r="BL526" s="12"/>
    </row>
    <row r="527" spans="1:64" hidden="1" outlineLevel="1">
      <c r="A527" s="9"/>
      <c r="B527" s="9"/>
      <c r="C527" s="44"/>
      <c r="D527" s="270">
        <f>Asset26</f>
        <v>0</v>
      </c>
      <c r="E527" s="9"/>
      <c r="F527" s="9"/>
      <c r="G527" s="204">
        <f>'Adjustment for previous period'!G503</f>
        <v>0</v>
      </c>
      <c r="H527" s="111">
        <f t="shared" si="62"/>
        <v>0</v>
      </c>
      <c r="I527" s="111">
        <f t="shared" si="62"/>
        <v>0</v>
      </c>
      <c r="J527" s="111">
        <f t="shared" si="62"/>
        <v>0</v>
      </c>
      <c r="K527" s="111">
        <f t="shared" si="62"/>
        <v>0</v>
      </c>
      <c r="L527" s="111">
        <f t="shared" si="62"/>
        <v>0</v>
      </c>
      <c r="M527" s="111">
        <f t="shared" si="62"/>
        <v>0</v>
      </c>
      <c r="N527" s="111">
        <f t="shared" si="62"/>
        <v>0</v>
      </c>
      <c r="O527" s="111">
        <f t="shared" si="62"/>
        <v>0</v>
      </c>
      <c r="P527" s="111">
        <f t="shared" si="62"/>
        <v>0</v>
      </c>
      <c r="Q527" s="111">
        <f t="shared" si="62"/>
        <v>0</v>
      </c>
      <c r="R527" s="29"/>
      <c r="S527" s="100"/>
      <c r="T527" s="100"/>
      <c r="U527" s="100"/>
      <c r="V527" s="100"/>
      <c r="W527" s="100"/>
      <c r="X527" s="100"/>
      <c r="Y527" s="100"/>
      <c r="Z527" s="100"/>
      <c r="AA527" s="228"/>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100"/>
      <c r="BE527" s="100"/>
      <c r="BF527" s="100"/>
      <c r="BG527" s="100"/>
      <c r="BH527" s="100"/>
      <c r="BI527" s="100"/>
      <c r="BJ527" s="100"/>
      <c r="BK527" s="12"/>
      <c r="BL527" s="12"/>
    </row>
    <row r="528" spans="1:64" hidden="1" outlineLevel="1">
      <c r="A528" s="9"/>
      <c r="B528" s="9"/>
      <c r="C528" s="44"/>
      <c r="D528" s="270">
        <f>Asset27</f>
        <v>0</v>
      </c>
      <c r="E528" s="9"/>
      <c r="F528" s="9"/>
      <c r="G528" s="204">
        <f>'Adjustment for previous period'!G504</f>
        <v>0</v>
      </c>
      <c r="H528" s="111">
        <f t="shared" si="62"/>
        <v>0</v>
      </c>
      <c r="I528" s="111">
        <f t="shared" si="62"/>
        <v>0</v>
      </c>
      <c r="J528" s="111">
        <f t="shared" si="62"/>
        <v>0</v>
      </c>
      <c r="K528" s="111">
        <f t="shared" si="62"/>
        <v>0</v>
      </c>
      <c r="L528" s="111">
        <f t="shared" si="62"/>
        <v>0</v>
      </c>
      <c r="M528" s="111">
        <f t="shared" si="62"/>
        <v>0</v>
      </c>
      <c r="N528" s="111">
        <f t="shared" si="62"/>
        <v>0</v>
      </c>
      <c r="O528" s="111">
        <f t="shared" si="62"/>
        <v>0</v>
      </c>
      <c r="P528" s="111">
        <f t="shared" si="62"/>
        <v>0</v>
      </c>
      <c r="Q528" s="111">
        <f t="shared" si="62"/>
        <v>0</v>
      </c>
      <c r="R528" s="29"/>
      <c r="S528" s="100"/>
      <c r="T528" s="100"/>
      <c r="U528" s="100"/>
      <c r="V528" s="100"/>
      <c r="W528" s="100"/>
      <c r="X528" s="100"/>
      <c r="Y528" s="100"/>
      <c r="Z528" s="100"/>
      <c r="AA528" s="228"/>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100"/>
      <c r="BE528" s="100"/>
      <c r="BF528" s="100"/>
      <c r="BG528" s="100"/>
      <c r="BH528" s="100"/>
      <c r="BI528" s="100"/>
      <c r="BJ528" s="100"/>
      <c r="BK528" s="12"/>
      <c r="BL528" s="12"/>
    </row>
    <row r="529" spans="1:64" hidden="1" outlineLevel="1">
      <c r="A529" s="9"/>
      <c r="B529" s="9"/>
      <c r="C529" s="44"/>
      <c r="D529" s="270">
        <f>Asset28</f>
        <v>0</v>
      </c>
      <c r="E529" s="9"/>
      <c r="F529" s="9"/>
      <c r="G529" s="204">
        <f>'Adjustment for previous period'!G505</f>
        <v>0</v>
      </c>
      <c r="H529" s="111">
        <f t="shared" si="62"/>
        <v>0</v>
      </c>
      <c r="I529" s="111">
        <f t="shared" si="62"/>
        <v>0</v>
      </c>
      <c r="J529" s="111">
        <f t="shared" si="62"/>
        <v>0</v>
      </c>
      <c r="K529" s="111">
        <f t="shared" si="62"/>
        <v>0</v>
      </c>
      <c r="L529" s="111">
        <f t="shared" si="62"/>
        <v>0</v>
      </c>
      <c r="M529" s="111">
        <f t="shared" si="62"/>
        <v>0</v>
      </c>
      <c r="N529" s="111">
        <f t="shared" si="62"/>
        <v>0</v>
      </c>
      <c r="O529" s="111">
        <f t="shared" si="62"/>
        <v>0</v>
      </c>
      <c r="P529" s="111">
        <f t="shared" si="62"/>
        <v>0</v>
      </c>
      <c r="Q529" s="111">
        <f t="shared" si="62"/>
        <v>0</v>
      </c>
      <c r="R529" s="29"/>
      <c r="S529" s="100"/>
      <c r="T529" s="100"/>
      <c r="U529" s="100"/>
      <c r="V529" s="100"/>
      <c r="W529" s="100"/>
      <c r="X529" s="100"/>
      <c r="Y529" s="100"/>
      <c r="Z529" s="100"/>
      <c r="AA529" s="228"/>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100"/>
      <c r="BE529" s="100"/>
      <c r="BF529" s="100"/>
      <c r="BG529" s="100"/>
      <c r="BH529" s="100"/>
      <c r="BI529" s="100"/>
      <c r="BJ529" s="100"/>
      <c r="BK529" s="12"/>
      <c r="BL529" s="12"/>
    </row>
    <row r="530" spans="1:64" hidden="1" outlineLevel="1">
      <c r="A530" s="9"/>
      <c r="B530" s="9"/>
      <c r="C530" s="44"/>
      <c r="D530" s="270">
        <f>Asset29</f>
        <v>0</v>
      </c>
      <c r="E530" s="9"/>
      <c r="F530" s="9"/>
      <c r="G530" s="204">
        <f>'Adjustment for previous period'!G506</f>
        <v>0</v>
      </c>
      <c r="H530" s="111">
        <f t="shared" si="62"/>
        <v>0</v>
      </c>
      <c r="I530" s="111">
        <f t="shared" si="62"/>
        <v>0</v>
      </c>
      <c r="J530" s="111">
        <f t="shared" si="62"/>
        <v>0</v>
      </c>
      <c r="K530" s="111">
        <f t="shared" si="62"/>
        <v>0</v>
      </c>
      <c r="L530" s="111">
        <f t="shared" si="62"/>
        <v>0</v>
      </c>
      <c r="M530" s="111">
        <f t="shared" si="62"/>
        <v>0</v>
      </c>
      <c r="N530" s="111">
        <f t="shared" si="62"/>
        <v>0</v>
      </c>
      <c r="O530" s="111">
        <f t="shared" si="62"/>
        <v>0</v>
      </c>
      <c r="P530" s="111">
        <f t="shared" si="62"/>
        <v>0</v>
      </c>
      <c r="Q530" s="111">
        <f t="shared" si="62"/>
        <v>0</v>
      </c>
      <c r="R530" s="29"/>
      <c r="S530" s="100"/>
      <c r="T530" s="100"/>
      <c r="U530" s="100"/>
      <c r="V530" s="100"/>
      <c r="W530" s="100"/>
      <c r="X530" s="100"/>
      <c r="Y530" s="100"/>
      <c r="Z530" s="100"/>
      <c r="AA530" s="228"/>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100"/>
      <c r="BE530" s="100"/>
      <c r="BF530" s="100"/>
      <c r="BG530" s="100"/>
      <c r="BH530" s="100"/>
      <c r="BI530" s="100"/>
      <c r="BJ530" s="100"/>
      <c r="BK530" s="12"/>
      <c r="BL530" s="12"/>
    </row>
    <row r="531" spans="1:64" hidden="1" outlineLevel="1">
      <c r="A531" s="9"/>
      <c r="B531" s="9"/>
      <c r="C531" s="44"/>
      <c r="D531" s="270">
        <f>Asset30</f>
        <v>0</v>
      </c>
      <c r="E531" s="9"/>
      <c r="F531" s="9"/>
      <c r="G531" s="204">
        <f>'Adjustment for previous period'!G507</f>
        <v>0</v>
      </c>
      <c r="H531" s="111">
        <f t="shared" ref="H531:Q531" si="63">H41*H$7</f>
        <v>0</v>
      </c>
      <c r="I531" s="111">
        <f t="shared" si="63"/>
        <v>0</v>
      </c>
      <c r="J531" s="111">
        <f t="shared" si="63"/>
        <v>0</v>
      </c>
      <c r="K531" s="111">
        <f t="shared" si="63"/>
        <v>0</v>
      </c>
      <c r="L531" s="111">
        <f t="shared" si="63"/>
        <v>0</v>
      </c>
      <c r="M531" s="111">
        <f t="shared" si="63"/>
        <v>0</v>
      </c>
      <c r="N531" s="111">
        <f t="shared" si="63"/>
        <v>0</v>
      </c>
      <c r="O531" s="111">
        <f t="shared" si="63"/>
        <v>0</v>
      </c>
      <c r="P531" s="111">
        <f t="shared" si="63"/>
        <v>0</v>
      </c>
      <c r="Q531" s="111">
        <f t="shared" si="63"/>
        <v>0</v>
      </c>
      <c r="R531" s="29"/>
      <c r="S531" s="100"/>
      <c r="T531" s="100"/>
      <c r="U531" s="100"/>
      <c r="V531" s="100"/>
      <c r="W531" s="100"/>
      <c r="X531" s="100"/>
      <c r="Y531" s="100"/>
      <c r="Z531" s="100"/>
      <c r="AA531" s="228"/>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100"/>
      <c r="BE531" s="100"/>
      <c r="BF531" s="100"/>
      <c r="BG531" s="100"/>
      <c r="BH531" s="100"/>
      <c r="BI531" s="100"/>
      <c r="BJ531" s="100"/>
      <c r="BK531" s="12"/>
      <c r="BL531" s="12"/>
    </row>
    <row r="532" spans="1:64" collapsed="1">
      <c r="A532" s="9"/>
      <c r="B532" s="9"/>
      <c r="C532" s="44"/>
      <c r="D532" s="113"/>
      <c r="E532" s="9"/>
      <c r="F532" s="9"/>
      <c r="G532" s="208"/>
      <c r="H532" s="35"/>
      <c r="I532" s="35"/>
      <c r="J532" s="35"/>
      <c r="K532" s="35"/>
      <c r="L532" s="35"/>
      <c r="M532" s="35"/>
      <c r="N532" s="29"/>
      <c r="O532" s="29"/>
      <c r="P532" s="29"/>
      <c r="Q532" s="29"/>
      <c r="R532" s="29"/>
      <c r="S532" s="100"/>
      <c r="T532" s="100"/>
      <c r="U532" s="100"/>
      <c r="V532" s="100"/>
      <c r="W532" s="100"/>
      <c r="X532" s="100"/>
      <c r="Y532" s="100"/>
      <c r="Z532" s="100"/>
      <c r="AA532" s="228"/>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100"/>
      <c r="BE532" s="100"/>
      <c r="BF532" s="100"/>
      <c r="BG532" s="100"/>
      <c r="BH532" s="100"/>
      <c r="BI532" s="100"/>
      <c r="BJ532" s="100"/>
      <c r="BK532" s="12"/>
      <c r="BL532" s="12"/>
    </row>
    <row r="533" spans="1:64">
      <c r="A533" s="9"/>
      <c r="B533" s="9"/>
      <c r="C533" s="226" t="s">
        <v>72</v>
      </c>
      <c r="D533" s="221"/>
      <c r="E533" s="9"/>
      <c r="F533" s="9"/>
      <c r="G533" s="202">
        <f>SUM(G534:G563)</f>
        <v>-45.523352281960584</v>
      </c>
      <c r="H533" s="344">
        <f>SUM(H534:H563)</f>
        <v>-26.266056248787152</v>
      </c>
      <c r="I533" s="344">
        <f t="shared" ref="I533:P533" si="64">SUM(I534:I563)</f>
        <v>-65.096898009176812</v>
      </c>
      <c r="J533" s="344">
        <f t="shared" si="64"/>
        <v>-57.468967537386213</v>
      </c>
      <c r="K533" s="344">
        <f t="shared" si="64"/>
        <v>-50.207756945499071</v>
      </c>
      <c r="L533" s="344">
        <f t="shared" si="64"/>
        <v>-75.443112708855125</v>
      </c>
      <c r="M533" s="344">
        <f t="shared" si="64"/>
        <v>-65.355982076058893</v>
      </c>
      <c r="N533" s="35">
        <f t="shared" si="64"/>
        <v>0</v>
      </c>
      <c r="O533" s="35">
        <f t="shared" si="64"/>
        <v>0</v>
      </c>
      <c r="P533" s="35">
        <f t="shared" si="64"/>
        <v>0</v>
      </c>
      <c r="Q533" s="35">
        <f>SUM(Q534:Q563)</f>
        <v>0</v>
      </c>
      <c r="R533" s="29"/>
      <c r="S533" s="100"/>
      <c r="T533" s="100"/>
      <c r="U533" s="100"/>
      <c r="V533" s="100"/>
      <c r="W533" s="100"/>
      <c r="X533" s="100"/>
      <c r="Y533" s="100"/>
      <c r="Z533" s="100"/>
      <c r="AA533" s="228"/>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100"/>
      <c r="BE533" s="100"/>
      <c r="BF533" s="100"/>
      <c r="BG533" s="100"/>
      <c r="BH533" s="100"/>
      <c r="BI533" s="100"/>
      <c r="BJ533" s="100"/>
      <c r="BK533" s="12"/>
      <c r="BL533" s="12"/>
    </row>
    <row r="534" spans="1:64" ht="12.75" hidden="1" customHeight="1" outlineLevel="1">
      <c r="A534" s="9"/>
      <c r="B534" s="9"/>
      <c r="C534" s="44"/>
      <c r="D534" s="270" t="str">
        <f>Asset1</f>
        <v>Secondary</v>
      </c>
      <c r="E534" s="9"/>
      <c r="F534" s="9"/>
      <c r="G534" s="204">
        <f>'Adjustment for previous period'!G510</f>
        <v>-5.009896309442194</v>
      </c>
      <c r="H534" s="345">
        <f t="shared" ref="H534:Q534" si="65">H696+H728</f>
        <v>-13.094330659251032</v>
      </c>
      <c r="I534" s="345">
        <f t="shared" si="65"/>
        <v>-16.668935861150768</v>
      </c>
      <c r="J534" s="345">
        <f t="shared" si="65"/>
        <v>-16.686947494644862</v>
      </c>
      <c r="K534" s="345">
        <f t="shared" si="65"/>
        <v>-17.451195969774282</v>
      </c>
      <c r="L534" s="345">
        <f t="shared" si="65"/>
        <v>-16.913973764777538</v>
      </c>
      <c r="M534" s="345">
        <f t="shared" si="65"/>
        <v>-8.601294091485526</v>
      </c>
      <c r="N534" s="111">
        <f t="shared" si="65"/>
        <v>0</v>
      </c>
      <c r="O534" s="111">
        <f t="shared" si="65"/>
        <v>0</v>
      </c>
      <c r="P534" s="111">
        <f t="shared" si="65"/>
        <v>0</v>
      </c>
      <c r="Q534" s="111">
        <f t="shared" si="65"/>
        <v>0</v>
      </c>
      <c r="R534" s="29"/>
      <c r="S534" s="100"/>
      <c r="T534" s="100"/>
      <c r="U534" s="100"/>
      <c r="V534" s="100"/>
      <c r="W534" s="100"/>
      <c r="X534" s="100"/>
      <c r="Y534" s="100"/>
      <c r="Z534" s="100"/>
      <c r="AA534" s="228"/>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100"/>
      <c r="BE534" s="100"/>
      <c r="BF534" s="100"/>
      <c r="BG534" s="100"/>
      <c r="BH534" s="100"/>
      <c r="BI534" s="100"/>
      <c r="BJ534" s="100"/>
      <c r="BK534" s="12"/>
      <c r="BL534" s="12"/>
    </row>
    <row r="535" spans="1:64" ht="12.75" hidden="1" customHeight="1" outlineLevel="1">
      <c r="A535" s="9"/>
      <c r="B535" s="9"/>
      <c r="C535" s="44"/>
      <c r="D535" s="270" t="str">
        <f>Asset2</f>
        <v>Switchgear</v>
      </c>
      <c r="E535" s="9"/>
      <c r="F535" s="9"/>
      <c r="G535" s="204">
        <f>'Adjustment for previous period'!G511</f>
        <v>-9.9700462083033674</v>
      </c>
      <c r="H535" s="345">
        <f t="shared" ref="H535:Q535" si="66">H697+H729</f>
        <v>-5.137097774464495</v>
      </c>
      <c r="I535" s="345">
        <f t="shared" si="66"/>
        <v>-11.023294541916524</v>
      </c>
      <c r="J535" s="345">
        <f t="shared" si="66"/>
        <v>-9.1955368822131689</v>
      </c>
      <c r="K535" s="345">
        <f t="shared" si="66"/>
        <v>-8.358460842224833</v>
      </c>
      <c r="L535" s="345">
        <f t="shared" si="66"/>
        <v>-13.240239722989237</v>
      </c>
      <c r="M535" s="345">
        <f t="shared" si="66"/>
        <v>-12.358790291224921</v>
      </c>
      <c r="N535" s="111">
        <f t="shared" si="66"/>
        <v>0</v>
      </c>
      <c r="O535" s="111">
        <f t="shared" si="66"/>
        <v>0</v>
      </c>
      <c r="P535" s="111">
        <f t="shared" si="66"/>
        <v>0</v>
      </c>
      <c r="Q535" s="111">
        <f t="shared" si="66"/>
        <v>0</v>
      </c>
      <c r="R535" s="29"/>
      <c r="S535" s="100"/>
      <c r="T535" s="100"/>
      <c r="U535" s="100"/>
      <c r="V535" s="100"/>
      <c r="W535" s="100"/>
      <c r="X535" s="100"/>
      <c r="Y535" s="100"/>
      <c r="Z535" s="100"/>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100"/>
      <c r="BE535" s="100"/>
      <c r="BF535" s="100"/>
      <c r="BG535" s="100"/>
      <c r="BH535" s="100"/>
      <c r="BI535" s="100"/>
      <c r="BJ535" s="100"/>
      <c r="BK535" s="12"/>
      <c r="BL535" s="12"/>
    </row>
    <row r="536" spans="1:64" ht="12.75" hidden="1" customHeight="1" outlineLevel="1">
      <c r="A536" s="9"/>
      <c r="B536" s="9"/>
      <c r="C536" s="44"/>
      <c r="D536" s="270" t="str">
        <f>Asset3</f>
        <v>Transformers</v>
      </c>
      <c r="E536" s="9"/>
      <c r="F536" s="9"/>
      <c r="G536" s="204">
        <f>'Adjustment for previous period'!G512</f>
        <v>-9.0020269407922626</v>
      </c>
      <c r="H536" s="345">
        <f t="shared" ref="H536:Q536" si="67">H698+H730</f>
        <v>-6.8057868495363012</v>
      </c>
      <c r="I536" s="345">
        <f t="shared" si="67"/>
        <v>-9.9370658849582405</v>
      </c>
      <c r="J536" s="345">
        <f t="shared" si="67"/>
        <v>-9.5040111587104192</v>
      </c>
      <c r="K536" s="345">
        <f t="shared" si="67"/>
        <v>-9.1365640563909487</v>
      </c>
      <c r="L536" s="345">
        <f t="shared" si="67"/>
        <v>-11.05882831493842</v>
      </c>
      <c r="M536" s="345">
        <f t="shared" si="67"/>
        <v>-10.834585827782256</v>
      </c>
      <c r="N536" s="111">
        <f t="shared" si="67"/>
        <v>0</v>
      </c>
      <c r="O536" s="111">
        <f t="shared" si="67"/>
        <v>0</v>
      </c>
      <c r="P536" s="111">
        <f t="shared" si="67"/>
        <v>0</v>
      </c>
      <c r="Q536" s="111">
        <f t="shared" si="67"/>
        <v>0</v>
      </c>
      <c r="R536" s="29"/>
      <c r="S536" s="100"/>
      <c r="T536" s="100"/>
      <c r="U536" s="100"/>
      <c r="V536" s="100"/>
      <c r="W536" s="100"/>
      <c r="X536" s="100"/>
      <c r="Y536" s="100"/>
      <c r="Z536" s="100"/>
      <c r="AA536" s="228"/>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100"/>
      <c r="BE536" s="100"/>
      <c r="BF536" s="100"/>
      <c r="BG536" s="100"/>
      <c r="BH536" s="100"/>
      <c r="BI536" s="100"/>
      <c r="BJ536" s="100"/>
      <c r="BK536" s="12"/>
      <c r="BL536" s="12"/>
    </row>
    <row r="537" spans="1:64" ht="12.75" hidden="1" customHeight="1" outlineLevel="1">
      <c r="A537" s="9"/>
      <c r="B537" s="9"/>
      <c r="C537" s="44"/>
      <c r="D537" s="270" t="str">
        <f>Asset4</f>
        <v>Reactive</v>
      </c>
      <c r="E537" s="9"/>
      <c r="F537" s="9"/>
      <c r="G537" s="204">
        <f>'Adjustment for previous period'!G513</f>
        <v>-1.9565416146037446</v>
      </c>
      <c r="H537" s="345">
        <f t="shared" ref="H537:Q537" si="68">H699+H731</f>
        <v>-1.2070748712638504</v>
      </c>
      <c r="I537" s="345">
        <f t="shared" si="68"/>
        <v>-2.7365742091456484</v>
      </c>
      <c r="J537" s="345">
        <f t="shared" si="68"/>
        <v>-2.4024658447898486</v>
      </c>
      <c r="K537" s="345">
        <f t="shared" si="68"/>
        <v>-2.1961894388235828</v>
      </c>
      <c r="L537" s="345">
        <f t="shared" si="68"/>
        <v>-3.1417501819680993</v>
      </c>
      <c r="M537" s="345">
        <f t="shared" si="68"/>
        <v>-3.0801097144920981</v>
      </c>
      <c r="N537" s="111">
        <f t="shared" si="68"/>
        <v>0</v>
      </c>
      <c r="O537" s="111">
        <f t="shared" si="68"/>
        <v>0</v>
      </c>
      <c r="P537" s="111">
        <f t="shared" si="68"/>
        <v>0</v>
      </c>
      <c r="Q537" s="111">
        <f t="shared" si="68"/>
        <v>0</v>
      </c>
      <c r="R537" s="29"/>
      <c r="S537" s="100"/>
      <c r="T537" s="100"/>
      <c r="U537" s="100"/>
      <c r="V537" s="100"/>
      <c r="W537" s="100"/>
      <c r="X537" s="100"/>
      <c r="Y537" s="100"/>
      <c r="Z537" s="100"/>
      <c r="AA537" s="228"/>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100"/>
      <c r="BE537" s="100"/>
      <c r="BF537" s="100"/>
      <c r="BG537" s="100"/>
      <c r="BH537" s="100"/>
      <c r="BI537" s="100"/>
      <c r="BJ537" s="100"/>
      <c r="BK537" s="12"/>
      <c r="BL537" s="12"/>
    </row>
    <row r="538" spans="1:64" ht="12.75" hidden="1" customHeight="1" outlineLevel="1">
      <c r="A538" s="9"/>
      <c r="B538" s="9"/>
      <c r="C538" s="44"/>
      <c r="D538" s="270" t="str">
        <f>Asset5</f>
        <v>Towers and Conductor</v>
      </c>
      <c r="E538" s="9"/>
      <c r="F538" s="9"/>
      <c r="G538" s="204">
        <f>'Adjustment for previous period'!G514</f>
        <v>-9.3974643039723151</v>
      </c>
      <c r="H538" s="345">
        <f t="shared" ref="H538:Q538" si="69">H700+H732</f>
        <v>1.3000829144204431</v>
      </c>
      <c r="I538" s="345">
        <f t="shared" si="69"/>
        <v>-16.437837303640151</v>
      </c>
      <c r="J538" s="345">
        <f t="shared" si="69"/>
        <v>-11.858154321965529</v>
      </c>
      <c r="K538" s="345">
        <f t="shared" si="69"/>
        <v>-7.9064384253165372</v>
      </c>
      <c r="L538" s="345">
        <f t="shared" si="69"/>
        <v>-18.930542164569186</v>
      </c>
      <c r="M538" s="345">
        <f t="shared" si="69"/>
        <v>-16.915992975566404</v>
      </c>
      <c r="N538" s="111">
        <f t="shared" si="69"/>
        <v>0</v>
      </c>
      <c r="O538" s="111">
        <f t="shared" si="69"/>
        <v>0</v>
      </c>
      <c r="P538" s="111">
        <f t="shared" si="69"/>
        <v>0</v>
      </c>
      <c r="Q538" s="111">
        <f t="shared" si="69"/>
        <v>0</v>
      </c>
      <c r="R538" s="29"/>
      <c r="S538" s="100"/>
      <c r="T538" s="100"/>
      <c r="U538" s="100"/>
      <c r="V538" s="100"/>
      <c r="W538" s="100"/>
      <c r="X538" s="100"/>
      <c r="Y538" s="100"/>
      <c r="Z538" s="100"/>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100"/>
      <c r="BE538" s="100"/>
      <c r="BF538" s="100"/>
      <c r="BG538" s="100"/>
      <c r="BH538" s="100"/>
      <c r="BI538" s="100"/>
      <c r="BJ538" s="100"/>
      <c r="BK538" s="12"/>
      <c r="BL538" s="12"/>
    </row>
    <row r="539" spans="1:64" ht="12.75" hidden="1" customHeight="1" outlineLevel="1">
      <c r="A539" s="9"/>
      <c r="B539" s="9"/>
      <c r="C539" s="44"/>
      <c r="D539" s="270" t="str">
        <f>Asset6</f>
        <v>Establishment</v>
      </c>
      <c r="E539" s="9"/>
      <c r="F539" s="9"/>
      <c r="G539" s="204">
        <f>'Adjustment for previous period'!G515</f>
        <v>-1.9292989819905269</v>
      </c>
      <c r="H539" s="345">
        <f t="shared" ref="H539:Q539" si="70">H701+H733</f>
        <v>-0.24357216393564984</v>
      </c>
      <c r="I539" s="345">
        <f t="shared" si="70"/>
        <v>-2.018774656172138</v>
      </c>
      <c r="J539" s="345">
        <f t="shared" si="70"/>
        <v>-1.5195715868078197</v>
      </c>
      <c r="K539" s="345">
        <f t="shared" si="70"/>
        <v>-1.1786536437525825</v>
      </c>
      <c r="L539" s="345">
        <f t="shared" si="70"/>
        <v>-2.3260469512259343</v>
      </c>
      <c r="M539" s="345">
        <f t="shared" si="70"/>
        <v>-2.0296953578525985</v>
      </c>
      <c r="N539" s="111">
        <f t="shared" si="70"/>
        <v>0</v>
      </c>
      <c r="O539" s="111">
        <f t="shared" si="70"/>
        <v>0</v>
      </c>
      <c r="P539" s="111">
        <f t="shared" si="70"/>
        <v>0</v>
      </c>
      <c r="Q539" s="111">
        <f t="shared" si="70"/>
        <v>0</v>
      </c>
      <c r="R539" s="29"/>
      <c r="S539" s="100"/>
      <c r="T539" s="100"/>
      <c r="U539" s="100"/>
      <c r="V539" s="100"/>
      <c r="W539" s="100"/>
      <c r="X539" s="100"/>
      <c r="Y539" s="100"/>
      <c r="Z539" s="100"/>
      <c r="AA539" s="228"/>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100"/>
      <c r="BE539" s="100"/>
      <c r="BF539" s="100"/>
      <c r="BG539" s="100"/>
      <c r="BH539" s="100"/>
      <c r="BI539" s="100"/>
      <c r="BJ539" s="100"/>
      <c r="BK539" s="12"/>
      <c r="BL539" s="12"/>
    </row>
    <row r="540" spans="1:64" ht="12.75" hidden="1" customHeight="1" outlineLevel="1">
      <c r="A540" s="9"/>
      <c r="B540" s="9"/>
      <c r="C540" s="44"/>
      <c r="D540" s="270" t="str">
        <f>Asset7</f>
        <v>Communications</v>
      </c>
      <c r="E540" s="9"/>
      <c r="F540" s="9"/>
      <c r="G540" s="204">
        <f>'Adjustment for previous period'!G516</f>
        <v>-6.3024287901060712</v>
      </c>
      <c r="H540" s="345">
        <f t="shared" ref="H540:Q540" si="71">H702+H734</f>
        <v>-1.503312956361432</v>
      </c>
      <c r="I540" s="345">
        <f t="shared" si="71"/>
        <v>-1.5823082040564107</v>
      </c>
      <c r="J540" s="345">
        <f t="shared" si="71"/>
        <v>-1.1876372507952981</v>
      </c>
      <c r="K540" s="345">
        <f t="shared" si="71"/>
        <v>-1.8127128127039573</v>
      </c>
      <c r="L540" s="345">
        <f t="shared" si="71"/>
        <v>-2.5274406117099031</v>
      </c>
      <c r="M540" s="345">
        <f t="shared" si="71"/>
        <v>-2.3135638827257772</v>
      </c>
      <c r="N540" s="111">
        <f t="shared" si="71"/>
        <v>0</v>
      </c>
      <c r="O540" s="111">
        <f t="shared" si="71"/>
        <v>0</v>
      </c>
      <c r="P540" s="111">
        <f t="shared" si="71"/>
        <v>0</v>
      </c>
      <c r="Q540" s="111">
        <f t="shared" si="71"/>
        <v>0</v>
      </c>
      <c r="R540" s="29"/>
      <c r="S540" s="100"/>
      <c r="T540" s="100"/>
      <c r="U540" s="100"/>
      <c r="V540" s="100"/>
      <c r="W540" s="100"/>
      <c r="X540" s="100"/>
      <c r="Y540" s="100"/>
      <c r="Z540" s="100"/>
      <c r="AA540" s="228"/>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100"/>
      <c r="BE540" s="100"/>
      <c r="BF540" s="100"/>
      <c r="BG540" s="100"/>
      <c r="BH540" s="100"/>
      <c r="BI540" s="100"/>
      <c r="BJ540" s="100"/>
      <c r="BK540" s="12"/>
      <c r="BL540" s="12"/>
    </row>
    <row r="541" spans="1:64" ht="12.75" hidden="1" customHeight="1" outlineLevel="1">
      <c r="A541" s="9"/>
      <c r="B541" s="9"/>
      <c r="C541" s="44"/>
      <c r="D541" s="270" t="str">
        <f>Asset8</f>
        <v>Inventory</v>
      </c>
      <c r="E541" s="9"/>
      <c r="F541" s="9"/>
      <c r="G541" s="204">
        <f>'Adjustment for previous period'!G517</f>
        <v>0.1190149191478946</v>
      </c>
      <c r="H541" s="345">
        <f t="shared" ref="H541:Q541" si="72">H703+H735</f>
        <v>0.27048186622619236</v>
      </c>
      <c r="I541" s="345">
        <f t="shared" si="72"/>
        <v>0.16045534437147022</v>
      </c>
      <c r="J541" s="345">
        <f t="shared" si="72"/>
        <v>0.2062997284776045</v>
      </c>
      <c r="K541" s="345">
        <f t="shared" si="72"/>
        <v>0.24755967417312463</v>
      </c>
      <c r="L541" s="345">
        <f t="shared" si="72"/>
        <v>0.18130121762534249</v>
      </c>
      <c r="M541" s="345">
        <f t="shared" si="72"/>
        <v>0.21014459315664574</v>
      </c>
      <c r="N541" s="111">
        <f t="shared" si="72"/>
        <v>0</v>
      </c>
      <c r="O541" s="111">
        <f t="shared" si="72"/>
        <v>0</v>
      </c>
      <c r="P541" s="111">
        <f t="shared" si="72"/>
        <v>0</v>
      </c>
      <c r="Q541" s="111">
        <f t="shared" si="72"/>
        <v>0</v>
      </c>
      <c r="R541" s="29"/>
      <c r="S541" s="100"/>
      <c r="T541" s="100"/>
      <c r="U541" s="100"/>
      <c r="V541" s="100"/>
      <c r="W541" s="100"/>
      <c r="X541" s="100"/>
      <c r="Y541" s="100"/>
      <c r="Z541" s="100"/>
      <c r="AA541" s="228"/>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100"/>
      <c r="BE541" s="100"/>
      <c r="BF541" s="100"/>
      <c r="BG541" s="100"/>
      <c r="BH541" s="100"/>
      <c r="BI541" s="100"/>
      <c r="BJ541" s="100"/>
      <c r="BK541" s="12"/>
      <c r="BL541" s="12"/>
    </row>
    <row r="542" spans="1:64" ht="12.75" hidden="1" customHeight="1" outlineLevel="1">
      <c r="A542" s="9"/>
      <c r="B542" s="9"/>
      <c r="C542" s="44"/>
      <c r="D542" s="270" t="str">
        <f>Asset9</f>
        <v>IT</v>
      </c>
      <c r="E542" s="9"/>
      <c r="F542" s="9"/>
      <c r="G542" s="204">
        <f>'Adjustment for previous period'!G518</f>
        <v>-3.9008862920846168</v>
      </c>
      <c r="H542" s="345">
        <f t="shared" ref="H542:Q542" si="73">H704+H736</f>
        <v>-4.2967693946026442</v>
      </c>
      <c r="I542" s="345">
        <f t="shared" si="73"/>
        <v>-5.684405986497981</v>
      </c>
      <c r="J542" s="345">
        <f t="shared" si="73"/>
        <v>-7.6360052452420968</v>
      </c>
      <c r="K542" s="345">
        <f t="shared" si="73"/>
        <v>-6.9565693609410406</v>
      </c>
      <c r="L542" s="345">
        <f t="shared" si="73"/>
        <v>-9.3088428531304643</v>
      </c>
      <c r="M542" s="345">
        <f t="shared" si="73"/>
        <v>-11.704034496008829</v>
      </c>
      <c r="N542" s="111">
        <f t="shared" si="73"/>
        <v>0</v>
      </c>
      <c r="O542" s="111">
        <f t="shared" si="73"/>
        <v>0</v>
      </c>
      <c r="P542" s="111">
        <f t="shared" si="73"/>
        <v>0</v>
      </c>
      <c r="Q542" s="111">
        <f t="shared" si="73"/>
        <v>0</v>
      </c>
      <c r="R542" s="29"/>
      <c r="S542" s="100"/>
      <c r="T542" s="100"/>
      <c r="U542" s="100"/>
      <c r="V542" s="100"/>
      <c r="W542" s="100"/>
      <c r="X542" s="100"/>
      <c r="Y542" s="100"/>
      <c r="Z542" s="100"/>
      <c r="AA542" s="228"/>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100"/>
      <c r="BE542" s="100"/>
      <c r="BF542" s="100"/>
      <c r="BG542" s="100"/>
      <c r="BH542" s="100"/>
      <c r="BI542" s="100"/>
      <c r="BJ542" s="100"/>
      <c r="BK542" s="12"/>
      <c r="BL542" s="12"/>
    </row>
    <row r="543" spans="1:64" ht="12.75" hidden="1" customHeight="1" outlineLevel="1">
      <c r="A543" s="9"/>
      <c r="B543" s="9"/>
      <c r="C543" s="44"/>
      <c r="D543" s="270" t="str">
        <f>Asset10</f>
        <v>Vehicles</v>
      </c>
      <c r="E543" s="9"/>
      <c r="F543" s="9"/>
      <c r="G543" s="204">
        <f>'Adjustment for previous period'!G519</f>
        <v>-0.14566511533793916</v>
      </c>
      <c r="H543" s="345">
        <f t="shared" ref="H543:Q543" si="74">H705+H737</f>
        <v>-0.7914140701330683</v>
      </c>
      <c r="I543" s="345">
        <f t="shared" si="74"/>
        <v>-0.89074413296780786</v>
      </c>
      <c r="J543" s="345">
        <f t="shared" si="74"/>
        <v>-0.79201450476611324</v>
      </c>
      <c r="K543" s="345">
        <f t="shared" si="74"/>
        <v>-0.22202234396453246</v>
      </c>
      <c r="L543" s="345">
        <f t="shared" si="74"/>
        <v>-0.28065209017101567</v>
      </c>
      <c r="M543" s="345">
        <f t="shared" si="74"/>
        <v>-0.53475960901729713</v>
      </c>
      <c r="N543" s="111">
        <f t="shared" si="74"/>
        <v>0</v>
      </c>
      <c r="O543" s="111">
        <f t="shared" si="74"/>
        <v>0</v>
      </c>
      <c r="P543" s="111">
        <f t="shared" si="74"/>
        <v>0</v>
      </c>
      <c r="Q543" s="111">
        <f t="shared" si="74"/>
        <v>0</v>
      </c>
      <c r="R543" s="29"/>
      <c r="S543" s="100"/>
      <c r="T543" s="100"/>
      <c r="U543" s="100"/>
      <c r="V543" s="100"/>
      <c r="W543" s="100"/>
      <c r="X543" s="100"/>
      <c r="Y543" s="100"/>
      <c r="Z543" s="100"/>
      <c r="AA543" s="228"/>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100"/>
      <c r="BE543" s="100"/>
      <c r="BF543" s="100"/>
      <c r="BG543" s="100"/>
      <c r="BH543" s="100"/>
      <c r="BI543" s="100"/>
      <c r="BJ543" s="100"/>
      <c r="BK543" s="12"/>
      <c r="BL543" s="12"/>
    </row>
    <row r="544" spans="1:64" ht="12.75" hidden="1" customHeight="1" outlineLevel="1">
      <c r="A544" s="9"/>
      <c r="B544" s="9"/>
      <c r="C544" s="44"/>
      <c r="D544" s="270" t="str">
        <f>Asset11</f>
        <v>other</v>
      </c>
      <c r="E544" s="9"/>
      <c r="F544" s="9"/>
      <c r="G544" s="204">
        <f>'Adjustment for previous period'!G520</f>
        <v>-1.5380787381567749</v>
      </c>
      <c r="H544" s="345">
        <f t="shared" ref="H544:Q544" si="75">H706+H738</f>
        <v>-1.1897345607990433</v>
      </c>
      <c r="I544" s="345">
        <f t="shared" si="75"/>
        <v>-1.4398313674010372</v>
      </c>
      <c r="J544" s="345">
        <f t="shared" si="75"/>
        <v>-1.3995361994177933</v>
      </c>
      <c r="K544" s="345">
        <f t="shared" si="75"/>
        <v>-1.200926523314801</v>
      </c>
      <c r="L544" s="345">
        <f t="shared" si="75"/>
        <v>-1.7782706427499144</v>
      </c>
      <c r="M544" s="345">
        <f t="shared" si="75"/>
        <v>-1.9073746780615324</v>
      </c>
      <c r="N544" s="111">
        <f t="shared" si="75"/>
        <v>0</v>
      </c>
      <c r="O544" s="111">
        <f t="shared" si="75"/>
        <v>0</v>
      </c>
      <c r="P544" s="111">
        <f t="shared" si="75"/>
        <v>0</v>
      </c>
      <c r="Q544" s="111">
        <f t="shared" si="75"/>
        <v>0</v>
      </c>
      <c r="R544" s="29"/>
      <c r="S544" s="100"/>
      <c r="T544" s="100"/>
      <c r="U544" s="100"/>
      <c r="V544" s="100"/>
      <c r="W544" s="100"/>
      <c r="X544" s="100"/>
      <c r="Y544" s="100"/>
      <c r="Z544" s="100"/>
      <c r="AA544" s="228"/>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100"/>
      <c r="BE544" s="100"/>
      <c r="BF544" s="100"/>
      <c r="BG544" s="100"/>
      <c r="BH544" s="100"/>
      <c r="BI544" s="100"/>
      <c r="BJ544" s="100"/>
      <c r="BK544" s="12"/>
      <c r="BL544" s="12"/>
    </row>
    <row r="545" spans="1:64" ht="12.75" hidden="1" customHeight="1" outlineLevel="1">
      <c r="A545" s="9"/>
      <c r="B545" s="9"/>
      <c r="C545" s="44"/>
      <c r="D545" s="270" t="str">
        <f>Asset12</f>
        <v>premises</v>
      </c>
      <c r="E545" s="9"/>
      <c r="F545" s="9"/>
      <c r="G545" s="204">
        <f>'Adjustment for previous period'!G521</f>
        <v>-1.7554403275244403</v>
      </c>
      <c r="H545" s="345">
        <f t="shared" ref="H545:Q545" si="76">H707+H739</f>
        <v>-1.1122512838661884</v>
      </c>
      <c r="I545" s="345">
        <f t="shared" si="76"/>
        <v>-1.3132646703415209</v>
      </c>
      <c r="J545" s="345">
        <f t="shared" si="76"/>
        <v>-1.247836945410804</v>
      </c>
      <c r="K545" s="345">
        <f t="shared" si="76"/>
        <v>-0.92550670211905239</v>
      </c>
      <c r="L545" s="345">
        <f t="shared" si="76"/>
        <v>-1.1412747582189429</v>
      </c>
      <c r="M545" s="345">
        <f t="shared" si="76"/>
        <v>-1.1085588047341342</v>
      </c>
      <c r="N545" s="111">
        <f t="shared" si="76"/>
        <v>0</v>
      </c>
      <c r="O545" s="111">
        <f t="shared" si="76"/>
        <v>0</v>
      </c>
      <c r="P545" s="111">
        <f t="shared" si="76"/>
        <v>0</v>
      </c>
      <c r="Q545" s="111">
        <f t="shared" si="76"/>
        <v>0</v>
      </c>
      <c r="R545" s="29"/>
      <c r="S545" s="100"/>
      <c r="T545" s="100"/>
      <c r="U545" s="100"/>
      <c r="V545" s="100"/>
      <c r="W545" s="100"/>
      <c r="X545" s="100"/>
      <c r="Y545" s="100"/>
      <c r="Z545" s="100"/>
      <c r="AA545" s="228"/>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100"/>
      <c r="BE545" s="100"/>
      <c r="BF545" s="100"/>
      <c r="BG545" s="100"/>
      <c r="BH545" s="100"/>
      <c r="BI545" s="100"/>
      <c r="BJ545" s="100"/>
      <c r="BK545" s="12"/>
      <c r="BL545" s="12"/>
    </row>
    <row r="546" spans="1:64" ht="12.75" hidden="1" customHeight="1" outlineLevel="1">
      <c r="A546" s="9"/>
      <c r="B546" s="9"/>
      <c r="C546" s="44"/>
      <c r="D546" s="270" t="str">
        <f>Asset13</f>
        <v>Land</v>
      </c>
      <c r="E546" s="9"/>
      <c r="F546" s="9"/>
      <c r="G546" s="204">
        <f>'Adjustment for previous period'!G522</f>
        <v>2.5060166229602889</v>
      </c>
      <c r="H546" s="345">
        <f t="shared" ref="H546:Q546" si="77">H708+H740</f>
        <v>3.528825378559989</v>
      </c>
      <c r="I546" s="345">
        <f t="shared" si="77"/>
        <v>2.0933709872813515</v>
      </c>
      <c r="J546" s="345">
        <f t="shared" si="77"/>
        <v>2.6914769836474512</v>
      </c>
      <c r="K546" s="345">
        <f t="shared" si="77"/>
        <v>3.2143556773509681</v>
      </c>
      <c r="L546" s="345">
        <f t="shared" si="77"/>
        <v>2.3316328176647785</v>
      </c>
      <c r="M546" s="345">
        <f t="shared" si="77"/>
        <v>2.7025744022932505</v>
      </c>
      <c r="N546" s="111">
        <f t="shared" si="77"/>
        <v>0</v>
      </c>
      <c r="O546" s="111">
        <f t="shared" si="77"/>
        <v>0</v>
      </c>
      <c r="P546" s="111">
        <f t="shared" si="77"/>
        <v>0</v>
      </c>
      <c r="Q546" s="111">
        <f t="shared" si="77"/>
        <v>0</v>
      </c>
      <c r="R546" s="29"/>
      <c r="S546" s="100"/>
      <c r="T546" s="100"/>
      <c r="U546" s="100"/>
      <c r="V546" s="100"/>
      <c r="W546" s="100"/>
      <c r="X546" s="100"/>
      <c r="Y546" s="100"/>
      <c r="Z546" s="100"/>
      <c r="AA546" s="228"/>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100"/>
      <c r="BE546" s="100"/>
      <c r="BF546" s="100"/>
      <c r="BG546" s="100"/>
      <c r="BH546" s="100"/>
      <c r="BI546" s="100"/>
      <c r="BJ546" s="100"/>
      <c r="BK546" s="12"/>
      <c r="BL546" s="12"/>
    </row>
    <row r="547" spans="1:64" ht="12.75" hidden="1" customHeight="1" outlineLevel="1">
      <c r="A547" s="9"/>
      <c r="B547" s="9"/>
      <c r="C547" s="44"/>
      <c r="D547" s="270" t="str">
        <f>Asset14</f>
        <v>Easements</v>
      </c>
      <c r="E547" s="9"/>
      <c r="F547" s="9"/>
      <c r="G547" s="204">
        <f>'Adjustment for previous period'!G523</f>
        <v>2.7593897982454862</v>
      </c>
      <c r="H547" s="345">
        <f t="shared" ref="H547:Q547" si="78">H709+H741</f>
        <v>4.0158981762199319</v>
      </c>
      <c r="I547" s="345">
        <f t="shared" si="78"/>
        <v>2.3823124774186062</v>
      </c>
      <c r="J547" s="345">
        <f t="shared" si="78"/>
        <v>3.0629731852524928</v>
      </c>
      <c r="K547" s="345">
        <f t="shared" si="78"/>
        <v>3.6755678223029795</v>
      </c>
      <c r="L547" s="345">
        <f t="shared" si="78"/>
        <v>2.691815312303405</v>
      </c>
      <c r="M547" s="345">
        <f t="shared" si="78"/>
        <v>3.1200586574425646</v>
      </c>
      <c r="N547" s="111">
        <f t="shared" si="78"/>
        <v>0</v>
      </c>
      <c r="O547" s="111">
        <f t="shared" si="78"/>
        <v>0</v>
      </c>
      <c r="P547" s="111">
        <f t="shared" si="78"/>
        <v>0</v>
      </c>
      <c r="Q547" s="111">
        <f t="shared" si="78"/>
        <v>0</v>
      </c>
      <c r="R547" s="29"/>
      <c r="S547" s="100"/>
      <c r="T547" s="100"/>
      <c r="U547" s="100"/>
      <c r="V547" s="100"/>
      <c r="W547" s="100"/>
      <c r="X547" s="100"/>
      <c r="Y547" s="100"/>
      <c r="Z547" s="100"/>
      <c r="AA547" s="228"/>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100"/>
      <c r="BE547" s="100"/>
      <c r="BF547" s="100"/>
      <c r="BG547" s="100"/>
      <c r="BH547" s="100"/>
      <c r="BI547" s="100"/>
      <c r="BJ547" s="100"/>
      <c r="BK547" s="12"/>
      <c r="BL547" s="12"/>
    </row>
    <row r="548" spans="1:64" ht="12.75" hidden="1" customHeight="1" outlineLevel="1">
      <c r="A548" s="9"/>
      <c r="B548" s="9"/>
      <c r="C548" s="44"/>
      <c r="D548" s="270">
        <f>Asset15</f>
        <v>0</v>
      </c>
      <c r="E548" s="9"/>
      <c r="F548" s="9"/>
      <c r="G548" s="204">
        <f>'Adjustment for previous period'!G524</f>
        <v>0</v>
      </c>
      <c r="H548" s="111">
        <f t="shared" ref="H548:Q548" si="79">H710+H742</f>
        <v>0</v>
      </c>
      <c r="I548" s="111">
        <f t="shared" si="79"/>
        <v>0</v>
      </c>
      <c r="J548" s="111">
        <f t="shared" si="79"/>
        <v>0</v>
      </c>
      <c r="K548" s="111">
        <f t="shared" si="79"/>
        <v>0</v>
      </c>
      <c r="L548" s="111">
        <f t="shared" si="79"/>
        <v>0</v>
      </c>
      <c r="M548" s="111">
        <f t="shared" si="79"/>
        <v>0</v>
      </c>
      <c r="N548" s="111">
        <f t="shared" si="79"/>
        <v>0</v>
      </c>
      <c r="O548" s="111">
        <f t="shared" si="79"/>
        <v>0</v>
      </c>
      <c r="P548" s="111">
        <f t="shared" si="79"/>
        <v>0</v>
      </c>
      <c r="Q548" s="111">
        <f t="shared" si="79"/>
        <v>0</v>
      </c>
      <c r="R548" s="29"/>
      <c r="S548" s="100"/>
      <c r="T548" s="100"/>
      <c r="U548" s="100"/>
      <c r="V548" s="100"/>
      <c r="W548" s="100"/>
      <c r="X548" s="100"/>
      <c r="Y548" s="100"/>
      <c r="Z548" s="100"/>
      <c r="AA548" s="228"/>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100"/>
      <c r="BE548" s="100"/>
      <c r="BF548" s="100"/>
      <c r="BG548" s="100"/>
      <c r="BH548" s="100"/>
      <c r="BI548" s="100"/>
      <c r="BJ548" s="100"/>
      <c r="BK548" s="12"/>
      <c r="BL548" s="12"/>
    </row>
    <row r="549" spans="1:64" ht="12.75" hidden="1" customHeight="1" outlineLevel="1">
      <c r="A549" s="9"/>
      <c r="B549" s="9"/>
      <c r="C549" s="44"/>
      <c r="D549" s="270">
        <f>Asset16</f>
        <v>0</v>
      </c>
      <c r="E549" s="9"/>
      <c r="F549" s="9"/>
      <c r="G549" s="204">
        <f>'Adjustment for previous period'!G525</f>
        <v>0</v>
      </c>
      <c r="H549" s="111">
        <f t="shared" ref="H549:Q549" si="80">H711+H743</f>
        <v>0</v>
      </c>
      <c r="I549" s="111">
        <f t="shared" si="80"/>
        <v>0</v>
      </c>
      <c r="J549" s="111">
        <f t="shared" si="80"/>
        <v>0</v>
      </c>
      <c r="K549" s="111">
        <f t="shared" si="80"/>
        <v>0</v>
      </c>
      <c r="L549" s="111">
        <f t="shared" si="80"/>
        <v>0</v>
      </c>
      <c r="M549" s="111">
        <f t="shared" si="80"/>
        <v>0</v>
      </c>
      <c r="N549" s="111">
        <f t="shared" si="80"/>
        <v>0</v>
      </c>
      <c r="O549" s="111">
        <f t="shared" si="80"/>
        <v>0</v>
      </c>
      <c r="P549" s="111">
        <f t="shared" si="80"/>
        <v>0</v>
      </c>
      <c r="Q549" s="111">
        <f t="shared" si="80"/>
        <v>0</v>
      </c>
      <c r="R549" s="29"/>
      <c r="S549" s="100"/>
      <c r="T549" s="100"/>
      <c r="U549" s="100"/>
      <c r="V549" s="100"/>
      <c r="W549" s="100"/>
      <c r="X549" s="100"/>
      <c r="Y549" s="100"/>
      <c r="Z549" s="100"/>
      <c r="AA549" s="228"/>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100"/>
      <c r="BE549" s="100"/>
      <c r="BF549" s="100"/>
      <c r="BG549" s="100"/>
      <c r="BH549" s="100"/>
      <c r="BI549" s="100"/>
      <c r="BJ549" s="100"/>
      <c r="BK549" s="12"/>
      <c r="BL549" s="12"/>
    </row>
    <row r="550" spans="1:64" ht="12.75" hidden="1" customHeight="1" outlineLevel="1">
      <c r="A550" s="9"/>
      <c r="B550" s="9"/>
      <c r="C550" s="44"/>
      <c r="D550" s="270">
        <f>Asset17</f>
        <v>0</v>
      </c>
      <c r="E550" s="9"/>
      <c r="F550" s="9"/>
      <c r="G550" s="204">
        <f>'Adjustment for previous period'!G526</f>
        <v>0</v>
      </c>
      <c r="H550" s="111">
        <f t="shared" ref="H550:Q550" si="81">H712+H744</f>
        <v>0</v>
      </c>
      <c r="I550" s="111">
        <f t="shared" si="81"/>
        <v>0</v>
      </c>
      <c r="J550" s="111">
        <f t="shared" si="81"/>
        <v>0</v>
      </c>
      <c r="K550" s="111">
        <f t="shared" si="81"/>
        <v>0</v>
      </c>
      <c r="L550" s="111">
        <f t="shared" si="81"/>
        <v>0</v>
      </c>
      <c r="M550" s="111">
        <f t="shared" si="81"/>
        <v>0</v>
      </c>
      <c r="N550" s="111">
        <f t="shared" si="81"/>
        <v>0</v>
      </c>
      <c r="O550" s="111">
        <f t="shared" si="81"/>
        <v>0</v>
      </c>
      <c r="P550" s="111">
        <f t="shared" si="81"/>
        <v>0</v>
      </c>
      <c r="Q550" s="111">
        <f t="shared" si="81"/>
        <v>0</v>
      </c>
      <c r="R550" s="29"/>
      <c r="S550" s="100"/>
      <c r="T550" s="100"/>
      <c r="U550" s="100"/>
      <c r="V550" s="100"/>
      <c r="W550" s="100"/>
      <c r="X550" s="100"/>
      <c r="Y550" s="100"/>
      <c r="Z550" s="100"/>
      <c r="AA550" s="228"/>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100"/>
      <c r="BE550" s="100"/>
      <c r="BF550" s="100"/>
      <c r="BG550" s="100"/>
      <c r="BH550" s="100"/>
      <c r="BI550" s="100"/>
      <c r="BJ550" s="100"/>
      <c r="BK550" s="12"/>
      <c r="BL550" s="12"/>
    </row>
    <row r="551" spans="1:64" ht="12.75" hidden="1" customHeight="1" outlineLevel="1">
      <c r="A551" s="9"/>
      <c r="B551" s="9"/>
      <c r="C551" s="44"/>
      <c r="D551" s="270">
        <f>Asset18</f>
        <v>0</v>
      </c>
      <c r="E551" s="9"/>
      <c r="F551" s="9"/>
      <c r="G551" s="204">
        <f>'Adjustment for previous period'!G527</f>
        <v>0</v>
      </c>
      <c r="H551" s="111">
        <f t="shared" ref="H551:Q551" si="82">H713+H745</f>
        <v>0</v>
      </c>
      <c r="I551" s="111">
        <f t="shared" si="82"/>
        <v>0</v>
      </c>
      <c r="J551" s="111">
        <f t="shared" si="82"/>
        <v>0</v>
      </c>
      <c r="K551" s="111">
        <f t="shared" si="82"/>
        <v>0</v>
      </c>
      <c r="L551" s="111">
        <f t="shared" si="82"/>
        <v>0</v>
      </c>
      <c r="M551" s="111">
        <f t="shared" si="82"/>
        <v>0</v>
      </c>
      <c r="N551" s="111">
        <f t="shared" si="82"/>
        <v>0</v>
      </c>
      <c r="O551" s="111">
        <f t="shared" si="82"/>
        <v>0</v>
      </c>
      <c r="P551" s="111">
        <f t="shared" si="82"/>
        <v>0</v>
      </c>
      <c r="Q551" s="111">
        <f t="shared" si="82"/>
        <v>0</v>
      </c>
      <c r="R551" s="29"/>
      <c r="S551" s="100"/>
      <c r="T551" s="100"/>
      <c r="U551" s="100"/>
      <c r="V551" s="100"/>
      <c r="W551" s="100"/>
      <c r="X551" s="100"/>
      <c r="Y551" s="100"/>
      <c r="Z551" s="100"/>
      <c r="AA551" s="228"/>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100"/>
      <c r="BE551" s="100"/>
      <c r="BF551" s="100"/>
      <c r="BG551" s="100"/>
      <c r="BH551" s="100"/>
      <c r="BI551" s="100"/>
      <c r="BJ551" s="100"/>
      <c r="BK551" s="12"/>
      <c r="BL551" s="12"/>
    </row>
    <row r="552" spans="1:64" ht="12.75" hidden="1" customHeight="1" outlineLevel="1">
      <c r="A552" s="9"/>
      <c r="B552" s="9"/>
      <c r="C552" s="44"/>
      <c r="D552" s="270">
        <f>Asset19</f>
        <v>0</v>
      </c>
      <c r="E552" s="9"/>
      <c r="F552" s="9"/>
      <c r="G552" s="204">
        <f>'Adjustment for previous period'!G528</f>
        <v>0</v>
      </c>
      <c r="H552" s="111">
        <f t="shared" ref="H552:Q552" si="83">H714+H746</f>
        <v>0</v>
      </c>
      <c r="I552" s="111">
        <f t="shared" si="83"/>
        <v>0</v>
      </c>
      <c r="J552" s="111">
        <f t="shared" si="83"/>
        <v>0</v>
      </c>
      <c r="K552" s="111">
        <f t="shared" si="83"/>
        <v>0</v>
      </c>
      <c r="L552" s="111">
        <f t="shared" si="83"/>
        <v>0</v>
      </c>
      <c r="M552" s="111">
        <f t="shared" si="83"/>
        <v>0</v>
      </c>
      <c r="N552" s="111">
        <f t="shared" si="83"/>
        <v>0</v>
      </c>
      <c r="O552" s="111">
        <f t="shared" si="83"/>
        <v>0</v>
      </c>
      <c r="P552" s="111">
        <f t="shared" si="83"/>
        <v>0</v>
      </c>
      <c r="Q552" s="111">
        <f t="shared" si="83"/>
        <v>0</v>
      </c>
      <c r="R552" s="29"/>
      <c r="S552" s="100"/>
      <c r="T552" s="100"/>
      <c r="U552" s="100"/>
      <c r="V552" s="100"/>
      <c r="W552" s="100"/>
      <c r="X552" s="100"/>
      <c r="Y552" s="100"/>
      <c r="Z552" s="100"/>
      <c r="AA552" s="228"/>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100"/>
      <c r="BE552" s="100"/>
      <c r="BF552" s="100"/>
      <c r="BG552" s="100"/>
      <c r="BH552" s="100"/>
      <c r="BI552" s="100"/>
      <c r="BJ552" s="100"/>
      <c r="BK552" s="12"/>
      <c r="BL552" s="12"/>
    </row>
    <row r="553" spans="1:64" ht="12.75" hidden="1" customHeight="1" outlineLevel="1">
      <c r="A553" s="9"/>
      <c r="B553" s="9"/>
      <c r="C553" s="44"/>
      <c r="D553" s="270">
        <f>Asset20</f>
        <v>0</v>
      </c>
      <c r="E553" s="9"/>
      <c r="F553" s="9"/>
      <c r="G553" s="204">
        <f>'Adjustment for previous period'!G529</f>
        <v>0</v>
      </c>
      <c r="H553" s="111">
        <f t="shared" ref="H553:Q553" si="84">H715+H747</f>
        <v>0</v>
      </c>
      <c r="I553" s="111">
        <f t="shared" si="84"/>
        <v>0</v>
      </c>
      <c r="J553" s="111">
        <f t="shared" si="84"/>
        <v>0</v>
      </c>
      <c r="K553" s="111">
        <f t="shared" si="84"/>
        <v>0</v>
      </c>
      <c r="L553" s="111">
        <f t="shared" si="84"/>
        <v>0</v>
      </c>
      <c r="M553" s="111">
        <f t="shared" si="84"/>
        <v>0</v>
      </c>
      <c r="N553" s="111">
        <f t="shared" si="84"/>
        <v>0</v>
      </c>
      <c r="O553" s="111">
        <f t="shared" si="84"/>
        <v>0</v>
      </c>
      <c r="P553" s="111">
        <f t="shared" si="84"/>
        <v>0</v>
      </c>
      <c r="Q553" s="111">
        <f t="shared" si="84"/>
        <v>0</v>
      </c>
      <c r="R553" s="29"/>
      <c r="S553" s="100"/>
      <c r="T553" s="100"/>
      <c r="U553" s="100"/>
      <c r="V553" s="100"/>
      <c r="W553" s="100"/>
      <c r="X553" s="100"/>
      <c r="Y553" s="100"/>
      <c r="Z553" s="100"/>
      <c r="AA553" s="228"/>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100"/>
      <c r="BE553" s="100"/>
      <c r="BF553" s="100"/>
      <c r="BG553" s="100"/>
      <c r="BH553" s="100"/>
      <c r="BI553" s="100"/>
      <c r="BJ553" s="100"/>
      <c r="BK553" s="12"/>
      <c r="BL553" s="12"/>
    </row>
    <row r="554" spans="1:64" ht="12.75" hidden="1" customHeight="1" outlineLevel="1">
      <c r="A554" s="9"/>
      <c r="B554" s="9"/>
      <c r="C554" s="44"/>
      <c r="D554" s="270">
        <f>Asset21</f>
        <v>0</v>
      </c>
      <c r="E554" s="9"/>
      <c r="F554" s="9"/>
      <c r="G554" s="204">
        <f>'Adjustment for previous period'!G530</f>
        <v>0</v>
      </c>
      <c r="H554" s="111">
        <f>H716+H748</f>
        <v>0</v>
      </c>
      <c r="I554" s="111">
        <f t="shared" ref="I554:Q563" si="85">I716+I748</f>
        <v>0</v>
      </c>
      <c r="J554" s="111">
        <f t="shared" si="85"/>
        <v>0</v>
      </c>
      <c r="K554" s="111">
        <f t="shared" si="85"/>
        <v>0</v>
      </c>
      <c r="L554" s="111">
        <f t="shared" si="85"/>
        <v>0</v>
      </c>
      <c r="M554" s="111">
        <f t="shared" si="85"/>
        <v>0</v>
      </c>
      <c r="N554" s="111">
        <f t="shared" si="85"/>
        <v>0</v>
      </c>
      <c r="O554" s="111">
        <f t="shared" si="85"/>
        <v>0</v>
      </c>
      <c r="P554" s="111">
        <f t="shared" si="85"/>
        <v>0</v>
      </c>
      <c r="Q554" s="111">
        <f t="shared" si="85"/>
        <v>0</v>
      </c>
      <c r="R554" s="29"/>
      <c r="S554" s="100"/>
      <c r="T554" s="100"/>
      <c r="U554" s="100"/>
      <c r="V554" s="100"/>
      <c r="W554" s="100"/>
      <c r="X554" s="100"/>
      <c r="Y554" s="100"/>
      <c r="Z554" s="100"/>
      <c r="AA554" s="228"/>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100"/>
      <c r="BE554" s="100"/>
      <c r="BF554" s="100"/>
      <c r="BG554" s="100"/>
      <c r="BH554" s="100"/>
      <c r="BI554" s="100"/>
      <c r="BJ554" s="100"/>
      <c r="BK554" s="12"/>
      <c r="BL554" s="12"/>
    </row>
    <row r="555" spans="1:64" ht="12.75" hidden="1" customHeight="1" outlineLevel="1">
      <c r="A555" s="9"/>
      <c r="B555" s="9"/>
      <c r="C555" s="44"/>
      <c r="D555" s="270">
        <f>Asset22</f>
        <v>0</v>
      </c>
      <c r="E555" s="9"/>
      <c r="F555" s="9"/>
      <c r="G555" s="204">
        <f>'Adjustment for previous period'!G531</f>
        <v>0</v>
      </c>
      <c r="H555" s="111">
        <f>H717+H749</f>
        <v>0</v>
      </c>
      <c r="I555" s="111">
        <f t="shared" si="85"/>
        <v>0</v>
      </c>
      <c r="J555" s="111">
        <f t="shared" si="85"/>
        <v>0</v>
      </c>
      <c r="K555" s="111">
        <f t="shared" si="85"/>
        <v>0</v>
      </c>
      <c r="L555" s="111">
        <f t="shared" si="85"/>
        <v>0</v>
      </c>
      <c r="M555" s="111">
        <f t="shared" si="85"/>
        <v>0</v>
      </c>
      <c r="N555" s="111">
        <f t="shared" si="85"/>
        <v>0</v>
      </c>
      <c r="O555" s="111">
        <f t="shared" si="85"/>
        <v>0</v>
      </c>
      <c r="P555" s="111">
        <f t="shared" si="85"/>
        <v>0</v>
      </c>
      <c r="Q555" s="111">
        <f t="shared" si="85"/>
        <v>0</v>
      </c>
      <c r="R555" s="29"/>
      <c r="S555" s="100"/>
      <c r="T555" s="100"/>
      <c r="U555" s="100"/>
      <c r="V555" s="100"/>
      <c r="W555" s="100"/>
      <c r="X555" s="100"/>
      <c r="Y555" s="100"/>
      <c r="Z555" s="100"/>
      <c r="AA555" s="228"/>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100"/>
      <c r="BE555" s="100"/>
      <c r="BF555" s="100"/>
      <c r="BG555" s="100"/>
      <c r="BH555" s="100"/>
      <c r="BI555" s="100"/>
      <c r="BJ555" s="100"/>
      <c r="BK555" s="12"/>
      <c r="BL555" s="12"/>
    </row>
    <row r="556" spans="1:64" ht="12.75" hidden="1" customHeight="1" outlineLevel="1">
      <c r="A556" s="9"/>
      <c r="B556" s="9"/>
      <c r="C556" s="44"/>
      <c r="D556" s="270">
        <f>Asset23</f>
        <v>0</v>
      </c>
      <c r="E556" s="9"/>
      <c r="F556" s="9"/>
      <c r="G556" s="204">
        <f>'Adjustment for previous period'!G532</f>
        <v>0</v>
      </c>
      <c r="H556" s="111">
        <f t="shared" ref="H556:H562" si="86">H718+H750</f>
        <v>0</v>
      </c>
      <c r="I556" s="111">
        <f t="shared" si="85"/>
        <v>0</v>
      </c>
      <c r="J556" s="111">
        <f t="shared" si="85"/>
        <v>0</v>
      </c>
      <c r="K556" s="111">
        <f t="shared" si="85"/>
        <v>0</v>
      </c>
      <c r="L556" s="111">
        <f t="shared" si="85"/>
        <v>0</v>
      </c>
      <c r="M556" s="111">
        <f t="shared" si="85"/>
        <v>0</v>
      </c>
      <c r="N556" s="111">
        <f t="shared" si="85"/>
        <v>0</v>
      </c>
      <c r="O556" s="111">
        <f t="shared" si="85"/>
        <v>0</v>
      </c>
      <c r="P556" s="111">
        <f t="shared" si="85"/>
        <v>0</v>
      </c>
      <c r="Q556" s="111">
        <f t="shared" si="85"/>
        <v>0</v>
      </c>
      <c r="R556" s="29"/>
      <c r="S556" s="100"/>
      <c r="T556" s="100"/>
      <c r="U556" s="100"/>
      <c r="V556" s="100"/>
      <c r="W556" s="100"/>
      <c r="X556" s="100"/>
      <c r="Y556" s="100"/>
      <c r="Z556" s="100"/>
      <c r="AA556" s="228"/>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100"/>
      <c r="BE556" s="100"/>
      <c r="BF556" s="100"/>
      <c r="BG556" s="100"/>
      <c r="BH556" s="100"/>
      <c r="BI556" s="100"/>
      <c r="BJ556" s="100"/>
      <c r="BK556" s="12"/>
      <c r="BL556" s="12"/>
    </row>
    <row r="557" spans="1:64" ht="12.75" hidden="1" customHeight="1" outlineLevel="1">
      <c r="A557" s="9"/>
      <c r="B557" s="9"/>
      <c r="C557" s="44"/>
      <c r="D557" s="270">
        <f>Asset24</f>
        <v>0</v>
      </c>
      <c r="E557" s="9"/>
      <c r="F557" s="9"/>
      <c r="G557" s="204">
        <f>'Adjustment for previous period'!G533</f>
        <v>0</v>
      </c>
      <c r="H557" s="111">
        <f t="shared" si="86"/>
        <v>0</v>
      </c>
      <c r="I557" s="111">
        <f t="shared" si="85"/>
        <v>0</v>
      </c>
      <c r="J557" s="111">
        <f t="shared" si="85"/>
        <v>0</v>
      </c>
      <c r="K557" s="111">
        <f t="shared" si="85"/>
        <v>0</v>
      </c>
      <c r="L557" s="111">
        <f t="shared" si="85"/>
        <v>0</v>
      </c>
      <c r="M557" s="111">
        <f t="shared" si="85"/>
        <v>0</v>
      </c>
      <c r="N557" s="111">
        <f t="shared" si="85"/>
        <v>0</v>
      </c>
      <c r="O557" s="111">
        <f t="shared" si="85"/>
        <v>0</v>
      </c>
      <c r="P557" s="111">
        <f t="shared" si="85"/>
        <v>0</v>
      </c>
      <c r="Q557" s="111">
        <f t="shared" si="85"/>
        <v>0</v>
      </c>
      <c r="R557" s="29"/>
      <c r="S557" s="100"/>
      <c r="T557" s="100"/>
      <c r="U557" s="100"/>
      <c r="V557" s="100"/>
      <c r="W557" s="100"/>
      <c r="X557" s="100"/>
      <c r="Y557" s="100"/>
      <c r="Z557" s="100"/>
      <c r="AA557" s="228"/>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100"/>
      <c r="BE557" s="100"/>
      <c r="BF557" s="100"/>
      <c r="BG557" s="100"/>
      <c r="BH557" s="100"/>
      <c r="BI557" s="100"/>
      <c r="BJ557" s="100"/>
      <c r="BK557" s="12"/>
      <c r="BL557" s="12"/>
    </row>
    <row r="558" spans="1:64" ht="12.75" hidden="1" customHeight="1" outlineLevel="1">
      <c r="A558" s="9"/>
      <c r="B558" s="9"/>
      <c r="C558" s="44"/>
      <c r="D558" s="270">
        <f>Asset25</f>
        <v>0</v>
      </c>
      <c r="E558" s="9"/>
      <c r="F558" s="9"/>
      <c r="G558" s="204">
        <f>'Adjustment for previous period'!G534</f>
        <v>0</v>
      </c>
      <c r="H558" s="111">
        <f t="shared" si="86"/>
        <v>0</v>
      </c>
      <c r="I558" s="111">
        <f t="shared" si="85"/>
        <v>0</v>
      </c>
      <c r="J558" s="111">
        <f t="shared" si="85"/>
        <v>0</v>
      </c>
      <c r="K558" s="111">
        <f t="shared" si="85"/>
        <v>0</v>
      </c>
      <c r="L558" s="111">
        <f t="shared" si="85"/>
        <v>0</v>
      </c>
      <c r="M558" s="111">
        <f t="shared" si="85"/>
        <v>0</v>
      </c>
      <c r="N558" s="111">
        <f t="shared" si="85"/>
        <v>0</v>
      </c>
      <c r="O558" s="111">
        <f t="shared" si="85"/>
        <v>0</v>
      </c>
      <c r="P558" s="111">
        <f t="shared" si="85"/>
        <v>0</v>
      </c>
      <c r="Q558" s="111">
        <f t="shared" si="85"/>
        <v>0</v>
      </c>
      <c r="R558" s="29"/>
      <c r="S558" s="100"/>
      <c r="T558" s="100"/>
      <c r="U558" s="100"/>
      <c r="V558" s="100"/>
      <c r="W558" s="100"/>
      <c r="X558" s="100"/>
      <c r="Y558" s="100"/>
      <c r="Z558" s="100"/>
      <c r="AA558" s="228"/>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100"/>
      <c r="BE558" s="100"/>
      <c r="BF558" s="100"/>
      <c r="BG558" s="100"/>
      <c r="BH558" s="100"/>
      <c r="BI558" s="100"/>
      <c r="BJ558" s="100"/>
      <c r="BK558" s="12"/>
      <c r="BL558" s="12"/>
    </row>
    <row r="559" spans="1:64" ht="12.75" hidden="1" customHeight="1" outlineLevel="1">
      <c r="A559" s="9"/>
      <c r="B559" s="9"/>
      <c r="C559" s="44"/>
      <c r="D559" s="270">
        <f>Asset26</f>
        <v>0</v>
      </c>
      <c r="E559" s="9"/>
      <c r="F559" s="9"/>
      <c r="G559" s="204">
        <f>'Adjustment for previous period'!G535</f>
        <v>0</v>
      </c>
      <c r="H559" s="111">
        <f t="shared" si="86"/>
        <v>0</v>
      </c>
      <c r="I559" s="111">
        <f t="shared" si="85"/>
        <v>0</v>
      </c>
      <c r="J559" s="111">
        <f t="shared" si="85"/>
        <v>0</v>
      </c>
      <c r="K559" s="111">
        <f t="shared" si="85"/>
        <v>0</v>
      </c>
      <c r="L559" s="111">
        <f t="shared" si="85"/>
        <v>0</v>
      </c>
      <c r="M559" s="111">
        <f t="shared" si="85"/>
        <v>0</v>
      </c>
      <c r="N559" s="111">
        <f t="shared" si="85"/>
        <v>0</v>
      </c>
      <c r="O559" s="111">
        <f t="shared" si="85"/>
        <v>0</v>
      </c>
      <c r="P559" s="111">
        <f t="shared" si="85"/>
        <v>0</v>
      </c>
      <c r="Q559" s="111">
        <f t="shared" si="85"/>
        <v>0</v>
      </c>
      <c r="R559" s="29"/>
      <c r="S559" s="100"/>
      <c r="T559" s="100"/>
      <c r="U559" s="100"/>
      <c r="V559" s="100"/>
      <c r="W559" s="100"/>
      <c r="X559" s="100"/>
      <c r="Y559" s="100"/>
      <c r="Z559" s="100"/>
      <c r="AA559" s="228"/>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100"/>
      <c r="BE559" s="100"/>
      <c r="BF559" s="100"/>
      <c r="BG559" s="100"/>
      <c r="BH559" s="100"/>
      <c r="BI559" s="100"/>
      <c r="BJ559" s="100"/>
      <c r="BK559" s="12"/>
      <c r="BL559" s="12"/>
    </row>
    <row r="560" spans="1:64" ht="12.75" hidden="1" customHeight="1" outlineLevel="1">
      <c r="A560" s="9"/>
      <c r="B560" s="9"/>
      <c r="C560" s="44"/>
      <c r="D560" s="270">
        <f>Asset27</f>
        <v>0</v>
      </c>
      <c r="E560" s="9"/>
      <c r="F560" s="9"/>
      <c r="G560" s="204">
        <f>'Adjustment for previous period'!G536</f>
        <v>0</v>
      </c>
      <c r="H560" s="111">
        <f t="shared" si="86"/>
        <v>0</v>
      </c>
      <c r="I560" s="111">
        <f t="shared" si="85"/>
        <v>0</v>
      </c>
      <c r="J560" s="111">
        <f t="shared" si="85"/>
        <v>0</v>
      </c>
      <c r="K560" s="111">
        <f t="shared" si="85"/>
        <v>0</v>
      </c>
      <c r="L560" s="111">
        <f t="shared" si="85"/>
        <v>0</v>
      </c>
      <c r="M560" s="111">
        <f t="shared" si="85"/>
        <v>0</v>
      </c>
      <c r="N560" s="111">
        <f t="shared" si="85"/>
        <v>0</v>
      </c>
      <c r="O560" s="111">
        <f t="shared" si="85"/>
        <v>0</v>
      </c>
      <c r="P560" s="111">
        <f t="shared" si="85"/>
        <v>0</v>
      </c>
      <c r="Q560" s="111">
        <f t="shared" si="85"/>
        <v>0</v>
      </c>
      <c r="R560" s="29"/>
      <c r="S560" s="100"/>
      <c r="T560" s="100"/>
      <c r="U560" s="100"/>
      <c r="V560" s="100"/>
      <c r="W560" s="100"/>
      <c r="X560" s="100"/>
      <c r="Y560" s="100"/>
      <c r="Z560" s="100"/>
      <c r="AA560" s="228"/>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100"/>
      <c r="BE560" s="100"/>
      <c r="BF560" s="100"/>
      <c r="BG560" s="100"/>
      <c r="BH560" s="100"/>
      <c r="BI560" s="100"/>
      <c r="BJ560" s="100"/>
      <c r="BK560" s="12"/>
      <c r="BL560" s="12"/>
    </row>
    <row r="561" spans="1:64" ht="12.75" hidden="1" customHeight="1" outlineLevel="1">
      <c r="A561" s="9"/>
      <c r="B561" s="9"/>
      <c r="C561" s="44"/>
      <c r="D561" s="270">
        <f>Asset28</f>
        <v>0</v>
      </c>
      <c r="E561" s="9"/>
      <c r="F561" s="9"/>
      <c r="G561" s="204">
        <f>'Adjustment for previous period'!G537</f>
        <v>0</v>
      </c>
      <c r="H561" s="111">
        <f t="shared" si="86"/>
        <v>0</v>
      </c>
      <c r="I561" s="111">
        <f t="shared" si="85"/>
        <v>0</v>
      </c>
      <c r="J561" s="111">
        <f t="shared" si="85"/>
        <v>0</v>
      </c>
      <c r="K561" s="111">
        <f t="shared" si="85"/>
        <v>0</v>
      </c>
      <c r="L561" s="111">
        <f t="shared" si="85"/>
        <v>0</v>
      </c>
      <c r="M561" s="111">
        <f t="shared" si="85"/>
        <v>0</v>
      </c>
      <c r="N561" s="111">
        <f t="shared" si="85"/>
        <v>0</v>
      </c>
      <c r="O561" s="111">
        <f t="shared" si="85"/>
        <v>0</v>
      </c>
      <c r="P561" s="111">
        <f t="shared" si="85"/>
        <v>0</v>
      </c>
      <c r="Q561" s="111">
        <f t="shared" si="85"/>
        <v>0</v>
      </c>
      <c r="R561" s="29"/>
      <c r="S561" s="100"/>
      <c r="T561" s="100"/>
      <c r="U561" s="100"/>
      <c r="V561" s="100"/>
      <c r="W561" s="100"/>
      <c r="X561" s="100"/>
      <c r="Y561" s="100"/>
      <c r="Z561" s="100"/>
      <c r="AA561" s="228"/>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100"/>
      <c r="BE561" s="100"/>
      <c r="BF561" s="100"/>
      <c r="BG561" s="100"/>
      <c r="BH561" s="100"/>
      <c r="BI561" s="100"/>
      <c r="BJ561" s="100"/>
      <c r="BK561" s="12"/>
      <c r="BL561" s="12"/>
    </row>
    <row r="562" spans="1:64" ht="12.75" hidden="1" customHeight="1" outlineLevel="1">
      <c r="A562" s="9"/>
      <c r="B562" s="9"/>
      <c r="C562" s="44"/>
      <c r="D562" s="270">
        <f>Asset29</f>
        <v>0</v>
      </c>
      <c r="E562" s="9"/>
      <c r="F562" s="9"/>
      <c r="G562" s="204">
        <f>'Adjustment for previous period'!G538</f>
        <v>0</v>
      </c>
      <c r="H562" s="111">
        <f t="shared" si="86"/>
        <v>0</v>
      </c>
      <c r="I562" s="111">
        <f t="shared" si="85"/>
        <v>0</v>
      </c>
      <c r="J562" s="111">
        <f t="shared" si="85"/>
        <v>0</v>
      </c>
      <c r="K562" s="111">
        <f t="shared" si="85"/>
        <v>0</v>
      </c>
      <c r="L562" s="111">
        <f t="shared" si="85"/>
        <v>0</v>
      </c>
      <c r="M562" s="111">
        <f t="shared" si="85"/>
        <v>0</v>
      </c>
      <c r="N562" s="111">
        <f t="shared" si="85"/>
        <v>0</v>
      </c>
      <c r="O562" s="111">
        <f t="shared" si="85"/>
        <v>0</v>
      </c>
      <c r="P562" s="111">
        <f t="shared" si="85"/>
        <v>0</v>
      </c>
      <c r="Q562" s="111">
        <f t="shared" si="85"/>
        <v>0</v>
      </c>
      <c r="R562" s="29"/>
      <c r="S562" s="100"/>
      <c r="T562" s="100"/>
      <c r="U562" s="100"/>
      <c r="V562" s="100"/>
      <c r="W562" s="100"/>
      <c r="X562" s="100"/>
      <c r="Y562" s="100"/>
      <c r="Z562" s="100"/>
      <c r="AA562" s="228"/>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100"/>
      <c r="BE562" s="100"/>
      <c r="BF562" s="100"/>
      <c r="BG562" s="100"/>
      <c r="BH562" s="100"/>
      <c r="BI562" s="100"/>
      <c r="BJ562" s="100"/>
      <c r="BK562" s="12"/>
      <c r="BL562" s="12"/>
    </row>
    <row r="563" spans="1:64" ht="12.75" hidden="1" customHeight="1" outlineLevel="1">
      <c r="A563" s="9"/>
      <c r="B563" s="9"/>
      <c r="C563" s="44"/>
      <c r="D563" s="270">
        <f>Asset30</f>
        <v>0</v>
      </c>
      <c r="E563" s="9"/>
      <c r="F563" s="9"/>
      <c r="G563" s="204">
        <f>'Adjustment for previous period'!G539</f>
        <v>0</v>
      </c>
      <c r="H563" s="111">
        <f>H725+H757</f>
        <v>0</v>
      </c>
      <c r="I563" s="111">
        <f>I725+I757</f>
        <v>0</v>
      </c>
      <c r="J563" s="111">
        <f t="shared" si="85"/>
        <v>0</v>
      </c>
      <c r="K563" s="111">
        <f t="shared" si="85"/>
        <v>0</v>
      </c>
      <c r="L563" s="111">
        <f t="shared" si="85"/>
        <v>0</v>
      </c>
      <c r="M563" s="111">
        <f t="shared" si="85"/>
        <v>0</v>
      </c>
      <c r="N563" s="111">
        <f t="shared" si="85"/>
        <v>0</v>
      </c>
      <c r="O563" s="111">
        <f t="shared" si="85"/>
        <v>0</v>
      </c>
      <c r="P563" s="111">
        <f t="shared" si="85"/>
        <v>0</v>
      </c>
      <c r="Q563" s="111">
        <f>Q725+Q757</f>
        <v>0</v>
      </c>
      <c r="R563" s="29"/>
      <c r="S563" s="100"/>
      <c r="T563" s="100"/>
      <c r="U563" s="100"/>
      <c r="V563" s="100"/>
      <c r="W563" s="100"/>
      <c r="X563" s="100"/>
      <c r="Y563" s="100"/>
      <c r="Z563" s="100"/>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100"/>
      <c r="BE563" s="100"/>
      <c r="BF563" s="100"/>
      <c r="BG563" s="100"/>
      <c r="BH563" s="100"/>
      <c r="BI563" s="100"/>
      <c r="BJ563" s="100"/>
      <c r="BK563" s="12"/>
      <c r="BL563" s="12"/>
    </row>
    <row r="564" spans="1:64" collapsed="1">
      <c r="A564" s="9"/>
      <c r="B564" s="9"/>
      <c r="C564" s="44"/>
      <c r="D564" s="127"/>
      <c r="E564" s="9"/>
      <c r="F564" s="9"/>
      <c r="G564" s="208"/>
      <c r="H564" s="111"/>
      <c r="I564" s="111"/>
      <c r="J564" s="111"/>
      <c r="K564" s="111"/>
      <c r="L564" s="111"/>
      <c r="M564" s="111"/>
      <c r="N564" s="29"/>
      <c r="O564" s="29"/>
      <c r="P564" s="29"/>
      <c r="Q564" s="29"/>
      <c r="R564" s="29"/>
      <c r="S564" s="100"/>
      <c r="T564" s="100"/>
      <c r="U564" s="100"/>
      <c r="V564" s="100"/>
      <c r="W564" s="100"/>
      <c r="X564" s="100"/>
      <c r="Y564" s="100"/>
      <c r="Z564" s="100"/>
      <c r="AA564" s="228"/>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100"/>
      <c r="BE564" s="100"/>
      <c r="BF564" s="100"/>
      <c r="BG564" s="100"/>
      <c r="BH564" s="100"/>
      <c r="BI564" s="100"/>
      <c r="BJ564" s="100"/>
      <c r="BK564" s="12"/>
      <c r="BL564" s="12"/>
    </row>
    <row r="565" spans="1:64">
      <c r="A565" s="9"/>
      <c r="B565" s="9"/>
      <c r="C565" s="44" t="s">
        <v>49</v>
      </c>
      <c r="D565" s="113"/>
      <c r="E565" s="9"/>
      <c r="F565" s="9"/>
      <c r="G565" s="310">
        <f>SUM(G566:G595)</f>
        <v>81.395520835936082</v>
      </c>
      <c r="H565" s="35"/>
      <c r="I565" s="35"/>
      <c r="J565" s="35"/>
      <c r="K565" s="35"/>
      <c r="L565" s="35"/>
      <c r="M565" s="35"/>
      <c r="N565" s="29"/>
      <c r="O565" s="29"/>
      <c r="P565" s="29"/>
      <c r="Q565" s="29"/>
      <c r="R565" s="29"/>
      <c r="S565" s="100"/>
      <c r="T565" s="100"/>
      <c r="U565" s="100"/>
      <c r="V565" s="100"/>
      <c r="W565" s="100"/>
      <c r="X565" s="100"/>
      <c r="Y565" s="100"/>
      <c r="Z565" s="100"/>
      <c r="AA565" s="228"/>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100"/>
      <c r="BE565" s="100"/>
      <c r="BF565" s="100"/>
      <c r="BG565" s="100"/>
      <c r="BH565" s="100"/>
      <c r="BI565" s="100"/>
      <c r="BJ565" s="100"/>
      <c r="BK565" s="12"/>
      <c r="BL565" s="12"/>
    </row>
    <row r="566" spans="1:64" hidden="1" outlineLevel="1">
      <c r="A566" s="9"/>
      <c r="B566" s="9"/>
      <c r="C566" s="9"/>
      <c r="D566" s="270" t="str">
        <f>Asset1</f>
        <v>Secondary</v>
      </c>
      <c r="E566" s="9"/>
      <c r="F566" s="9"/>
      <c r="G566" s="204">
        <f>'Adjustment for previous period'!G542</f>
        <v>-4.1510932628817514</v>
      </c>
      <c r="H566" s="35"/>
      <c r="I566" s="35"/>
      <c r="J566" s="35"/>
      <c r="K566" s="35"/>
      <c r="L566" s="35"/>
      <c r="M566" s="35"/>
      <c r="N566" s="29"/>
      <c r="O566" s="29"/>
      <c r="P566" s="29"/>
      <c r="Q566" s="29"/>
      <c r="R566" s="29"/>
      <c r="S566" s="100"/>
      <c r="T566" s="100"/>
      <c r="U566" s="100"/>
      <c r="V566" s="100"/>
      <c r="W566" s="100"/>
      <c r="X566" s="100"/>
      <c r="Y566" s="100"/>
      <c r="Z566" s="100"/>
      <c r="AA566" s="228"/>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100"/>
      <c r="BE566" s="100"/>
      <c r="BF566" s="100"/>
      <c r="BG566" s="100"/>
      <c r="BH566" s="100"/>
      <c r="BI566" s="100"/>
      <c r="BJ566" s="100"/>
      <c r="BK566" s="12"/>
      <c r="BL566" s="12"/>
    </row>
    <row r="567" spans="1:64" hidden="1" outlineLevel="1">
      <c r="A567" s="9"/>
      <c r="B567" s="9"/>
      <c r="C567" s="44"/>
      <c r="D567" s="270" t="str">
        <f>Asset2</f>
        <v>Switchgear</v>
      </c>
      <c r="E567" s="9"/>
      <c r="F567" s="9"/>
      <c r="G567" s="204">
        <f>'Adjustment for previous period'!G543</f>
        <v>13.423609217639783</v>
      </c>
      <c r="H567" s="35"/>
      <c r="I567" s="35"/>
      <c r="J567" s="35"/>
      <c r="K567" s="35"/>
      <c r="L567" s="35"/>
      <c r="M567" s="35"/>
      <c r="N567" s="29"/>
      <c r="O567" s="29"/>
      <c r="P567" s="29"/>
      <c r="Q567" s="29"/>
      <c r="R567" s="29"/>
      <c r="S567" s="100"/>
      <c r="T567" s="100"/>
      <c r="U567" s="100"/>
      <c r="V567" s="100"/>
      <c r="W567" s="100"/>
      <c r="X567" s="100"/>
      <c r="Y567" s="100"/>
      <c r="Z567" s="100"/>
      <c r="AA567" s="228"/>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100"/>
      <c r="BE567" s="100"/>
      <c r="BF567" s="100"/>
      <c r="BG567" s="100"/>
      <c r="BH567" s="100"/>
      <c r="BI567" s="100"/>
      <c r="BJ567" s="100"/>
      <c r="BK567" s="12"/>
      <c r="BL567" s="12"/>
    </row>
    <row r="568" spans="1:64" hidden="1" outlineLevel="1">
      <c r="A568" s="9"/>
      <c r="B568" s="9"/>
      <c r="C568" s="44"/>
      <c r="D568" s="270" t="str">
        <f>Asset3</f>
        <v>Transformers</v>
      </c>
      <c r="E568" s="9"/>
      <c r="F568" s="9"/>
      <c r="G568" s="204">
        <f>'Adjustment for previous period'!G544</f>
        <v>4.4844492725845431</v>
      </c>
      <c r="H568" s="35"/>
      <c r="I568" s="35"/>
      <c r="J568" s="35"/>
      <c r="K568" s="35"/>
      <c r="L568" s="35"/>
      <c r="M568" s="35"/>
      <c r="N568" s="29"/>
      <c r="O568" s="29"/>
      <c r="P568" s="29"/>
      <c r="Q568" s="29"/>
      <c r="R568" s="29"/>
      <c r="S568" s="100"/>
      <c r="T568" s="100"/>
      <c r="U568" s="100"/>
      <c r="V568" s="100"/>
      <c r="W568" s="100"/>
      <c r="X568" s="100"/>
      <c r="Y568" s="100"/>
      <c r="Z568" s="100"/>
      <c r="AA568" s="228"/>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100"/>
      <c r="BE568" s="100"/>
      <c r="BF568" s="100"/>
      <c r="BG568" s="100"/>
      <c r="BH568" s="100"/>
      <c r="BI568" s="100"/>
      <c r="BJ568" s="100"/>
      <c r="BK568" s="12"/>
      <c r="BL568" s="12"/>
    </row>
    <row r="569" spans="1:64" hidden="1" outlineLevel="1">
      <c r="A569" s="9"/>
      <c r="B569" s="9"/>
      <c r="C569" s="44"/>
      <c r="D569" s="270" t="str">
        <f>Asset4</f>
        <v>Reactive</v>
      </c>
      <c r="E569" s="9"/>
      <c r="F569" s="9"/>
      <c r="G569" s="204">
        <f>'Adjustment for previous period'!G545</f>
        <v>-5.2786908582716139</v>
      </c>
      <c r="H569" s="35"/>
      <c r="I569" s="35"/>
      <c r="J569" s="35"/>
      <c r="K569" s="35"/>
      <c r="L569" s="35"/>
      <c r="M569" s="35"/>
      <c r="N569" s="29"/>
      <c r="O569" s="29"/>
      <c r="P569" s="29"/>
      <c r="Q569" s="29"/>
      <c r="R569" s="29"/>
      <c r="S569" s="100"/>
      <c r="T569" s="100"/>
      <c r="U569" s="100"/>
      <c r="V569" s="100"/>
      <c r="W569" s="100"/>
      <c r="X569" s="100"/>
      <c r="Y569" s="100"/>
      <c r="Z569" s="100"/>
      <c r="AA569" s="228"/>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100"/>
      <c r="BE569" s="100"/>
      <c r="BF569" s="100"/>
      <c r="BG569" s="100"/>
      <c r="BH569" s="100"/>
      <c r="BI569" s="100"/>
      <c r="BJ569" s="100"/>
      <c r="BK569" s="12"/>
      <c r="BL569" s="12"/>
    </row>
    <row r="570" spans="1:64" hidden="1" outlineLevel="1">
      <c r="A570" s="9"/>
      <c r="B570" s="9"/>
      <c r="C570" s="44"/>
      <c r="D570" s="270" t="str">
        <f>Asset5</f>
        <v>Towers and Conductor</v>
      </c>
      <c r="E570" s="9"/>
      <c r="F570" s="9"/>
      <c r="G570" s="204">
        <f>'Adjustment for previous period'!G546</f>
        <v>43.78033030015623</v>
      </c>
      <c r="H570" s="35"/>
      <c r="I570" s="35"/>
      <c r="J570" s="35"/>
      <c r="K570" s="35"/>
      <c r="L570" s="35"/>
      <c r="M570" s="35"/>
      <c r="N570" s="29"/>
      <c r="O570" s="29"/>
      <c r="P570" s="29"/>
      <c r="Q570" s="29"/>
      <c r="R570" s="29"/>
      <c r="S570" s="100"/>
      <c r="T570" s="100"/>
      <c r="U570" s="100"/>
      <c r="V570" s="100"/>
      <c r="W570" s="100"/>
      <c r="X570" s="100"/>
      <c r="Y570" s="100"/>
      <c r="Z570" s="100"/>
      <c r="AA570" s="228"/>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100"/>
      <c r="BE570" s="100"/>
      <c r="BF570" s="100"/>
      <c r="BG570" s="100"/>
      <c r="BH570" s="100"/>
      <c r="BI570" s="100"/>
      <c r="BJ570" s="100"/>
      <c r="BK570" s="12"/>
      <c r="BL570" s="12"/>
    </row>
    <row r="571" spans="1:64" hidden="1" outlineLevel="1">
      <c r="A571" s="9"/>
      <c r="B571" s="9"/>
      <c r="C571" s="44"/>
      <c r="D571" s="270" t="str">
        <f>Asset6</f>
        <v>Establishment</v>
      </c>
      <c r="E571" s="9"/>
      <c r="F571" s="9"/>
      <c r="G571" s="204">
        <f>'Adjustment for previous period'!G547</f>
        <v>8.3654138145799326</v>
      </c>
      <c r="H571" s="35"/>
      <c r="I571" s="35"/>
      <c r="J571" s="35"/>
      <c r="K571" s="35"/>
      <c r="L571" s="35"/>
      <c r="M571" s="35"/>
      <c r="N571" s="29"/>
      <c r="O571" s="29"/>
      <c r="P571" s="29"/>
      <c r="Q571" s="29"/>
      <c r="R571" s="29"/>
      <c r="S571" s="100"/>
      <c r="T571" s="100"/>
      <c r="U571" s="100"/>
      <c r="V571" s="100"/>
      <c r="W571" s="100"/>
      <c r="X571" s="100"/>
      <c r="Y571" s="100"/>
      <c r="Z571" s="100"/>
      <c r="AA571" s="228"/>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100"/>
      <c r="BE571" s="100"/>
      <c r="BF571" s="100"/>
      <c r="BG571" s="100"/>
      <c r="BH571" s="100"/>
      <c r="BI571" s="100"/>
      <c r="BJ571" s="100"/>
      <c r="BK571" s="12"/>
      <c r="BL571" s="12"/>
    </row>
    <row r="572" spans="1:64" hidden="1" outlineLevel="1">
      <c r="A572" s="9"/>
      <c r="B572" s="9"/>
      <c r="C572" s="44"/>
      <c r="D572" s="270" t="str">
        <f>Asset7</f>
        <v>Communications</v>
      </c>
      <c r="E572" s="9"/>
      <c r="F572" s="9"/>
      <c r="G572" s="204">
        <f>'Adjustment for previous period'!G548</f>
        <v>-15.18343373681337</v>
      </c>
      <c r="H572" s="35"/>
      <c r="I572" s="35"/>
      <c r="J572" s="35"/>
      <c r="K572" s="35"/>
      <c r="L572" s="35"/>
      <c r="M572" s="35"/>
      <c r="N572" s="29"/>
      <c r="O572" s="29"/>
      <c r="P572" s="29"/>
      <c r="Q572" s="29"/>
      <c r="R572" s="29"/>
      <c r="S572" s="100"/>
      <c r="T572" s="100"/>
      <c r="U572" s="100"/>
      <c r="V572" s="100"/>
      <c r="W572" s="100"/>
      <c r="X572" s="100"/>
      <c r="Y572" s="100"/>
      <c r="Z572" s="100"/>
      <c r="AA572" s="228"/>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100"/>
      <c r="BE572" s="100"/>
      <c r="BF572" s="100"/>
      <c r="BG572" s="100"/>
      <c r="BH572" s="100"/>
      <c r="BI572" s="100"/>
      <c r="BJ572" s="100"/>
      <c r="BK572" s="12"/>
      <c r="BL572" s="12"/>
    </row>
    <row r="573" spans="1:64" hidden="1" outlineLevel="1">
      <c r="A573" s="9"/>
      <c r="B573" s="9"/>
      <c r="C573" s="44"/>
      <c r="D573" s="270" t="str">
        <f>Asset8</f>
        <v>Inventory</v>
      </c>
      <c r="E573" s="9"/>
      <c r="F573" s="9"/>
      <c r="G573" s="204">
        <f>'Adjustment for previous period'!G549</f>
        <v>1.5261711059192087</v>
      </c>
      <c r="H573" s="35"/>
      <c r="I573" s="35"/>
      <c r="J573" s="35"/>
      <c r="K573" s="35"/>
      <c r="L573" s="35"/>
      <c r="M573" s="35"/>
      <c r="N573" s="29"/>
      <c r="O573" s="29"/>
      <c r="P573" s="29"/>
      <c r="Q573" s="29"/>
      <c r="R573" s="29"/>
      <c r="S573" s="100"/>
      <c r="T573" s="100"/>
      <c r="U573" s="100"/>
      <c r="V573" s="100"/>
      <c r="W573" s="100"/>
      <c r="X573" s="100"/>
      <c r="Y573" s="100"/>
      <c r="Z573" s="100"/>
      <c r="AA573" s="228"/>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100"/>
      <c r="BE573" s="100"/>
      <c r="BF573" s="100"/>
      <c r="BG573" s="100"/>
      <c r="BH573" s="100"/>
      <c r="BI573" s="100"/>
      <c r="BJ573" s="100"/>
      <c r="BK573" s="12"/>
      <c r="BL573" s="12"/>
    </row>
    <row r="574" spans="1:64" hidden="1" outlineLevel="1">
      <c r="A574" s="9"/>
      <c r="B574" s="9"/>
      <c r="C574" s="44"/>
      <c r="D574" s="270" t="str">
        <f>Asset9</f>
        <v>IT</v>
      </c>
      <c r="E574" s="9"/>
      <c r="F574" s="9"/>
      <c r="G574" s="204">
        <f>'Adjustment for previous period'!G550</f>
        <v>24.968912459906932</v>
      </c>
      <c r="H574" s="35"/>
      <c r="I574" s="35"/>
      <c r="J574" s="35"/>
      <c r="K574" s="35"/>
      <c r="L574" s="35"/>
      <c r="M574" s="35"/>
      <c r="N574" s="29"/>
      <c r="O574" s="29"/>
      <c r="P574" s="29"/>
      <c r="Q574" s="29"/>
      <c r="R574" s="29"/>
      <c r="S574" s="100"/>
      <c r="T574" s="100"/>
      <c r="U574" s="100"/>
      <c r="V574" s="100"/>
      <c r="W574" s="100"/>
      <c r="X574" s="100"/>
      <c r="Y574" s="100"/>
      <c r="Z574" s="100"/>
      <c r="AA574" s="228"/>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100"/>
      <c r="BE574" s="100"/>
      <c r="BF574" s="100"/>
      <c r="BG574" s="100"/>
      <c r="BH574" s="100"/>
      <c r="BI574" s="100"/>
      <c r="BJ574" s="100"/>
      <c r="BK574" s="12"/>
      <c r="BL574" s="12"/>
    </row>
    <row r="575" spans="1:64" hidden="1" outlineLevel="1">
      <c r="A575" s="9"/>
      <c r="B575" s="9"/>
      <c r="C575" s="44"/>
      <c r="D575" s="270" t="str">
        <f>Asset10</f>
        <v>Vehicles</v>
      </c>
      <c r="E575" s="9"/>
      <c r="F575" s="9"/>
      <c r="G575" s="204">
        <f>'Adjustment for previous period'!G551</f>
        <v>0.47844527194667513</v>
      </c>
      <c r="H575" s="35"/>
      <c r="I575" s="35"/>
      <c r="J575" s="35"/>
      <c r="K575" s="35"/>
      <c r="L575" s="35"/>
      <c r="M575" s="35"/>
      <c r="N575" s="29"/>
      <c r="O575" s="29"/>
      <c r="P575" s="29"/>
      <c r="Q575" s="29"/>
      <c r="R575" s="29"/>
      <c r="S575" s="100"/>
      <c r="T575" s="100"/>
      <c r="U575" s="100"/>
      <c r="V575" s="100"/>
      <c r="W575" s="100"/>
      <c r="X575" s="100"/>
      <c r="Y575" s="100"/>
      <c r="Z575" s="100"/>
      <c r="AA575" s="228"/>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100"/>
      <c r="BE575" s="100"/>
      <c r="BF575" s="100"/>
      <c r="BG575" s="100"/>
      <c r="BH575" s="100"/>
      <c r="BI575" s="100"/>
      <c r="BJ575" s="100"/>
      <c r="BK575" s="12"/>
      <c r="BL575" s="12"/>
    </row>
    <row r="576" spans="1:64" hidden="1" outlineLevel="1">
      <c r="A576" s="9"/>
      <c r="B576" s="9"/>
      <c r="C576" s="44"/>
      <c r="D576" s="270" t="str">
        <f>Asset11</f>
        <v>other</v>
      </c>
      <c r="E576" s="9"/>
      <c r="F576" s="9"/>
      <c r="G576" s="204">
        <f>'Adjustment for previous period'!G552</f>
        <v>7.8062479102810922</v>
      </c>
      <c r="H576" s="35"/>
      <c r="I576" s="35"/>
      <c r="J576" s="35"/>
      <c r="K576" s="35"/>
      <c r="L576" s="35"/>
      <c r="M576" s="35"/>
      <c r="N576" s="29"/>
      <c r="O576" s="29"/>
      <c r="P576" s="29"/>
      <c r="Q576" s="29"/>
      <c r="R576" s="29"/>
      <c r="S576" s="100"/>
      <c r="T576" s="100"/>
      <c r="U576" s="100"/>
      <c r="V576" s="100"/>
      <c r="W576" s="100"/>
      <c r="X576" s="100"/>
      <c r="Y576" s="100"/>
      <c r="Z576" s="100"/>
      <c r="AA576" s="228"/>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100"/>
      <c r="BE576" s="100"/>
      <c r="BF576" s="100"/>
      <c r="BG576" s="100"/>
      <c r="BH576" s="100"/>
      <c r="BI576" s="100"/>
      <c r="BJ576" s="100"/>
      <c r="BK576" s="12"/>
      <c r="BL576" s="12"/>
    </row>
    <row r="577" spans="1:64" hidden="1" outlineLevel="1">
      <c r="A577" s="9"/>
      <c r="B577" s="9"/>
      <c r="C577" s="44"/>
      <c r="D577" s="270" t="str">
        <f>Asset12</f>
        <v>premises</v>
      </c>
      <c r="E577" s="9"/>
      <c r="F577" s="9"/>
      <c r="G577" s="204">
        <f>'Adjustment for previous period'!G553</f>
        <v>3.5830352175562075</v>
      </c>
      <c r="H577" s="35"/>
      <c r="I577" s="35"/>
      <c r="J577" s="35"/>
      <c r="K577" s="35"/>
      <c r="L577" s="35"/>
      <c r="M577" s="35"/>
      <c r="N577" s="29"/>
      <c r="O577" s="29"/>
      <c r="P577" s="29"/>
      <c r="Q577" s="29"/>
      <c r="R577" s="29"/>
      <c r="S577" s="100"/>
      <c r="T577" s="100"/>
      <c r="U577" s="100"/>
      <c r="V577" s="100"/>
      <c r="W577" s="100"/>
      <c r="X577" s="100"/>
      <c r="Y577" s="100"/>
      <c r="Z577" s="100"/>
      <c r="AA577" s="228"/>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100"/>
      <c r="BE577" s="100"/>
      <c r="BF577" s="100"/>
      <c r="BG577" s="100"/>
      <c r="BH577" s="100"/>
      <c r="BI577" s="100"/>
      <c r="BJ577" s="100"/>
      <c r="BK577" s="12"/>
      <c r="BL577" s="12"/>
    </row>
    <row r="578" spans="1:64" hidden="1" outlineLevel="1">
      <c r="A578" s="9"/>
      <c r="B578" s="9"/>
      <c r="C578" s="44"/>
      <c r="D578" s="270" t="str">
        <f>Asset13</f>
        <v>Land</v>
      </c>
      <c r="E578" s="9"/>
      <c r="F578" s="9"/>
      <c r="G578" s="204">
        <f>'Adjustment for previous period'!G554</f>
        <v>-2.4674295714323651</v>
      </c>
      <c r="H578" s="35"/>
      <c r="I578" s="35"/>
      <c r="J578" s="35"/>
      <c r="K578" s="35"/>
      <c r="L578" s="35"/>
      <c r="M578" s="35"/>
      <c r="N578" s="29"/>
      <c r="O578" s="29"/>
      <c r="P578" s="29"/>
      <c r="Q578" s="29"/>
      <c r="R578" s="29"/>
      <c r="S578" s="100"/>
      <c r="T578" s="100"/>
      <c r="U578" s="100"/>
      <c r="V578" s="100"/>
      <c r="W578" s="100"/>
      <c r="X578" s="100"/>
      <c r="Y578" s="100"/>
      <c r="Z578" s="100"/>
      <c r="AA578" s="228"/>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100"/>
      <c r="BE578" s="100"/>
      <c r="BF578" s="100"/>
      <c r="BG578" s="100"/>
      <c r="BH578" s="100"/>
      <c r="BI578" s="100"/>
      <c r="BJ578" s="100"/>
      <c r="BK578" s="12"/>
      <c r="BL578" s="12"/>
    </row>
    <row r="579" spans="1:64" hidden="1" outlineLevel="1">
      <c r="A579" s="9"/>
      <c r="B579" s="9"/>
      <c r="C579" s="44"/>
      <c r="D579" s="270" t="str">
        <f>Asset14</f>
        <v>Easements</v>
      </c>
      <c r="E579" s="9"/>
      <c r="F579" s="9"/>
      <c r="G579" s="204">
        <f>'Adjustment for previous period'!G555</f>
        <v>5.9553694764592276E-2</v>
      </c>
      <c r="H579" s="35"/>
      <c r="I579" s="35"/>
      <c r="J579" s="35"/>
      <c r="K579" s="35"/>
      <c r="L579" s="35"/>
      <c r="M579" s="35"/>
      <c r="N579" s="29"/>
      <c r="O579" s="29"/>
      <c r="P579" s="29"/>
      <c r="Q579" s="29"/>
      <c r="R579" s="29"/>
      <c r="S579" s="100"/>
      <c r="T579" s="100"/>
      <c r="U579" s="100"/>
      <c r="V579" s="100"/>
      <c r="W579" s="100"/>
      <c r="X579" s="100"/>
      <c r="Y579" s="100"/>
      <c r="Z579" s="100"/>
      <c r="AA579" s="228"/>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100"/>
      <c r="BE579" s="100"/>
      <c r="BF579" s="100"/>
      <c r="BG579" s="100"/>
      <c r="BH579" s="100"/>
      <c r="BI579" s="100"/>
      <c r="BJ579" s="100"/>
      <c r="BK579" s="12"/>
      <c r="BL579" s="12"/>
    </row>
    <row r="580" spans="1:64" hidden="1" outlineLevel="1">
      <c r="A580" s="9"/>
      <c r="B580" s="9"/>
      <c r="C580" s="44"/>
      <c r="D580" s="270">
        <f>Asset15</f>
        <v>0</v>
      </c>
      <c r="E580" s="9"/>
      <c r="F580" s="9"/>
      <c r="G580" s="204">
        <f>'Adjustment for previous period'!G556</f>
        <v>0</v>
      </c>
      <c r="H580" s="35"/>
      <c r="I580" s="35"/>
      <c r="J580" s="35"/>
      <c r="K580" s="35"/>
      <c r="L580" s="35"/>
      <c r="M580" s="35"/>
      <c r="N580" s="29"/>
      <c r="O580" s="29"/>
      <c r="P580" s="29"/>
      <c r="Q580" s="29"/>
      <c r="R580" s="29"/>
      <c r="S580" s="100"/>
      <c r="T580" s="100"/>
      <c r="U580" s="100"/>
      <c r="V580" s="100"/>
      <c r="W580" s="100"/>
      <c r="X580" s="100"/>
      <c r="Y580" s="100"/>
      <c r="Z580" s="100"/>
      <c r="AA580" s="228"/>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100"/>
      <c r="BE580" s="100"/>
      <c r="BF580" s="100"/>
      <c r="BG580" s="100"/>
      <c r="BH580" s="100"/>
      <c r="BI580" s="100"/>
      <c r="BJ580" s="100"/>
      <c r="BK580" s="12"/>
      <c r="BL580" s="12"/>
    </row>
    <row r="581" spans="1:64" hidden="1" outlineLevel="1">
      <c r="A581" s="9"/>
      <c r="B581" s="9"/>
      <c r="C581" s="44"/>
      <c r="D581" s="270">
        <f>Asset16</f>
        <v>0</v>
      </c>
      <c r="E581" s="9"/>
      <c r="F581" s="9"/>
      <c r="G581" s="204">
        <f>'Adjustment for previous period'!G557</f>
        <v>0</v>
      </c>
      <c r="H581" s="35"/>
      <c r="I581" s="35"/>
      <c r="J581" s="35"/>
      <c r="K581" s="35"/>
      <c r="L581" s="35"/>
      <c r="M581" s="35"/>
      <c r="N581" s="29"/>
      <c r="O581" s="29"/>
      <c r="P581" s="29"/>
      <c r="Q581" s="29"/>
      <c r="R581" s="29"/>
      <c r="S581" s="100"/>
      <c r="T581" s="100"/>
      <c r="U581" s="100"/>
      <c r="V581" s="100"/>
      <c r="W581" s="100"/>
      <c r="X581" s="100"/>
      <c r="Y581" s="100"/>
      <c r="Z581" s="100"/>
      <c r="AA581" s="228"/>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100"/>
      <c r="BE581" s="100"/>
      <c r="BF581" s="100"/>
      <c r="BG581" s="100"/>
      <c r="BH581" s="100"/>
      <c r="BI581" s="100"/>
      <c r="BJ581" s="100"/>
      <c r="BK581" s="12"/>
      <c r="BL581" s="12"/>
    </row>
    <row r="582" spans="1:64" hidden="1" outlineLevel="1">
      <c r="A582" s="9"/>
      <c r="B582" s="9"/>
      <c r="C582" s="44"/>
      <c r="D582" s="270">
        <f>Asset17</f>
        <v>0</v>
      </c>
      <c r="E582" s="9"/>
      <c r="F582" s="9"/>
      <c r="G582" s="204">
        <f>'Adjustment for previous period'!G558</f>
        <v>0</v>
      </c>
      <c r="H582" s="35"/>
      <c r="I582" s="35"/>
      <c r="J582" s="35"/>
      <c r="K582" s="35"/>
      <c r="L582" s="35"/>
      <c r="M582" s="35"/>
      <c r="N582" s="29"/>
      <c r="O582" s="29"/>
      <c r="P582" s="29"/>
      <c r="Q582" s="29"/>
      <c r="R582" s="29"/>
      <c r="S582" s="100"/>
      <c r="T582" s="100"/>
      <c r="U582" s="100"/>
      <c r="V582" s="100"/>
      <c r="W582" s="100"/>
      <c r="X582" s="100"/>
      <c r="Y582" s="100"/>
      <c r="Z582" s="100"/>
      <c r="AA582" s="228"/>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100"/>
      <c r="BE582" s="100"/>
      <c r="BF582" s="100"/>
      <c r="BG582" s="100"/>
      <c r="BH582" s="100"/>
      <c r="BI582" s="100"/>
      <c r="BJ582" s="100"/>
      <c r="BK582" s="12"/>
      <c r="BL582" s="12"/>
    </row>
    <row r="583" spans="1:64" hidden="1" outlineLevel="1">
      <c r="A583" s="9"/>
      <c r="B583" s="9"/>
      <c r="C583" s="44"/>
      <c r="D583" s="270">
        <f>Asset18</f>
        <v>0</v>
      </c>
      <c r="E583" s="9"/>
      <c r="F583" s="9"/>
      <c r="G583" s="204">
        <f>'Adjustment for previous period'!G559</f>
        <v>0</v>
      </c>
      <c r="H583" s="35"/>
      <c r="I583" s="35"/>
      <c r="J583" s="35"/>
      <c r="K583" s="35"/>
      <c r="L583" s="35"/>
      <c r="M583" s="35"/>
      <c r="N583" s="29"/>
      <c r="O583" s="29"/>
      <c r="P583" s="29"/>
      <c r="Q583" s="29"/>
      <c r="R583" s="29"/>
      <c r="S583" s="100"/>
      <c r="T583" s="100"/>
      <c r="U583" s="100"/>
      <c r="V583" s="100"/>
      <c r="W583" s="100"/>
      <c r="X583" s="100"/>
      <c r="Y583" s="100"/>
      <c r="Z583" s="100"/>
      <c r="AA583" s="228"/>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100"/>
      <c r="BE583" s="100"/>
      <c r="BF583" s="100"/>
      <c r="BG583" s="100"/>
      <c r="BH583" s="100"/>
      <c r="BI583" s="100"/>
      <c r="BJ583" s="100"/>
      <c r="BK583" s="12"/>
      <c r="BL583" s="12"/>
    </row>
    <row r="584" spans="1:64" hidden="1" outlineLevel="1">
      <c r="A584" s="9"/>
      <c r="B584" s="9"/>
      <c r="C584" s="44"/>
      <c r="D584" s="270">
        <f>Asset19</f>
        <v>0</v>
      </c>
      <c r="E584" s="9"/>
      <c r="F584" s="9"/>
      <c r="G584" s="204">
        <f>'Adjustment for previous period'!G560</f>
        <v>0</v>
      </c>
      <c r="H584" s="35"/>
      <c r="I584" s="35"/>
      <c r="J584" s="35"/>
      <c r="K584" s="35"/>
      <c r="L584" s="35"/>
      <c r="M584" s="35"/>
      <c r="N584" s="29"/>
      <c r="O584" s="29"/>
      <c r="P584" s="29"/>
      <c r="Q584" s="29"/>
      <c r="R584" s="29"/>
      <c r="S584" s="100"/>
      <c r="T584" s="100"/>
      <c r="U584" s="100"/>
      <c r="V584" s="100"/>
      <c r="W584" s="100"/>
      <c r="X584" s="100"/>
      <c r="Y584" s="100"/>
      <c r="Z584" s="100"/>
      <c r="AA584" s="228"/>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100"/>
      <c r="BE584" s="100"/>
      <c r="BF584" s="100"/>
      <c r="BG584" s="100"/>
      <c r="BH584" s="100"/>
      <c r="BI584" s="100"/>
      <c r="BJ584" s="100"/>
      <c r="BK584" s="12"/>
      <c r="BL584" s="12"/>
    </row>
    <row r="585" spans="1:64" hidden="1" outlineLevel="1">
      <c r="A585" s="9"/>
      <c r="B585" s="9"/>
      <c r="C585" s="44"/>
      <c r="D585" s="270">
        <f>Asset20</f>
        <v>0</v>
      </c>
      <c r="E585" s="9"/>
      <c r="F585" s="9"/>
      <c r="G585" s="204">
        <f>'Adjustment for previous period'!G561</f>
        <v>0</v>
      </c>
      <c r="H585" s="35"/>
      <c r="I585" s="35"/>
      <c r="J585" s="35"/>
      <c r="K585" s="35"/>
      <c r="L585" s="35"/>
      <c r="M585" s="35"/>
      <c r="N585" s="29"/>
      <c r="O585" s="29"/>
      <c r="P585" s="29"/>
      <c r="Q585" s="29"/>
      <c r="R585" s="29"/>
      <c r="S585" s="100"/>
      <c r="T585" s="100"/>
      <c r="U585" s="100"/>
      <c r="V585" s="100"/>
      <c r="W585" s="100"/>
      <c r="X585" s="100"/>
      <c r="Y585" s="100"/>
      <c r="Z585" s="100"/>
      <c r="AA585" s="228"/>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100"/>
      <c r="BE585" s="100"/>
      <c r="BF585" s="100"/>
      <c r="BG585" s="100"/>
      <c r="BH585" s="100"/>
      <c r="BI585" s="100"/>
      <c r="BJ585" s="100"/>
      <c r="BK585" s="12"/>
      <c r="BL585" s="12"/>
    </row>
    <row r="586" spans="1:64" hidden="1" outlineLevel="1">
      <c r="A586" s="9"/>
      <c r="B586" s="9"/>
      <c r="C586" s="44"/>
      <c r="D586" s="270">
        <f>Asset21</f>
        <v>0</v>
      </c>
      <c r="E586" s="9"/>
      <c r="F586" s="9"/>
      <c r="G586" s="204">
        <f>'Adjustment for previous period'!G562</f>
        <v>0</v>
      </c>
      <c r="H586" s="35"/>
      <c r="I586" s="35"/>
      <c r="J586" s="35"/>
      <c r="K586" s="35"/>
      <c r="L586" s="35"/>
      <c r="M586" s="35"/>
      <c r="N586" s="29"/>
      <c r="O586" s="29"/>
      <c r="P586" s="29"/>
      <c r="Q586" s="29"/>
      <c r="R586" s="29"/>
      <c r="S586" s="100"/>
      <c r="T586" s="100"/>
      <c r="U586" s="100"/>
      <c r="V586" s="100"/>
      <c r="W586" s="100"/>
      <c r="X586" s="100"/>
      <c r="Y586" s="100"/>
      <c r="Z586" s="100"/>
      <c r="AA586" s="228"/>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100"/>
      <c r="BE586" s="100"/>
      <c r="BF586" s="100"/>
      <c r="BG586" s="100"/>
      <c r="BH586" s="100"/>
      <c r="BI586" s="100"/>
      <c r="BJ586" s="100"/>
      <c r="BK586" s="12"/>
      <c r="BL586" s="12"/>
    </row>
    <row r="587" spans="1:64" hidden="1" outlineLevel="1">
      <c r="A587" s="9"/>
      <c r="B587" s="9"/>
      <c r="C587" s="44"/>
      <c r="D587" s="270">
        <f>Asset22</f>
        <v>0</v>
      </c>
      <c r="E587" s="9"/>
      <c r="F587" s="9"/>
      <c r="G587" s="204">
        <f>'Adjustment for previous period'!G563</f>
        <v>0</v>
      </c>
      <c r="H587" s="35"/>
      <c r="I587" s="35"/>
      <c r="J587" s="35"/>
      <c r="K587" s="35"/>
      <c r="L587" s="35"/>
      <c r="M587" s="35"/>
      <c r="N587" s="29"/>
      <c r="O587" s="29"/>
      <c r="P587" s="29"/>
      <c r="Q587" s="29"/>
      <c r="R587" s="29"/>
      <c r="S587" s="100"/>
      <c r="T587" s="100"/>
      <c r="U587" s="100"/>
      <c r="V587" s="100"/>
      <c r="W587" s="100"/>
      <c r="X587" s="100"/>
      <c r="Y587" s="100"/>
      <c r="Z587" s="100"/>
      <c r="AA587" s="228"/>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100"/>
      <c r="BE587" s="100"/>
      <c r="BF587" s="100"/>
      <c r="BG587" s="100"/>
      <c r="BH587" s="100"/>
      <c r="BI587" s="100"/>
      <c r="BJ587" s="100"/>
      <c r="BK587" s="12"/>
      <c r="BL587" s="12"/>
    </row>
    <row r="588" spans="1:64" hidden="1" outlineLevel="1">
      <c r="A588" s="9"/>
      <c r="B588" s="9"/>
      <c r="C588" s="44"/>
      <c r="D588" s="270">
        <f>Asset23</f>
        <v>0</v>
      </c>
      <c r="E588" s="9"/>
      <c r="F588" s="9"/>
      <c r="G588" s="204">
        <f>'Adjustment for previous period'!G564</f>
        <v>0</v>
      </c>
      <c r="H588" s="35"/>
      <c r="I588" s="35"/>
      <c r="J588" s="35"/>
      <c r="K588" s="35"/>
      <c r="L588" s="35"/>
      <c r="M588" s="35"/>
      <c r="N588" s="29"/>
      <c r="O588" s="29"/>
      <c r="P588" s="29"/>
      <c r="Q588" s="29"/>
      <c r="R588" s="29"/>
      <c r="S588" s="100"/>
      <c r="T588" s="100"/>
      <c r="U588" s="100"/>
      <c r="V588" s="100"/>
      <c r="W588" s="100"/>
      <c r="X588" s="100"/>
      <c r="Y588" s="100"/>
      <c r="Z588" s="100"/>
      <c r="AA588" s="228"/>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100"/>
      <c r="BE588" s="100"/>
      <c r="BF588" s="100"/>
      <c r="BG588" s="100"/>
      <c r="BH588" s="100"/>
      <c r="BI588" s="100"/>
      <c r="BJ588" s="100"/>
      <c r="BK588" s="12"/>
      <c r="BL588" s="12"/>
    </row>
    <row r="589" spans="1:64" hidden="1" outlineLevel="1">
      <c r="A589" s="9"/>
      <c r="B589" s="9"/>
      <c r="C589" s="44"/>
      <c r="D589" s="270">
        <f>Asset24</f>
        <v>0</v>
      </c>
      <c r="E589" s="9"/>
      <c r="F589" s="9"/>
      <c r="G589" s="204">
        <f>'Adjustment for previous period'!G565</f>
        <v>0</v>
      </c>
      <c r="H589" s="35"/>
      <c r="I589" s="35"/>
      <c r="J589" s="35"/>
      <c r="K589" s="35"/>
      <c r="L589" s="35"/>
      <c r="M589" s="35"/>
      <c r="N589" s="29"/>
      <c r="O589" s="29"/>
      <c r="P589" s="29"/>
      <c r="Q589" s="29"/>
      <c r="R589" s="29"/>
      <c r="S589" s="100"/>
      <c r="T589" s="100"/>
      <c r="U589" s="100"/>
      <c r="V589" s="100"/>
      <c r="W589" s="100"/>
      <c r="X589" s="100"/>
      <c r="Y589" s="100"/>
      <c r="Z589" s="100"/>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100"/>
      <c r="BE589" s="100"/>
      <c r="BF589" s="100"/>
      <c r="BG589" s="100"/>
      <c r="BH589" s="100"/>
      <c r="BI589" s="100"/>
      <c r="BJ589" s="100"/>
      <c r="BK589" s="12"/>
      <c r="BL589" s="12"/>
    </row>
    <row r="590" spans="1:64" hidden="1" outlineLevel="1">
      <c r="A590" s="9"/>
      <c r="B590" s="9"/>
      <c r="C590" s="44"/>
      <c r="D590" s="270">
        <f>Asset25</f>
        <v>0</v>
      </c>
      <c r="E590" s="9"/>
      <c r="F590" s="9"/>
      <c r="G590" s="204">
        <f>'Adjustment for previous period'!G566</f>
        <v>0</v>
      </c>
      <c r="H590" s="35"/>
      <c r="I590" s="35"/>
      <c r="J590" s="35"/>
      <c r="K590" s="35"/>
      <c r="L590" s="35"/>
      <c r="M590" s="35"/>
      <c r="N590" s="29"/>
      <c r="O590" s="29"/>
      <c r="P590" s="29"/>
      <c r="Q590" s="29"/>
      <c r="R590" s="29"/>
      <c r="S590" s="100"/>
      <c r="T590" s="100"/>
      <c r="U590" s="100"/>
      <c r="V590" s="100"/>
      <c r="W590" s="100"/>
      <c r="X590" s="100"/>
      <c r="Y590" s="100"/>
      <c r="Z590" s="100"/>
      <c r="AA590" s="228"/>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100"/>
      <c r="BE590" s="100"/>
      <c r="BF590" s="100"/>
      <c r="BG590" s="100"/>
      <c r="BH590" s="100"/>
      <c r="BI590" s="100"/>
      <c r="BJ590" s="100"/>
      <c r="BK590" s="12"/>
      <c r="BL590" s="12"/>
    </row>
    <row r="591" spans="1:64" hidden="1" outlineLevel="1">
      <c r="A591" s="9"/>
      <c r="B591" s="9"/>
      <c r="C591" s="44"/>
      <c r="D591" s="270">
        <f>Asset26</f>
        <v>0</v>
      </c>
      <c r="E591" s="9"/>
      <c r="F591" s="9"/>
      <c r="G591" s="204">
        <f>'Adjustment for previous period'!G567</f>
        <v>0</v>
      </c>
      <c r="H591" s="35"/>
      <c r="I591" s="35"/>
      <c r="J591" s="35"/>
      <c r="K591" s="35"/>
      <c r="L591" s="35"/>
      <c r="M591" s="35"/>
      <c r="N591" s="29"/>
      <c r="O591" s="29"/>
      <c r="P591" s="29"/>
      <c r="Q591" s="29"/>
      <c r="R591" s="29"/>
      <c r="S591" s="100"/>
      <c r="T591" s="100"/>
      <c r="U591" s="100"/>
      <c r="V591" s="100"/>
      <c r="W591" s="100"/>
      <c r="X591" s="100"/>
      <c r="Y591" s="100"/>
      <c r="Z591" s="100"/>
      <c r="AA591" s="228"/>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100"/>
      <c r="BE591" s="100"/>
      <c r="BF591" s="100"/>
      <c r="BG591" s="100"/>
      <c r="BH591" s="100"/>
      <c r="BI591" s="100"/>
      <c r="BJ591" s="100"/>
      <c r="BK591" s="12"/>
      <c r="BL591" s="12"/>
    </row>
    <row r="592" spans="1:64" hidden="1" outlineLevel="1">
      <c r="A592" s="9"/>
      <c r="B592" s="9"/>
      <c r="C592" s="44"/>
      <c r="D592" s="270">
        <f>Asset27</f>
        <v>0</v>
      </c>
      <c r="E592" s="9"/>
      <c r="F592" s="9"/>
      <c r="G592" s="204">
        <f>'Adjustment for previous period'!G568</f>
        <v>0</v>
      </c>
      <c r="H592" s="35"/>
      <c r="I592" s="35"/>
      <c r="J592" s="35"/>
      <c r="K592" s="35"/>
      <c r="L592" s="35"/>
      <c r="M592" s="35"/>
      <c r="N592" s="29"/>
      <c r="O592" s="29"/>
      <c r="P592" s="29"/>
      <c r="Q592" s="29"/>
      <c r="R592" s="29"/>
      <c r="S592" s="100"/>
      <c r="T592" s="100"/>
      <c r="U592" s="100"/>
      <c r="V592" s="100"/>
      <c r="W592" s="100"/>
      <c r="X592" s="100"/>
      <c r="Y592" s="100"/>
      <c r="Z592" s="100"/>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100"/>
      <c r="BE592" s="100"/>
      <c r="BF592" s="100"/>
      <c r="BG592" s="100"/>
      <c r="BH592" s="100"/>
      <c r="BI592" s="100"/>
      <c r="BJ592" s="100"/>
      <c r="BK592" s="12"/>
      <c r="BL592" s="12"/>
    </row>
    <row r="593" spans="1:64" hidden="1" outlineLevel="1">
      <c r="A593" s="9"/>
      <c r="B593" s="9"/>
      <c r="C593" s="44"/>
      <c r="D593" s="270">
        <f>Asset28</f>
        <v>0</v>
      </c>
      <c r="E593" s="9"/>
      <c r="F593" s="9"/>
      <c r="G593" s="204">
        <f>'Adjustment for previous period'!G569</f>
        <v>0</v>
      </c>
      <c r="H593" s="35"/>
      <c r="I593" s="35"/>
      <c r="J593" s="35"/>
      <c r="K593" s="35"/>
      <c r="L593" s="35"/>
      <c r="M593" s="35"/>
      <c r="N593" s="29"/>
      <c r="O593" s="29"/>
      <c r="P593" s="29"/>
      <c r="Q593" s="29"/>
      <c r="R593" s="29"/>
      <c r="S593" s="100"/>
      <c r="T593" s="100"/>
      <c r="U593" s="100"/>
      <c r="V593" s="100"/>
      <c r="W593" s="100"/>
      <c r="X593" s="100"/>
      <c r="Y593" s="100"/>
      <c r="Z593" s="100"/>
      <c r="AA593" s="228"/>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100"/>
      <c r="BE593" s="100"/>
      <c r="BF593" s="100"/>
      <c r="BG593" s="100"/>
      <c r="BH593" s="100"/>
      <c r="BI593" s="100"/>
      <c r="BJ593" s="100"/>
      <c r="BK593" s="12"/>
      <c r="BL593" s="12"/>
    </row>
    <row r="594" spans="1:64" hidden="1" outlineLevel="1">
      <c r="A594" s="9"/>
      <c r="B594" s="9"/>
      <c r="C594" s="44"/>
      <c r="D594" s="270">
        <f>Asset29</f>
        <v>0</v>
      </c>
      <c r="E594" s="9"/>
      <c r="F594" s="9"/>
      <c r="G594" s="204">
        <f>'Adjustment for previous period'!G570</f>
        <v>0</v>
      </c>
      <c r="H594" s="35"/>
      <c r="I594" s="35"/>
      <c r="J594" s="35"/>
      <c r="K594" s="35"/>
      <c r="L594" s="35"/>
      <c r="M594" s="35"/>
      <c r="N594" s="29"/>
      <c r="O594" s="29"/>
      <c r="P594" s="29"/>
      <c r="Q594" s="29"/>
      <c r="R594" s="29"/>
      <c r="S594" s="100"/>
      <c r="T594" s="100"/>
      <c r="U594" s="100"/>
      <c r="V594" s="100"/>
      <c r="W594" s="100"/>
      <c r="X594" s="100"/>
      <c r="Y594" s="100"/>
      <c r="Z594" s="100"/>
      <c r="AA594" s="228"/>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100"/>
      <c r="BE594" s="100"/>
      <c r="BF594" s="100"/>
      <c r="BG594" s="100"/>
      <c r="BH594" s="100"/>
      <c r="BI594" s="100"/>
      <c r="BJ594" s="100"/>
      <c r="BK594" s="12"/>
      <c r="BL594" s="12"/>
    </row>
    <row r="595" spans="1:64" hidden="1" outlineLevel="1">
      <c r="A595" s="9"/>
      <c r="B595" s="9"/>
      <c r="C595" s="44"/>
      <c r="D595" s="270">
        <f>Asset30</f>
        <v>0</v>
      </c>
      <c r="E595" s="9"/>
      <c r="F595" s="9"/>
      <c r="G595" s="204">
        <f>'Adjustment for previous period'!G571</f>
        <v>0</v>
      </c>
      <c r="H595" s="35"/>
      <c r="I595" s="35"/>
      <c r="J595" s="35"/>
      <c r="K595" s="35"/>
      <c r="L595" s="35"/>
      <c r="M595" s="35"/>
      <c r="N595" s="29"/>
      <c r="O595" s="29"/>
      <c r="P595" s="29"/>
      <c r="Q595" s="29"/>
      <c r="R595" s="29"/>
      <c r="S595" s="100"/>
      <c r="T595" s="100"/>
      <c r="U595" s="100"/>
      <c r="V595" s="100"/>
      <c r="W595" s="100"/>
      <c r="X595" s="100"/>
      <c r="Y595" s="100"/>
      <c r="Z595" s="100"/>
      <c r="AA595" s="228"/>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100"/>
      <c r="BE595" s="100"/>
      <c r="BF595" s="100"/>
      <c r="BG595" s="100"/>
      <c r="BH595" s="100"/>
      <c r="BI595" s="100"/>
      <c r="BJ595" s="100"/>
      <c r="BK595" s="12"/>
      <c r="BL595" s="12"/>
    </row>
    <row r="596" spans="1:64" collapsed="1">
      <c r="A596" s="9"/>
      <c r="B596" s="9"/>
      <c r="C596" s="44"/>
      <c r="D596" s="113"/>
      <c r="E596" s="9"/>
      <c r="F596" s="9"/>
      <c r="G596" s="208"/>
      <c r="H596" s="35"/>
      <c r="I596" s="35"/>
      <c r="J596" s="35"/>
      <c r="K596" s="35"/>
      <c r="L596" s="35"/>
      <c r="M596" s="35"/>
      <c r="N596" s="29"/>
      <c r="O596" s="29"/>
      <c r="P596" s="29"/>
      <c r="Q596" s="29"/>
      <c r="R596" s="29"/>
      <c r="S596" s="100"/>
      <c r="T596" s="100"/>
      <c r="U596" s="100"/>
      <c r="V596" s="100"/>
      <c r="W596" s="100"/>
      <c r="X596" s="100"/>
      <c r="Y596" s="100"/>
      <c r="Z596" s="100"/>
      <c r="AA596" s="228"/>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100"/>
      <c r="BE596" s="100"/>
      <c r="BF596" s="100"/>
      <c r="BG596" s="100"/>
      <c r="BH596" s="100"/>
      <c r="BI596" s="100"/>
      <c r="BJ596" s="100"/>
      <c r="BK596" s="12"/>
      <c r="BL596" s="12"/>
    </row>
    <row r="597" spans="1:64">
      <c r="A597" s="9"/>
      <c r="B597" s="9"/>
      <c r="C597" s="44" t="s">
        <v>61</v>
      </c>
      <c r="D597" s="113"/>
      <c r="E597" s="9"/>
      <c r="F597" s="9"/>
      <c r="G597" s="310">
        <f>SUM(G598:G627)</f>
        <v>-18.986894388246089</v>
      </c>
      <c r="H597" s="35"/>
      <c r="I597" s="35"/>
      <c r="J597" s="35"/>
      <c r="K597" s="35"/>
      <c r="L597" s="35"/>
      <c r="M597" s="35"/>
      <c r="N597" s="29"/>
      <c r="O597" s="29"/>
      <c r="P597" s="29"/>
      <c r="Q597" s="29"/>
      <c r="R597" s="29"/>
      <c r="S597" s="100"/>
      <c r="T597" s="100"/>
      <c r="U597" s="100"/>
      <c r="V597" s="100"/>
      <c r="W597" s="100"/>
      <c r="X597" s="100"/>
      <c r="Y597" s="100"/>
      <c r="Z597" s="100"/>
      <c r="AA597" s="228"/>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100"/>
      <c r="BE597" s="100"/>
      <c r="BF597" s="100"/>
      <c r="BG597" s="100"/>
      <c r="BH597" s="100"/>
      <c r="BI597" s="100"/>
      <c r="BJ597" s="100"/>
      <c r="BK597" s="12"/>
      <c r="BL597" s="12"/>
    </row>
    <row r="598" spans="1:64" hidden="1" outlineLevel="1">
      <c r="A598" s="9"/>
      <c r="B598" s="9"/>
      <c r="C598" s="9"/>
      <c r="D598" s="270" t="str">
        <f>Asset1</f>
        <v>Secondary</v>
      </c>
      <c r="E598" s="9"/>
      <c r="F598" s="9"/>
      <c r="G598" s="204">
        <f>'Adjustment for previous period'!G574</f>
        <v>-12.351417430702048</v>
      </c>
      <c r="H598" s="35"/>
      <c r="I598" s="35"/>
      <c r="J598" s="35"/>
      <c r="K598" s="35"/>
      <c r="L598" s="35"/>
      <c r="M598" s="35"/>
      <c r="N598" s="29"/>
      <c r="O598" s="29"/>
      <c r="P598" s="29"/>
      <c r="Q598" s="29"/>
      <c r="R598" s="29"/>
      <c r="S598" s="100"/>
      <c r="T598" s="100"/>
      <c r="U598" s="100"/>
      <c r="V598" s="100"/>
      <c r="W598" s="100"/>
      <c r="X598" s="100"/>
      <c r="Y598" s="100"/>
      <c r="Z598" s="100"/>
      <c r="AA598" s="228"/>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100"/>
      <c r="BE598" s="100"/>
      <c r="BF598" s="100"/>
      <c r="BG598" s="100"/>
      <c r="BH598" s="100"/>
      <c r="BI598" s="100"/>
      <c r="BJ598" s="100"/>
      <c r="BK598" s="12"/>
      <c r="BL598" s="12"/>
    </row>
    <row r="599" spans="1:64" hidden="1" outlineLevel="1">
      <c r="A599" s="9"/>
      <c r="B599" s="9"/>
      <c r="C599" s="44"/>
      <c r="D599" s="270" t="str">
        <f>Asset2</f>
        <v>Switchgear</v>
      </c>
      <c r="E599" s="9"/>
      <c r="F599" s="9"/>
      <c r="G599" s="204">
        <f>'Adjustment for previous period'!G575</f>
        <v>-1.428515011584818</v>
      </c>
      <c r="H599" s="35"/>
      <c r="I599" s="35"/>
      <c r="J599" s="35"/>
      <c r="K599" s="35"/>
      <c r="L599" s="35"/>
      <c r="M599" s="35"/>
      <c r="N599" s="29"/>
      <c r="O599" s="29"/>
      <c r="P599" s="29"/>
      <c r="Q599" s="29"/>
      <c r="R599" s="29"/>
      <c r="S599" s="100"/>
      <c r="T599" s="100"/>
      <c r="U599" s="100"/>
      <c r="V599" s="100"/>
      <c r="W599" s="100"/>
      <c r="X599" s="100"/>
      <c r="Y599" s="100"/>
      <c r="Z599" s="100"/>
      <c r="AA599" s="228"/>
      <c r="AB599" s="228"/>
      <c r="AC599" s="228"/>
      <c r="AD599" s="228"/>
      <c r="AE599" s="228"/>
      <c r="AF599" s="228"/>
      <c r="AG599" s="228"/>
      <c r="AH599" s="228"/>
      <c r="AI599" s="228"/>
      <c r="AJ599" s="228"/>
      <c r="AK599" s="228"/>
      <c r="AL599" s="228"/>
      <c r="AM599" s="228"/>
      <c r="AN599" s="228"/>
      <c r="AO599" s="228"/>
      <c r="AP599" s="228"/>
      <c r="AQ599" s="228"/>
      <c r="AR599" s="228"/>
      <c r="AS599" s="228"/>
      <c r="AT599" s="228"/>
      <c r="AU599" s="228"/>
      <c r="AV599" s="228"/>
      <c r="AW599" s="228"/>
      <c r="AX599" s="228"/>
      <c r="AY599" s="228"/>
      <c r="AZ599" s="228"/>
      <c r="BA599" s="228"/>
      <c r="BB599" s="228"/>
      <c r="BC599" s="228"/>
      <c r="BD599" s="100"/>
      <c r="BE599" s="100"/>
      <c r="BF599" s="100"/>
      <c r="BG599" s="100"/>
      <c r="BH599" s="100"/>
      <c r="BI599" s="100"/>
      <c r="BJ599" s="100"/>
      <c r="BK599" s="12"/>
      <c r="BL599" s="12"/>
    </row>
    <row r="600" spans="1:64" hidden="1" outlineLevel="1">
      <c r="A600" s="9"/>
      <c r="B600" s="9"/>
      <c r="C600" s="44"/>
      <c r="D600" s="270" t="str">
        <f>Asset3</f>
        <v>Transformers</v>
      </c>
      <c r="E600" s="9"/>
      <c r="F600" s="9"/>
      <c r="G600" s="204">
        <f>'Adjustment for previous period'!G576</f>
        <v>-5.1534767631484444</v>
      </c>
      <c r="H600" s="35"/>
      <c r="I600" s="35"/>
      <c r="J600" s="35"/>
      <c r="K600" s="35"/>
      <c r="L600" s="35"/>
      <c r="M600" s="35"/>
      <c r="N600" s="29"/>
      <c r="O600" s="29"/>
      <c r="P600" s="29"/>
      <c r="Q600" s="29"/>
      <c r="R600" s="29"/>
      <c r="S600" s="100"/>
      <c r="T600" s="100"/>
      <c r="U600" s="100"/>
      <c r="V600" s="100"/>
      <c r="W600" s="100"/>
      <c r="X600" s="100"/>
      <c r="Y600" s="100"/>
      <c r="Z600" s="100"/>
      <c r="AA600" s="228"/>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100"/>
      <c r="BE600" s="100"/>
      <c r="BF600" s="100"/>
      <c r="BG600" s="100"/>
      <c r="BH600" s="100"/>
      <c r="BI600" s="100"/>
      <c r="BJ600" s="100"/>
      <c r="BK600" s="12"/>
      <c r="BL600" s="12"/>
    </row>
    <row r="601" spans="1:64" hidden="1" outlineLevel="1">
      <c r="A601" s="9"/>
      <c r="B601" s="9"/>
      <c r="C601" s="44"/>
      <c r="D601" s="270" t="str">
        <f>Asset4</f>
        <v>Reactive</v>
      </c>
      <c r="E601" s="9"/>
      <c r="F601" s="9"/>
      <c r="G601" s="204">
        <f>'Adjustment for previous period'!G577</f>
        <v>-1.474197786426011</v>
      </c>
      <c r="H601" s="35"/>
      <c r="I601" s="35"/>
      <c r="J601" s="35"/>
      <c r="K601" s="35"/>
      <c r="L601" s="35"/>
      <c r="M601" s="35"/>
      <c r="N601" s="29"/>
      <c r="O601" s="29"/>
      <c r="P601" s="29"/>
      <c r="Q601" s="29"/>
      <c r="R601" s="29"/>
      <c r="S601" s="100"/>
      <c r="T601" s="100"/>
      <c r="U601" s="100"/>
      <c r="V601" s="100"/>
      <c r="W601" s="100"/>
      <c r="X601" s="100"/>
      <c r="Y601" s="100"/>
      <c r="Z601" s="100"/>
      <c r="AA601" s="228"/>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100"/>
      <c r="BE601" s="100"/>
      <c r="BF601" s="100"/>
      <c r="BG601" s="100"/>
      <c r="BH601" s="100"/>
      <c r="BI601" s="100"/>
      <c r="BJ601" s="100"/>
      <c r="BK601" s="12"/>
      <c r="BL601" s="12"/>
    </row>
    <row r="602" spans="1:64" hidden="1" outlineLevel="1">
      <c r="A602" s="9"/>
      <c r="B602" s="9"/>
      <c r="C602" s="44"/>
      <c r="D602" s="270" t="str">
        <f>Asset5</f>
        <v>Towers and Conductor</v>
      </c>
      <c r="E602" s="9"/>
      <c r="F602" s="9"/>
      <c r="G602" s="204">
        <f>'Adjustment for previous period'!G578</f>
        <v>13.319989319926002</v>
      </c>
      <c r="H602" s="35"/>
      <c r="I602" s="35"/>
      <c r="J602" s="35"/>
      <c r="K602" s="35"/>
      <c r="L602" s="35"/>
      <c r="M602" s="35"/>
      <c r="N602" s="29"/>
      <c r="O602" s="29"/>
      <c r="P602" s="29"/>
      <c r="Q602" s="29"/>
      <c r="R602" s="29"/>
      <c r="S602" s="100"/>
      <c r="T602" s="100"/>
      <c r="U602" s="100"/>
      <c r="V602" s="100"/>
      <c r="W602" s="100"/>
      <c r="X602" s="100"/>
      <c r="Y602" s="100"/>
      <c r="Z602" s="100"/>
      <c r="AA602" s="228"/>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100"/>
      <c r="BE602" s="100"/>
      <c r="BF602" s="100"/>
      <c r="BG602" s="100"/>
      <c r="BH602" s="100"/>
      <c r="BI602" s="100"/>
      <c r="BJ602" s="100"/>
      <c r="BK602" s="12"/>
      <c r="BL602" s="12"/>
    </row>
    <row r="603" spans="1:64" hidden="1" outlineLevel="1">
      <c r="A603" s="9"/>
      <c r="B603" s="9"/>
      <c r="C603" s="44"/>
      <c r="D603" s="270" t="str">
        <f>Asset6</f>
        <v>Establishment</v>
      </c>
      <c r="E603" s="9"/>
      <c r="F603" s="9"/>
      <c r="G603" s="204">
        <f>'Adjustment for previous period'!G579</f>
        <v>-3.8615828986139329</v>
      </c>
      <c r="H603" s="35"/>
      <c r="I603" s="35"/>
      <c r="J603" s="35"/>
      <c r="K603" s="35"/>
      <c r="L603" s="35"/>
      <c r="M603" s="35"/>
      <c r="N603" s="29"/>
      <c r="O603" s="29"/>
      <c r="P603" s="29"/>
      <c r="Q603" s="29"/>
      <c r="R603" s="29"/>
      <c r="S603" s="100"/>
      <c r="T603" s="100"/>
      <c r="U603" s="100"/>
      <c r="V603" s="100"/>
      <c r="W603" s="100"/>
      <c r="X603" s="100"/>
      <c r="Y603" s="100"/>
      <c r="Z603" s="100"/>
      <c r="AA603" s="228"/>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100"/>
      <c r="BE603" s="100"/>
      <c r="BF603" s="100"/>
      <c r="BG603" s="100"/>
      <c r="BH603" s="100"/>
      <c r="BI603" s="100"/>
      <c r="BJ603" s="100"/>
      <c r="BK603" s="12"/>
      <c r="BL603" s="12"/>
    </row>
    <row r="604" spans="1:64" hidden="1" outlineLevel="1">
      <c r="A604" s="9"/>
      <c r="B604" s="9"/>
      <c r="C604" s="44"/>
      <c r="D604" s="270" t="str">
        <f>Asset7</f>
        <v>Communications</v>
      </c>
      <c r="E604" s="9"/>
      <c r="F604" s="9"/>
      <c r="G604" s="204">
        <f>'Adjustment for previous period'!G580</f>
        <v>-13.219881986010956</v>
      </c>
      <c r="H604" s="35"/>
      <c r="I604" s="35"/>
      <c r="J604" s="35"/>
      <c r="K604" s="35"/>
      <c r="L604" s="35"/>
      <c r="M604" s="35"/>
      <c r="N604" s="29"/>
      <c r="O604" s="29"/>
      <c r="P604" s="29"/>
      <c r="Q604" s="29"/>
      <c r="R604" s="29"/>
      <c r="S604" s="100"/>
      <c r="T604" s="100"/>
      <c r="U604" s="100"/>
      <c r="V604" s="100"/>
      <c r="W604" s="100"/>
      <c r="X604" s="100"/>
      <c r="Y604" s="100"/>
      <c r="Z604" s="100"/>
      <c r="AA604" s="228"/>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100"/>
      <c r="BE604" s="100"/>
      <c r="BF604" s="100"/>
      <c r="BG604" s="100"/>
      <c r="BH604" s="100"/>
      <c r="BI604" s="100"/>
      <c r="BJ604" s="100"/>
      <c r="BK604" s="12"/>
      <c r="BL604" s="12"/>
    </row>
    <row r="605" spans="1:64" hidden="1" outlineLevel="1">
      <c r="A605" s="9"/>
      <c r="B605" s="9"/>
      <c r="C605" s="44"/>
      <c r="D605" s="270" t="str">
        <f>Asset8</f>
        <v>Inventory</v>
      </c>
      <c r="E605" s="9"/>
      <c r="F605" s="9"/>
      <c r="G605" s="204">
        <f>'Adjustment for previous period'!G581</f>
        <v>0.70152223622115595</v>
      </c>
      <c r="H605" s="35"/>
      <c r="I605" s="35"/>
      <c r="J605" s="35"/>
      <c r="K605" s="35"/>
      <c r="L605" s="35"/>
      <c r="M605" s="35"/>
      <c r="N605" s="29"/>
      <c r="O605" s="29"/>
      <c r="P605" s="29"/>
      <c r="Q605" s="29"/>
      <c r="R605" s="29"/>
      <c r="S605" s="100"/>
      <c r="T605" s="100"/>
      <c r="U605" s="100"/>
      <c r="V605" s="100"/>
      <c r="W605" s="100"/>
      <c r="X605" s="100"/>
      <c r="Y605" s="100"/>
      <c r="Z605" s="100"/>
      <c r="AA605" s="228"/>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100"/>
      <c r="BE605" s="100"/>
      <c r="BF605" s="100"/>
      <c r="BG605" s="100"/>
      <c r="BH605" s="100"/>
      <c r="BI605" s="100"/>
      <c r="BJ605" s="100"/>
      <c r="BK605" s="12"/>
      <c r="BL605" s="12"/>
    </row>
    <row r="606" spans="1:64" hidden="1" outlineLevel="1">
      <c r="A606" s="9"/>
      <c r="B606" s="9"/>
      <c r="C606" s="44"/>
      <c r="D606" s="270" t="str">
        <f>Asset9</f>
        <v>IT</v>
      </c>
      <c r="E606" s="9"/>
      <c r="F606" s="9"/>
      <c r="G606" s="204">
        <f>'Adjustment for previous period'!G582</f>
        <v>3.1018293072285652</v>
      </c>
      <c r="H606" s="35"/>
      <c r="I606" s="35"/>
      <c r="J606" s="35"/>
      <c r="K606" s="35"/>
      <c r="L606" s="35"/>
      <c r="M606" s="35"/>
      <c r="N606" s="29"/>
      <c r="O606" s="29"/>
      <c r="P606" s="29"/>
      <c r="Q606" s="29"/>
      <c r="R606" s="29"/>
      <c r="S606" s="100"/>
      <c r="T606" s="100"/>
      <c r="U606" s="100"/>
      <c r="V606" s="100"/>
      <c r="W606" s="100"/>
      <c r="X606" s="100"/>
      <c r="Y606" s="100"/>
      <c r="Z606" s="100"/>
      <c r="AA606" s="228"/>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100"/>
      <c r="BE606" s="100"/>
      <c r="BF606" s="100"/>
      <c r="BG606" s="100"/>
      <c r="BH606" s="100"/>
      <c r="BI606" s="100"/>
      <c r="BJ606" s="100"/>
      <c r="BK606" s="12"/>
      <c r="BL606" s="12"/>
    </row>
    <row r="607" spans="1:64" hidden="1" outlineLevel="1">
      <c r="A607" s="9"/>
      <c r="B607" s="9"/>
      <c r="C607" s="44"/>
      <c r="D607" s="270" t="str">
        <f>Asset10</f>
        <v>Vehicles</v>
      </c>
      <c r="E607" s="9"/>
      <c r="F607" s="9"/>
      <c r="G607" s="204">
        <f>'Adjustment for previous period'!G583</f>
        <v>-0.35276175728998993</v>
      </c>
      <c r="H607" s="35"/>
      <c r="I607" s="35"/>
      <c r="J607" s="35"/>
      <c r="K607" s="35"/>
      <c r="L607" s="35"/>
      <c r="M607" s="35"/>
      <c r="N607" s="29"/>
      <c r="O607" s="29"/>
      <c r="P607" s="29"/>
      <c r="Q607" s="29"/>
      <c r="R607" s="29"/>
      <c r="S607" s="100"/>
      <c r="T607" s="100"/>
      <c r="U607" s="100"/>
      <c r="V607" s="100"/>
      <c r="W607" s="100"/>
      <c r="X607" s="100"/>
      <c r="Y607" s="100"/>
      <c r="Z607" s="100"/>
      <c r="AA607" s="228"/>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100"/>
      <c r="BE607" s="100"/>
      <c r="BF607" s="100"/>
      <c r="BG607" s="100"/>
      <c r="BH607" s="100"/>
      <c r="BI607" s="100"/>
      <c r="BJ607" s="100"/>
      <c r="BK607" s="12"/>
      <c r="BL607" s="12"/>
    </row>
    <row r="608" spans="1:64" hidden="1" outlineLevel="1">
      <c r="A608" s="9"/>
      <c r="B608" s="9"/>
      <c r="C608" s="44"/>
      <c r="D608" s="270" t="str">
        <f>Asset11</f>
        <v>other</v>
      </c>
      <c r="E608" s="9"/>
      <c r="F608" s="9"/>
      <c r="G608" s="204">
        <f>'Adjustment for previous period'!G584</f>
        <v>1.6983766857323237</v>
      </c>
      <c r="H608" s="35"/>
      <c r="I608" s="35"/>
      <c r="J608" s="35"/>
      <c r="K608" s="35"/>
      <c r="L608" s="35"/>
      <c r="M608" s="35"/>
      <c r="N608" s="29"/>
      <c r="O608" s="29"/>
      <c r="P608" s="29"/>
      <c r="Q608" s="29"/>
      <c r="R608" s="29"/>
      <c r="S608" s="100"/>
      <c r="T608" s="100"/>
      <c r="U608" s="100"/>
      <c r="V608" s="100"/>
      <c r="W608" s="100"/>
      <c r="X608" s="100"/>
      <c r="Y608" s="100"/>
      <c r="Z608" s="100"/>
      <c r="AA608" s="228"/>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100"/>
      <c r="BE608" s="100"/>
      <c r="BF608" s="100"/>
      <c r="BG608" s="100"/>
      <c r="BH608" s="100"/>
      <c r="BI608" s="100"/>
      <c r="BJ608" s="100"/>
      <c r="BK608" s="12"/>
      <c r="BL608" s="12"/>
    </row>
    <row r="609" spans="1:64" hidden="1" outlineLevel="1">
      <c r="A609" s="9"/>
      <c r="B609" s="9"/>
      <c r="C609" s="44"/>
      <c r="D609" s="270" t="str">
        <f>Asset12</f>
        <v>premises</v>
      </c>
      <c r="E609" s="9"/>
      <c r="F609" s="9"/>
      <c r="G609" s="204">
        <f>'Adjustment for previous period'!G585</f>
        <v>0.67583448337990049</v>
      </c>
      <c r="H609" s="35"/>
      <c r="I609" s="35"/>
      <c r="J609" s="35"/>
      <c r="K609" s="35"/>
      <c r="L609" s="35"/>
      <c r="M609" s="35"/>
      <c r="N609" s="29"/>
      <c r="O609" s="29"/>
      <c r="P609" s="29"/>
      <c r="Q609" s="29"/>
      <c r="R609" s="29"/>
      <c r="S609" s="100"/>
      <c r="T609" s="100"/>
      <c r="U609" s="100"/>
      <c r="V609" s="100"/>
      <c r="W609" s="100"/>
      <c r="X609" s="100"/>
      <c r="Y609" s="100"/>
      <c r="Z609" s="100"/>
      <c r="AA609" s="228"/>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100"/>
      <c r="BE609" s="100"/>
      <c r="BF609" s="100"/>
      <c r="BG609" s="100"/>
      <c r="BH609" s="100"/>
      <c r="BI609" s="100"/>
      <c r="BJ609" s="100"/>
      <c r="BK609" s="12"/>
      <c r="BL609" s="12"/>
    </row>
    <row r="610" spans="1:64" hidden="1" outlineLevel="1">
      <c r="A610" s="9"/>
      <c r="B610" s="9"/>
      <c r="C610" s="44"/>
      <c r="D610" s="270" t="str">
        <f>Asset13</f>
        <v>Land</v>
      </c>
      <c r="E610" s="9"/>
      <c r="F610" s="9"/>
      <c r="G610" s="204">
        <f>'Adjustment for previous period'!G586</f>
        <v>-0.66707176255729972</v>
      </c>
      <c r="H610" s="35"/>
      <c r="I610" s="35"/>
      <c r="J610" s="35"/>
      <c r="K610" s="35"/>
      <c r="L610" s="35"/>
      <c r="M610" s="35"/>
      <c r="N610" s="29"/>
      <c r="O610" s="29"/>
      <c r="P610" s="29"/>
      <c r="Q610" s="29"/>
      <c r="R610" s="29"/>
      <c r="S610" s="100"/>
      <c r="T610" s="100"/>
      <c r="U610" s="100"/>
      <c r="V610" s="100"/>
      <c r="W610" s="100"/>
      <c r="X610" s="100"/>
      <c r="Y610" s="100"/>
      <c r="Z610" s="100"/>
      <c r="AA610" s="228"/>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100"/>
      <c r="BE610" s="100"/>
      <c r="BF610" s="100"/>
      <c r="BG610" s="100"/>
      <c r="BH610" s="100"/>
      <c r="BI610" s="100"/>
      <c r="BJ610" s="100"/>
      <c r="BK610" s="12"/>
      <c r="BL610" s="12"/>
    </row>
    <row r="611" spans="1:64" hidden="1" outlineLevel="1">
      <c r="A611" s="9"/>
      <c r="B611" s="9"/>
      <c r="C611" s="44"/>
      <c r="D611" s="270" t="str">
        <f>Asset14</f>
        <v>Easements</v>
      </c>
      <c r="E611" s="9"/>
      <c r="F611" s="9"/>
      <c r="G611" s="204">
        <f>'Adjustment for previous period'!G587</f>
        <v>2.4458975599457162E-2</v>
      </c>
      <c r="H611" s="35"/>
      <c r="I611" s="35"/>
      <c r="J611" s="35"/>
      <c r="K611" s="35"/>
      <c r="L611" s="35"/>
      <c r="M611" s="35"/>
      <c r="N611" s="29"/>
      <c r="O611" s="29"/>
      <c r="P611" s="29"/>
      <c r="Q611" s="29"/>
      <c r="R611" s="29"/>
      <c r="S611" s="100"/>
      <c r="T611" s="100"/>
      <c r="U611" s="100"/>
      <c r="V611" s="100"/>
      <c r="W611" s="100"/>
      <c r="X611" s="100"/>
      <c r="Y611" s="100"/>
      <c r="Z611" s="100"/>
      <c r="AA611" s="228"/>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100"/>
      <c r="BE611" s="100"/>
      <c r="BF611" s="100"/>
      <c r="BG611" s="100"/>
      <c r="BH611" s="100"/>
      <c r="BI611" s="100"/>
      <c r="BJ611" s="100"/>
      <c r="BK611" s="12"/>
      <c r="BL611" s="12"/>
    </row>
    <row r="612" spans="1:64" hidden="1" outlineLevel="1">
      <c r="A612" s="9"/>
      <c r="B612" s="9"/>
      <c r="C612" s="44"/>
      <c r="D612" s="270">
        <f>Asset15</f>
        <v>0</v>
      </c>
      <c r="E612" s="9"/>
      <c r="F612" s="9"/>
      <c r="G612" s="204">
        <f>'Adjustment for previous period'!G588</f>
        <v>0</v>
      </c>
      <c r="H612" s="35"/>
      <c r="I612" s="35"/>
      <c r="J612" s="35"/>
      <c r="K612" s="35"/>
      <c r="L612" s="35"/>
      <c r="M612" s="35"/>
      <c r="N612" s="29"/>
      <c r="O612" s="29"/>
      <c r="P612" s="29"/>
      <c r="Q612" s="29"/>
      <c r="R612" s="29"/>
      <c r="S612" s="100"/>
      <c r="T612" s="100"/>
      <c r="U612" s="100"/>
      <c r="V612" s="100"/>
      <c r="W612" s="100"/>
      <c r="X612" s="100"/>
      <c r="Y612" s="100"/>
      <c r="Z612" s="100"/>
      <c r="AA612" s="228"/>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100"/>
      <c r="BE612" s="100"/>
      <c r="BF612" s="100"/>
      <c r="BG612" s="100"/>
      <c r="BH612" s="100"/>
      <c r="BI612" s="100"/>
      <c r="BJ612" s="100"/>
      <c r="BK612" s="12"/>
      <c r="BL612" s="12"/>
    </row>
    <row r="613" spans="1:64" hidden="1" outlineLevel="1">
      <c r="A613" s="9"/>
      <c r="B613" s="9"/>
      <c r="C613" s="44"/>
      <c r="D613" s="270">
        <f>Asset16</f>
        <v>0</v>
      </c>
      <c r="E613" s="9"/>
      <c r="F613" s="9"/>
      <c r="G613" s="204">
        <f>'Adjustment for previous period'!G589</f>
        <v>0</v>
      </c>
      <c r="H613" s="35"/>
      <c r="I613" s="35"/>
      <c r="J613" s="35"/>
      <c r="K613" s="35"/>
      <c r="L613" s="35"/>
      <c r="M613" s="35"/>
      <c r="N613" s="29"/>
      <c r="O613" s="29"/>
      <c r="P613" s="29"/>
      <c r="Q613" s="29"/>
      <c r="R613" s="29"/>
      <c r="S613" s="100"/>
      <c r="T613" s="100"/>
      <c r="U613" s="100"/>
      <c r="V613" s="100"/>
      <c r="W613" s="100"/>
      <c r="X613" s="100"/>
      <c r="Y613" s="100"/>
      <c r="Z613" s="100"/>
      <c r="AA613" s="228"/>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100"/>
      <c r="BE613" s="100"/>
      <c r="BF613" s="100"/>
      <c r="BG613" s="100"/>
      <c r="BH613" s="100"/>
      <c r="BI613" s="100"/>
      <c r="BJ613" s="100"/>
      <c r="BK613" s="12"/>
      <c r="BL613" s="12"/>
    </row>
    <row r="614" spans="1:64" hidden="1" outlineLevel="1">
      <c r="A614" s="9"/>
      <c r="B614" s="9"/>
      <c r="C614" s="44"/>
      <c r="D614" s="270">
        <f>Asset17</f>
        <v>0</v>
      </c>
      <c r="E614" s="9"/>
      <c r="F614" s="9"/>
      <c r="G614" s="204">
        <f>'Adjustment for previous period'!G590</f>
        <v>0</v>
      </c>
      <c r="H614" s="35"/>
      <c r="I614" s="35"/>
      <c r="J614" s="35"/>
      <c r="K614" s="35"/>
      <c r="L614" s="35"/>
      <c r="M614" s="35"/>
      <c r="N614" s="29"/>
      <c r="O614" s="29"/>
      <c r="P614" s="29"/>
      <c r="Q614" s="29"/>
      <c r="R614" s="29"/>
      <c r="S614" s="100"/>
      <c r="T614" s="100"/>
      <c r="U614" s="100"/>
      <c r="V614" s="100"/>
      <c r="W614" s="100"/>
      <c r="X614" s="100"/>
      <c r="Y614" s="100"/>
      <c r="Z614" s="100"/>
      <c r="AA614" s="228"/>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100"/>
      <c r="BE614" s="100"/>
      <c r="BF614" s="100"/>
      <c r="BG614" s="100"/>
      <c r="BH614" s="100"/>
      <c r="BI614" s="100"/>
      <c r="BJ614" s="100"/>
      <c r="BK614" s="12"/>
      <c r="BL614" s="12"/>
    </row>
    <row r="615" spans="1:64" hidden="1" outlineLevel="1">
      <c r="A615" s="9"/>
      <c r="B615" s="9"/>
      <c r="C615" s="44"/>
      <c r="D615" s="270">
        <f>Asset18</f>
        <v>0</v>
      </c>
      <c r="E615" s="9"/>
      <c r="F615" s="9"/>
      <c r="G615" s="204">
        <f>'Adjustment for previous period'!G591</f>
        <v>0</v>
      </c>
      <c r="H615" s="35"/>
      <c r="I615" s="35"/>
      <c r="J615" s="35"/>
      <c r="K615" s="35"/>
      <c r="L615" s="35"/>
      <c r="M615" s="35"/>
      <c r="N615" s="29"/>
      <c r="O615" s="29"/>
      <c r="P615" s="29"/>
      <c r="Q615" s="29"/>
      <c r="R615" s="29"/>
      <c r="S615" s="100"/>
      <c r="T615" s="100"/>
      <c r="U615" s="100"/>
      <c r="V615" s="100"/>
      <c r="W615" s="100"/>
      <c r="X615" s="100"/>
      <c r="Y615" s="100"/>
      <c r="Z615" s="100"/>
      <c r="AA615" s="228"/>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100"/>
      <c r="BE615" s="100"/>
      <c r="BF615" s="100"/>
      <c r="BG615" s="100"/>
      <c r="BH615" s="100"/>
      <c r="BI615" s="100"/>
      <c r="BJ615" s="100"/>
      <c r="BK615" s="12"/>
      <c r="BL615" s="12"/>
    </row>
    <row r="616" spans="1:64" hidden="1" outlineLevel="1">
      <c r="A616" s="9"/>
      <c r="B616" s="9"/>
      <c r="C616" s="44"/>
      <c r="D616" s="270">
        <f>Asset19</f>
        <v>0</v>
      </c>
      <c r="E616" s="9"/>
      <c r="F616" s="9"/>
      <c r="G616" s="204">
        <f>'Adjustment for previous period'!G592</f>
        <v>0</v>
      </c>
      <c r="H616" s="35"/>
      <c r="I616" s="35"/>
      <c r="J616" s="35"/>
      <c r="K616" s="35"/>
      <c r="L616" s="35"/>
      <c r="M616" s="35"/>
      <c r="N616" s="29"/>
      <c r="O616" s="29"/>
      <c r="P616" s="29"/>
      <c r="Q616" s="29"/>
      <c r="R616" s="29"/>
      <c r="S616" s="100"/>
      <c r="T616" s="100"/>
      <c r="U616" s="100"/>
      <c r="V616" s="100"/>
      <c r="W616" s="100"/>
      <c r="X616" s="100"/>
      <c r="Y616" s="100"/>
      <c r="Z616" s="100"/>
      <c r="AA616" s="228"/>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100"/>
      <c r="BE616" s="100"/>
      <c r="BF616" s="100"/>
      <c r="BG616" s="100"/>
      <c r="BH616" s="100"/>
      <c r="BI616" s="100"/>
      <c r="BJ616" s="100"/>
      <c r="BK616" s="12"/>
      <c r="BL616" s="12"/>
    </row>
    <row r="617" spans="1:64" hidden="1" outlineLevel="1">
      <c r="A617" s="9"/>
      <c r="B617" s="9"/>
      <c r="C617" s="44"/>
      <c r="D617" s="270">
        <f>Asset20</f>
        <v>0</v>
      </c>
      <c r="E617" s="9"/>
      <c r="F617" s="9"/>
      <c r="G617" s="204">
        <f>'Adjustment for previous period'!G593</f>
        <v>0</v>
      </c>
      <c r="H617" s="35"/>
      <c r="I617" s="35"/>
      <c r="J617" s="35"/>
      <c r="K617" s="35"/>
      <c r="L617" s="35"/>
      <c r="M617" s="35"/>
      <c r="N617" s="29"/>
      <c r="O617" s="29"/>
      <c r="P617" s="29"/>
      <c r="Q617" s="29"/>
      <c r="R617" s="29"/>
      <c r="S617" s="100"/>
      <c r="T617" s="100"/>
      <c r="U617" s="100"/>
      <c r="V617" s="100"/>
      <c r="W617" s="100"/>
      <c r="X617" s="100"/>
      <c r="Y617" s="100"/>
      <c r="Z617" s="100"/>
      <c r="AA617" s="228"/>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100"/>
      <c r="BE617" s="100"/>
      <c r="BF617" s="100"/>
      <c r="BG617" s="100"/>
      <c r="BH617" s="100"/>
      <c r="BI617" s="100"/>
      <c r="BJ617" s="100"/>
      <c r="BK617" s="12"/>
      <c r="BL617" s="12"/>
    </row>
    <row r="618" spans="1:64" hidden="1" outlineLevel="1">
      <c r="A618" s="9"/>
      <c r="B618" s="9"/>
      <c r="C618" s="44"/>
      <c r="D618" s="270">
        <f>Asset21</f>
        <v>0</v>
      </c>
      <c r="E618" s="9"/>
      <c r="F618" s="9"/>
      <c r="G618" s="204">
        <f>'Adjustment for previous period'!G594</f>
        <v>0</v>
      </c>
      <c r="H618" s="35"/>
      <c r="I618" s="35"/>
      <c r="J618" s="35"/>
      <c r="K618" s="35"/>
      <c r="L618" s="35"/>
      <c r="M618" s="35"/>
      <c r="N618" s="29"/>
      <c r="O618" s="29"/>
      <c r="P618" s="29"/>
      <c r="Q618" s="29"/>
      <c r="R618" s="29"/>
      <c r="S618" s="100"/>
      <c r="T618" s="100"/>
      <c r="U618" s="100"/>
      <c r="V618" s="100"/>
      <c r="W618" s="100"/>
      <c r="X618" s="100"/>
      <c r="Y618" s="100"/>
      <c r="Z618" s="100"/>
      <c r="AA618" s="228"/>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100"/>
      <c r="BE618" s="100"/>
      <c r="BF618" s="100"/>
      <c r="BG618" s="100"/>
      <c r="BH618" s="100"/>
      <c r="BI618" s="100"/>
      <c r="BJ618" s="100"/>
      <c r="BK618" s="12"/>
      <c r="BL618" s="12"/>
    </row>
    <row r="619" spans="1:64" hidden="1" outlineLevel="1">
      <c r="A619" s="9"/>
      <c r="B619" s="9"/>
      <c r="C619" s="44"/>
      <c r="D619" s="270">
        <f>Asset22</f>
        <v>0</v>
      </c>
      <c r="E619" s="9"/>
      <c r="F619" s="9"/>
      <c r="G619" s="204">
        <f>'Adjustment for previous period'!G595</f>
        <v>0</v>
      </c>
      <c r="H619" s="35"/>
      <c r="I619" s="35"/>
      <c r="J619" s="35"/>
      <c r="K619" s="35"/>
      <c r="L619" s="35"/>
      <c r="M619" s="35"/>
      <c r="N619" s="29"/>
      <c r="O619" s="29"/>
      <c r="P619" s="29"/>
      <c r="Q619" s="29"/>
      <c r="R619" s="29"/>
      <c r="S619" s="100"/>
      <c r="T619" s="100"/>
      <c r="U619" s="100"/>
      <c r="V619" s="100"/>
      <c r="W619" s="100"/>
      <c r="X619" s="100"/>
      <c r="Y619" s="100"/>
      <c r="Z619" s="100"/>
      <c r="AA619" s="228"/>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100"/>
      <c r="BE619" s="100"/>
      <c r="BF619" s="100"/>
      <c r="BG619" s="100"/>
      <c r="BH619" s="100"/>
      <c r="BI619" s="100"/>
      <c r="BJ619" s="100"/>
      <c r="BK619" s="12"/>
      <c r="BL619" s="12"/>
    </row>
    <row r="620" spans="1:64" hidden="1" outlineLevel="1">
      <c r="A620" s="9"/>
      <c r="B620" s="9"/>
      <c r="C620" s="44"/>
      <c r="D620" s="270">
        <f>Asset23</f>
        <v>0</v>
      </c>
      <c r="E620" s="9"/>
      <c r="F620" s="9"/>
      <c r="G620" s="204">
        <f>'Adjustment for previous period'!G596</f>
        <v>0</v>
      </c>
      <c r="H620" s="35"/>
      <c r="I620" s="35"/>
      <c r="J620" s="35"/>
      <c r="K620" s="35"/>
      <c r="L620" s="35"/>
      <c r="M620" s="35"/>
      <c r="N620" s="29"/>
      <c r="O620" s="29"/>
      <c r="P620" s="29"/>
      <c r="Q620" s="29"/>
      <c r="R620" s="29"/>
      <c r="S620" s="100"/>
      <c r="T620" s="100"/>
      <c r="U620" s="100"/>
      <c r="V620" s="100"/>
      <c r="W620" s="100"/>
      <c r="X620" s="100"/>
      <c r="Y620" s="100"/>
      <c r="Z620" s="100"/>
      <c r="AA620" s="228"/>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100"/>
      <c r="BE620" s="100"/>
      <c r="BF620" s="100"/>
      <c r="BG620" s="100"/>
      <c r="BH620" s="100"/>
      <c r="BI620" s="100"/>
      <c r="BJ620" s="100"/>
      <c r="BK620" s="12"/>
      <c r="BL620" s="12"/>
    </row>
    <row r="621" spans="1:64" hidden="1" outlineLevel="1">
      <c r="A621" s="9"/>
      <c r="B621" s="9"/>
      <c r="C621" s="44"/>
      <c r="D621" s="270">
        <f>Asset24</f>
        <v>0</v>
      </c>
      <c r="E621" s="9"/>
      <c r="F621" s="9"/>
      <c r="G621" s="204">
        <f>'Adjustment for previous period'!G597</f>
        <v>0</v>
      </c>
      <c r="H621" s="35"/>
      <c r="I621" s="35"/>
      <c r="J621" s="35"/>
      <c r="K621" s="35"/>
      <c r="L621" s="35"/>
      <c r="M621" s="35"/>
      <c r="N621" s="29"/>
      <c r="O621" s="29"/>
      <c r="P621" s="29"/>
      <c r="Q621" s="29"/>
      <c r="R621" s="29"/>
      <c r="S621" s="100"/>
      <c r="T621" s="100"/>
      <c r="U621" s="100"/>
      <c r="V621" s="100"/>
      <c r="W621" s="100"/>
      <c r="X621" s="100"/>
      <c r="Y621" s="100"/>
      <c r="Z621" s="100"/>
      <c r="AA621" s="228"/>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100"/>
      <c r="BE621" s="100"/>
      <c r="BF621" s="100"/>
      <c r="BG621" s="100"/>
      <c r="BH621" s="100"/>
      <c r="BI621" s="100"/>
      <c r="BJ621" s="100"/>
      <c r="BK621" s="12"/>
      <c r="BL621" s="12"/>
    </row>
    <row r="622" spans="1:64" hidden="1" outlineLevel="1">
      <c r="A622" s="9"/>
      <c r="B622" s="9"/>
      <c r="C622" s="44"/>
      <c r="D622" s="270">
        <f>Asset25</f>
        <v>0</v>
      </c>
      <c r="E622" s="9"/>
      <c r="F622" s="9"/>
      <c r="G622" s="204">
        <f>'Adjustment for previous period'!G598</f>
        <v>0</v>
      </c>
      <c r="H622" s="35"/>
      <c r="I622" s="35"/>
      <c r="J622" s="35"/>
      <c r="K622" s="35"/>
      <c r="L622" s="35"/>
      <c r="M622" s="35"/>
      <c r="N622" s="29"/>
      <c r="O622" s="29"/>
      <c r="P622" s="29"/>
      <c r="Q622" s="29"/>
      <c r="R622" s="29"/>
      <c r="S622" s="100"/>
      <c r="T622" s="100"/>
      <c r="U622" s="100"/>
      <c r="V622" s="100"/>
      <c r="W622" s="100"/>
      <c r="X622" s="100"/>
      <c r="Y622" s="100"/>
      <c r="Z622" s="100"/>
      <c r="AA622" s="228"/>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100"/>
      <c r="BE622" s="100"/>
      <c r="BF622" s="100"/>
      <c r="BG622" s="100"/>
      <c r="BH622" s="100"/>
      <c r="BI622" s="100"/>
      <c r="BJ622" s="100"/>
      <c r="BK622" s="12"/>
      <c r="BL622" s="12"/>
    </row>
    <row r="623" spans="1:64" hidden="1" outlineLevel="1">
      <c r="A623" s="9"/>
      <c r="B623" s="9"/>
      <c r="C623" s="44"/>
      <c r="D623" s="270">
        <f>Asset26</f>
        <v>0</v>
      </c>
      <c r="E623" s="9"/>
      <c r="F623" s="9"/>
      <c r="G623" s="204">
        <f>'Adjustment for previous period'!G599</f>
        <v>0</v>
      </c>
      <c r="H623" s="35"/>
      <c r="I623" s="35"/>
      <c r="J623" s="35"/>
      <c r="K623" s="35"/>
      <c r="L623" s="35"/>
      <c r="M623" s="35"/>
      <c r="N623" s="29"/>
      <c r="O623" s="29"/>
      <c r="P623" s="29"/>
      <c r="Q623" s="29"/>
      <c r="R623" s="29"/>
      <c r="S623" s="100"/>
      <c r="T623" s="100"/>
      <c r="U623" s="100"/>
      <c r="V623" s="100"/>
      <c r="W623" s="100"/>
      <c r="X623" s="100"/>
      <c r="Y623" s="100"/>
      <c r="Z623" s="100"/>
      <c r="AA623" s="228"/>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100"/>
      <c r="BE623" s="100"/>
      <c r="BF623" s="100"/>
      <c r="BG623" s="100"/>
      <c r="BH623" s="100"/>
      <c r="BI623" s="100"/>
      <c r="BJ623" s="100"/>
      <c r="BK623" s="12"/>
      <c r="BL623" s="12"/>
    </row>
    <row r="624" spans="1:64" hidden="1" outlineLevel="1">
      <c r="A624" s="9"/>
      <c r="B624" s="9"/>
      <c r="C624" s="44"/>
      <c r="D624" s="270">
        <f>Asset27</f>
        <v>0</v>
      </c>
      <c r="E624" s="9"/>
      <c r="F624" s="9"/>
      <c r="G624" s="204">
        <f>'Adjustment for previous period'!G600</f>
        <v>0</v>
      </c>
      <c r="H624" s="35"/>
      <c r="I624" s="35"/>
      <c r="J624" s="35"/>
      <c r="K624" s="35"/>
      <c r="L624" s="35"/>
      <c r="M624" s="35"/>
      <c r="N624" s="29"/>
      <c r="O624" s="29"/>
      <c r="P624" s="29"/>
      <c r="Q624" s="29"/>
      <c r="R624" s="29"/>
      <c r="S624" s="100"/>
      <c r="T624" s="100"/>
      <c r="U624" s="100"/>
      <c r="V624" s="100"/>
      <c r="W624" s="100"/>
      <c r="X624" s="100"/>
      <c r="Y624" s="100"/>
      <c r="Z624" s="100"/>
      <c r="AA624" s="228"/>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100"/>
      <c r="BE624" s="100"/>
      <c r="BF624" s="100"/>
      <c r="BG624" s="100"/>
      <c r="BH624" s="100"/>
      <c r="BI624" s="100"/>
      <c r="BJ624" s="100"/>
      <c r="BK624" s="12"/>
      <c r="BL624" s="12"/>
    </row>
    <row r="625" spans="1:64" hidden="1" outlineLevel="1">
      <c r="A625" s="9"/>
      <c r="B625" s="9"/>
      <c r="C625" s="44"/>
      <c r="D625" s="270">
        <f>Asset28</f>
        <v>0</v>
      </c>
      <c r="E625" s="9"/>
      <c r="F625" s="9"/>
      <c r="G625" s="204">
        <f>'Adjustment for previous period'!G601</f>
        <v>0</v>
      </c>
      <c r="H625" s="35"/>
      <c r="I625" s="35"/>
      <c r="J625" s="35"/>
      <c r="K625" s="35"/>
      <c r="L625" s="35"/>
      <c r="M625" s="35"/>
      <c r="N625" s="29"/>
      <c r="O625" s="29"/>
      <c r="P625" s="29"/>
      <c r="Q625" s="29"/>
      <c r="R625" s="29"/>
      <c r="S625" s="100"/>
      <c r="T625" s="100"/>
      <c r="U625" s="100"/>
      <c r="V625" s="100"/>
      <c r="W625" s="100"/>
      <c r="X625" s="100"/>
      <c r="Y625" s="100"/>
      <c r="Z625" s="100"/>
      <c r="AA625" s="228"/>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100"/>
      <c r="BE625" s="100"/>
      <c r="BF625" s="100"/>
      <c r="BG625" s="100"/>
      <c r="BH625" s="100"/>
      <c r="BI625" s="100"/>
      <c r="BJ625" s="100"/>
      <c r="BK625" s="12"/>
      <c r="BL625" s="12"/>
    </row>
    <row r="626" spans="1:64" hidden="1" outlineLevel="1">
      <c r="A626" s="9"/>
      <c r="B626" s="9"/>
      <c r="C626" s="44"/>
      <c r="D626" s="270">
        <f>Asset29</f>
        <v>0</v>
      </c>
      <c r="E626" s="9"/>
      <c r="F626" s="9"/>
      <c r="G626" s="204">
        <f>'Adjustment for previous period'!G602</f>
        <v>0</v>
      </c>
      <c r="H626" s="35"/>
      <c r="I626" s="35"/>
      <c r="J626" s="35"/>
      <c r="K626" s="35"/>
      <c r="L626" s="35"/>
      <c r="M626" s="35"/>
      <c r="N626" s="29"/>
      <c r="O626" s="29"/>
      <c r="P626" s="29"/>
      <c r="Q626" s="29"/>
      <c r="R626" s="29"/>
      <c r="S626" s="100"/>
      <c r="T626" s="100"/>
      <c r="U626" s="100"/>
      <c r="V626" s="100"/>
      <c r="W626" s="100"/>
      <c r="X626" s="100"/>
      <c r="Y626" s="100"/>
      <c r="Z626" s="100"/>
      <c r="AA626" s="228"/>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100"/>
      <c r="BE626" s="100"/>
      <c r="BF626" s="100"/>
      <c r="BG626" s="100"/>
      <c r="BH626" s="100"/>
      <c r="BI626" s="100"/>
      <c r="BJ626" s="100"/>
      <c r="BK626" s="12"/>
      <c r="BL626" s="12"/>
    </row>
    <row r="627" spans="1:64" hidden="1" outlineLevel="1">
      <c r="A627" s="9"/>
      <c r="B627" s="9"/>
      <c r="C627" s="44"/>
      <c r="D627" s="270">
        <f>Asset30</f>
        <v>0</v>
      </c>
      <c r="E627" s="9"/>
      <c r="F627" s="9"/>
      <c r="G627" s="204">
        <f>'Adjustment for previous period'!G603</f>
        <v>0</v>
      </c>
      <c r="H627" s="35"/>
      <c r="I627" s="35"/>
      <c r="J627" s="35"/>
      <c r="K627" s="35"/>
      <c r="L627" s="35"/>
      <c r="M627" s="35"/>
      <c r="N627" s="29"/>
      <c r="O627" s="29"/>
      <c r="P627" s="29"/>
      <c r="Q627" s="29"/>
      <c r="R627" s="29"/>
      <c r="S627" s="100"/>
      <c r="T627" s="100"/>
      <c r="U627" s="100"/>
      <c r="V627" s="100"/>
      <c r="W627" s="100"/>
      <c r="X627" s="100"/>
      <c r="Y627" s="100"/>
      <c r="Z627" s="100"/>
      <c r="AA627" s="228"/>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100"/>
      <c r="BE627" s="100"/>
      <c r="BF627" s="100"/>
      <c r="BG627" s="100"/>
      <c r="BH627" s="100"/>
      <c r="BI627" s="100"/>
      <c r="BJ627" s="100"/>
      <c r="BK627" s="12"/>
      <c r="BL627" s="12"/>
    </row>
    <row r="628" spans="1:64" collapsed="1">
      <c r="A628" s="9"/>
      <c r="B628" s="9"/>
      <c r="C628" s="44"/>
      <c r="D628" s="113"/>
      <c r="E628" s="9"/>
      <c r="F628" s="9"/>
      <c r="G628" s="208"/>
      <c r="H628" s="35"/>
      <c r="I628" s="35"/>
      <c r="J628" s="35"/>
      <c r="K628" s="35"/>
      <c r="L628" s="35"/>
      <c r="M628" s="35"/>
      <c r="N628" s="29"/>
      <c r="O628" s="29"/>
      <c r="P628" s="29"/>
      <c r="Q628" s="29"/>
      <c r="R628" s="29"/>
      <c r="S628" s="100"/>
      <c r="T628" s="100"/>
      <c r="U628" s="100"/>
      <c r="V628" s="100"/>
      <c r="W628" s="100"/>
      <c r="X628" s="100"/>
      <c r="Y628" s="100"/>
      <c r="Z628" s="100"/>
      <c r="AA628" s="228"/>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100"/>
      <c r="BE628" s="100"/>
      <c r="BF628" s="100"/>
      <c r="BG628" s="100"/>
      <c r="BH628" s="100"/>
      <c r="BI628" s="100"/>
      <c r="BJ628" s="100"/>
      <c r="BK628" s="12"/>
      <c r="BL628" s="12"/>
    </row>
    <row r="629" spans="1:64">
      <c r="A629" s="9"/>
      <c r="B629" s="9"/>
      <c r="C629" s="44" t="s">
        <v>58</v>
      </c>
      <c r="D629" s="127"/>
      <c r="E629" s="9"/>
      <c r="F629" s="9"/>
      <c r="G629" s="310">
        <f>SUM(G630:G659)</f>
        <v>17.003209000000002</v>
      </c>
      <c r="H629" s="111"/>
      <c r="I629" s="111"/>
      <c r="J629" s="111"/>
      <c r="K629" s="111"/>
      <c r="L629" s="111"/>
      <c r="M629" s="111"/>
      <c r="N629" s="29"/>
      <c r="O629" s="29"/>
      <c r="P629" s="29"/>
      <c r="Q629" s="29"/>
      <c r="R629" s="29"/>
      <c r="S629" s="100"/>
      <c r="T629" s="100"/>
      <c r="U629" s="100"/>
      <c r="V629" s="100"/>
      <c r="W629" s="100"/>
      <c r="X629" s="100"/>
      <c r="Y629" s="100"/>
      <c r="Z629" s="100"/>
      <c r="AA629" s="228"/>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100"/>
      <c r="BE629" s="100"/>
      <c r="BF629" s="100"/>
      <c r="BG629" s="100"/>
      <c r="BH629" s="100"/>
      <c r="BI629" s="100"/>
      <c r="BJ629" s="100"/>
      <c r="BK629" s="12"/>
      <c r="BL629" s="12"/>
    </row>
    <row r="630" spans="1:64" hidden="1" outlineLevel="1">
      <c r="A630" s="9"/>
      <c r="B630" s="9"/>
      <c r="C630" s="44"/>
      <c r="D630" s="270" t="str">
        <f>Asset1</f>
        <v>Secondary</v>
      </c>
      <c r="E630" s="9"/>
      <c r="F630" s="9"/>
      <c r="G630" s="204">
        <f>'Adjustment for previous period'!G606</f>
        <v>6.3991040000000003</v>
      </c>
      <c r="H630" s="111"/>
      <c r="I630" s="111"/>
      <c r="J630" s="111"/>
      <c r="K630" s="111"/>
      <c r="L630" s="111"/>
      <c r="M630" s="111"/>
      <c r="N630" s="29"/>
      <c r="O630" s="29"/>
      <c r="P630" s="29"/>
      <c r="Q630" s="29"/>
      <c r="R630" s="29"/>
      <c r="S630" s="100"/>
      <c r="T630" s="100"/>
      <c r="U630" s="100"/>
      <c r="V630" s="100"/>
      <c r="W630" s="100"/>
      <c r="X630" s="100"/>
      <c r="Y630" s="100"/>
      <c r="Z630" s="100"/>
      <c r="AA630" s="228"/>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100"/>
      <c r="BE630" s="100"/>
      <c r="BF630" s="100"/>
      <c r="BG630" s="100"/>
      <c r="BH630" s="100"/>
      <c r="BI630" s="100"/>
      <c r="BJ630" s="100"/>
      <c r="BK630" s="12"/>
      <c r="BL630" s="12"/>
    </row>
    <row r="631" spans="1:64" hidden="1" outlineLevel="1">
      <c r="A631" s="9"/>
      <c r="B631" s="9"/>
      <c r="C631" s="44"/>
      <c r="D631" s="270" t="str">
        <f>Asset2</f>
        <v>Switchgear</v>
      </c>
      <c r="E631" s="9"/>
      <c r="F631" s="9"/>
      <c r="G631" s="204">
        <f>'Adjustment for previous period'!G607</f>
        <v>4.6862470000000007</v>
      </c>
      <c r="H631" s="111"/>
      <c r="I631" s="111"/>
      <c r="J631" s="111"/>
      <c r="K631" s="111"/>
      <c r="L631" s="111"/>
      <c r="M631" s="111"/>
      <c r="N631" s="29"/>
      <c r="O631" s="29"/>
      <c r="P631" s="29"/>
      <c r="Q631" s="29"/>
      <c r="R631" s="29"/>
      <c r="S631" s="100"/>
      <c r="T631" s="100"/>
      <c r="U631" s="100"/>
      <c r="V631" s="100"/>
      <c r="W631" s="100"/>
      <c r="X631" s="100"/>
      <c r="Y631" s="100"/>
      <c r="Z631" s="100"/>
      <c r="AA631" s="228"/>
      <c r="AB631" s="228"/>
      <c r="AC631" s="228"/>
      <c r="AD631" s="228"/>
      <c r="AE631" s="228"/>
      <c r="AF631" s="228"/>
      <c r="AG631" s="228"/>
      <c r="AH631" s="228"/>
      <c r="AI631" s="228"/>
      <c r="AJ631" s="228"/>
      <c r="AK631" s="228"/>
      <c r="AL631" s="228"/>
      <c r="AM631" s="228"/>
      <c r="AN631" s="228"/>
      <c r="AO631" s="228"/>
      <c r="AP631" s="228"/>
      <c r="AQ631" s="228"/>
      <c r="AR631" s="228"/>
      <c r="AS631" s="228"/>
      <c r="AT631" s="228"/>
      <c r="AU631" s="228"/>
      <c r="AV631" s="228"/>
      <c r="AW631" s="228"/>
      <c r="AX631" s="228"/>
      <c r="AY631" s="228"/>
      <c r="AZ631" s="228"/>
      <c r="BA631" s="228"/>
      <c r="BB631" s="228"/>
      <c r="BC631" s="228"/>
      <c r="BD631" s="100"/>
      <c r="BE631" s="100"/>
      <c r="BF631" s="100"/>
      <c r="BG631" s="100"/>
      <c r="BH631" s="100"/>
      <c r="BI631" s="100"/>
      <c r="BJ631" s="100"/>
      <c r="BK631" s="12"/>
      <c r="BL631" s="12"/>
    </row>
    <row r="632" spans="1:64" hidden="1" outlineLevel="1">
      <c r="A632" s="9"/>
      <c r="B632" s="9"/>
      <c r="C632" s="44"/>
      <c r="D632" s="270" t="str">
        <f>Asset3</f>
        <v>Transformers</v>
      </c>
      <c r="E632" s="9"/>
      <c r="F632" s="9"/>
      <c r="G632" s="204">
        <f>'Adjustment for previous period'!G608</f>
        <v>0</v>
      </c>
      <c r="H632" s="111"/>
      <c r="I632" s="111"/>
      <c r="J632" s="111"/>
      <c r="K632" s="111"/>
      <c r="L632" s="111"/>
      <c r="M632" s="111"/>
      <c r="N632" s="29"/>
      <c r="O632" s="29"/>
      <c r="P632" s="29"/>
      <c r="Q632" s="29"/>
      <c r="R632" s="29"/>
      <c r="S632" s="100"/>
      <c r="T632" s="100"/>
      <c r="U632" s="100"/>
      <c r="V632" s="100"/>
      <c r="W632" s="100"/>
      <c r="X632" s="100"/>
      <c r="Y632" s="100"/>
      <c r="Z632" s="100"/>
      <c r="AA632" s="228"/>
      <c r="AB632" s="228"/>
      <c r="AC632" s="228"/>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228"/>
      <c r="BD632" s="100"/>
      <c r="BE632" s="100"/>
      <c r="BF632" s="100"/>
      <c r="BG632" s="100"/>
      <c r="BH632" s="100"/>
      <c r="BI632" s="100"/>
      <c r="BJ632" s="100"/>
      <c r="BK632" s="12"/>
      <c r="BL632" s="12"/>
    </row>
    <row r="633" spans="1:64" hidden="1" outlineLevel="1">
      <c r="A633" s="9"/>
      <c r="B633" s="9"/>
      <c r="C633" s="44"/>
      <c r="D633" s="270" t="str">
        <f>Asset4</f>
        <v>Reactive</v>
      </c>
      <c r="E633" s="9"/>
      <c r="F633" s="9"/>
      <c r="G633" s="204">
        <f>'Adjustment for previous period'!G609</f>
        <v>0</v>
      </c>
      <c r="H633" s="111"/>
      <c r="I633" s="111"/>
      <c r="J633" s="111"/>
      <c r="K633" s="111"/>
      <c r="L633" s="111"/>
      <c r="M633" s="111"/>
      <c r="N633" s="29"/>
      <c r="O633" s="29"/>
      <c r="P633" s="29"/>
      <c r="Q633" s="29"/>
      <c r="R633" s="29"/>
      <c r="S633" s="100"/>
      <c r="T633" s="100"/>
      <c r="U633" s="100"/>
      <c r="V633" s="100"/>
      <c r="W633" s="100"/>
      <c r="X633" s="100"/>
      <c r="Y633" s="100"/>
      <c r="Z633" s="100"/>
      <c r="AA633" s="228"/>
      <c r="AB633" s="228"/>
      <c r="AC633" s="228"/>
      <c r="AD633" s="228"/>
      <c r="AE633" s="228"/>
      <c r="AF633" s="228"/>
      <c r="AG633" s="228"/>
      <c r="AH633" s="228"/>
      <c r="AI633" s="228"/>
      <c r="AJ633" s="228"/>
      <c r="AK633" s="228"/>
      <c r="AL633" s="228"/>
      <c r="AM633" s="228"/>
      <c r="AN633" s="228"/>
      <c r="AO633" s="228"/>
      <c r="AP633" s="228"/>
      <c r="AQ633" s="228"/>
      <c r="AR633" s="228"/>
      <c r="AS633" s="228"/>
      <c r="AT633" s="228"/>
      <c r="AU633" s="228"/>
      <c r="AV633" s="228"/>
      <c r="AW633" s="228"/>
      <c r="AX633" s="228"/>
      <c r="AY633" s="228"/>
      <c r="AZ633" s="228"/>
      <c r="BA633" s="228"/>
      <c r="BB633" s="228"/>
      <c r="BC633" s="228"/>
      <c r="BD633" s="100"/>
      <c r="BE633" s="100"/>
      <c r="BF633" s="100"/>
      <c r="BG633" s="100"/>
      <c r="BH633" s="100"/>
      <c r="BI633" s="100"/>
      <c r="BJ633" s="100"/>
      <c r="BK633" s="12"/>
      <c r="BL633" s="12"/>
    </row>
    <row r="634" spans="1:64" hidden="1" outlineLevel="1">
      <c r="A634" s="9"/>
      <c r="B634" s="9"/>
      <c r="C634" s="44"/>
      <c r="D634" s="270" t="str">
        <f>Asset5</f>
        <v>Towers and Conductor</v>
      </c>
      <c r="E634" s="9"/>
      <c r="F634" s="9"/>
      <c r="G634" s="204">
        <f>'Adjustment for previous period'!G610</f>
        <v>4.1564750000000004</v>
      </c>
      <c r="H634" s="111"/>
      <c r="I634" s="111"/>
      <c r="J634" s="111"/>
      <c r="K634" s="111"/>
      <c r="L634" s="111"/>
      <c r="M634" s="111"/>
      <c r="N634" s="29"/>
      <c r="O634" s="29"/>
      <c r="P634" s="29"/>
      <c r="Q634" s="29"/>
      <c r="R634" s="29"/>
      <c r="S634" s="100"/>
      <c r="T634" s="100"/>
      <c r="U634" s="100"/>
      <c r="V634" s="100"/>
      <c r="W634" s="100"/>
      <c r="X634" s="100"/>
      <c r="Y634" s="100"/>
      <c r="Z634" s="100"/>
      <c r="AA634" s="228"/>
      <c r="AB634" s="228"/>
      <c r="AC634" s="228"/>
      <c r="AD634" s="228"/>
      <c r="AE634" s="228"/>
      <c r="AF634" s="228"/>
      <c r="AG634" s="228"/>
      <c r="AH634" s="228"/>
      <c r="AI634" s="228"/>
      <c r="AJ634" s="228"/>
      <c r="AK634" s="228"/>
      <c r="AL634" s="228"/>
      <c r="AM634" s="228"/>
      <c r="AN634" s="228"/>
      <c r="AO634" s="228"/>
      <c r="AP634" s="228"/>
      <c r="AQ634" s="228"/>
      <c r="AR634" s="228"/>
      <c r="AS634" s="228"/>
      <c r="AT634" s="228"/>
      <c r="AU634" s="228"/>
      <c r="AV634" s="228"/>
      <c r="AW634" s="228"/>
      <c r="AX634" s="228"/>
      <c r="AY634" s="228"/>
      <c r="AZ634" s="228"/>
      <c r="BA634" s="228"/>
      <c r="BB634" s="228"/>
      <c r="BC634" s="228"/>
      <c r="BD634" s="100"/>
      <c r="BE634" s="100"/>
      <c r="BF634" s="100"/>
      <c r="BG634" s="100"/>
      <c r="BH634" s="100"/>
      <c r="BI634" s="100"/>
      <c r="BJ634" s="100"/>
      <c r="BK634" s="12"/>
      <c r="BL634" s="12"/>
    </row>
    <row r="635" spans="1:64" hidden="1" outlineLevel="1">
      <c r="A635" s="9"/>
      <c r="B635" s="9"/>
      <c r="C635" s="44"/>
      <c r="D635" s="270" t="str">
        <f>Asset6</f>
        <v>Establishment</v>
      </c>
      <c r="E635" s="9"/>
      <c r="F635" s="9"/>
      <c r="G635" s="204">
        <f>'Adjustment for previous period'!G611</f>
        <v>0</v>
      </c>
      <c r="H635" s="111"/>
      <c r="I635" s="111"/>
      <c r="J635" s="111"/>
      <c r="K635" s="111"/>
      <c r="L635" s="111"/>
      <c r="M635" s="111"/>
      <c r="N635" s="29"/>
      <c r="O635" s="29"/>
      <c r="P635" s="29"/>
      <c r="Q635" s="29"/>
      <c r="R635" s="29"/>
      <c r="S635" s="100"/>
      <c r="T635" s="100"/>
      <c r="U635" s="100"/>
      <c r="V635" s="100"/>
      <c r="W635" s="100"/>
      <c r="X635" s="100"/>
      <c r="Y635" s="100"/>
      <c r="Z635" s="100"/>
      <c r="AA635" s="228"/>
      <c r="AB635" s="228"/>
      <c r="AC635" s="228"/>
      <c r="AD635" s="228"/>
      <c r="AE635" s="228"/>
      <c r="AF635" s="228"/>
      <c r="AG635" s="228"/>
      <c r="AH635" s="228"/>
      <c r="AI635" s="228"/>
      <c r="AJ635" s="228"/>
      <c r="AK635" s="228"/>
      <c r="AL635" s="228"/>
      <c r="AM635" s="228"/>
      <c r="AN635" s="228"/>
      <c r="AO635" s="228"/>
      <c r="AP635" s="228"/>
      <c r="AQ635" s="228"/>
      <c r="AR635" s="228"/>
      <c r="AS635" s="228"/>
      <c r="AT635" s="228"/>
      <c r="AU635" s="228"/>
      <c r="AV635" s="228"/>
      <c r="AW635" s="228"/>
      <c r="AX635" s="228"/>
      <c r="AY635" s="228"/>
      <c r="AZ635" s="228"/>
      <c r="BA635" s="228"/>
      <c r="BB635" s="228"/>
      <c r="BC635" s="228"/>
      <c r="BD635" s="100"/>
      <c r="BE635" s="100"/>
      <c r="BF635" s="100"/>
      <c r="BG635" s="100"/>
      <c r="BH635" s="100"/>
      <c r="BI635" s="100"/>
      <c r="BJ635" s="100"/>
      <c r="BK635" s="12"/>
      <c r="BL635" s="12"/>
    </row>
    <row r="636" spans="1:64" hidden="1" outlineLevel="1">
      <c r="A636" s="9"/>
      <c r="B636" s="9"/>
      <c r="C636" s="44"/>
      <c r="D636" s="270" t="str">
        <f>Asset7</f>
        <v>Communications</v>
      </c>
      <c r="E636" s="9"/>
      <c r="F636" s="9"/>
      <c r="G636" s="204">
        <f>'Adjustment for previous period'!G612</f>
        <v>1.3286929999999999</v>
      </c>
      <c r="H636" s="111"/>
      <c r="I636" s="111"/>
      <c r="J636" s="111"/>
      <c r="K636" s="111"/>
      <c r="L636" s="111"/>
      <c r="M636" s="111"/>
      <c r="N636" s="29"/>
      <c r="O636" s="29"/>
      <c r="P636" s="29"/>
      <c r="Q636" s="29"/>
      <c r="R636" s="29"/>
      <c r="S636" s="100"/>
      <c r="T636" s="100"/>
      <c r="U636" s="100"/>
      <c r="V636" s="100"/>
      <c r="W636" s="100"/>
      <c r="X636" s="100"/>
      <c r="Y636" s="100"/>
      <c r="Z636" s="100"/>
      <c r="AA636" s="228"/>
      <c r="AB636" s="228"/>
      <c r="AC636" s="228"/>
      <c r="AD636" s="228"/>
      <c r="AE636" s="228"/>
      <c r="AF636" s="228"/>
      <c r="AG636" s="228"/>
      <c r="AH636" s="228"/>
      <c r="AI636" s="228"/>
      <c r="AJ636" s="228"/>
      <c r="AK636" s="228"/>
      <c r="AL636" s="228"/>
      <c r="AM636" s="228"/>
      <c r="AN636" s="228"/>
      <c r="AO636" s="228"/>
      <c r="AP636" s="228"/>
      <c r="AQ636" s="228"/>
      <c r="AR636" s="228"/>
      <c r="AS636" s="228"/>
      <c r="AT636" s="228"/>
      <c r="AU636" s="228"/>
      <c r="AV636" s="228"/>
      <c r="AW636" s="228"/>
      <c r="AX636" s="228"/>
      <c r="AY636" s="228"/>
      <c r="AZ636" s="228"/>
      <c r="BA636" s="228"/>
      <c r="BB636" s="228"/>
      <c r="BC636" s="228"/>
      <c r="BD636" s="100"/>
      <c r="BE636" s="100"/>
      <c r="BF636" s="100"/>
      <c r="BG636" s="100"/>
      <c r="BH636" s="100"/>
      <c r="BI636" s="100"/>
      <c r="BJ636" s="100"/>
      <c r="BK636" s="12"/>
      <c r="BL636" s="12"/>
    </row>
    <row r="637" spans="1:64" hidden="1" outlineLevel="1">
      <c r="A637" s="9"/>
      <c r="B637" s="9"/>
      <c r="C637" s="44"/>
      <c r="D637" s="270" t="str">
        <f>Asset8</f>
        <v>Inventory</v>
      </c>
      <c r="E637" s="9"/>
      <c r="F637" s="9"/>
      <c r="G637" s="204">
        <f>'Adjustment for previous period'!G613</f>
        <v>0</v>
      </c>
      <c r="H637" s="111"/>
      <c r="I637" s="111"/>
      <c r="J637" s="111"/>
      <c r="K637" s="111"/>
      <c r="L637" s="111"/>
      <c r="M637" s="111"/>
      <c r="N637" s="29"/>
      <c r="O637" s="29"/>
      <c r="P637" s="29"/>
      <c r="Q637" s="29"/>
      <c r="R637" s="29"/>
      <c r="S637" s="100"/>
      <c r="T637" s="100"/>
      <c r="U637" s="100"/>
      <c r="V637" s="100"/>
      <c r="W637" s="100"/>
      <c r="X637" s="100"/>
      <c r="Y637" s="100"/>
      <c r="Z637" s="100"/>
      <c r="AA637" s="228"/>
      <c r="AB637" s="228"/>
      <c r="AC637" s="228"/>
      <c r="AD637" s="228"/>
      <c r="AE637" s="228"/>
      <c r="AF637" s="228"/>
      <c r="AG637" s="228"/>
      <c r="AH637" s="228"/>
      <c r="AI637" s="228"/>
      <c r="AJ637" s="228"/>
      <c r="AK637" s="228"/>
      <c r="AL637" s="228"/>
      <c r="AM637" s="228"/>
      <c r="AN637" s="228"/>
      <c r="AO637" s="228"/>
      <c r="AP637" s="228"/>
      <c r="AQ637" s="228"/>
      <c r="AR637" s="228"/>
      <c r="AS637" s="228"/>
      <c r="AT637" s="228"/>
      <c r="AU637" s="228"/>
      <c r="AV637" s="228"/>
      <c r="AW637" s="228"/>
      <c r="AX637" s="228"/>
      <c r="AY637" s="228"/>
      <c r="AZ637" s="228"/>
      <c r="BA637" s="228"/>
      <c r="BB637" s="228"/>
      <c r="BC637" s="228"/>
      <c r="BD637" s="100"/>
      <c r="BE637" s="100"/>
      <c r="BF637" s="100"/>
      <c r="BG637" s="100"/>
      <c r="BH637" s="100"/>
      <c r="BI637" s="100"/>
      <c r="BJ637" s="100"/>
      <c r="BK637" s="12"/>
      <c r="BL637" s="12"/>
    </row>
    <row r="638" spans="1:64" hidden="1" outlineLevel="1">
      <c r="A638" s="9"/>
      <c r="B638" s="9"/>
      <c r="C638" s="44"/>
      <c r="D638" s="270" t="str">
        <f>Asset9</f>
        <v>IT</v>
      </c>
      <c r="E638" s="9"/>
      <c r="F638" s="9"/>
      <c r="G638" s="204">
        <f>'Adjustment for previous period'!G614</f>
        <v>0</v>
      </c>
      <c r="H638" s="111"/>
      <c r="I638" s="111"/>
      <c r="J638" s="111"/>
      <c r="K638" s="111"/>
      <c r="L638" s="111"/>
      <c r="M638" s="111"/>
      <c r="N638" s="29"/>
      <c r="O638" s="29"/>
      <c r="P638" s="29"/>
      <c r="Q638" s="29"/>
      <c r="R638" s="29"/>
      <c r="S638" s="100"/>
      <c r="T638" s="100"/>
      <c r="U638" s="100"/>
      <c r="V638" s="100"/>
      <c r="W638" s="100"/>
      <c r="X638" s="100"/>
      <c r="Y638" s="100"/>
      <c r="Z638" s="100"/>
      <c r="AA638" s="228"/>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8"/>
      <c r="AY638" s="228"/>
      <c r="AZ638" s="228"/>
      <c r="BA638" s="228"/>
      <c r="BB638" s="228"/>
      <c r="BC638" s="228"/>
      <c r="BD638" s="100"/>
      <c r="BE638" s="100"/>
      <c r="BF638" s="100"/>
      <c r="BG638" s="100"/>
      <c r="BH638" s="100"/>
      <c r="BI638" s="100"/>
      <c r="BJ638" s="100"/>
      <c r="BK638" s="12"/>
      <c r="BL638" s="12"/>
    </row>
    <row r="639" spans="1:64" hidden="1" outlineLevel="1">
      <c r="A639" s="9"/>
      <c r="B639" s="9"/>
      <c r="C639" s="44"/>
      <c r="D639" s="270" t="str">
        <f>Asset10</f>
        <v>Vehicles</v>
      </c>
      <c r="E639" s="9"/>
      <c r="F639" s="9"/>
      <c r="G639" s="204">
        <f>'Adjustment for previous period'!G615</f>
        <v>0</v>
      </c>
      <c r="H639" s="111"/>
      <c r="I639" s="111"/>
      <c r="J639" s="111"/>
      <c r="K639" s="111"/>
      <c r="L639" s="111"/>
      <c r="M639" s="111"/>
      <c r="N639" s="29"/>
      <c r="O639" s="29"/>
      <c r="P639" s="29"/>
      <c r="Q639" s="29"/>
      <c r="R639" s="29"/>
      <c r="S639" s="100"/>
      <c r="T639" s="100"/>
      <c r="U639" s="100"/>
      <c r="V639" s="100"/>
      <c r="W639" s="100"/>
      <c r="X639" s="100"/>
      <c r="Y639" s="100"/>
      <c r="Z639" s="100"/>
      <c r="AA639" s="228"/>
      <c r="AB639" s="228"/>
      <c r="AC639" s="228"/>
      <c r="AD639" s="228"/>
      <c r="AE639" s="228"/>
      <c r="AF639" s="228"/>
      <c r="AG639" s="228"/>
      <c r="AH639" s="228"/>
      <c r="AI639" s="228"/>
      <c r="AJ639" s="228"/>
      <c r="AK639" s="228"/>
      <c r="AL639" s="228"/>
      <c r="AM639" s="228"/>
      <c r="AN639" s="228"/>
      <c r="AO639" s="228"/>
      <c r="AP639" s="228"/>
      <c r="AQ639" s="228"/>
      <c r="AR639" s="228"/>
      <c r="AS639" s="228"/>
      <c r="AT639" s="228"/>
      <c r="AU639" s="228"/>
      <c r="AV639" s="228"/>
      <c r="AW639" s="228"/>
      <c r="AX639" s="228"/>
      <c r="AY639" s="228"/>
      <c r="AZ639" s="228"/>
      <c r="BA639" s="228"/>
      <c r="BB639" s="228"/>
      <c r="BC639" s="228"/>
      <c r="BD639" s="100"/>
      <c r="BE639" s="100"/>
      <c r="BF639" s="100"/>
      <c r="BG639" s="100"/>
      <c r="BH639" s="100"/>
      <c r="BI639" s="100"/>
      <c r="BJ639" s="100"/>
      <c r="BK639" s="12"/>
      <c r="BL639" s="12"/>
    </row>
    <row r="640" spans="1:64" hidden="1" outlineLevel="1">
      <c r="A640" s="9"/>
      <c r="B640" s="9"/>
      <c r="C640" s="44"/>
      <c r="D640" s="270" t="str">
        <f>Asset11</f>
        <v>other</v>
      </c>
      <c r="E640" s="9"/>
      <c r="F640" s="9"/>
      <c r="G640" s="204">
        <f>'Adjustment for previous period'!G616</f>
        <v>0.43269000000000002</v>
      </c>
      <c r="H640" s="111"/>
      <c r="I640" s="111"/>
      <c r="J640" s="111"/>
      <c r="K640" s="111"/>
      <c r="L640" s="111"/>
      <c r="M640" s="111"/>
      <c r="N640" s="29"/>
      <c r="O640" s="29"/>
      <c r="P640" s="29"/>
      <c r="Q640" s="29"/>
      <c r="R640" s="29"/>
      <c r="S640" s="100"/>
      <c r="T640" s="100"/>
      <c r="U640" s="100"/>
      <c r="V640" s="100"/>
      <c r="W640" s="100"/>
      <c r="X640" s="100"/>
      <c r="Y640" s="100"/>
      <c r="Z640" s="100"/>
      <c r="AA640" s="228"/>
      <c r="AB640" s="228"/>
      <c r="AC640" s="228"/>
      <c r="AD640" s="228"/>
      <c r="AE640" s="228"/>
      <c r="AF640" s="228"/>
      <c r="AG640" s="228"/>
      <c r="AH640" s="228"/>
      <c r="AI640" s="228"/>
      <c r="AJ640" s="228"/>
      <c r="AK640" s="228"/>
      <c r="AL640" s="228"/>
      <c r="AM640" s="228"/>
      <c r="AN640" s="228"/>
      <c r="AO640" s="228"/>
      <c r="AP640" s="228"/>
      <c r="AQ640" s="228"/>
      <c r="AR640" s="228"/>
      <c r="AS640" s="228"/>
      <c r="AT640" s="228"/>
      <c r="AU640" s="228"/>
      <c r="AV640" s="228"/>
      <c r="AW640" s="228"/>
      <c r="AX640" s="228"/>
      <c r="AY640" s="228"/>
      <c r="AZ640" s="228"/>
      <c r="BA640" s="228"/>
      <c r="BB640" s="228"/>
      <c r="BC640" s="228"/>
      <c r="BD640" s="100"/>
      <c r="BE640" s="100"/>
      <c r="BF640" s="100"/>
      <c r="BG640" s="100"/>
      <c r="BH640" s="100"/>
      <c r="BI640" s="100"/>
      <c r="BJ640" s="100"/>
      <c r="BK640" s="12"/>
      <c r="BL640" s="12"/>
    </row>
    <row r="641" spans="1:64" hidden="1" outlineLevel="1">
      <c r="A641" s="9"/>
      <c r="B641" s="9"/>
      <c r="C641" s="44"/>
      <c r="D641" s="270" t="str">
        <f>Asset12</f>
        <v>premises</v>
      </c>
      <c r="E641" s="9"/>
      <c r="F641" s="9"/>
      <c r="G641" s="204">
        <f>'Adjustment for previous period'!G617</f>
        <v>0</v>
      </c>
      <c r="H641" s="111"/>
      <c r="I641" s="111"/>
      <c r="J641" s="111"/>
      <c r="K641" s="111"/>
      <c r="L641" s="111"/>
      <c r="M641" s="111"/>
      <c r="N641" s="29"/>
      <c r="O641" s="29"/>
      <c r="P641" s="29"/>
      <c r="Q641" s="29"/>
      <c r="R641" s="29"/>
      <c r="S641" s="100"/>
      <c r="T641" s="100"/>
      <c r="U641" s="100"/>
      <c r="V641" s="100"/>
      <c r="W641" s="100"/>
      <c r="X641" s="100"/>
      <c r="Y641" s="100"/>
      <c r="Z641" s="100"/>
      <c r="AA641" s="228"/>
      <c r="AB641" s="228"/>
      <c r="AC641" s="228"/>
      <c r="AD641" s="228"/>
      <c r="AE641" s="228"/>
      <c r="AF641" s="228"/>
      <c r="AG641" s="228"/>
      <c r="AH641" s="228"/>
      <c r="AI641" s="228"/>
      <c r="AJ641" s="228"/>
      <c r="AK641" s="228"/>
      <c r="AL641" s="228"/>
      <c r="AM641" s="228"/>
      <c r="AN641" s="228"/>
      <c r="AO641" s="228"/>
      <c r="AP641" s="228"/>
      <c r="AQ641" s="228"/>
      <c r="AR641" s="228"/>
      <c r="AS641" s="228"/>
      <c r="AT641" s="228"/>
      <c r="AU641" s="228"/>
      <c r="AV641" s="228"/>
      <c r="AW641" s="228"/>
      <c r="AX641" s="228"/>
      <c r="AY641" s="228"/>
      <c r="AZ641" s="228"/>
      <c r="BA641" s="228"/>
      <c r="BB641" s="228"/>
      <c r="BC641" s="228"/>
      <c r="BD641" s="100"/>
      <c r="BE641" s="100"/>
      <c r="BF641" s="100"/>
      <c r="BG641" s="100"/>
      <c r="BH641" s="100"/>
      <c r="BI641" s="100"/>
      <c r="BJ641" s="100"/>
      <c r="BK641" s="12"/>
      <c r="BL641" s="12"/>
    </row>
    <row r="642" spans="1:64" hidden="1" outlineLevel="1">
      <c r="A642" s="9"/>
      <c r="B642" s="9"/>
      <c r="C642" s="44"/>
      <c r="D642" s="270" t="str">
        <f>Asset13</f>
        <v>Land</v>
      </c>
      <c r="E642" s="9"/>
      <c r="F642" s="9"/>
      <c r="G642" s="204">
        <f>'Adjustment for previous period'!G618</f>
        <v>0</v>
      </c>
      <c r="H642" s="111"/>
      <c r="I642" s="111"/>
      <c r="J642" s="111"/>
      <c r="K642" s="111"/>
      <c r="L642" s="111"/>
      <c r="M642" s="111"/>
      <c r="N642" s="29"/>
      <c r="O642" s="29"/>
      <c r="P642" s="29"/>
      <c r="Q642" s="29"/>
      <c r="R642" s="29"/>
      <c r="S642" s="100"/>
      <c r="T642" s="100"/>
      <c r="U642" s="100"/>
      <c r="V642" s="100"/>
      <c r="W642" s="100"/>
      <c r="X642" s="100"/>
      <c r="Y642" s="100"/>
      <c r="Z642" s="100"/>
      <c r="AA642" s="228"/>
      <c r="AB642" s="228"/>
      <c r="AC642" s="228"/>
      <c r="AD642" s="228"/>
      <c r="AE642" s="228"/>
      <c r="AF642" s="228"/>
      <c r="AG642" s="228"/>
      <c r="AH642" s="228"/>
      <c r="AI642" s="228"/>
      <c r="AJ642" s="228"/>
      <c r="AK642" s="228"/>
      <c r="AL642" s="228"/>
      <c r="AM642" s="228"/>
      <c r="AN642" s="228"/>
      <c r="AO642" s="228"/>
      <c r="AP642" s="228"/>
      <c r="AQ642" s="228"/>
      <c r="AR642" s="228"/>
      <c r="AS642" s="228"/>
      <c r="AT642" s="228"/>
      <c r="AU642" s="228"/>
      <c r="AV642" s="228"/>
      <c r="AW642" s="228"/>
      <c r="AX642" s="228"/>
      <c r="AY642" s="228"/>
      <c r="AZ642" s="228"/>
      <c r="BA642" s="228"/>
      <c r="BB642" s="228"/>
      <c r="BC642" s="228"/>
      <c r="BD642" s="100"/>
      <c r="BE642" s="100"/>
      <c r="BF642" s="100"/>
      <c r="BG642" s="100"/>
      <c r="BH642" s="100"/>
      <c r="BI642" s="100"/>
      <c r="BJ642" s="100"/>
      <c r="BK642" s="12"/>
      <c r="BL642" s="12"/>
    </row>
    <row r="643" spans="1:64" hidden="1" outlineLevel="1">
      <c r="A643" s="9"/>
      <c r="B643" s="9"/>
      <c r="C643" s="44"/>
      <c r="D643" s="270" t="str">
        <f>Asset14</f>
        <v>Easements</v>
      </c>
      <c r="E643" s="9"/>
      <c r="F643" s="9"/>
      <c r="G643" s="204">
        <f>'Adjustment for previous period'!G619</f>
        <v>0</v>
      </c>
      <c r="H643" s="111"/>
      <c r="I643" s="111"/>
      <c r="J643" s="111"/>
      <c r="K643" s="111"/>
      <c r="L643" s="111"/>
      <c r="M643" s="111"/>
      <c r="N643" s="29"/>
      <c r="O643" s="29"/>
      <c r="P643" s="29"/>
      <c r="Q643" s="29"/>
      <c r="R643" s="29"/>
      <c r="S643" s="100"/>
      <c r="T643" s="100"/>
      <c r="U643" s="100"/>
      <c r="V643" s="100"/>
      <c r="W643" s="100"/>
      <c r="X643" s="100"/>
      <c r="Y643" s="100"/>
      <c r="Z643" s="100"/>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8"/>
      <c r="AY643" s="228"/>
      <c r="AZ643" s="228"/>
      <c r="BA643" s="228"/>
      <c r="BB643" s="228"/>
      <c r="BC643" s="228"/>
      <c r="BD643" s="100"/>
      <c r="BE643" s="100"/>
      <c r="BF643" s="100"/>
      <c r="BG643" s="100"/>
      <c r="BH643" s="100"/>
      <c r="BI643" s="100"/>
      <c r="BJ643" s="100"/>
      <c r="BK643" s="12"/>
      <c r="BL643" s="12"/>
    </row>
    <row r="644" spans="1:64" hidden="1" outlineLevel="1">
      <c r="A644" s="9"/>
      <c r="B644" s="9"/>
      <c r="C644" s="44"/>
      <c r="D644" s="270">
        <f>Asset15</f>
        <v>0</v>
      </c>
      <c r="E644" s="9"/>
      <c r="F644" s="9"/>
      <c r="G644" s="204">
        <f>'Adjustment for previous period'!G620</f>
        <v>0</v>
      </c>
      <c r="H644" s="111"/>
      <c r="I644" s="111"/>
      <c r="J644" s="111"/>
      <c r="K644" s="111"/>
      <c r="L644" s="111"/>
      <c r="M644" s="111"/>
      <c r="N644" s="29"/>
      <c r="O644" s="29"/>
      <c r="P644" s="29"/>
      <c r="Q644" s="29"/>
      <c r="R644" s="29"/>
      <c r="S644" s="100"/>
      <c r="T644" s="100"/>
      <c r="U644" s="100"/>
      <c r="V644" s="100"/>
      <c r="W644" s="100"/>
      <c r="X644" s="100"/>
      <c r="Y644" s="100"/>
      <c r="Z644" s="100"/>
      <c r="AA644" s="228"/>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8"/>
      <c r="AY644" s="228"/>
      <c r="AZ644" s="228"/>
      <c r="BA644" s="228"/>
      <c r="BB644" s="228"/>
      <c r="BC644" s="228"/>
      <c r="BD644" s="100"/>
      <c r="BE644" s="100"/>
      <c r="BF644" s="100"/>
      <c r="BG644" s="100"/>
      <c r="BH644" s="100"/>
      <c r="BI644" s="100"/>
      <c r="BJ644" s="100"/>
      <c r="BK644" s="12"/>
      <c r="BL644" s="12"/>
    </row>
    <row r="645" spans="1:64" hidden="1" outlineLevel="1">
      <c r="A645" s="9"/>
      <c r="B645" s="9"/>
      <c r="C645" s="44"/>
      <c r="D645" s="270">
        <f>Asset16</f>
        <v>0</v>
      </c>
      <c r="E645" s="9"/>
      <c r="F645" s="9"/>
      <c r="G645" s="204">
        <f>'Adjustment for previous period'!G621</f>
        <v>0</v>
      </c>
      <c r="H645" s="111"/>
      <c r="I645" s="111"/>
      <c r="J645" s="111"/>
      <c r="K645" s="111"/>
      <c r="L645" s="111"/>
      <c r="M645" s="111"/>
      <c r="N645" s="29"/>
      <c r="O645" s="29"/>
      <c r="P645" s="29"/>
      <c r="Q645" s="29"/>
      <c r="R645" s="29"/>
      <c r="S645" s="100"/>
      <c r="T645" s="100"/>
      <c r="U645" s="100"/>
      <c r="V645" s="100"/>
      <c r="W645" s="100"/>
      <c r="X645" s="100"/>
      <c r="Y645" s="100"/>
      <c r="Z645" s="100"/>
      <c r="AA645" s="228"/>
      <c r="AB645" s="228"/>
      <c r="AC645" s="228"/>
      <c r="AD645" s="228"/>
      <c r="AE645" s="228"/>
      <c r="AF645" s="228"/>
      <c r="AG645" s="228"/>
      <c r="AH645" s="228"/>
      <c r="AI645" s="228"/>
      <c r="AJ645" s="228"/>
      <c r="AK645" s="228"/>
      <c r="AL645" s="228"/>
      <c r="AM645" s="228"/>
      <c r="AN645" s="228"/>
      <c r="AO645" s="228"/>
      <c r="AP645" s="228"/>
      <c r="AQ645" s="228"/>
      <c r="AR645" s="228"/>
      <c r="AS645" s="228"/>
      <c r="AT645" s="228"/>
      <c r="AU645" s="228"/>
      <c r="AV645" s="228"/>
      <c r="AW645" s="228"/>
      <c r="AX645" s="228"/>
      <c r="AY645" s="228"/>
      <c r="AZ645" s="228"/>
      <c r="BA645" s="228"/>
      <c r="BB645" s="228"/>
      <c r="BC645" s="228"/>
      <c r="BD645" s="100"/>
      <c r="BE645" s="100"/>
      <c r="BF645" s="100"/>
      <c r="BG645" s="100"/>
      <c r="BH645" s="100"/>
      <c r="BI645" s="100"/>
      <c r="BJ645" s="100"/>
      <c r="BK645" s="12"/>
      <c r="BL645" s="12"/>
    </row>
    <row r="646" spans="1:64" hidden="1" outlineLevel="1">
      <c r="A646" s="9"/>
      <c r="B646" s="9"/>
      <c r="C646" s="44"/>
      <c r="D646" s="270">
        <f>Asset17</f>
        <v>0</v>
      </c>
      <c r="E646" s="9"/>
      <c r="F646" s="9"/>
      <c r="G646" s="204">
        <f>'Adjustment for previous period'!G622</f>
        <v>0</v>
      </c>
      <c r="H646" s="111"/>
      <c r="I646" s="111"/>
      <c r="J646" s="111"/>
      <c r="K646" s="111"/>
      <c r="L646" s="111"/>
      <c r="M646" s="111"/>
      <c r="N646" s="29"/>
      <c r="O646" s="29"/>
      <c r="P646" s="29"/>
      <c r="Q646" s="29"/>
      <c r="R646" s="29"/>
      <c r="S646" s="100"/>
      <c r="T646" s="100"/>
      <c r="U646" s="100"/>
      <c r="V646" s="100"/>
      <c r="W646" s="100"/>
      <c r="X646" s="100"/>
      <c r="Y646" s="100"/>
      <c r="Z646" s="100"/>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8"/>
      <c r="AY646" s="228"/>
      <c r="AZ646" s="228"/>
      <c r="BA646" s="228"/>
      <c r="BB646" s="228"/>
      <c r="BC646" s="228"/>
      <c r="BD646" s="100"/>
      <c r="BE646" s="100"/>
      <c r="BF646" s="100"/>
      <c r="BG646" s="100"/>
      <c r="BH646" s="100"/>
      <c r="BI646" s="100"/>
      <c r="BJ646" s="100"/>
      <c r="BK646" s="12"/>
      <c r="BL646" s="12"/>
    </row>
    <row r="647" spans="1:64" hidden="1" outlineLevel="1">
      <c r="A647" s="9"/>
      <c r="B647" s="9"/>
      <c r="C647" s="44"/>
      <c r="D647" s="270">
        <f>Asset18</f>
        <v>0</v>
      </c>
      <c r="E647" s="9"/>
      <c r="F647" s="9"/>
      <c r="G647" s="204">
        <f>'Adjustment for previous period'!G623</f>
        <v>0</v>
      </c>
      <c r="H647" s="111"/>
      <c r="I647" s="111"/>
      <c r="J647" s="111"/>
      <c r="K647" s="111"/>
      <c r="L647" s="111"/>
      <c r="M647" s="111"/>
      <c r="N647" s="29"/>
      <c r="O647" s="29"/>
      <c r="P647" s="29"/>
      <c r="Q647" s="29"/>
      <c r="R647" s="29"/>
      <c r="S647" s="100"/>
      <c r="T647" s="100"/>
      <c r="U647" s="100"/>
      <c r="V647" s="100"/>
      <c r="W647" s="100"/>
      <c r="X647" s="100"/>
      <c r="Y647" s="100"/>
      <c r="Z647" s="100"/>
      <c r="AA647" s="228"/>
      <c r="AB647" s="228"/>
      <c r="AC647" s="228"/>
      <c r="AD647" s="228"/>
      <c r="AE647" s="228"/>
      <c r="AF647" s="228"/>
      <c r="AG647" s="228"/>
      <c r="AH647" s="228"/>
      <c r="AI647" s="228"/>
      <c r="AJ647" s="228"/>
      <c r="AK647" s="228"/>
      <c r="AL647" s="228"/>
      <c r="AM647" s="228"/>
      <c r="AN647" s="228"/>
      <c r="AO647" s="228"/>
      <c r="AP647" s="228"/>
      <c r="AQ647" s="228"/>
      <c r="AR647" s="228"/>
      <c r="AS647" s="228"/>
      <c r="AT647" s="228"/>
      <c r="AU647" s="228"/>
      <c r="AV647" s="228"/>
      <c r="AW647" s="228"/>
      <c r="AX647" s="228"/>
      <c r="AY647" s="228"/>
      <c r="AZ647" s="228"/>
      <c r="BA647" s="228"/>
      <c r="BB647" s="228"/>
      <c r="BC647" s="228"/>
      <c r="BD647" s="100"/>
      <c r="BE647" s="100"/>
      <c r="BF647" s="100"/>
      <c r="BG647" s="100"/>
      <c r="BH647" s="100"/>
      <c r="BI647" s="100"/>
      <c r="BJ647" s="100"/>
      <c r="BK647" s="12"/>
      <c r="BL647" s="12"/>
    </row>
    <row r="648" spans="1:64" hidden="1" outlineLevel="1">
      <c r="A648" s="9"/>
      <c r="B648" s="9"/>
      <c r="C648" s="44"/>
      <c r="D648" s="270">
        <f>Asset19</f>
        <v>0</v>
      </c>
      <c r="E648" s="9"/>
      <c r="F648" s="9"/>
      <c r="G648" s="204">
        <f>'Adjustment for previous period'!G624</f>
        <v>0</v>
      </c>
      <c r="H648" s="111"/>
      <c r="I648" s="111"/>
      <c r="J648" s="111"/>
      <c r="K648" s="111"/>
      <c r="L648" s="111"/>
      <c r="M648" s="111"/>
      <c r="N648" s="29"/>
      <c r="O648" s="29"/>
      <c r="P648" s="29"/>
      <c r="Q648" s="29"/>
      <c r="R648" s="29"/>
      <c r="S648" s="100"/>
      <c r="T648" s="100"/>
      <c r="U648" s="100"/>
      <c r="V648" s="100"/>
      <c r="W648" s="100"/>
      <c r="X648" s="100"/>
      <c r="Y648" s="100"/>
      <c r="Z648" s="100"/>
      <c r="AA648" s="228"/>
      <c r="AB648" s="228"/>
      <c r="AC648" s="228"/>
      <c r="AD648" s="228"/>
      <c r="AE648" s="228"/>
      <c r="AF648" s="228"/>
      <c r="AG648" s="228"/>
      <c r="AH648" s="228"/>
      <c r="AI648" s="228"/>
      <c r="AJ648" s="228"/>
      <c r="AK648" s="228"/>
      <c r="AL648" s="228"/>
      <c r="AM648" s="228"/>
      <c r="AN648" s="228"/>
      <c r="AO648" s="228"/>
      <c r="AP648" s="228"/>
      <c r="AQ648" s="228"/>
      <c r="AR648" s="228"/>
      <c r="AS648" s="228"/>
      <c r="AT648" s="228"/>
      <c r="AU648" s="228"/>
      <c r="AV648" s="228"/>
      <c r="AW648" s="228"/>
      <c r="AX648" s="228"/>
      <c r="AY648" s="228"/>
      <c r="AZ648" s="228"/>
      <c r="BA648" s="228"/>
      <c r="BB648" s="228"/>
      <c r="BC648" s="228"/>
      <c r="BD648" s="100"/>
      <c r="BE648" s="100"/>
      <c r="BF648" s="100"/>
      <c r="BG648" s="100"/>
      <c r="BH648" s="100"/>
      <c r="BI648" s="100"/>
      <c r="BJ648" s="100"/>
      <c r="BK648" s="12"/>
      <c r="BL648" s="12"/>
    </row>
    <row r="649" spans="1:64" hidden="1" outlineLevel="1">
      <c r="A649" s="9"/>
      <c r="B649" s="9"/>
      <c r="C649" s="44"/>
      <c r="D649" s="270">
        <f>Asset20</f>
        <v>0</v>
      </c>
      <c r="E649" s="9"/>
      <c r="F649" s="9"/>
      <c r="G649" s="204">
        <f>'Adjustment for previous period'!G625</f>
        <v>0</v>
      </c>
      <c r="H649" s="111"/>
      <c r="I649" s="111"/>
      <c r="J649" s="111"/>
      <c r="K649" s="111"/>
      <c r="L649" s="111"/>
      <c r="M649" s="111"/>
      <c r="N649" s="29"/>
      <c r="O649" s="29"/>
      <c r="P649" s="29"/>
      <c r="Q649" s="29"/>
      <c r="R649" s="29"/>
      <c r="S649" s="100"/>
      <c r="T649" s="100"/>
      <c r="U649" s="100"/>
      <c r="V649" s="100"/>
      <c r="W649" s="100"/>
      <c r="X649" s="100"/>
      <c r="Y649" s="100"/>
      <c r="Z649" s="100"/>
      <c r="AA649" s="228"/>
      <c r="AB649" s="228"/>
      <c r="AC649" s="228"/>
      <c r="AD649" s="228"/>
      <c r="AE649" s="228"/>
      <c r="AF649" s="228"/>
      <c r="AG649" s="228"/>
      <c r="AH649" s="228"/>
      <c r="AI649" s="228"/>
      <c r="AJ649" s="228"/>
      <c r="AK649" s="228"/>
      <c r="AL649" s="228"/>
      <c r="AM649" s="228"/>
      <c r="AN649" s="228"/>
      <c r="AO649" s="228"/>
      <c r="AP649" s="228"/>
      <c r="AQ649" s="228"/>
      <c r="AR649" s="228"/>
      <c r="AS649" s="228"/>
      <c r="AT649" s="228"/>
      <c r="AU649" s="228"/>
      <c r="AV649" s="228"/>
      <c r="AW649" s="228"/>
      <c r="AX649" s="228"/>
      <c r="AY649" s="228"/>
      <c r="AZ649" s="228"/>
      <c r="BA649" s="228"/>
      <c r="BB649" s="228"/>
      <c r="BC649" s="228"/>
      <c r="BD649" s="100"/>
      <c r="BE649" s="100"/>
      <c r="BF649" s="100"/>
      <c r="BG649" s="100"/>
      <c r="BH649" s="100"/>
      <c r="BI649" s="100"/>
      <c r="BJ649" s="100"/>
      <c r="BK649" s="12"/>
      <c r="BL649" s="12"/>
    </row>
    <row r="650" spans="1:64" hidden="1" outlineLevel="1">
      <c r="A650" s="9"/>
      <c r="B650" s="9"/>
      <c r="C650" s="44"/>
      <c r="D650" s="270">
        <f>Asset21</f>
        <v>0</v>
      </c>
      <c r="E650" s="9"/>
      <c r="F650" s="9"/>
      <c r="G650" s="204">
        <f>'Adjustment for previous period'!G626</f>
        <v>0</v>
      </c>
      <c r="H650" s="111"/>
      <c r="I650" s="111"/>
      <c r="J650" s="111"/>
      <c r="K650" s="111"/>
      <c r="L650" s="111"/>
      <c r="M650" s="111"/>
      <c r="N650" s="29"/>
      <c r="O650" s="29"/>
      <c r="P650" s="29"/>
      <c r="Q650" s="29"/>
      <c r="R650" s="29"/>
      <c r="S650" s="100"/>
      <c r="T650" s="100"/>
      <c r="U650" s="100"/>
      <c r="V650" s="100"/>
      <c r="W650" s="100"/>
      <c r="X650" s="100"/>
      <c r="Y650" s="100"/>
      <c r="Z650" s="100"/>
      <c r="AA650" s="228"/>
      <c r="AB650" s="228"/>
      <c r="AC650" s="228"/>
      <c r="AD650" s="228"/>
      <c r="AE650" s="228"/>
      <c r="AF650" s="228"/>
      <c r="AG650" s="228"/>
      <c r="AH650" s="228"/>
      <c r="AI650" s="228"/>
      <c r="AJ650" s="228"/>
      <c r="AK650" s="228"/>
      <c r="AL650" s="228"/>
      <c r="AM650" s="228"/>
      <c r="AN650" s="228"/>
      <c r="AO650" s="228"/>
      <c r="AP650" s="228"/>
      <c r="AQ650" s="228"/>
      <c r="AR650" s="228"/>
      <c r="AS650" s="228"/>
      <c r="AT650" s="228"/>
      <c r="AU650" s="228"/>
      <c r="AV650" s="228"/>
      <c r="AW650" s="228"/>
      <c r="AX650" s="228"/>
      <c r="AY650" s="228"/>
      <c r="AZ650" s="228"/>
      <c r="BA650" s="228"/>
      <c r="BB650" s="228"/>
      <c r="BC650" s="228"/>
      <c r="BD650" s="100"/>
      <c r="BE650" s="100"/>
      <c r="BF650" s="100"/>
      <c r="BG650" s="100"/>
      <c r="BH650" s="100"/>
      <c r="BI650" s="100"/>
      <c r="BJ650" s="100"/>
      <c r="BK650" s="12"/>
      <c r="BL650" s="12"/>
    </row>
    <row r="651" spans="1:64" hidden="1" outlineLevel="1">
      <c r="A651" s="9"/>
      <c r="B651" s="9"/>
      <c r="C651" s="44"/>
      <c r="D651" s="270">
        <f>Asset22</f>
        <v>0</v>
      </c>
      <c r="E651" s="9"/>
      <c r="F651" s="9"/>
      <c r="G651" s="204">
        <f>'Adjustment for previous period'!G627</f>
        <v>0</v>
      </c>
      <c r="H651" s="111"/>
      <c r="I651" s="111"/>
      <c r="J651" s="111"/>
      <c r="K651" s="111"/>
      <c r="L651" s="111"/>
      <c r="M651" s="111"/>
      <c r="N651" s="29"/>
      <c r="O651" s="29"/>
      <c r="P651" s="29"/>
      <c r="Q651" s="29"/>
      <c r="R651" s="29"/>
      <c r="S651" s="100"/>
      <c r="T651" s="100"/>
      <c r="U651" s="100"/>
      <c r="V651" s="100"/>
      <c r="W651" s="100"/>
      <c r="X651" s="100"/>
      <c r="Y651" s="100"/>
      <c r="Z651" s="100"/>
      <c r="AA651" s="228"/>
      <c r="AB651" s="228"/>
      <c r="AC651" s="228"/>
      <c r="AD651" s="228"/>
      <c r="AE651" s="228"/>
      <c r="AF651" s="228"/>
      <c r="AG651" s="228"/>
      <c r="AH651" s="228"/>
      <c r="AI651" s="228"/>
      <c r="AJ651" s="228"/>
      <c r="AK651" s="228"/>
      <c r="AL651" s="228"/>
      <c r="AM651" s="228"/>
      <c r="AN651" s="228"/>
      <c r="AO651" s="228"/>
      <c r="AP651" s="228"/>
      <c r="AQ651" s="228"/>
      <c r="AR651" s="228"/>
      <c r="AS651" s="228"/>
      <c r="AT651" s="228"/>
      <c r="AU651" s="228"/>
      <c r="AV651" s="228"/>
      <c r="AW651" s="228"/>
      <c r="AX651" s="228"/>
      <c r="AY651" s="228"/>
      <c r="AZ651" s="228"/>
      <c r="BA651" s="228"/>
      <c r="BB651" s="228"/>
      <c r="BC651" s="228"/>
      <c r="BD651" s="100"/>
      <c r="BE651" s="100"/>
      <c r="BF651" s="100"/>
      <c r="BG651" s="100"/>
      <c r="BH651" s="100"/>
      <c r="BI651" s="100"/>
      <c r="BJ651" s="100"/>
      <c r="BK651" s="12"/>
      <c r="BL651" s="12"/>
    </row>
    <row r="652" spans="1:64" hidden="1" outlineLevel="1">
      <c r="A652" s="9"/>
      <c r="B652" s="9"/>
      <c r="C652" s="44"/>
      <c r="D652" s="270">
        <f>Asset23</f>
        <v>0</v>
      </c>
      <c r="E652" s="9"/>
      <c r="F652" s="9"/>
      <c r="G652" s="204">
        <f>'Adjustment for previous period'!G628</f>
        <v>0</v>
      </c>
      <c r="H652" s="111"/>
      <c r="I652" s="111"/>
      <c r="J652" s="111"/>
      <c r="K652" s="111"/>
      <c r="L652" s="111"/>
      <c r="M652" s="111"/>
      <c r="N652" s="29"/>
      <c r="O652" s="29"/>
      <c r="P652" s="29"/>
      <c r="Q652" s="29"/>
      <c r="R652" s="29"/>
      <c r="S652" s="100"/>
      <c r="T652" s="100"/>
      <c r="U652" s="100"/>
      <c r="V652" s="100"/>
      <c r="W652" s="100"/>
      <c r="X652" s="100"/>
      <c r="Y652" s="100"/>
      <c r="Z652" s="100"/>
      <c r="AA652" s="228"/>
      <c r="AB652" s="228"/>
      <c r="AC652" s="228"/>
      <c r="AD652" s="228"/>
      <c r="AE652" s="228"/>
      <c r="AF652" s="228"/>
      <c r="AG652" s="228"/>
      <c r="AH652" s="228"/>
      <c r="AI652" s="228"/>
      <c r="AJ652" s="228"/>
      <c r="AK652" s="228"/>
      <c r="AL652" s="228"/>
      <c r="AM652" s="228"/>
      <c r="AN652" s="228"/>
      <c r="AO652" s="228"/>
      <c r="AP652" s="228"/>
      <c r="AQ652" s="228"/>
      <c r="AR652" s="228"/>
      <c r="AS652" s="228"/>
      <c r="AT652" s="228"/>
      <c r="AU652" s="228"/>
      <c r="AV652" s="228"/>
      <c r="AW652" s="228"/>
      <c r="AX652" s="228"/>
      <c r="AY652" s="228"/>
      <c r="AZ652" s="228"/>
      <c r="BA652" s="228"/>
      <c r="BB652" s="228"/>
      <c r="BC652" s="228"/>
      <c r="BD652" s="100"/>
      <c r="BE652" s="100"/>
      <c r="BF652" s="100"/>
      <c r="BG652" s="100"/>
      <c r="BH652" s="100"/>
      <c r="BI652" s="100"/>
      <c r="BJ652" s="100"/>
      <c r="BK652" s="12"/>
      <c r="BL652" s="12"/>
    </row>
    <row r="653" spans="1:64" hidden="1" outlineLevel="1">
      <c r="A653" s="9"/>
      <c r="B653" s="9"/>
      <c r="C653" s="44"/>
      <c r="D653" s="270">
        <f>Asset24</f>
        <v>0</v>
      </c>
      <c r="E653" s="9"/>
      <c r="F653" s="9"/>
      <c r="G653" s="204">
        <f>'Adjustment for previous period'!G629</f>
        <v>0</v>
      </c>
      <c r="H653" s="111"/>
      <c r="I653" s="111"/>
      <c r="J653" s="111"/>
      <c r="K653" s="111"/>
      <c r="L653" s="111"/>
      <c r="M653" s="111"/>
      <c r="N653" s="29"/>
      <c r="O653" s="29"/>
      <c r="P653" s="29"/>
      <c r="Q653" s="29"/>
      <c r="R653" s="29"/>
      <c r="S653" s="100"/>
      <c r="T653" s="100"/>
      <c r="U653" s="100"/>
      <c r="V653" s="100"/>
      <c r="W653" s="100"/>
      <c r="X653" s="100"/>
      <c r="Y653" s="100"/>
      <c r="Z653" s="100"/>
      <c r="AA653" s="228"/>
      <c r="AB653" s="228"/>
      <c r="AC653" s="228"/>
      <c r="AD653" s="228"/>
      <c r="AE653" s="228"/>
      <c r="AF653" s="228"/>
      <c r="AG653" s="228"/>
      <c r="AH653" s="228"/>
      <c r="AI653" s="228"/>
      <c r="AJ653" s="228"/>
      <c r="AK653" s="228"/>
      <c r="AL653" s="228"/>
      <c r="AM653" s="228"/>
      <c r="AN653" s="228"/>
      <c r="AO653" s="228"/>
      <c r="AP653" s="228"/>
      <c r="AQ653" s="228"/>
      <c r="AR653" s="228"/>
      <c r="AS653" s="228"/>
      <c r="AT653" s="228"/>
      <c r="AU653" s="228"/>
      <c r="AV653" s="228"/>
      <c r="AW653" s="228"/>
      <c r="AX653" s="228"/>
      <c r="AY653" s="228"/>
      <c r="AZ653" s="228"/>
      <c r="BA653" s="228"/>
      <c r="BB653" s="228"/>
      <c r="BC653" s="228"/>
      <c r="BD653" s="100"/>
      <c r="BE653" s="100"/>
      <c r="BF653" s="100"/>
      <c r="BG653" s="100"/>
      <c r="BH653" s="100"/>
      <c r="BI653" s="100"/>
      <c r="BJ653" s="100"/>
      <c r="BK653" s="12"/>
      <c r="BL653" s="12"/>
    </row>
    <row r="654" spans="1:64" hidden="1" outlineLevel="1">
      <c r="A654" s="9"/>
      <c r="B654" s="9"/>
      <c r="C654" s="44"/>
      <c r="D654" s="270">
        <f>Asset25</f>
        <v>0</v>
      </c>
      <c r="E654" s="9"/>
      <c r="F654" s="9"/>
      <c r="G654" s="204">
        <f>'Adjustment for previous period'!G630</f>
        <v>0</v>
      </c>
      <c r="H654" s="111"/>
      <c r="I654" s="111"/>
      <c r="J654" s="111"/>
      <c r="K654" s="111"/>
      <c r="L654" s="111"/>
      <c r="M654" s="111"/>
      <c r="N654" s="29"/>
      <c r="O654" s="29"/>
      <c r="P654" s="29"/>
      <c r="Q654" s="29"/>
      <c r="R654" s="29"/>
      <c r="S654" s="100"/>
      <c r="T654" s="100"/>
      <c r="U654" s="100"/>
      <c r="V654" s="100"/>
      <c r="W654" s="100"/>
      <c r="X654" s="100"/>
      <c r="Y654" s="100"/>
      <c r="Z654" s="100"/>
      <c r="AA654" s="228"/>
      <c r="AB654" s="228"/>
      <c r="AC654" s="228"/>
      <c r="AD654" s="228"/>
      <c r="AE654" s="228"/>
      <c r="AF654" s="228"/>
      <c r="AG654" s="228"/>
      <c r="AH654" s="228"/>
      <c r="AI654" s="228"/>
      <c r="AJ654" s="228"/>
      <c r="AK654" s="228"/>
      <c r="AL654" s="228"/>
      <c r="AM654" s="228"/>
      <c r="AN654" s="228"/>
      <c r="AO654" s="228"/>
      <c r="AP654" s="228"/>
      <c r="AQ654" s="228"/>
      <c r="AR654" s="228"/>
      <c r="AS654" s="228"/>
      <c r="AT654" s="228"/>
      <c r="AU654" s="228"/>
      <c r="AV654" s="228"/>
      <c r="AW654" s="228"/>
      <c r="AX654" s="228"/>
      <c r="AY654" s="228"/>
      <c r="AZ654" s="228"/>
      <c r="BA654" s="228"/>
      <c r="BB654" s="228"/>
      <c r="BC654" s="228"/>
      <c r="BD654" s="100"/>
      <c r="BE654" s="100"/>
      <c r="BF654" s="100"/>
      <c r="BG654" s="100"/>
      <c r="BH654" s="100"/>
      <c r="BI654" s="100"/>
      <c r="BJ654" s="100"/>
      <c r="BK654" s="12"/>
      <c r="BL654" s="12"/>
    </row>
    <row r="655" spans="1:64" hidden="1" outlineLevel="1">
      <c r="A655" s="9"/>
      <c r="B655" s="9"/>
      <c r="C655" s="44"/>
      <c r="D655" s="270">
        <f>Asset26</f>
        <v>0</v>
      </c>
      <c r="E655" s="9"/>
      <c r="F655" s="9"/>
      <c r="G655" s="204">
        <f>'Adjustment for previous period'!G631</f>
        <v>0</v>
      </c>
      <c r="H655" s="111"/>
      <c r="I655" s="111"/>
      <c r="J655" s="111"/>
      <c r="K655" s="111"/>
      <c r="L655" s="111"/>
      <c r="M655" s="111"/>
      <c r="N655" s="29"/>
      <c r="O655" s="29"/>
      <c r="P655" s="29"/>
      <c r="Q655" s="29"/>
      <c r="R655" s="29"/>
      <c r="S655" s="100"/>
      <c r="T655" s="100"/>
      <c r="U655" s="100"/>
      <c r="V655" s="100"/>
      <c r="W655" s="100"/>
      <c r="X655" s="100"/>
      <c r="Y655" s="100"/>
      <c r="Z655" s="100"/>
      <c r="AA655" s="228"/>
      <c r="AB655" s="228"/>
      <c r="AC655" s="228"/>
      <c r="AD655" s="228"/>
      <c r="AE655" s="228"/>
      <c r="AF655" s="228"/>
      <c r="AG655" s="228"/>
      <c r="AH655" s="228"/>
      <c r="AI655" s="228"/>
      <c r="AJ655" s="228"/>
      <c r="AK655" s="228"/>
      <c r="AL655" s="228"/>
      <c r="AM655" s="228"/>
      <c r="AN655" s="228"/>
      <c r="AO655" s="228"/>
      <c r="AP655" s="228"/>
      <c r="AQ655" s="228"/>
      <c r="AR655" s="228"/>
      <c r="AS655" s="228"/>
      <c r="AT655" s="228"/>
      <c r="AU655" s="228"/>
      <c r="AV655" s="228"/>
      <c r="AW655" s="228"/>
      <c r="AX655" s="228"/>
      <c r="AY655" s="228"/>
      <c r="AZ655" s="228"/>
      <c r="BA655" s="228"/>
      <c r="BB655" s="228"/>
      <c r="BC655" s="228"/>
      <c r="BD655" s="100"/>
      <c r="BE655" s="100"/>
      <c r="BF655" s="100"/>
      <c r="BG655" s="100"/>
      <c r="BH655" s="100"/>
      <c r="BI655" s="100"/>
      <c r="BJ655" s="100"/>
      <c r="BK655" s="12"/>
      <c r="BL655" s="12"/>
    </row>
    <row r="656" spans="1:64" hidden="1" outlineLevel="1">
      <c r="A656" s="9"/>
      <c r="B656" s="9"/>
      <c r="C656" s="44"/>
      <c r="D656" s="270">
        <f>Asset27</f>
        <v>0</v>
      </c>
      <c r="E656" s="9"/>
      <c r="F656" s="9"/>
      <c r="G656" s="204">
        <f>'Adjustment for previous period'!G632</f>
        <v>0</v>
      </c>
      <c r="H656" s="111"/>
      <c r="I656" s="111"/>
      <c r="J656" s="111"/>
      <c r="K656" s="111"/>
      <c r="L656" s="111"/>
      <c r="M656" s="111"/>
      <c r="N656" s="29"/>
      <c r="O656" s="29"/>
      <c r="P656" s="29"/>
      <c r="Q656" s="29"/>
      <c r="R656" s="29"/>
      <c r="S656" s="100"/>
      <c r="T656" s="100"/>
      <c r="U656" s="100"/>
      <c r="V656" s="100"/>
      <c r="W656" s="100"/>
      <c r="X656" s="100"/>
      <c r="Y656" s="100"/>
      <c r="Z656" s="100"/>
      <c r="AA656" s="228"/>
      <c r="AB656" s="228"/>
      <c r="AC656" s="228"/>
      <c r="AD656" s="228"/>
      <c r="AE656" s="228"/>
      <c r="AF656" s="228"/>
      <c r="AG656" s="228"/>
      <c r="AH656" s="228"/>
      <c r="AI656" s="228"/>
      <c r="AJ656" s="228"/>
      <c r="AK656" s="228"/>
      <c r="AL656" s="228"/>
      <c r="AM656" s="228"/>
      <c r="AN656" s="228"/>
      <c r="AO656" s="228"/>
      <c r="AP656" s="228"/>
      <c r="AQ656" s="228"/>
      <c r="AR656" s="228"/>
      <c r="AS656" s="228"/>
      <c r="AT656" s="228"/>
      <c r="AU656" s="228"/>
      <c r="AV656" s="228"/>
      <c r="AW656" s="228"/>
      <c r="AX656" s="228"/>
      <c r="AY656" s="228"/>
      <c r="AZ656" s="228"/>
      <c r="BA656" s="228"/>
      <c r="BB656" s="228"/>
      <c r="BC656" s="228"/>
      <c r="BD656" s="100"/>
      <c r="BE656" s="100"/>
      <c r="BF656" s="100"/>
      <c r="BG656" s="100"/>
      <c r="BH656" s="100"/>
      <c r="BI656" s="100"/>
      <c r="BJ656" s="100"/>
      <c r="BK656" s="12"/>
      <c r="BL656" s="12"/>
    </row>
    <row r="657" spans="1:64" hidden="1" outlineLevel="1">
      <c r="A657" s="9"/>
      <c r="B657" s="9"/>
      <c r="C657" s="44"/>
      <c r="D657" s="270">
        <f>Asset28</f>
        <v>0</v>
      </c>
      <c r="E657" s="9"/>
      <c r="F657" s="9"/>
      <c r="G657" s="204">
        <f>'Adjustment for previous period'!G633</f>
        <v>0</v>
      </c>
      <c r="H657" s="111"/>
      <c r="I657" s="111"/>
      <c r="J657" s="111"/>
      <c r="K657" s="111"/>
      <c r="L657" s="111"/>
      <c r="M657" s="111"/>
      <c r="N657" s="29"/>
      <c r="O657" s="29"/>
      <c r="P657" s="29"/>
      <c r="Q657" s="29"/>
      <c r="R657" s="29"/>
      <c r="S657" s="100"/>
      <c r="T657" s="100"/>
      <c r="U657" s="100"/>
      <c r="V657" s="100"/>
      <c r="W657" s="100"/>
      <c r="X657" s="100"/>
      <c r="Y657" s="100"/>
      <c r="Z657" s="100"/>
      <c r="AA657" s="228"/>
      <c r="AB657" s="228"/>
      <c r="AC657" s="228"/>
      <c r="AD657" s="228"/>
      <c r="AE657" s="228"/>
      <c r="AF657" s="228"/>
      <c r="AG657" s="228"/>
      <c r="AH657" s="228"/>
      <c r="AI657" s="228"/>
      <c r="AJ657" s="228"/>
      <c r="AK657" s="228"/>
      <c r="AL657" s="228"/>
      <c r="AM657" s="228"/>
      <c r="AN657" s="228"/>
      <c r="AO657" s="228"/>
      <c r="AP657" s="228"/>
      <c r="AQ657" s="228"/>
      <c r="AR657" s="228"/>
      <c r="AS657" s="228"/>
      <c r="AT657" s="228"/>
      <c r="AU657" s="228"/>
      <c r="AV657" s="228"/>
      <c r="AW657" s="228"/>
      <c r="AX657" s="228"/>
      <c r="AY657" s="228"/>
      <c r="AZ657" s="228"/>
      <c r="BA657" s="228"/>
      <c r="BB657" s="228"/>
      <c r="BC657" s="228"/>
      <c r="BD657" s="100"/>
      <c r="BE657" s="100"/>
      <c r="BF657" s="100"/>
      <c r="BG657" s="100"/>
      <c r="BH657" s="100"/>
      <c r="BI657" s="100"/>
      <c r="BJ657" s="100"/>
      <c r="BK657" s="12"/>
      <c r="BL657" s="12"/>
    </row>
    <row r="658" spans="1:64" hidden="1" outlineLevel="1">
      <c r="A658" s="9"/>
      <c r="B658" s="9"/>
      <c r="C658" s="44"/>
      <c r="D658" s="270">
        <f>Asset29</f>
        <v>0</v>
      </c>
      <c r="E658" s="9"/>
      <c r="F658" s="9"/>
      <c r="G658" s="204">
        <f>'Adjustment for previous period'!G634</f>
        <v>0</v>
      </c>
      <c r="H658" s="111"/>
      <c r="I658" s="111"/>
      <c r="J658" s="111"/>
      <c r="K658" s="111"/>
      <c r="L658" s="111"/>
      <c r="M658" s="111"/>
      <c r="N658" s="29"/>
      <c r="O658" s="29"/>
      <c r="P658" s="29"/>
      <c r="Q658" s="29"/>
      <c r="R658" s="29"/>
      <c r="S658" s="100"/>
      <c r="T658" s="100"/>
      <c r="U658" s="100"/>
      <c r="V658" s="100"/>
      <c r="W658" s="100"/>
      <c r="X658" s="100"/>
      <c r="Y658" s="100"/>
      <c r="Z658" s="100"/>
      <c r="AA658" s="228"/>
      <c r="AB658" s="228"/>
      <c r="AC658" s="228"/>
      <c r="AD658" s="228"/>
      <c r="AE658" s="228"/>
      <c r="AF658" s="228"/>
      <c r="AG658" s="228"/>
      <c r="AH658" s="228"/>
      <c r="AI658" s="228"/>
      <c r="AJ658" s="228"/>
      <c r="AK658" s="228"/>
      <c r="AL658" s="228"/>
      <c r="AM658" s="228"/>
      <c r="AN658" s="228"/>
      <c r="AO658" s="228"/>
      <c r="AP658" s="228"/>
      <c r="AQ658" s="228"/>
      <c r="AR658" s="228"/>
      <c r="AS658" s="228"/>
      <c r="AT658" s="228"/>
      <c r="AU658" s="228"/>
      <c r="AV658" s="228"/>
      <c r="AW658" s="228"/>
      <c r="AX658" s="228"/>
      <c r="AY658" s="228"/>
      <c r="AZ658" s="228"/>
      <c r="BA658" s="228"/>
      <c r="BB658" s="228"/>
      <c r="BC658" s="228"/>
      <c r="BD658" s="100"/>
      <c r="BE658" s="100"/>
      <c r="BF658" s="100"/>
      <c r="BG658" s="100"/>
      <c r="BH658" s="100"/>
      <c r="BI658" s="100"/>
      <c r="BJ658" s="100"/>
      <c r="BK658" s="12"/>
      <c r="BL658" s="12"/>
    </row>
    <row r="659" spans="1:64" hidden="1" outlineLevel="1">
      <c r="A659" s="9"/>
      <c r="B659" s="9"/>
      <c r="C659" s="44"/>
      <c r="D659" s="270">
        <f>Asset30</f>
        <v>0</v>
      </c>
      <c r="E659" s="9"/>
      <c r="F659" s="9"/>
      <c r="G659" s="204">
        <f>'Adjustment for previous period'!G635</f>
        <v>0</v>
      </c>
      <c r="H659" s="111"/>
      <c r="I659" s="111"/>
      <c r="J659" s="111"/>
      <c r="K659" s="111"/>
      <c r="L659" s="111"/>
      <c r="M659" s="111"/>
      <c r="N659" s="29"/>
      <c r="O659" s="29"/>
      <c r="P659" s="29"/>
      <c r="Q659" s="29"/>
      <c r="R659" s="29"/>
      <c r="S659" s="100"/>
      <c r="T659" s="100"/>
      <c r="U659" s="100"/>
      <c r="V659" s="100"/>
      <c r="W659" s="100"/>
      <c r="X659" s="100"/>
      <c r="Y659" s="100"/>
      <c r="Z659" s="100"/>
      <c r="AA659" s="228"/>
      <c r="AB659" s="228"/>
      <c r="AC659" s="228"/>
      <c r="AD659" s="228"/>
      <c r="AE659" s="228"/>
      <c r="AF659" s="228"/>
      <c r="AG659" s="228"/>
      <c r="AH659" s="228"/>
      <c r="AI659" s="228"/>
      <c r="AJ659" s="228"/>
      <c r="AK659" s="228"/>
      <c r="AL659" s="228"/>
      <c r="AM659" s="228"/>
      <c r="AN659" s="228"/>
      <c r="AO659" s="228"/>
      <c r="AP659" s="228"/>
      <c r="AQ659" s="228"/>
      <c r="AR659" s="228"/>
      <c r="AS659" s="228"/>
      <c r="AT659" s="228"/>
      <c r="AU659" s="228"/>
      <c r="AV659" s="228"/>
      <c r="AW659" s="228"/>
      <c r="AX659" s="228"/>
      <c r="AY659" s="228"/>
      <c r="AZ659" s="228"/>
      <c r="BA659" s="228"/>
      <c r="BB659" s="228"/>
      <c r="BC659" s="228"/>
      <c r="BD659" s="100"/>
      <c r="BE659" s="100"/>
      <c r="BF659" s="100"/>
      <c r="BG659" s="100"/>
      <c r="BH659" s="100"/>
      <c r="BI659" s="100"/>
      <c r="BJ659" s="100"/>
      <c r="BK659" s="12"/>
      <c r="BL659" s="12"/>
    </row>
    <row r="660" spans="1:64" collapsed="1">
      <c r="A660" s="9"/>
      <c r="B660" s="9"/>
      <c r="C660" s="44"/>
      <c r="D660" s="127"/>
      <c r="E660" s="9"/>
      <c r="F660" s="9"/>
      <c r="G660" s="28"/>
      <c r="H660" s="111"/>
      <c r="I660" s="111"/>
      <c r="J660" s="111"/>
      <c r="K660" s="111"/>
      <c r="L660" s="111"/>
      <c r="M660" s="111"/>
      <c r="N660" s="29"/>
      <c r="O660" s="29"/>
      <c r="P660" s="29"/>
      <c r="Q660" s="29"/>
      <c r="R660" s="29"/>
      <c r="S660" s="100"/>
      <c r="T660" s="100"/>
      <c r="U660" s="100"/>
      <c r="V660" s="100"/>
      <c r="W660" s="100"/>
      <c r="X660" s="100"/>
      <c r="Y660" s="100"/>
      <c r="Z660" s="100"/>
      <c r="AA660" s="228"/>
      <c r="AB660" s="228"/>
      <c r="AC660" s="228"/>
      <c r="AD660" s="228"/>
      <c r="AE660" s="228"/>
      <c r="AF660" s="228"/>
      <c r="AG660" s="228"/>
      <c r="AH660" s="228"/>
      <c r="AI660" s="228"/>
      <c r="AJ660" s="228"/>
      <c r="AK660" s="228"/>
      <c r="AL660" s="228"/>
      <c r="AM660" s="228"/>
      <c r="AN660" s="228"/>
      <c r="AO660" s="228"/>
      <c r="AP660" s="228"/>
      <c r="AQ660" s="228"/>
      <c r="AR660" s="228"/>
      <c r="AS660" s="228"/>
      <c r="AT660" s="228"/>
      <c r="AU660" s="228"/>
      <c r="AV660" s="228"/>
      <c r="AW660" s="228"/>
      <c r="AX660" s="228"/>
      <c r="AY660" s="228"/>
      <c r="AZ660" s="228"/>
      <c r="BA660" s="228"/>
      <c r="BB660" s="228"/>
      <c r="BC660" s="228"/>
      <c r="BD660" s="100"/>
      <c r="BE660" s="100"/>
      <c r="BF660" s="100"/>
      <c r="BG660" s="100"/>
      <c r="BH660" s="100"/>
      <c r="BI660" s="100"/>
      <c r="BJ660" s="100"/>
      <c r="BK660" s="12"/>
      <c r="BL660" s="12"/>
    </row>
    <row r="661" spans="1:64">
      <c r="A661" s="9"/>
      <c r="B661" s="9"/>
      <c r="C661" s="332" t="s">
        <v>159</v>
      </c>
      <c r="D661" s="333"/>
      <c r="E661" s="334"/>
      <c r="F661" s="334"/>
      <c r="G661" s="339">
        <f>SUM(G662:G691)</f>
        <v>115.84899999999999</v>
      </c>
      <c r="H661" s="111"/>
      <c r="I661" s="111"/>
      <c r="J661" s="111"/>
      <c r="K661" s="111"/>
      <c r="L661" s="111"/>
      <c r="M661" s="111"/>
      <c r="N661" s="29"/>
      <c r="O661" s="29"/>
      <c r="P661" s="29"/>
      <c r="Q661" s="29"/>
      <c r="R661" s="29"/>
      <c r="S661" s="100"/>
      <c r="T661" s="100"/>
      <c r="U661" s="100"/>
      <c r="V661" s="100"/>
      <c r="W661" s="100"/>
      <c r="X661" s="100"/>
      <c r="Y661" s="100"/>
      <c r="Z661" s="100"/>
      <c r="AA661" s="100"/>
      <c r="AB661" s="228"/>
      <c r="AC661" s="228"/>
      <c r="AD661" s="228"/>
      <c r="AE661" s="228"/>
      <c r="AF661" s="228"/>
      <c r="AG661" s="228"/>
      <c r="AH661" s="228"/>
      <c r="AI661" s="228"/>
      <c r="AJ661" s="228"/>
      <c r="AK661" s="228"/>
      <c r="AL661" s="228"/>
      <c r="AM661" s="228"/>
      <c r="AN661" s="228"/>
      <c r="AO661" s="228"/>
      <c r="AP661" s="228"/>
      <c r="AQ661" s="228"/>
      <c r="AR661" s="228"/>
      <c r="AS661" s="228"/>
      <c r="AT661" s="228"/>
      <c r="AU661" s="228"/>
      <c r="AV661" s="228"/>
      <c r="AW661" s="228"/>
      <c r="AX661" s="228"/>
      <c r="AY661" s="228"/>
      <c r="AZ661" s="228"/>
      <c r="BA661" s="228"/>
      <c r="BB661" s="228"/>
      <c r="BC661" s="228"/>
      <c r="BD661" s="100"/>
      <c r="BE661" s="100"/>
      <c r="BF661" s="100"/>
      <c r="BG661" s="100"/>
      <c r="BH661" s="100"/>
      <c r="BI661" s="100"/>
      <c r="BJ661" s="100"/>
      <c r="BK661" s="12"/>
      <c r="BL661" s="12"/>
    </row>
    <row r="662" spans="1:64" hidden="1" outlineLevel="1">
      <c r="A662" s="9"/>
      <c r="B662" s="9"/>
      <c r="C662" s="44"/>
      <c r="D662" s="270" t="str">
        <f>Asset1</f>
        <v>Secondary</v>
      </c>
      <c r="E662" s="9"/>
      <c r="F662" s="9"/>
      <c r="G662" s="204">
        <f>Input!N7</f>
        <v>17.722999999999999</v>
      </c>
      <c r="H662" s="111"/>
      <c r="I662" s="111"/>
      <c r="J662" s="111"/>
      <c r="K662" s="111"/>
      <c r="L662" s="111"/>
      <c r="M662" s="111"/>
      <c r="N662" s="29"/>
      <c r="O662" s="29"/>
      <c r="P662" s="29"/>
      <c r="Q662" s="29"/>
      <c r="R662" s="29"/>
      <c r="S662" s="100"/>
      <c r="T662" s="100"/>
      <c r="U662" s="100"/>
      <c r="V662" s="100"/>
      <c r="W662" s="100"/>
      <c r="X662" s="100"/>
      <c r="Y662" s="100"/>
      <c r="Z662" s="100"/>
      <c r="AA662" s="100"/>
      <c r="AB662" s="228"/>
      <c r="AC662" s="228"/>
      <c r="AD662" s="228"/>
      <c r="AE662" s="228"/>
      <c r="AF662" s="228"/>
      <c r="AG662" s="228"/>
      <c r="AH662" s="228"/>
      <c r="AI662" s="228"/>
      <c r="AJ662" s="228"/>
      <c r="AK662" s="228"/>
      <c r="AL662" s="228"/>
      <c r="AM662" s="228"/>
      <c r="AN662" s="228"/>
      <c r="AO662" s="228"/>
      <c r="AP662" s="228"/>
      <c r="AQ662" s="228"/>
      <c r="AR662" s="228"/>
      <c r="AS662" s="228"/>
      <c r="AT662" s="228"/>
      <c r="AU662" s="228"/>
      <c r="AV662" s="228"/>
      <c r="AW662" s="228"/>
      <c r="AX662" s="228"/>
      <c r="AY662" s="228"/>
      <c r="AZ662" s="228"/>
      <c r="BA662" s="228"/>
      <c r="BB662" s="228"/>
      <c r="BC662" s="228"/>
      <c r="BD662" s="100"/>
      <c r="BE662" s="100"/>
      <c r="BF662" s="100"/>
      <c r="BG662" s="100"/>
      <c r="BH662" s="100"/>
      <c r="BI662" s="100"/>
      <c r="BJ662" s="100"/>
      <c r="BK662" s="12"/>
      <c r="BL662" s="12"/>
    </row>
    <row r="663" spans="1:64" hidden="1" outlineLevel="1">
      <c r="A663" s="9"/>
      <c r="B663" s="9"/>
      <c r="C663" s="44"/>
      <c r="D663" s="270" t="str">
        <f>Asset2</f>
        <v>Switchgear</v>
      </c>
      <c r="E663" s="9"/>
      <c r="F663" s="9"/>
      <c r="G663" s="204">
        <f>Input!N8</f>
        <v>59.128999999999998</v>
      </c>
      <c r="H663" s="111"/>
      <c r="I663" s="111"/>
      <c r="J663" s="111"/>
      <c r="K663" s="111"/>
      <c r="L663" s="111"/>
      <c r="M663" s="111"/>
      <c r="N663" s="29"/>
      <c r="O663" s="29"/>
      <c r="P663" s="29"/>
      <c r="Q663" s="29"/>
      <c r="R663" s="29"/>
      <c r="S663" s="100"/>
      <c r="T663" s="100"/>
      <c r="U663" s="100"/>
      <c r="V663" s="100"/>
      <c r="W663" s="100"/>
      <c r="X663" s="100"/>
      <c r="Y663" s="100"/>
      <c r="Z663" s="100"/>
      <c r="AA663" s="100"/>
      <c r="AB663" s="228"/>
      <c r="AC663" s="228"/>
      <c r="AD663" s="228"/>
      <c r="AE663" s="228"/>
      <c r="AF663" s="228"/>
      <c r="AG663" s="228"/>
      <c r="AH663" s="228"/>
      <c r="AI663" s="228"/>
      <c r="AJ663" s="228"/>
      <c r="AK663" s="228"/>
      <c r="AL663" s="228"/>
      <c r="AM663" s="228"/>
      <c r="AN663" s="228"/>
      <c r="AO663" s="228"/>
      <c r="AP663" s="228"/>
      <c r="AQ663" s="228"/>
      <c r="AR663" s="228"/>
      <c r="AS663" s="228"/>
      <c r="AT663" s="228"/>
      <c r="AU663" s="228"/>
      <c r="AV663" s="228"/>
      <c r="AW663" s="228"/>
      <c r="AX663" s="228"/>
      <c r="AY663" s="228"/>
      <c r="AZ663" s="228"/>
      <c r="BA663" s="228"/>
      <c r="BB663" s="228"/>
      <c r="BC663" s="228"/>
      <c r="BD663" s="100"/>
      <c r="BE663" s="100"/>
      <c r="BF663" s="100"/>
      <c r="BG663" s="100"/>
      <c r="BH663" s="100"/>
      <c r="BI663" s="100"/>
      <c r="BJ663" s="100"/>
      <c r="BK663" s="12"/>
      <c r="BL663" s="12"/>
    </row>
    <row r="664" spans="1:64" hidden="1" outlineLevel="1">
      <c r="A664" s="9"/>
      <c r="B664" s="9"/>
      <c r="C664" s="44"/>
      <c r="D664" s="270" t="str">
        <f>Asset3</f>
        <v>Transformers</v>
      </c>
      <c r="E664" s="9"/>
      <c r="F664" s="9"/>
      <c r="G664" s="204">
        <f>Input!N9</f>
        <v>15.13</v>
      </c>
      <c r="H664" s="111"/>
      <c r="I664" s="111"/>
      <c r="J664" s="111"/>
      <c r="K664" s="111"/>
      <c r="L664" s="111"/>
      <c r="M664" s="111"/>
      <c r="N664" s="29"/>
      <c r="O664" s="29"/>
      <c r="P664" s="29"/>
      <c r="Q664" s="29"/>
      <c r="R664" s="29"/>
      <c r="S664" s="100"/>
      <c r="T664" s="100"/>
      <c r="U664" s="100"/>
      <c r="V664" s="100"/>
      <c r="W664" s="100"/>
      <c r="X664" s="100"/>
      <c r="Y664" s="100"/>
      <c r="Z664" s="100"/>
      <c r="AA664" s="100"/>
      <c r="AB664" s="228"/>
      <c r="AC664" s="228"/>
      <c r="AD664" s="228"/>
      <c r="AE664" s="228"/>
      <c r="AF664" s="228"/>
      <c r="AG664" s="228"/>
      <c r="AH664" s="228"/>
      <c r="AI664" s="228"/>
      <c r="AJ664" s="228"/>
      <c r="AK664" s="228"/>
      <c r="AL664" s="228"/>
      <c r="AM664" s="228"/>
      <c r="AN664" s="228"/>
      <c r="AO664" s="228"/>
      <c r="AP664" s="228"/>
      <c r="AQ664" s="228"/>
      <c r="AR664" s="228"/>
      <c r="AS664" s="228"/>
      <c r="AT664" s="228"/>
      <c r="AU664" s="228"/>
      <c r="AV664" s="228"/>
      <c r="AW664" s="228"/>
      <c r="AX664" s="228"/>
      <c r="AY664" s="228"/>
      <c r="AZ664" s="228"/>
      <c r="BA664" s="228"/>
      <c r="BB664" s="228"/>
      <c r="BC664" s="228"/>
      <c r="BD664" s="100"/>
      <c r="BE664" s="100"/>
      <c r="BF664" s="100"/>
      <c r="BG664" s="100"/>
      <c r="BH664" s="100"/>
      <c r="BI664" s="100"/>
      <c r="BJ664" s="100"/>
      <c r="BK664" s="12"/>
      <c r="BL664" s="12"/>
    </row>
    <row r="665" spans="1:64" hidden="1" outlineLevel="1">
      <c r="A665" s="9"/>
      <c r="B665" s="9"/>
      <c r="C665" s="44"/>
      <c r="D665" s="270" t="str">
        <f>Asset4</f>
        <v>Reactive</v>
      </c>
      <c r="E665" s="9"/>
      <c r="F665" s="9"/>
      <c r="G665" s="204">
        <f>Input!N10</f>
        <v>12.513</v>
      </c>
      <c r="H665" s="111"/>
      <c r="I665" s="111"/>
      <c r="J665" s="111"/>
      <c r="K665" s="111"/>
      <c r="L665" s="111"/>
      <c r="M665" s="111"/>
      <c r="N665" s="29"/>
      <c r="O665" s="29"/>
      <c r="P665" s="29"/>
      <c r="Q665" s="29"/>
      <c r="R665" s="29"/>
      <c r="S665" s="100"/>
      <c r="T665" s="100"/>
      <c r="U665" s="100"/>
      <c r="V665" s="100"/>
      <c r="W665" s="100"/>
      <c r="X665" s="100"/>
      <c r="Y665" s="100"/>
      <c r="Z665" s="100"/>
      <c r="AA665" s="100"/>
      <c r="AB665" s="228"/>
      <c r="AC665" s="228"/>
      <c r="AD665" s="228"/>
      <c r="AE665" s="228"/>
      <c r="AF665" s="228"/>
      <c r="AG665" s="228"/>
      <c r="AH665" s="228"/>
      <c r="AI665" s="228"/>
      <c r="AJ665" s="228"/>
      <c r="AK665" s="228"/>
      <c r="AL665" s="228"/>
      <c r="AM665" s="228"/>
      <c r="AN665" s="228"/>
      <c r="AO665" s="228"/>
      <c r="AP665" s="228"/>
      <c r="AQ665" s="228"/>
      <c r="AR665" s="228"/>
      <c r="AS665" s="228"/>
      <c r="AT665" s="228"/>
      <c r="AU665" s="228"/>
      <c r="AV665" s="228"/>
      <c r="AW665" s="228"/>
      <c r="AX665" s="228"/>
      <c r="AY665" s="228"/>
      <c r="AZ665" s="228"/>
      <c r="BA665" s="228"/>
      <c r="BB665" s="228"/>
      <c r="BC665" s="228"/>
      <c r="BD665" s="100"/>
      <c r="BE665" s="100"/>
      <c r="BF665" s="100"/>
      <c r="BG665" s="100"/>
      <c r="BH665" s="100"/>
      <c r="BI665" s="100"/>
      <c r="BJ665" s="100"/>
      <c r="BK665" s="12"/>
      <c r="BL665" s="12"/>
    </row>
    <row r="666" spans="1:64" hidden="1" outlineLevel="1">
      <c r="A666" s="9"/>
      <c r="B666" s="9"/>
      <c r="C666" s="44"/>
      <c r="D666" s="270" t="str">
        <f>Asset5</f>
        <v>Towers and Conductor</v>
      </c>
      <c r="E666" s="9"/>
      <c r="F666" s="9"/>
      <c r="G666" s="204">
        <f>Input!N11</f>
        <v>5.907</v>
      </c>
      <c r="H666" s="111"/>
      <c r="I666" s="111"/>
      <c r="J666" s="111"/>
      <c r="K666" s="111"/>
      <c r="L666" s="111"/>
      <c r="M666" s="111"/>
      <c r="N666" s="29"/>
      <c r="O666" s="29"/>
      <c r="P666" s="29"/>
      <c r="Q666" s="29"/>
      <c r="R666" s="29"/>
      <c r="S666" s="100"/>
      <c r="T666" s="100"/>
      <c r="U666" s="100"/>
      <c r="V666" s="100"/>
      <c r="W666" s="100"/>
      <c r="X666" s="100"/>
      <c r="Y666" s="100"/>
      <c r="Z666" s="100"/>
      <c r="AA666" s="100"/>
      <c r="AB666" s="228"/>
      <c r="AC666" s="228"/>
      <c r="AD666" s="228"/>
      <c r="AE666" s="228"/>
      <c r="AF666" s="228"/>
      <c r="AG666" s="228"/>
      <c r="AH666" s="228"/>
      <c r="AI666" s="228"/>
      <c r="AJ666" s="228"/>
      <c r="AK666" s="228"/>
      <c r="AL666" s="228"/>
      <c r="AM666" s="228"/>
      <c r="AN666" s="228"/>
      <c r="AO666" s="228"/>
      <c r="AP666" s="228"/>
      <c r="AQ666" s="228"/>
      <c r="AR666" s="228"/>
      <c r="AS666" s="228"/>
      <c r="AT666" s="228"/>
      <c r="AU666" s="228"/>
      <c r="AV666" s="228"/>
      <c r="AW666" s="228"/>
      <c r="AX666" s="228"/>
      <c r="AY666" s="228"/>
      <c r="AZ666" s="228"/>
      <c r="BA666" s="228"/>
      <c r="BB666" s="228"/>
      <c r="BC666" s="228"/>
      <c r="BD666" s="100"/>
      <c r="BE666" s="100"/>
      <c r="BF666" s="100"/>
      <c r="BG666" s="100"/>
      <c r="BH666" s="100"/>
      <c r="BI666" s="100"/>
      <c r="BJ666" s="100"/>
      <c r="BK666" s="12"/>
      <c r="BL666" s="12"/>
    </row>
    <row r="667" spans="1:64" hidden="1" outlineLevel="1">
      <c r="A667" s="9"/>
      <c r="B667" s="9"/>
      <c r="C667" s="44"/>
      <c r="D667" s="270" t="str">
        <f>Asset6</f>
        <v>Establishment</v>
      </c>
      <c r="E667" s="9"/>
      <c r="F667" s="9"/>
      <c r="G667" s="204">
        <f>Input!N12</f>
        <v>4.085</v>
      </c>
      <c r="H667" s="111"/>
      <c r="I667" s="111"/>
      <c r="J667" s="111"/>
      <c r="K667" s="111"/>
      <c r="L667" s="111"/>
      <c r="M667" s="111"/>
      <c r="N667" s="29"/>
      <c r="O667" s="29"/>
      <c r="P667" s="29"/>
      <c r="Q667" s="29"/>
      <c r="R667" s="29"/>
      <c r="S667" s="100"/>
      <c r="T667" s="100"/>
      <c r="U667" s="100"/>
      <c r="V667" s="100"/>
      <c r="W667" s="100"/>
      <c r="X667" s="100"/>
      <c r="Y667" s="100"/>
      <c r="Z667" s="100"/>
      <c r="AA667" s="100"/>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100"/>
      <c r="BE667" s="100"/>
      <c r="BF667" s="100"/>
      <c r="BG667" s="100"/>
      <c r="BH667" s="100"/>
      <c r="BI667" s="100"/>
      <c r="BJ667" s="100"/>
      <c r="BK667" s="12"/>
      <c r="BL667" s="12"/>
    </row>
    <row r="668" spans="1:64" hidden="1" outlineLevel="1">
      <c r="A668" s="9"/>
      <c r="B668" s="9"/>
      <c r="C668" s="44"/>
      <c r="D668" s="270" t="str">
        <f>Asset7</f>
        <v>Communications</v>
      </c>
      <c r="E668" s="9"/>
      <c r="F668" s="9"/>
      <c r="G668" s="204">
        <f>Input!N13</f>
        <v>1.3620000000000001</v>
      </c>
      <c r="H668" s="111"/>
      <c r="I668" s="111"/>
      <c r="J668" s="111"/>
      <c r="K668" s="111"/>
      <c r="L668" s="111"/>
      <c r="M668" s="111"/>
      <c r="N668" s="29"/>
      <c r="O668" s="29"/>
      <c r="P668" s="29"/>
      <c r="Q668" s="29"/>
      <c r="R668" s="29"/>
      <c r="S668" s="100"/>
      <c r="T668" s="100"/>
      <c r="U668" s="100"/>
      <c r="V668" s="100"/>
      <c r="W668" s="100"/>
      <c r="X668" s="100"/>
      <c r="Y668" s="100"/>
      <c r="Z668" s="100"/>
      <c r="AA668" s="100"/>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100"/>
      <c r="BE668" s="100"/>
      <c r="BF668" s="100"/>
      <c r="BG668" s="100"/>
      <c r="BH668" s="100"/>
      <c r="BI668" s="100"/>
      <c r="BJ668" s="100"/>
      <c r="BK668" s="12"/>
      <c r="BL668" s="12"/>
    </row>
    <row r="669" spans="1:64" hidden="1" outlineLevel="1">
      <c r="A669" s="9"/>
      <c r="B669" s="9"/>
      <c r="C669" s="44"/>
      <c r="D669" s="270" t="str">
        <f>Asset8</f>
        <v>Inventory</v>
      </c>
      <c r="E669" s="9"/>
      <c r="F669" s="9"/>
      <c r="G669" s="204">
        <f>Input!N14</f>
        <v>0</v>
      </c>
      <c r="H669" s="111"/>
      <c r="I669" s="111"/>
      <c r="J669" s="111"/>
      <c r="K669" s="111"/>
      <c r="L669" s="111"/>
      <c r="M669" s="111"/>
      <c r="N669" s="29"/>
      <c r="O669" s="29"/>
      <c r="P669" s="29"/>
      <c r="Q669" s="29"/>
      <c r="R669" s="29"/>
      <c r="S669" s="100"/>
      <c r="T669" s="100"/>
      <c r="U669" s="100"/>
      <c r="V669" s="100"/>
      <c r="W669" s="100"/>
      <c r="X669" s="100"/>
      <c r="Y669" s="100"/>
      <c r="Z669" s="100"/>
      <c r="AA669" s="100"/>
      <c r="AB669" s="228"/>
      <c r="AC669" s="228"/>
      <c r="AD669" s="228"/>
      <c r="AE669" s="228"/>
      <c r="AF669" s="228"/>
      <c r="AG669" s="228"/>
      <c r="AH669" s="228"/>
      <c r="AI669" s="228"/>
      <c r="AJ669" s="228"/>
      <c r="AK669" s="228"/>
      <c r="AL669" s="228"/>
      <c r="AM669" s="228"/>
      <c r="AN669" s="228"/>
      <c r="AO669" s="228"/>
      <c r="AP669" s="228"/>
      <c r="AQ669" s="228"/>
      <c r="AR669" s="228"/>
      <c r="AS669" s="228"/>
      <c r="AT669" s="228"/>
      <c r="AU669" s="228"/>
      <c r="AV669" s="228"/>
      <c r="AW669" s="228"/>
      <c r="AX669" s="228"/>
      <c r="AY669" s="228"/>
      <c r="AZ669" s="228"/>
      <c r="BA669" s="228"/>
      <c r="BB669" s="228"/>
      <c r="BC669" s="228"/>
      <c r="BD669" s="100"/>
      <c r="BE669" s="100"/>
      <c r="BF669" s="100"/>
      <c r="BG669" s="100"/>
      <c r="BH669" s="100"/>
      <c r="BI669" s="100"/>
      <c r="BJ669" s="100"/>
      <c r="BK669" s="12"/>
      <c r="BL669" s="12"/>
    </row>
    <row r="670" spans="1:64" hidden="1" outlineLevel="1">
      <c r="A670" s="9"/>
      <c r="B670" s="9"/>
      <c r="C670" s="44"/>
      <c r="D670" s="270" t="str">
        <f>Asset9</f>
        <v>IT</v>
      </c>
      <c r="E670" s="9"/>
      <c r="F670" s="9"/>
      <c r="G670" s="204">
        <f>Input!N15</f>
        <v>0</v>
      </c>
      <c r="H670" s="111"/>
      <c r="I670" s="111"/>
      <c r="J670" s="111"/>
      <c r="K670" s="111"/>
      <c r="L670" s="111"/>
      <c r="M670" s="111"/>
      <c r="N670" s="29"/>
      <c r="O670" s="29"/>
      <c r="P670" s="29"/>
      <c r="Q670" s="29"/>
      <c r="R670" s="29"/>
      <c r="S670" s="100"/>
      <c r="T670" s="100"/>
      <c r="U670" s="100"/>
      <c r="V670" s="100"/>
      <c r="W670" s="100"/>
      <c r="X670" s="100"/>
      <c r="Y670" s="100"/>
      <c r="Z670" s="100"/>
      <c r="AA670" s="100"/>
      <c r="AB670" s="228"/>
      <c r="AC670" s="228"/>
      <c r="AD670" s="228"/>
      <c r="AE670" s="228"/>
      <c r="AF670" s="228"/>
      <c r="AG670" s="228"/>
      <c r="AH670" s="228"/>
      <c r="AI670" s="228"/>
      <c r="AJ670" s="228"/>
      <c r="AK670" s="228"/>
      <c r="AL670" s="228"/>
      <c r="AM670" s="228"/>
      <c r="AN670" s="228"/>
      <c r="AO670" s="228"/>
      <c r="AP670" s="228"/>
      <c r="AQ670" s="228"/>
      <c r="AR670" s="228"/>
      <c r="AS670" s="228"/>
      <c r="AT670" s="228"/>
      <c r="AU670" s="228"/>
      <c r="AV670" s="228"/>
      <c r="AW670" s="228"/>
      <c r="AX670" s="228"/>
      <c r="AY670" s="228"/>
      <c r="AZ670" s="228"/>
      <c r="BA670" s="228"/>
      <c r="BB670" s="228"/>
      <c r="BC670" s="228"/>
      <c r="BD670" s="100"/>
      <c r="BE670" s="100"/>
      <c r="BF670" s="100"/>
      <c r="BG670" s="100"/>
      <c r="BH670" s="100"/>
      <c r="BI670" s="100"/>
      <c r="BJ670" s="100"/>
      <c r="BK670" s="12"/>
      <c r="BL670" s="12"/>
    </row>
    <row r="671" spans="1:64" hidden="1" outlineLevel="1">
      <c r="A671" s="9"/>
      <c r="B671" s="9"/>
      <c r="C671" s="44"/>
      <c r="D671" s="270" t="str">
        <f>Asset10</f>
        <v>Vehicles</v>
      </c>
      <c r="E671" s="9"/>
      <c r="F671" s="9"/>
      <c r="G671" s="204">
        <f>Input!N16</f>
        <v>0</v>
      </c>
      <c r="H671" s="111"/>
      <c r="I671" s="111"/>
      <c r="J671" s="111"/>
      <c r="K671" s="111"/>
      <c r="L671" s="111"/>
      <c r="M671" s="111"/>
      <c r="N671" s="29"/>
      <c r="O671" s="29"/>
      <c r="P671" s="29"/>
      <c r="Q671" s="29"/>
      <c r="R671" s="29"/>
      <c r="S671" s="100"/>
      <c r="T671" s="100"/>
      <c r="U671" s="100"/>
      <c r="V671" s="100"/>
      <c r="W671" s="100"/>
      <c r="X671" s="100"/>
      <c r="Y671" s="100"/>
      <c r="Z671" s="100"/>
      <c r="AA671" s="100"/>
      <c r="AB671" s="228"/>
      <c r="AC671" s="228"/>
      <c r="AD671" s="228"/>
      <c r="AE671" s="228"/>
      <c r="AF671" s="228"/>
      <c r="AG671" s="228"/>
      <c r="AH671" s="228"/>
      <c r="AI671" s="228"/>
      <c r="AJ671" s="228"/>
      <c r="AK671" s="228"/>
      <c r="AL671" s="228"/>
      <c r="AM671" s="228"/>
      <c r="AN671" s="228"/>
      <c r="AO671" s="228"/>
      <c r="AP671" s="228"/>
      <c r="AQ671" s="228"/>
      <c r="AR671" s="228"/>
      <c r="AS671" s="228"/>
      <c r="AT671" s="228"/>
      <c r="AU671" s="228"/>
      <c r="AV671" s="228"/>
      <c r="AW671" s="228"/>
      <c r="AX671" s="228"/>
      <c r="AY671" s="228"/>
      <c r="AZ671" s="228"/>
      <c r="BA671" s="228"/>
      <c r="BB671" s="228"/>
      <c r="BC671" s="228"/>
      <c r="BD671" s="100"/>
      <c r="BE671" s="100"/>
      <c r="BF671" s="100"/>
      <c r="BG671" s="100"/>
      <c r="BH671" s="100"/>
      <c r="BI671" s="100"/>
      <c r="BJ671" s="100"/>
      <c r="BK671" s="12"/>
      <c r="BL671" s="12"/>
    </row>
    <row r="672" spans="1:64" hidden="1" outlineLevel="1">
      <c r="A672" s="9"/>
      <c r="B672" s="9"/>
      <c r="C672" s="44"/>
      <c r="D672" s="270" t="str">
        <f>Asset11</f>
        <v>other</v>
      </c>
      <c r="E672" s="9"/>
      <c r="F672" s="9"/>
      <c r="G672" s="204">
        <f>Input!N17</f>
        <v>0</v>
      </c>
      <c r="H672" s="111"/>
      <c r="I672" s="111"/>
      <c r="J672" s="111"/>
      <c r="K672" s="111"/>
      <c r="L672" s="111"/>
      <c r="M672" s="111"/>
      <c r="N672" s="29"/>
      <c r="O672" s="29"/>
      <c r="P672" s="29"/>
      <c r="Q672" s="29"/>
      <c r="R672" s="29"/>
      <c r="S672" s="100"/>
      <c r="T672" s="100"/>
      <c r="U672" s="100"/>
      <c r="V672" s="100"/>
      <c r="W672" s="100"/>
      <c r="X672" s="100"/>
      <c r="Y672" s="100"/>
      <c r="Z672" s="100"/>
      <c r="AA672" s="100"/>
      <c r="AB672" s="228"/>
      <c r="AC672" s="228"/>
      <c r="AD672" s="228"/>
      <c r="AE672" s="228"/>
      <c r="AF672" s="228"/>
      <c r="AG672" s="228"/>
      <c r="AH672" s="228"/>
      <c r="AI672" s="228"/>
      <c r="AJ672" s="228"/>
      <c r="AK672" s="228"/>
      <c r="AL672" s="228"/>
      <c r="AM672" s="228"/>
      <c r="AN672" s="228"/>
      <c r="AO672" s="228"/>
      <c r="AP672" s="228"/>
      <c r="AQ672" s="228"/>
      <c r="AR672" s="228"/>
      <c r="AS672" s="228"/>
      <c r="AT672" s="228"/>
      <c r="AU672" s="228"/>
      <c r="AV672" s="228"/>
      <c r="AW672" s="228"/>
      <c r="AX672" s="228"/>
      <c r="AY672" s="228"/>
      <c r="AZ672" s="228"/>
      <c r="BA672" s="228"/>
      <c r="BB672" s="228"/>
      <c r="BC672" s="228"/>
      <c r="BD672" s="100"/>
      <c r="BE672" s="100"/>
      <c r="BF672" s="100"/>
      <c r="BG672" s="100"/>
      <c r="BH672" s="100"/>
      <c r="BI672" s="100"/>
      <c r="BJ672" s="100"/>
      <c r="BK672" s="12"/>
      <c r="BL672" s="12"/>
    </row>
    <row r="673" spans="1:64" hidden="1" outlineLevel="1">
      <c r="A673" s="9"/>
      <c r="B673" s="9"/>
      <c r="C673" s="44"/>
      <c r="D673" s="270" t="str">
        <f>Asset12</f>
        <v>premises</v>
      </c>
      <c r="E673" s="9"/>
      <c r="F673" s="9"/>
      <c r="G673" s="204">
        <f>Input!N18</f>
        <v>0</v>
      </c>
      <c r="H673" s="111"/>
      <c r="I673" s="111"/>
      <c r="J673" s="111"/>
      <c r="K673" s="111"/>
      <c r="L673" s="111"/>
      <c r="M673" s="111"/>
      <c r="N673" s="29"/>
      <c r="O673" s="29"/>
      <c r="P673" s="29"/>
      <c r="Q673" s="29"/>
      <c r="R673" s="29"/>
      <c r="S673" s="100"/>
      <c r="T673" s="100"/>
      <c r="U673" s="100"/>
      <c r="V673" s="100"/>
      <c r="W673" s="100"/>
      <c r="X673" s="100"/>
      <c r="Y673" s="100"/>
      <c r="Z673" s="100"/>
      <c r="AA673" s="100"/>
      <c r="AB673" s="228"/>
      <c r="AC673" s="228"/>
      <c r="AD673" s="228"/>
      <c r="AE673" s="228"/>
      <c r="AF673" s="228"/>
      <c r="AG673" s="228"/>
      <c r="AH673" s="228"/>
      <c r="AI673" s="228"/>
      <c r="AJ673" s="228"/>
      <c r="AK673" s="228"/>
      <c r="AL673" s="228"/>
      <c r="AM673" s="228"/>
      <c r="AN673" s="228"/>
      <c r="AO673" s="228"/>
      <c r="AP673" s="228"/>
      <c r="AQ673" s="228"/>
      <c r="AR673" s="228"/>
      <c r="AS673" s="228"/>
      <c r="AT673" s="228"/>
      <c r="AU673" s="228"/>
      <c r="AV673" s="228"/>
      <c r="AW673" s="228"/>
      <c r="AX673" s="228"/>
      <c r="AY673" s="228"/>
      <c r="AZ673" s="228"/>
      <c r="BA673" s="228"/>
      <c r="BB673" s="228"/>
      <c r="BC673" s="228"/>
      <c r="BD673" s="100"/>
      <c r="BE673" s="100"/>
      <c r="BF673" s="100"/>
      <c r="BG673" s="100"/>
      <c r="BH673" s="100"/>
      <c r="BI673" s="100"/>
      <c r="BJ673" s="100"/>
      <c r="BK673" s="12"/>
      <c r="BL673" s="12"/>
    </row>
    <row r="674" spans="1:64" hidden="1" outlineLevel="1">
      <c r="A674" s="9"/>
      <c r="B674" s="9"/>
      <c r="C674" s="44"/>
      <c r="D674" s="270" t="str">
        <f>Asset13</f>
        <v>Land</v>
      </c>
      <c r="E674" s="9"/>
      <c r="F674" s="9"/>
      <c r="G674" s="204">
        <f>Input!N19</f>
        <v>0</v>
      </c>
      <c r="H674" s="111"/>
      <c r="I674" s="111"/>
      <c r="J674" s="111"/>
      <c r="K674" s="111"/>
      <c r="L674" s="111"/>
      <c r="M674" s="111"/>
      <c r="N674" s="29"/>
      <c r="O674" s="29"/>
      <c r="P674" s="29"/>
      <c r="Q674" s="29"/>
      <c r="R674" s="29"/>
      <c r="S674" s="100"/>
      <c r="T674" s="100"/>
      <c r="U674" s="100"/>
      <c r="V674" s="100"/>
      <c r="W674" s="100"/>
      <c r="X674" s="100"/>
      <c r="Y674" s="100"/>
      <c r="Z674" s="100"/>
      <c r="AA674" s="100"/>
      <c r="AB674" s="228"/>
      <c r="AC674" s="228"/>
      <c r="AD674" s="228"/>
      <c r="AE674" s="228"/>
      <c r="AF674" s="228"/>
      <c r="AG674" s="228"/>
      <c r="AH674" s="228"/>
      <c r="AI674" s="228"/>
      <c r="AJ674" s="228"/>
      <c r="AK674" s="228"/>
      <c r="AL674" s="228"/>
      <c r="AM674" s="228"/>
      <c r="AN674" s="228"/>
      <c r="AO674" s="228"/>
      <c r="AP674" s="228"/>
      <c r="AQ674" s="228"/>
      <c r="AR674" s="228"/>
      <c r="AS674" s="228"/>
      <c r="AT674" s="228"/>
      <c r="AU674" s="228"/>
      <c r="AV674" s="228"/>
      <c r="AW674" s="228"/>
      <c r="AX674" s="228"/>
      <c r="AY674" s="228"/>
      <c r="AZ674" s="228"/>
      <c r="BA674" s="228"/>
      <c r="BB674" s="228"/>
      <c r="BC674" s="228"/>
      <c r="BD674" s="100"/>
      <c r="BE674" s="100"/>
      <c r="BF674" s="100"/>
      <c r="BG674" s="100"/>
      <c r="BH674" s="100"/>
      <c r="BI674" s="100"/>
      <c r="BJ674" s="100"/>
      <c r="BK674" s="12"/>
      <c r="BL674" s="12"/>
    </row>
    <row r="675" spans="1:64" hidden="1" outlineLevel="1">
      <c r="A675" s="9"/>
      <c r="B675" s="9"/>
      <c r="C675" s="44"/>
      <c r="D675" s="270" t="str">
        <f>Asset14</f>
        <v>Easements</v>
      </c>
      <c r="E675" s="9"/>
      <c r="F675" s="9"/>
      <c r="G675" s="204">
        <f>Input!N20</f>
        <v>0</v>
      </c>
      <c r="H675" s="111"/>
      <c r="I675" s="111"/>
      <c r="J675" s="111"/>
      <c r="K675" s="111"/>
      <c r="L675" s="111"/>
      <c r="M675" s="111"/>
      <c r="N675" s="29"/>
      <c r="O675" s="29"/>
      <c r="P675" s="29"/>
      <c r="Q675" s="29"/>
      <c r="R675" s="29"/>
      <c r="S675" s="100"/>
      <c r="T675" s="100"/>
      <c r="U675" s="100"/>
      <c r="V675" s="100"/>
      <c r="W675" s="100"/>
      <c r="X675" s="100"/>
      <c r="Y675" s="100"/>
      <c r="Z675" s="100"/>
      <c r="AA675" s="100"/>
      <c r="AB675" s="228"/>
      <c r="AC675" s="228"/>
      <c r="AD675" s="228"/>
      <c r="AE675" s="228"/>
      <c r="AF675" s="228"/>
      <c r="AG675" s="228"/>
      <c r="AH675" s="228"/>
      <c r="AI675" s="228"/>
      <c r="AJ675" s="228"/>
      <c r="AK675" s="228"/>
      <c r="AL675" s="228"/>
      <c r="AM675" s="228"/>
      <c r="AN675" s="228"/>
      <c r="AO675" s="228"/>
      <c r="AP675" s="228"/>
      <c r="AQ675" s="228"/>
      <c r="AR675" s="228"/>
      <c r="AS675" s="228"/>
      <c r="AT675" s="228"/>
      <c r="AU675" s="228"/>
      <c r="AV675" s="228"/>
      <c r="AW675" s="228"/>
      <c r="AX675" s="228"/>
      <c r="AY675" s="228"/>
      <c r="AZ675" s="228"/>
      <c r="BA675" s="228"/>
      <c r="BB675" s="228"/>
      <c r="BC675" s="228"/>
      <c r="BD675" s="100"/>
      <c r="BE675" s="100"/>
      <c r="BF675" s="100"/>
      <c r="BG675" s="100"/>
      <c r="BH675" s="100"/>
      <c r="BI675" s="100"/>
      <c r="BJ675" s="100"/>
      <c r="BK675" s="12"/>
      <c r="BL675" s="12"/>
    </row>
    <row r="676" spans="1:64" hidden="1" outlineLevel="1">
      <c r="A676" s="9"/>
      <c r="B676" s="9"/>
      <c r="C676" s="44"/>
      <c r="D676" s="270">
        <f>Asset15</f>
        <v>0</v>
      </c>
      <c r="E676" s="9"/>
      <c r="F676" s="9"/>
      <c r="G676" s="204">
        <f>Input!N21</f>
        <v>0</v>
      </c>
      <c r="H676" s="111"/>
      <c r="I676" s="111"/>
      <c r="J676" s="111"/>
      <c r="K676" s="111"/>
      <c r="L676" s="111"/>
      <c r="M676" s="111"/>
      <c r="N676" s="29"/>
      <c r="O676" s="29"/>
      <c r="P676" s="29"/>
      <c r="Q676" s="29"/>
      <c r="R676" s="29"/>
      <c r="S676" s="100"/>
      <c r="T676" s="100"/>
      <c r="U676" s="100"/>
      <c r="V676" s="100"/>
      <c r="W676" s="100"/>
      <c r="X676" s="100"/>
      <c r="Y676" s="100"/>
      <c r="Z676" s="100"/>
      <c r="AA676" s="100"/>
      <c r="AB676" s="228"/>
      <c r="AC676" s="228"/>
      <c r="AD676" s="228"/>
      <c r="AE676" s="228"/>
      <c r="AF676" s="228"/>
      <c r="AG676" s="228"/>
      <c r="AH676" s="228"/>
      <c r="AI676" s="228"/>
      <c r="AJ676" s="228"/>
      <c r="AK676" s="228"/>
      <c r="AL676" s="228"/>
      <c r="AM676" s="228"/>
      <c r="AN676" s="228"/>
      <c r="AO676" s="228"/>
      <c r="AP676" s="228"/>
      <c r="AQ676" s="228"/>
      <c r="AR676" s="228"/>
      <c r="AS676" s="228"/>
      <c r="AT676" s="228"/>
      <c r="AU676" s="228"/>
      <c r="AV676" s="228"/>
      <c r="AW676" s="228"/>
      <c r="AX676" s="228"/>
      <c r="AY676" s="228"/>
      <c r="AZ676" s="228"/>
      <c r="BA676" s="228"/>
      <c r="BB676" s="228"/>
      <c r="BC676" s="228"/>
      <c r="BD676" s="100"/>
      <c r="BE676" s="100"/>
      <c r="BF676" s="100"/>
      <c r="BG676" s="100"/>
      <c r="BH676" s="100"/>
      <c r="BI676" s="100"/>
      <c r="BJ676" s="100"/>
      <c r="BK676" s="12"/>
      <c r="BL676" s="12"/>
    </row>
    <row r="677" spans="1:64" hidden="1" outlineLevel="1">
      <c r="A677" s="9"/>
      <c r="B677" s="9"/>
      <c r="C677" s="44"/>
      <c r="D677" s="270">
        <f>Asset16</f>
        <v>0</v>
      </c>
      <c r="E677" s="9"/>
      <c r="F677" s="9"/>
      <c r="G677" s="204">
        <f>Input!N22</f>
        <v>0</v>
      </c>
      <c r="H677" s="111"/>
      <c r="I677" s="111"/>
      <c r="J677" s="111"/>
      <c r="K677" s="111"/>
      <c r="L677" s="111"/>
      <c r="M677" s="111"/>
      <c r="N677" s="29"/>
      <c r="O677" s="29"/>
      <c r="P677" s="29"/>
      <c r="Q677" s="29"/>
      <c r="R677" s="29"/>
      <c r="S677" s="100"/>
      <c r="T677" s="100"/>
      <c r="U677" s="100"/>
      <c r="V677" s="100"/>
      <c r="W677" s="100"/>
      <c r="X677" s="100"/>
      <c r="Y677" s="100"/>
      <c r="Z677" s="100"/>
      <c r="AA677" s="100"/>
      <c r="AB677" s="228"/>
      <c r="AC677" s="228"/>
      <c r="AD677" s="228"/>
      <c r="AE677" s="228"/>
      <c r="AF677" s="228"/>
      <c r="AG677" s="228"/>
      <c r="AH677" s="228"/>
      <c r="AI677" s="228"/>
      <c r="AJ677" s="228"/>
      <c r="AK677" s="228"/>
      <c r="AL677" s="228"/>
      <c r="AM677" s="228"/>
      <c r="AN677" s="228"/>
      <c r="AO677" s="228"/>
      <c r="AP677" s="228"/>
      <c r="AQ677" s="228"/>
      <c r="AR677" s="228"/>
      <c r="AS677" s="228"/>
      <c r="AT677" s="228"/>
      <c r="AU677" s="228"/>
      <c r="AV677" s="228"/>
      <c r="AW677" s="228"/>
      <c r="AX677" s="228"/>
      <c r="AY677" s="228"/>
      <c r="AZ677" s="228"/>
      <c r="BA677" s="228"/>
      <c r="BB677" s="228"/>
      <c r="BC677" s="228"/>
      <c r="BD677" s="100"/>
      <c r="BE677" s="100"/>
      <c r="BF677" s="100"/>
      <c r="BG677" s="100"/>
      <c r="BH677" s="100"/>
      <c r="BI677" s="100"/>
      <c r="BJ677" s="100"/>
      <c r="BK677" s="12"/>
      <c r="BL677" s="12"/>
    </row>
    <row r="678" spans="1:64" hidden="1" outlineLevel="1">
      <c r="A678" s="9"/>
      <c r="B678" s="9"/>
      <c r="C678" s="44"/>
      <c r="D678" s="270">
        <f>Asset17</f>
        <v>0</v>
      </c>
      <c r="E678" s="9"/>
      <c r="F678" s="9"/>
      <c r="G678" s="204">
        <f>Input!N23</f>
        <v>0</v>
      </c>
      <c r="H678" s="111"/>
      <c r="I678" s="111"/>
      <c r="J678" s="111"/>
      <c r="K678" s="111"/>
      <c r="L678" s="111"/>
      <c r="M678" s="111"/>
      <c r="N678" s="29"/>
      <c r="O678" s="29"/>
      <c r="P678" s="29"/>
      <c r="Q678" s="29"/>
      <c r="R678" s="29"/>
      <c r="S678" s="100"/>
      <c r="T678" s="100"/>
      <c r="U678" s="100"/>
      <c r="V678" s="100"/>
      <c r="W678" s="100"/>
      <c r="X678" s="100"/>
      <c r="Y678" s="100"/>
      <c r="Z678" s="100"/>
      <c r="AA678" s="100"/>
      <c r="AB678" s="228"/>
      <c r="AC678" s="228"/>
      <c r="AD678" s="228"/>
      <c r="AE678" s="228"/>
      <c r="AF678" s="228"/>
      <c r="AG678" s="228"/>
      <c r="AH678" s="228"/>
      <c r="AI678" s="228"/>
      <c r="AJ678" s="228"/>
      <c r="AK678" s="228"/>
      <c r="AL678" s="228"/>
      <c r="AM678" s="228"/>
      <c r="AN678" s="228"/>
      <c r="AO678" s="228"/>
      <c r="AP678" s="228"/>
      <c r="AQ678" s="228"/>
      <c r="AR678" s="228"/>
      <c r="AS678" s="228"/>
      <c r="AT678" s="228"/>
      <c r="AU678" s="228"/>
      <c r="AV678" s="228"/>
      <c r="AW678" s="228"/>
      <c r="AX678" s="228"/>
      <c r="AY678" s="228"/>
      <c r="AZ678" s="228"/>
      <c r="BA678" s="228"/>
      <c r="BB678" s="228"/>
      <c r="BC678" s="228"/>
      <c r="BD678" s="100"/>
      <c r="BE678" s="100"/>
      <c r="BF678" s="100"/>
      <c r="BG678" s="100"/>
      <c r="BH678" s="100"/>
      <c r="BI678" s="100"/>
      <c r="BJ678" s="100"/>
      <c r="BK678" s="12"/>
      <c r="BL678" s="12"/>
    </row>
    <row r="679" spans="1:64" hidden="1" outlineLevel="1">
      <c r="A679" s="9"/>
      <c r="B679" s="9"/>
      <c r="C679" s="44"/>
      <c r="D679" s="270">
        <f>Asset18</f>
        <v>0</v>
      </c>
      <c r="E679" s="9"/>
      <c r="F679" s="9"/>
      <c r="G679" s="204">
        <f>Input!N24</f>
        <v>0</v>
      </c>
      <c r="H679" s="111"/>
      <c r="I679" s="111"/>
      <c r="J679" s="111"/>
      <c r="K679" s="111"/>
      <c r="L679" s="111"/>
      <c r="M679" s="111"/>
      <c r="N679" s="29"/>
      <c r="O679" s="29"/>
      <c r="P679" s="29"/>
      <c r="Q679" s="29"/>
      <c r="R679" s="29"/>
      <c r="S679" s="100"/>
      <c r="T679" s="100"/>
      <c r="U679" s="100"/>
      <c r="V679" s="100"/>
      <c r="W679" s="100"/>
      <c r="X679" s="100"/>
      <c r="Y679" s="100"/>
      <c r="Z679" s="100"/>
      <c r="AA679" s="100"/>
      <c r="AB679" s="228"/>
      <c r="AC679" s="228"/>
      <c r="AD679" s="228"/>
      <c r="AE679" s="228"/>
      <c r="AF679" s="228"/>
      <c r="AG679" s="228"/>
      <c r="AH679" s="228"/>
      <c r="AI679" s="228"/>
      <c r="AJ679" s="228"/>
      <c r="AK679" s="228"/>
      <c r="AL679" s="228"/>
      <c r="AM679" s="228"/>
      <c r="AN679" s="228"/>
      <c r="AO679" s="228"/>
      <c r="AP679" s="228"/>
      <c r="AQ679" s="228"/>
      <c r="AR679" s="228"/>
      <c r="AS679" s="228"/>
      <c r="AT679" s="228"/>
      <c r="AU679" s="228"/>
      <c r="AV679" s="228"/>
      <c r="AW679" s="228"/>
      <c r="AX679" s="228"/>
      <c r="AY679" s="228"/>
      <c r="AZ679" s="228"/>
      <c r="BA679" s="228"/>
      <c r="BB679" s="228"/>
      <c r="BC679" s="228"/>
      <c r="BD679" s="100"/>
      <c r="BE679" s="100"/>
      <c r="BF679" s="100"/>
      <c r="BG679" s="100"/>
      <c r="BH679" s="100"/>
      <c r="BI679" s="100"/>
      <c r="BJ679" s="100"/>
      <c r="BK679" s="12"/>
      <c r="BL679" s="12"/>
    </row>
    <row r="680" spans="1:64" hidden="1" outlineLevel="1">
      <c r="A680" s="9"/>
      <c r="B680" s="9"/>
      <c r="C680" s="44"/>
      <c r="D680" s="270">
        <f>Asset19</f>
        <v>0</v>
      </c>
      <c r="E680" s="9"/>
      <c r="F680" s="9"/>
      <c r="G680" s="204">
        <f>Input!N25</f>
        <v>0</v>
      </c>
      <c r="H680" s="111"/>
      <c r="I680" s="111"/>
      <c r="J680" s="111"/>
      <c r="K680" s="111"/>
      <c r="L680" s="111"/>
      <c r="M680" s="111"/>
      <c r="N680" s="29"/>
      <c r="O680" s="29"/>
      <c r="P680" s="29"/>
      <c r="Q680" s="29"/>
      <c r="R680" s="29"/>
      <c r="S680" s="100"/>
      <c r="T680" s="100"/>
      <c r="U680" s="100"/>
      <c r="V680" s="100"/>
      <c r="W680" s="100"/>
      <c r="X680" s="100"/>
      <c r="Y680" s="100"/>
      <c r="Z680" s="100"/>
      <c r="AA680" s="100"/>
      <c r="AB680" s="228"/>
      <c r="AC680" s="228"/>
      <c r="AD680" s="228"/>
      <c r="AE680" s="228"/>
      <c r="AF680" s="228"/>
      <c r="AG680" s="228"/>
      <c r="AH680" s="228"/>
      <c r="AI680" s="228"/>
      <c r="AJ680" s="228"/>
      <c r="AK680" s="228"/>
      <c r="AL680" s="228"/>
      <c r="AM680" s="228"/>
      <c r="AN680" s="228"/>
      <c r="AO680" s="228"/>
      <c r="AP680" s="228"/>
      <c r="AQ680" s="228"/>
      <c r="AR680" s="228"/>
      <c r="AS680" s="228"/>
      <c r="AT680" s="228"/>
      <c r="AU680" s="228"/>
      <c r="AV680" s="228"/>
      <c r="AW680" s="228"/>
      <c r="AX680" s="228"/>
      <c r="AY680" s="228"/>
      <c r="AZ680" s="228"/>
      <c r="BA680" s="228"/>
      <c r="BB680" s="228"/>
      <c r="BC680" s="228"/>
      <c r="BD680" s="100"/>
      <c r="BE680" s="100"/>
      <c r="BF680" s="100"/>
      <c r="BG680" s="100"/>
      <c r="BH680" s="100"/>
      <c r="BI680" s="100"/>
      <c r="BJ680" s="100"/>
      <c r="BK680" s="12"/>
      <c r="BL680" s="12"/>
    </row>
    <row r="681" spans="1:64" hidden="1" outlineLevel="1">
      <c r="A681" s="9"/>
      <c r="B681" s="9"/>
      <c r="C681" s="44"/>
      <c r="D681" s="270">
        <f>Asset20</f>
        <v>0</v>
      </c>
      <c r="E681" s="9"/>
      <c r="F681" s="9"/>
      <c r="G681" s="204">
        <f>Input!N26</f>
        <v>0</v>
      </c>
      <c r="H681" s="111"/>
      <c r="I681" s="111"/>
      <c r="J681" s="111"/>
      <c r="K681" s="111"/>
      <c r="L681" s="111"/>
      <c r="M681" s="111"/>
      <c r="N681" s="29"/>
      <c r="O681" s="29"/>
      <c r="P681" s="29"/>
      <c r="Q681" s="29"/>
      <c r="R681" s="29"/>
      <c r="S681" s="100"/>
      <c r="T681" s="100"/>
      <c r="U681" s="100"/>
      <c r="V681" s="100"/>
      <c r="W681" s="100"/>
      <c r="X681" s="100"/>
      <c r="Y681" s="100"/>
      <c r="Z681" s="100"/>
      <c r="AA681" s="100"/>
      <c r="AB681" s="228"/>
      <c r="AC681" s="228"/>
      <c r="AD681" s="228"/>
      <c r="AE681" s="228"/>
      <c r="AF681" s="228"/>
      <c r="AG681" s="228"/>
      <c r="AH681" s="228"/>
      <c r="AI681" s="228"/>
      <c r="AJ681" s="228"/>
      <c r="AK681" s="228"/>
      <c r="AL681" s="228"/>
      <c r="AM681" s="228"/>
      <c r="AN681" s="228"/>
      <c r="AO681" s="228"/>
      <c r="AP681" s="228"/>
      <c r="AQ681" s="228"/>
      <c r="AR681" s="228"/>
      <c r="AS681" s="228"/>
      <c r="AT681" s="228"/>
      <c r="AU681" s="228"/>
      <c r="AV681" s="228"/>
      <c r="AW681" s="228"/>
      <c r="AX681" s="228"/>
      <c r="AY681" s="228"/>
      <c r="AZ681" s="228"/>
      <c r="BA681" s="228"/>
      <c r="BB681" s="228"/>
      <c r="BC681" s="228"/>
      <c r="BD681" s="100"/>
      <c r="BE681" s="100"/>
      <c r="BF681" s="100"/>
      <c r="BG681" s="100"/>
      <c r="BH681" s="100"/>
      <c r="BI681" s="100"/>
      <c r="BJ681" s="100"/>
      <c r="BK681" s="12"/>
      <c r="BL681" s="12"/>
    </row>
    <row r="682" spans="1:64" hidden="1" outlineLevel="1">
      <c r="A682" s="9"/>
      <c r="B682" s="9"/>
      <c r="C682" s="44"/>
      <c r="D682" s="270">
        <f>Asset21</f>
        <v>0</v>
      </c>
      <c r="E682" s="9"/>
      <c r="F682" s="9"/>
      <c r="G682" s="204">
        <f>Input!N27</f>
        <v>0</v>
      </c>
      <c r="H682" s="111"/>
      <c r="I682" s="111"/>
      <c r="J682" s="111"/>
      <c r="K682" s="111"/>
      <c r="L682" s="111"/>
      <c r="M682" s="111"/>
      <c r="N682" s="29"/>
      <c r="O682" s="29"/>
      <c r="P682" s="29"/>
      <c r="Q682" s="29"/>
      <c r="R682" s="29"/>
      <c r="S682" s="100"/>
      <c r="T682" s="100"/>
      <c r="U682" s="100"/>
      <c r="V682" s="100"/>
      <c r="W682" s="100"/>
      <c r="X682" s="100"/>
      <c r="Y682" s="100"/>
      <c r="Z682" s="100"/>
      <c r="AA682" s="100"/>
      <c r="AB682" s="228"/>
      <c r="AC682" s="228"/>
      <c r="AD682" s="228"/>
      <c r="AE682" s="228"/>
      <c r="AF682" s="228"/>
      <c r="AG682" s="228"/>
      <c r="AH682" s="228"/>
      <c r="AI682" s="228"/>
      <c r="AJ682" s="228"/>
      <c r="AK682" s="228"/>
      <c r="AL682" s="228"/>
      <c r="AM682" s="228"/>
      <c r="AN682" s="228"/>
      <c r="AO682" s="228"/>
      <c r="AP682" s="228"/>
      <c r="AQ682" s="228"/>
      <c r="AR682" s="228"/>
      <c r="AS682" s="228"/>
      <c r="AT682" s="228"/>
      <c r="AU682" s="228"/>
      <c r="AV682" s="228"/>
      <c r="AW682" s="228"/>
      <c r="AX682" s="228"/>
      <c r="AY682" s="228"/>
      <c r="AZ682" s="228"/>
      <c r="BA682" s="228"/>
      <c r="BB682" s="228"/>
      <c r="BC682" s="228"/>
      <c r="BD682" s="100"/>
      <c r="BE682" s="100"/>
      <c r="BF682" s="100"/>
      <c r="BG682" s="100"/>
      <c r="BH682" s="100"/>
      <c r="BI682" s="100"/>
      <c r="BJ682" s="100"/>
      <c r="BK682" s="12"/>
      <c r="BL682" s="12"/>
    </row>
    <row r="683" spans="1:64" hidden="1" outlineLevel="1">
      <c r="A683" s="9"/>
      <c r="B683" s="9"/>
      <c r="C683" s="44"/>
      <c r="D683" s="270">
        <f>Asset22</f>
        <v>0</v>
      </c>
      <c r="E683" s="9"/>
      <c r="F683" s="9"/>
      <c r="G683" s="204">
        <f>Input!N28</f>
        <v>0</v>
      </c>
      <c r="H683" s="111"/>
      <c r="I683" s="111"/>
      <c r="J683" s="111"/>
      <c r="K683" s="111"/>
      <c r="L683" s="111"/>
      <c r="M683" s="111"/>
      <c r="N683" s="29"/>
      <c r="O683" s="29"/>
      <c r="P683" s="29"/>
      <c r="Q683" s="29"/>
      <c r="R683" s="29"/>
      <c r="S683" s="100"/>
      <c r="T683" s="100"/>
      <c r="U683" s="100"/>
      <c r="V683" s="100"/>
      <c r="W683" s="100"/>
      <c r="X683" s="100"/>
      <c r="Y683" s="100"/>
      <c r="Z683" s="100"/>
      <c r="AA683" s="100"/>
      <c r="AB683" s="228"/>
      <c r="AC683" s="228"/>
      <c r="AD683" s="228"/>
      <c r="AE683" s="228"/>
      <c r="AF683" s="228"/>
      <c r="AG683" s="228"/>
      <c r="AH683" s="228"/>
      <c r="AI683" s="228"/>
      <c r="AJ683" s="228"/>
      <c r="AK683" s="228"/>
      <c r="AL683" s="228"/>
      <c r="AM683" s="228"/>
      <c r="AN683" s="228"/>
      <c r="AO683" s="228"/>
      <c r="AP683" s="228"/>
      <c r="AQ683" s="228"/>
      <c r="AR683" s="228"/>
      <c r="AS683" s="228"/>
      <c r="AT683" s="228"/>
      <c r="AU683" s="228"/>
      <c r="AV683" s="228"/>
      <c r="AW683" s="228"/>
      <c r="AX683" s="228"/>
      <c r="AY683" s="228"/>
      <c r="AZ683" s="228"/>
      <c r="BA683" s="228"/>
      <c r="BB683" s="228"/>
      <c r="BC683" s="228"/>
      <c r="BD683" s="100"/>
      <c r="BE683" s="100"/>
      <c r="BF683" s="100"/>
      <c r="BG683" s="100"/>
      <c r="BH683" s="100"/>
      <c r="BI683" s="100"/>
      <c r="BJ683" s="100"/>
      <c r="BK683" s="12"/>
      <c r="BL683" s="12"/>
    </row>
    <row r="684" spans="1:64" hidden="1" outlineLevel="1">
      <c r="A684" s="9"/>
      <c r="B684" s="9"/>
      <c r="C684" s="44"/>
      <c r="D684" s="270">
        <f>Asset23</f>
        <v>0</v>
      </c>
      <c r="E684" s="9"/>
      <c r="F684" s="9"/>
      <c r="G684" s="204">
        <f>Input!N29</f>
        <v>0</v>
      </c>
      <c r="H684" s="111"/>
      <c r="I684" s="111"/>
      <c r="J684" s="111"/>
      <c r="K684" s="111"/>
      <c r="L684" s="111"/>
      <c r="M684" s="111"/>
      <c r="N684" s="29"/>
      <c r="O684" s="29"/>
      <c r="P684" s="29"/>
      <c r="Q684" s="29"/>
      <c r="R684" s="29"/>
      <c r="S684" s="100"/>
      <c r="T684" s="100"/>
      <c r="U684" s="100"/>
      <c r="V684" s="100"/>
      <c r="W684" s="100"/>
      <c r="X684" s="100"/>
      <c r="Y684" s="100"/>
      <c r="Z684" s="100"/>
      <c r="AA684" s="100"/>
      <c r="AB684" s="228"/>
      <c r="AC684" s="228"/>
      <c r="AD684" s="228"/>
      <c r="AE684" s="228"/>
      <c r="AF684" s="228"/>
      <c r="AG684" s="228"/>
      <c r="AH684" s="228"/>
      <c r="AI684" s="228"/>
      <c r="AJ684" s="228"/>
      <c r="AK684" s="228"/>
      <c r="AL684" s="228"/>
      <c r="AM684" s="228"/>
      <c r="AN684" s="228"/>
      <c r="AO684" s="228"/>
      <c r="AP684" s="228"/>
      <c r="AQ684" s="228"/>
      <c r="AR684" s="228"/>
      <c r="AS684" s="228"/>
      <c r="AT684" s="228"/>
      <c r="AU684" s="228"/>
      <c r="AV684" s="228"/>
      <c r="AW684" s="228"/>
      <c r="AX684" s="228"/>
      <c r="AY684" s="228"/>
      <c r="AZ684" s="228"/>
      <c r="BA684" s="228"/>
      <c r="BB684" s="228"/>
      <c r="BC684" s="228"/>
      <c r="BD684" s="100"/>
      <c r="BE684" s="100"/>
      <c r="BF684" s="100"/>
      <c r="BG684" s="100"/>
      <c r="BH684" s="100"/>
      <c r="BI684" s="100"/>
      <c r="BJ684" s="100"/>
      <c r="BK684" s="12"/>
      <c r="BL684" s="12"/>
    </row>
    <row r="685" spans="1:64" hidden="1" outlineLevel="1">
      <c r="A685" s="9"/>
      <c r="B685" s="9"/>
      <c r="C685" s="44"/>
      <c r="D685" s="270">
        <f>Asset24</f>
        <v>0</v>
      </c>
      <c r="E685" s="9"/>
      <c r="F685" s="9"/>
      <c r="G685" s="204">
        <f>Input!N30</f>
        <v>0</v>
      </c>
      <c r="H685" s="111"/>
      <c r="I685" s="111"/>
      <c r="J685" s="111"/>
      <c r="K685" s="111"/>
      <c r="L685" s="111"/>
      <c r="M685" s="111"/>
      <c r="N685" s="29"/>
      <c r="O685" s="29"/>
      <c r="P685" s="29"/>
      <c r="Q685" s="29"/>
      <c r="R685" s="29"/>
      <c r="S685" s="100"/>
      <c r="T685" s="100"/>
      <c r="U685" s="100"/>
      <c r="V685" s="100"/>
      <c r="W685" s="100"/>
      <c r="X685" s="100"/>
      <c r="Y685" s="100"/>
      <c r="Z685" s="100"/>
      <c r="AA685" s="100"/>
      <c r="AB685" s="228"/>
      <c r="AC685" s="228"/>
      <c r="AD685" s="228"/>
      <c r="AE685" s="228"/>
      <c r="AF685" s="228"/>
      <c r="AG685" s="228"/>
      <c r="AH685" s="228"/>
      <c r="AI685" s="228"/>
      <c r="AJ685" s="228"/>
      <c r="AK685" s="228"/>
      <c r="AL685" s="228"/>
      <c r="AM685" s="228"/>
      <c r="AN685" s="228"/>
      <c r="AO685" s="228"/>
      <c r="AP685" s="228"/>
      <c r="AQ685" s="228"/>
      <c r="AR685" s="228"/>
      <c r="AS685" s="228"/>
      <c r="AT685" s="228"/>
      <c r="AU685" s="228"/>
      <c r="AV685" s="228"/>
      <c r="AW685" s="228"/>
      <c r="AX685" s="228"/>
      <c r="AY685" s="228"/>
      <c r="AZ685" s="228"/>
      <c r="BA685" s="228"/>
      <c r="BB685" s="228"/>
      <c r="BC685" s="228"/>
      <c r="BD685" s="100"/>
      <c r="BE685" s="100"/>
      <c r="BF685" s="100"/>
      <c r="BG685" s="100"/>
      <c r="BH685" s="100"/>
      <c r="BI685" s="100"/>
      <c r="BJ685" s="100"/>
      <c r="BK685" s="12"/>
      <c r="BL685" s="12"/>
    </row>
    <row r="686" spans="1:64" hidden="1" outlineLevel="1">
      <c r="A686" s="9"/>
      <c r="B686" s="9"/>
      <c r="C686" s="44"/>
      <c r="D686" s="270">
        <f>Asset25</f>
        <v>0</v>
      </c>
      <c r="E686" s="9"/>
      <c r="F686" s="9"/>
      <c r="G686" s="204">
        <f>Input!N31</f>
        <v>0</v>
      </c>
      <c r="H686" s="111"/>
      <c r="I686" s="111"/>
      <c r="J686" s="111"/>
      <c r="K686" s="111"/>
      <c r="L686" s="111"/>
      <c r="M686" s="111"/>
      <c r="N686" s="29"/>
      <c r="O686" s="29"/>
      <c r="P686" s="29"/>
      <c r="Q686" s="29"/>
      <c r="R686" s="29"/>
      <c r="S686" s="100"/>
      <c r="T686" s="100"/>
      <c r="U686" s="100"/>
      <c r="V686" s="100"/>
      <c r="W686" s="100"/>
      <c r="X686" s="100"/>
      <c r="Y686" s="100"/>
      <c r="Z686" s="100"/>
      <c r="AA686" s="100"/>
      <c r="AB686" s="228"/>
      <c r="AC686" s="228"/>
      <c r="AD686" s="228"/>
      <c r="AE686" s="228"/>
      <c r="AF686" s="228"/>
      <c r="AG686" s="228"/>
      <c r="AH686" s="228"/>
      <c r="AI686" s="228"/>
      <c r="AJ686" s="228"/>
      <c r="AK686" s="228"/>
      <c r="AL686" s="228"/>
      <c r="AM686" s="228"/>
      <c r="AN686" s="228"/>
      <c r="AO686" s="228"/>
      <c r="AP686" s="228"/>
      <c r="AQ686" s="228"/>
      <c r="AR686" s="228"/>
      <c r="AS686" s="228"/>
      <c r="AT686" s="228"/>
      <c r="AU686" s="228"/>
      <c r="AV686" s="228"/>
      <c r="AW686" s="228"/>
      <c r="AX686" s="228"/>
      <c r="AY686" s="228"/>
      <c r="AZ686" s="228"/>
      <c r="BA686" s="228"/>
      <c r="BB686" s="228"/>
      <c r="BC686" s="228"/>
      <c r="BD686" s="100"/>
      <c r="BE686" s="100"/>
      <c r="BF686" s="100"/>
      <c r="BG686" s="100"/>
      <c r="BH686" s="100"/>
      <c r="BI686" s="100"/>
      <c r="BJ686" s="100"/>
      <c r="BK686" s="12"/>
      <c r="BL686" s="12"/>
    </row>
    <row r="687" spans="1:64" hidden="1" outlineLevel="1">
      <c r="A687" s="9"/>
      <c r="B687" s="9"/>
      <c r="C687" s="44"/>
      <c r="D687" s="270">
        <f>Asset26</f>
        <v>0</v>
      </c>
      <c r="E687" s="9"/>
      <c r="F687" s="9"/>
      <c r="G687" s="204">
        <f>Input!N32</f>
        <v>0</v>
      </c>
      <c r="H687" s="111"/>
      <c r="I687" s="111"/>
      <c r="J687" s="111"/>
      <c r="K687" s="111"/>
      <c r="L687" s="111"/>
      <c r="M687" s="111"/>
      <c r="N687" s="29"/>
      <c r="O687" s="29"/>
      <c r="P687" s="29"/>
      <c r="Q687" s="29"/>
      <c r="R687" s="29"/>
      <c r="S687" s="100"/>
      <c r="T687" s="100"/>
      <c r="U687" s="100"/>
      <c r="V687" s="100"/>
      <c r="W687" s="100"/>
      <c r="X687" s="100"/>
      <c r="Y687" s="100"/>
      <c r="Z687" s="100"/>
      <c r="AA687" s="100"/>
      <c r="AB687" s="228"/>
      <c r="AC687" s="228"/>
      <c r="AD687" s="228"/>
      <c r="AE687" s="228"/>
      <c r="AF687" s="228"/>
      <c r="AG687" s="228"/>
      <c r="AH687" s="228"/>
      <c r="AI687" s="228"/>
      <c r="AJ687" s="228"/>
      <c r="AK687" s="228"/>
      <c r="AL687" s="228"/>
      <c r="AM687" s="228"/>
      <c r="AN687" s="228"/>
      <c r="AO687" s="228"/>
      <c r="AP687" s="228"/>
      <c r="AQ687" s="228"/>
      <c r="AR687" s="228"/>
      <c r="AS687" s="228"/>
      <c r="AT687" s="228"/>
      <c r="AU687" s="228"/>
      <c r="AV687" s="228"/>
      <c r="AW687" s="228"/>
      <c r="AX687" s="228"/>
      <c r="AY687" s="228"/>
      <c r="AZ687" s="228"/>
      <c r="BA687" s="228"/>
      <c r="BB687" s="228"/>
      <c r="BC687" s="228"/>
      <c r="BD687" s="100"/>
      <c r="BE687" s="100"/>
      <c r="BF687" s="100"/>
      <c r="BG687" s="100"/>
      <c r="BH687" s="100"/>
      <c r="BI687" s="100"/>
      <c r="BJ687" s="100"/>
      <c r="BK687" s="12"/>
      <c r="BL687" s="12"/>
    </row>
    <row r="688" spans="1:64" hidden="1" outlineLevel="1">
      <c r="A688" s="9"/>
      <c r="B688" s="9"/>
      <c r="C688" s="44"/>
      <c r="D688" s="270">
        <f>Asset27</f>
        <v>0</v>
      </c>
      <c r="E688" s="9"/>
      <c r="F688" s="9"/>
      <c r="G688" s="204">
        <f>Input!N33</f>
        <v>0</v>
      </c>
      <c r="H688" s="111"/>
      <c r="I688" s="111"/>
      <c r="J688" s="111"/>
      <c r="K688" s="111"/>
      <c r="L688" s="111"/>
      <c r="M688" s="111"/>
      <c r="N688" s="29"/>
      <c r="O688" s="29"/>
      <c r="P688" s="29"/>
      <c r="Q688" s="29"/>
      <c r="R688" s="29"/>
      <c r="S688" s="100"/>
      <c r="T688" s="100"/>
      <c r="U688" s="100"/>
      <c r="V688" s="100"/>
      <c r="W688" s="100"/>
      <c r="X688" s="100"/>
      <c r="Y688" s="100"/>
      <c r="Z688" s="100"/>
      <c r="AA688" s="100"/>
      <c r="AB688" s="228"/>
      <c r="AC688" s="228"/>
      <c r="AD688" s="228"/>
      <c r="AE688" s="228"/>
      <c r="AF688" s="228"/>
      <c r="AG688" s="228"/>
      <c r="AH688" s="228"/>
      <c r="AI688" s="228"/>
      <c r="AJ688" s="228"/>
      <c r="AK688" s="228"/>
      <c r="AL688" s="228"/>
      <c r="AM688" s="228"/>
      <c r="AN688" s="228"/>
      <c r="AO688" s="228"/>
      <c r="AP688" s="228"/>
      <c r="AQ688" s="228"/>
      <c r="AR688" s="228"/>
      <c r="AS688" s="228"/>
      <c r="AT688" s="228"/>
      <c r="AU688" s="228"/>
      <c r="AV688" s="228"/>
      <c r="AW688" s="228"/>
      <c r="AX688" s="228"/>
      <c r="AY688" s="228"/>
      <c r="AZ688" s="228"/>
      <c r="BA688" s="228"/>
      <c r="BB688" s="228"/>
      <c r="BC688" s="228"/>
      <c r="BD688" s="100"/>
      <c r="BE688" s="100"/>
      <c r="BF688" s="100"/>
      <c r="BG688" s="100"/>
      <c r="BH688" s="100"/>
      <c r="BI688" s="100"/>
      <c r="BJ688" s="100"/>
      <c r="BK688" s="12"/>
      <c r="BL688" s="12"/>
    </row>
    <row r="689" spans="1:64" hidden="1" outlineLevel="1">
      <c r="A689" s="9"/>
      <c r="B689" s="9"/>
      <c r="C689" s="44"/>
      <c r="D689" s="270">
        <f>Asset28</f>
        <v>0</v>
      </c>
      <c r="E689" s="9"/>
      <c r="F689" s="9"/>
      <c r="G689" s="204">
        <f>Input!N34</f>
        <v>0</v>
      </c>
      <c r="H689" s="111"/>
      <c r="I689" s="111"/>
      <c r="J689" s="111"/>
      <c r="K689" s="111"/>
      <c r="L689" s="111"/>
      <c r="M689" s="111"/>
      <c r="N689" s="29"/>
      <c r="O689" s="29"/>
      <c r="P689" s="29"/>
      <c r="Q689" s="29"/>
      <c r="R689" s="29"/>
      <c r="S689" s="100"/>
      <c r="T689" s="100"/>
      <c r="U689" s="100"/>
      <c r="V689" s="100"/>
      <c r="W689" s="100"/>
      <c r="X689" s="100"/>
      <c r="Y689" s="100"/>
      <c r="Z689" s="100"/>
      <c r="AA689" s="100"/>
      <c r="AB689" s="228"/>
      <c r="AC689" s="228"/>
      <c r="AD689" s="228"/>
      <c r="AE689" s="228"/>
      <c r="AF689" s="228"/>
      <c r="AG689" s="228"/>
      <c r="AH689" s="228"/>
      <c r="AI689" s="228"/>
      <c r="AJ689" s="228"/>
      <c r="AK689" s="228"/>
      <c r="AL689" s="228"/>
      <c r="AM689" s="228"/>
      <c r="AN689" s="228"/>
      <c r="AO689" s="228"/>
      <c r="AP689" s="228"/>
      <c r="AQ689" s="228"/>
      <c r="AR689" s="228"/>
      <c r="AS689" s="228"/>
      <c r="AT689" s="228"/>
      <c r="AU689" s="228"/>
      <c r="AV689" s="228"/>
      <c r="AW689" s="228"/>
      <c r="AX689" s="228"/>
      <c r="AY689" s="228"/>
      <c r="AZ689" s="228"/>
      <c r="BA689" s="228"/>
      <c r="BB689" s="228"/>
      <c r="BC689" s="228"/>
      <c r="BD689" s="100"/>
      <c r="BE689" s="100"/>
      <c r="BF689" s="100"/>
      <c r="BG689" s="100"/>
      <c r="BH689" s="100"/>
      <c r="BI689" s="100"/>
      <c r="BJ689" s="100"/>
      <c r="BK689" s="12"/>
      <c r="BL689" s="12"/>
    </row>
    <row r="690" spans="1:64" hidden="1" outlineLevel="1">
      <c r="A690" s="9"/>
      <c r="B690" s="9"/>
      <c r="C690" s="44"/>
      <c r="D690" s="270">
        <f>Asset29</f>
        <v>0</v>
      </c>
      <c r="E690" s="9"/>
      <c r="F690" s="9"/>
      <c r="G690" s="204">
        <f>Input!N35</f>
        <v>0</v>
      </c>
      <c r="H690" s="111"/>
      <c r="I690" s="111"/>
      <c r="J690" s="111"/>
      <c r="K690" s="111"/>
      <c r="L690" s="111"/>
      <c r="M690" s="111"/>
      <c r="N690" s="29"/>
      <c r="O690" s="29"/>
      <c r="P690" s="29"/>
      <c r="Q690" s="29"/>
      <c r="R690" s="29"/>
      <c r="S690" s="100"/>
      <c r="T690" s="100"/>
      <c r="U690" s="100"/>
      <c r="V690" s="100"/>
      <c r="W690" s="100"/>
      <c r="X690" s="100"/>
      <c r="Y690" s="100"/>
      <c r="Z690" s="100"/>
      <c r="AA690" s="100"/>
      <c r="AB690" s="228"/>
      <c r="AC690" s="228"/>
      <c r="AD690" s="228"/>
      <c r="AE690" s="228"/>
      <c r="AF690" s="228"/>
      <c r="AG690" s="228"/>
      <c r="AH690" s="228"/>
      <c r="AI690" s="228"/>
      <c r="AJ690" s="228"/>
      <c r="AK690" s="228"/>
      <c r="AL690" s="228"/>
      <c r="AM690" s="228"/>
      <c r="AN690" s="228"/>
      <c r="AO690" s="228"/>
      <c r="AP690" s="228"/>
      <c r="AQ690" s="228"/>
      <c r="AR690" s="228"/>
      <c r="AS690" s="228"/>
      <c r="AT690" s="228"/>
      <c r="AU690" s="228"/>
      <c r="AV690" s="228"/>
      <c r="AW690" s="228"/>
      <c r="AX690" s="228"/>
      <c r="AY690" s="228"/>
      <c r="AZ690" s="228"/>
      <c r="BA690" s="228"/>
      <c r="BB690" s="228"/>
      <c r="BC690" s="228"/>
      <c r="BD690" s="100"/>
      <c r="BE690" s="100"/>
      <c r="BF690" s="100"/>
      <c r="BG690" s="100"/>
      <c r="BH690" s="100"/>
      <c r="BI690" s="100"/>
      <c r="BJ690" s="100"/>
      <c r="BK690" s="12"/>
      <c r="BL690" s="12"/>
    </row>
    <row r="691" spans="1:64" hidden="1" outlineLevel="1">
      <c r="A691" s="9"/>
      <c r="B691" s="9"/>
      <c r="C691" s="44"/>
      <c r="D691" s="270">
        <f>Asset30</f>
        <v>0</v>
      </c>
      <c r="E691" s="9"/>
      <c r="F691" s="9"/>
      <c r="G691" s="204">
        <f>Input!N36</f>
        <v>0</v>
      </c>
      <c r="H691" s="111"/>
      <c r="I691" s="111"/>
      <c r="J691" s="111"/>
      <c r="K691" s="111"/>
      <c r="L691" s="111"/>
      <c r="M691" s="111"/>
      <c r="N691" s="29"/>
      <c r="O691" s="29"/>
      <c r="P691" s="29"/>
      <c r="Q691" s="29"/>
      <c r="R691" s="29"/>
      <c r="S691" s="100"/>
      <c r="T691" s="100"/>
      <c r="U691" s="100"/>
      <c r="V691" s="100"/>
      <c r="W691" s="100"/>
      <c r="X691" s="100"/>
      <c r="Y691" s="100"/>
      <c r="Z691" s="100"/>
      <c r="AA691" s="100"/>
      <c r="AB691" s="228"/>
      <c r="AC691" s="228"/>
      <c r="AD691" s="228"/>
      <c r="AE691" s="228"/>
      <c r="AF691" s="228"/>
      <c r="AG691" s="228"/>
      <c r="AH691" s="228"/>
      <c r="AI691" s="228"/>
      <c r="AJ691" s="228"/>
      <c r="AK691" s="228"/>
      <c r="AL691" s="228"/>
      <c r="AM691" s="228"/>
      <c r="AN691" s="228"/>
      <c r="AO691" s="228"/>
      <c r="AP691" s="228"/>
      <c r="AQ691" s="228"/>
      <c r="AR691" s="228"/>
      <c r="AS691" s="228"/>
      <c r="AT691" s="228"/>
      <c r="AU691" s="228"/>
      <c r="AV691" s="228"/>
      <c r="AW691" s="228"/>
      <c r="AX691" s="228"/>
      <c r="AY691" s="228"/>
      <c r="AZ691" s="228"/>
      <c r="BA691" s="228"/>
      <c r="BB691" s="228"/>
      <c r="BC691" s="228"/>
      <c r="BD691" s="100"/>
      <c r="BE691" s="100"/>
      <c r="BF691" s="100"/>
      <c r="BG691" s="100"/>
      <c r="BH691" s="100"/>
      <c r="BI691" s="100"/>
      <c r="BJ691" s="100"/>
      <c r="BK691" s="12"/>
      <c r="BL691" s="12"/>
    </row>
    <row r="692" spans="1:64" collapsed="1">
      <c r="A692" s="9"/>
      <c r="B692" s="9"/>
      <c r="C692" s="44"/>
      <c r="D692" s="127"/>
      <c r="E692" s="9"/>
      <c r="F692" s="9"/>
      <c r="G692" s="28"/>
      <c r="H692" s="111"/>
      <c r="I692" s="111"/>
      <c r="J692" s="111"/>
      <c r="K692" s="111"/>
      <c r="L692" s="111"/>
      <c r="M692" s="111"/>
      <c r="N692" s="29"/>
      <c r="O692" s="29"/>
      <c r="P692" s="29"/>
      <c r="Q692" s="29"/>
      <c r="R692" s="29"/>
      <c r="S692" s="100"/>
      <c r="T692" s="100"/>
      <c r="U692" s="100"/>
      <c r="V692" s="100"/>
      <c r="W692" s="100"/>
      <c r="X692" s="100"/>
      <c r="Y692" s="100"/>
      <c r="Z692" s="100"/>
      <c r="AA692" s="100"/>
      <c r="AB692" s="228"/>
      <c r="AC692" s="228"/>
      <c r="AD692" s="228"/>
      <c r="AE692" s="228"/>
      <c r="AF692" s="228"/>
      <c r="AG692" s="228"/>
      <c r="AH692" s="228"/>
      <c r="AI692" s="228"/>
      <c r="AJ692" s="228"/>
      <c r="AK692" s="228"/>
      <c r="AL692" s="228"/>
      <c r="AM692" s="228"/>
      <c r="AN692" s="228"/>
      <c r="AO692" s="228"/>
      <c r="AP692" s="228"/>
      <c r="AQ692" s="228"/>
      <c r="AR692" s="228"/>
      <c r="AS692" s="228"/>
      <c r="AT692" s="228"/>
      <c r="AU692" s="228"/>
      <c r="AV692" s="228"/>
      <c r="AW692" s="228"/>
      <c r="AX692" s="228"/>
      <c r="AY692" s="228"/>
      <c r="AZ692" s="228"/>
      <c r="BA692" s="228"/>
      <c r="BB692" s="228"/>
      <c r="BC692" s="228"/>
      <c r="BD692" s="100"/>
      <c r="BE692" s="100"/>
      <c r="BF692" s="100"/>
      <c r="BG692" s="100"/>
      <c r="BH692" s="100"/>
      <c r="BI692" s="100"/>
      <c r="BJ692" s="100"/>
      <c r="BK692" s="12"/>
      <c r="BL692" s="12"/>
    </row>
    <row r="693" spans="1:64">
      <c r="A693" s="122"/>
      <c r="B693" s="122"/>
      <c r="C693" s="122"/>
      <c r="D693" s="123"/>
      <c r="E693" s="108"/>
      <c r="F693" s="108"/>
      <c r="G693" s="124"/>
      <c r="H693" s="125"/>
      <c r="I693" s="125"/>
      <c r="J693" s="125"/>
      <c r="K693" s="125"/>
      <c r="L693" s="125"/>
      <c r="M693" s="125"/>
      <c r="N693" s="126"/>
      <c r="O693" s="126"/>
      <c r="P693" s="126"/>
      <c r="Q693" s="126"/>
      <c r="R693" s="126"/>
      <c r="S693" s="126"/>
      <c r="T693" s="100"/>
      <c r="U693" s="100"/>
      <c r="V693" s="100"/>
      <c r="W693" s="100"/>
      <c r="X693" s="100"/>
      <c r="Y693" s="100"/>
      <c r="Z693" s="100"/>
      <c r="AA693" s="228"/>
      <c r="AB693" s="228"/>
      <c r="AC693" s="228"/>
      <c r="AD693" s="228"/>
      <c r="AE693" s="228"/>
      <c r="AF693" s="228"/>
      <c r="AG693" s="228"/>
      <c r="AH693" s="228"/>
      <c r="AI693" s="228"/>
      <c r="AJ693" s="228"/>
      <c r="AK693" s="228"/>
      <c r="AL693" s="228"/>
      <c r="AM693" s="228"/>
      <c r="AN693" s="228"/>
      <c r="AO693" s="228"/>
      <c r="AP693" s="228"/>
      <c r="AQ693" s="228"/>
      <c r="AR693" s="228"/>
      <c r="AS693" s="228"/>
      <c r="AT693" s="228"/>
      <c r="AU693" s="228"/>
      <c r="AV693" s="228"/>
      <c r="AW693" s="228"/>
      <c r="AX693" s="228"/>
      <c r="AY693" s="228"/>
      <c r="AZ693" s="228"/>
      <c r="BA693" s="228"/>
      <c r="BB693" s="228"/>
      <c r="BC693" s="228"/>
      <c r="BD693" s="100"/>
      <c r="BE693" s="100"/>
      <c r="BF693" s="100"/>
      <c r="BG693" s="100"/>
      <c r="BH693" s="100"/>
      <c r="BI693" s="100"/>
      <c r="BJ693" s="100"/>
      <c r="BK693" s="12"/>
      <c r="BL693" s="12"/>
    </row>
    <row r="694" spans="1:64">
      <c r="A694" s="9"/>
      <c r="B694" s="12"/>
      <c r="C694" s="90"/>
      <c r="D694" s="113"/>
      <c r="E694" s="12"/>
      <c r="F694" s="12"/>
      <c r="G694" s="140"/>
      <c r="H694" s="141"/>
      <c r="I694" s="141"/>
      <c r="J694" s="141"/>
      <c r="K694" s="141"/>
      <c r="L694" s="141"/>
      <c r="M694" s="141"/>
      <c r="N694" s="100"/>
      <c r="O694" s="100"/>
      <c r="P694" s="100"/>
      <c r="Q694" s="100"/>
      <c r="R694" s="100"/>
      <c r="S694" s="100"/>
      <c r="T694" s="100"/>
      <c r="U694" s="100"/>
      <c r="V694" s="100"/>
      <c r="W694" s="100"/>
      <c r="X694" s="100"/>
      <c r="Y694" s="100"/>
      <c r="Z694" s="100"/>
      <c r="AA694" s="228"/>
      <c r="AB694" s="228"/>
      <c r="AC694" s="228"/>
      <c r="AD694" s="228"/>
      <c r="AE694" s="228"/>
      <c r="AF694" s="228"/>
      <c r="AG694" s="228"/>
      <c r="AH694" s="228"/>
      <c r="AI694" s="228"/>
      <c r="AJ694" s="228"/>
      <c r="AK694" s="228"/>
      <c r="AL694" s="228"/>
      <c r="AM694" s="228"/>
      <c r="AN694" s="228"/>
      <c r="AO694" s="228"/>
      <c r="AP694" s="228"/>
      <c r="AQ694" s="228"/>
      <c r="AR694" s="228"/>
      <c r="AS694" s="228"/>
      <c r="AT694" s="228"/>
      <c r="AU694" s="228"/>
      <c r="AV694" s="228"/>
      <c r="AW694" s="228"/>
      <c r="AX694" s="228"/>
      <c r="AY694" s="228"/>
      <c r="AZ694" s="228"/>
      <c r="BA694" s="228"/>
      <c r="BB694" s="228"/>
      <c r="BC694" s="228"/>
      <c r="BD694" s="100"/>
      <c r="BE694" s="100"/>
      <c r="BF694" s="100"/>
      <c r="BG694" s="100"/>
      <c r="BH694" s="100"/>
      <c r="BI694" s="100"/>
      <c r="BJ694" s="100"/>
      <c r="BK694" s="12"/>
      <c r="BL694" s="12"/>
    </row>
    <row r="695" spans="1:64" s="9" customFormat="1">
      <c r="B695" s="12"/>
      <c r="C695" s="90" t="s">
        <v>29</v>
      </c>
      <c r="D695" s="12"/>
      <c r="E695" s="12"/>
      <c r="F695" s="12"/>
      <c r="G695" s="203">
        <f>SUM(G696:G725)</f>
        <v>-103.39259776036626</v>
      </c>
      <c r="H695" s="337">
        <f>SUM(H696:H725)</f>
        <v>-107.01616996427315</v>
      </c>
      <c r="I695" s="337">
        <f t="shared" ref="I695:P695" si="87">SUM(I696:I725)</f>
        <v>-112.76121606063637</v>
      </c>
      <c r="J695" s="337">
        <f t="shared" si="87"/>
        <v>-118.81837123627386</v>
      </c>
      <c r="K695" s="337">
        <f t="shared" si="87"/>
        <v>-123.66330299549116</v>
      </c>
      <c r="L695" s="337">
        <f>SUM(L696:L725)</f>
        <v>-129.53835950097692</v>
      </c>
      <c r="M695" s="337">
        <f t="shared" si="87"/>
        <v>-129.16477915202276</v>
      </c>
      <c r="N695" s="115">
        <f t="shared" si="87"/>
        <v>0</v>
      </c>
      <c r="O695" s="115">
        <f t="shared" si="87"/>
        <v>0</v>
      </c>
      <c r="P695" s="115">
        <f t="shared" si="87"/>
        <v>0</v>
      </c>
      <c r="Q695" s="115">
        <f>SUM(Q696:Q725)</f>
        <v>0</v>
      </c>
      <c r="R695" s="106"/>
      <c r="S695" s="106"/>
      <c r="T695" s="106"/>
      <c r="U695" s="106"/>
      <c r="V695" s="106"/>
      <c r="W695" s="106"/>
      <c r="X695" s="106"/>
      <c r="Y695" s="106"/>
      <c r="Z695" s="106"/>
      <c r="AA695" s="215"/>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106"/>
      <c r="BE695" s="106"/>
      <c r="BF695" s="106"/>
      <c r="BG695" s="106"/>
      <c r="BH695" s="106"/>
      <c r="BI695" s="106"/>
      <c r="BJ695" s="106"/>
      <c r="BK695" s="12"/>
      <c r="BL695" s="12"/>
    </row>
    <row r="696" spans="1:64" ht="12" hidden="1" customHeight="1" outlineLevel="1">
      <c r="A696" s="9"/>
      <c r="B696" s="9"/>
      <c r="C696" s="9"/>
      <c r="D696" s="270" t="str">
        <f>Asset1</f>
        <v>Secondary</v>
      </c>
      <c r="E696" s="9"/>
      <c r="F696" s="9"/>
      <c r="G696" s="201">
        <f t="shared" ref="G696:G725" si="88">-(G728-G534)</f>
        <v>-8.9154799844031309</v>
      </c>
      <c r="H696" s="331">
        <v>-18.588905840353203</v>
      </c>
      <c r="I696" s="331">
        <v>-19.79136733008141</v>
      </c>
      <c r="J696" s="331">
        <v>-20.419058666032534</v>
      </c>
      <c r="K696" s="331">
        <v>-21.726147040557152</v>
      </c>
      <c r="L696" s="331">
        <v>-19.999743857390353</v>
      </c>
      <c r="M696" s="331">
        <v>-12.551663626011361</v>
      </c>
      <c r="N696" s="111">
        <f>N$88*N$7</f>
        <v>0</v>
      </c>
      <c r="O696" s="111">
        <f>O$88*O$7</f>
        <v>0</v>
      </c>
      <c r="P696" s="111">
        <f>P$88*P$7</f>
        <v>0</v>
      </c>
      <c r="Q696" s="111">
        <f>Q$88*Q$7</f>
        <v>0</v>
      </c>
      <c r="R696" s="9"/>
      <c r="S696" s="12"/>
      <c r="T696" s="12"/>
      <c r="U696" s="12"/>
      <c r="V696" s="12"/>
      <c r="W696" s="12"/>
      <c r="X696" s="12"/>
      <c r="Y696" s="12"/>
      <c r="Z696" s="12"/>
      <c r="AA696" s="221"/>
      <c r="AB696" s="221"/>
      <c r="AC696" s="221"/>
      <c r="AD696" s="221"/>
      <c r="AE696" s="221"/>
      <c r="AF696" s="221"/>
      <c r="AG696" s="221"/>
      <c r="AH696" s="221"/>
      <c r="AI696" s="221"/>
      <c r="AJ696" s="221"/>
      <c r="AK696" s="221"/>
      <c r="AL696" s="221"/>
      <c r="AM696" s="221"/>
      <c r="AN696" s="221"/>
      <c r="AO696" s="221"/>
      <c r="AP696" s="221"/>
      <c r="AQ696" s="221"/>
      <c r="AR696" s="221"/>
      <c r="AS696" s="221"/>
      <c r="AT696" s="221"/>
      <c r="AU696" s="221"/>
      <c r="AV696" s="221"/>
      <c r="AW696" s="221"/>
      <c r="AX696" s="221"/>
      <c r="AY696" s="221"/>
      <c r="AZ696" s="221"/>
      <c r="BA696" s="221"/>
      <c r="BB696" s="221"/>
      <c r="BC696" s="221"/>
      <c r="BD696" s="12"/>
      <c r="BE696" s="12"/>
      <c r="BF696" s="12"/>
      <c r="BG696" s="12"/>
      <c r="BH696" s="12"/>
      <c r="BI696" s="12"/>
      <c r="BJ696" s="12"/>
      <c r="BK696" s="12"/>
      <c r="BL696" s="12"/>
    </row>
    <row r="697" spans="1:64" ht="12" hidden="1" customHeight="1" outlineLevel="1">
      <c r="A697" s="9"/>
      <c r="B697" s="9"/>
      <c r="C697" s="9"/>
      <c r="D697" s="270" t="str">
        <f>Asset2</f>
        <v>Switchgear</v>
      </c>
      <c r="E697" s="9"/>
      <c r="F697" s="9"/>
      <c r="G697" s="201">
        <f t="shared" si="88"/>
        <v>-17.333373576396376</v>
      </c>
      <c r="H697" s="331">
        <v>-18.210878752876248</v>
      </c>
      <c r="I697" s="331">
        <v>-19.032653490098731</v>
      </c>
      <c r="J697" s="331">
        <v>-20.059182859208992</v>
      </c>
      <c r="K697" s="331">
        <v>-21.755541506158302</v>
      </c>
      <c r="L697" s="331">
        <v>-23.219807611384599</v>
      </c>
      <c r="M697" s="331">
        <v>-24.387755873000916</v>
      </c>
      <c r="N697" s="111">
        <f>N$101*N$7</f>
        <v>0</v>
      </c>
      <c r="O697" s="111">
        <f>O$101*O$7</f>
        <v>0</v>
      </c>
      <c r="P697" s="111">
        <f>P$101*P$7</f>
        <v>0</v>
      </c>
      <c r="Q697" s="111">
        <f>Q$101*Q$7</f>
        <v>0</v>
      </c>
      <c r="R697" s="9"/>
      <c r="S697" s="12"/>
      <c r="T697" s="12"/>
      <c r="U697" s="12"/>
      <c r="V697" s="12"/>
      <c r="W697" s="12"/>
      <c r="X697" s="12"/>
      <c r="Y697" s="12"/>
      <c r="Z697" s="12"/>
      <c r="AA697" s="221"/>
      <c r="AB697" s="221"/>
      <c r="AC697" s="221"/>
      <c r="AD697" s="221"/>
      <c r="AE697" s="221"/>
      <c r="AF697" s="221"/>
      <c r="AG697" s="221"/>
      <c r="AH697" s="221"/>
      <c r="AI697" s="221"/>
      <c r="AJ697" s="221"/>
      <c r="AK697" s="221"/>
      <c r="AL697" s="221"/>
      <c r="AM697" s="221"/>
      <c r="AN697" s="221"/>
      <c r="AO697" s="221"/>
      <c r="AP697" s="221"/>
      <c r="AQ697" s="221"/>
      <c r="AR697" s="221"/>
      <c r="AS697" s="221"/>
      <c r="AT697" s="221"/>
      <c r="AU697" s="221"/>
      <c r="AV697" s="221"/>
      <c r="AW697" s="221"/>
      <c r="AX697" s="221"/>
      <c r="AY697" s="221"/>
      <c r="AZ697" s="221"/>
      <c r="BA697" s="221"/>
      <c r="BB697" s="221"/>
      <c r="BC697" s="221"/>
      <c r="BD697" s="12"/>
      <c r="BE697" s="12"/>
      <c r="BF697" s="12"/>
      <c r="BG697" s="12"/>
      <c r="BH697" s="12"/>
      <c r="BI697" s="12"/>
      <c r="BJ697" s="12"/>
      <c r="BK697" s="12"/>
      <c r="BL697" s="12"/>
    </row>
    <row r="698" spans="1:64" ht="12" hidden="1" customHeight="1" outlineLevel="1">
      <c r="A698" s="9"/>
      <c r="B698" s="9"/>
      <c r="C698" s="9"/>
      <c r="D698" s="270" t="str">
        <f>Asset3</f>
        <v>Transformers</v>
      </c>
      <c r="E698" s="9"/>
      <c r="F698" s="9"/>
      <c r="G698" s="201">
        <f t="shared" si="88"/>
        <v>-13.561178474587212</v>
      </c>
      <c r="H698" s="331">
        <v>-12.962201356579618</v>
      </c>
      <c r="I698" s="331">
        <v>-13.555119950911292</v>
      </c>
      <c r="J698" s="331">
        <v>-13.986216254862089</v>
      </c>
      <c r="K698" s="331">
        <v>-14.61428687731474</v>
      </c>
      <c r="L698" s="331">
        <v>-15.283442621498519</v>
      </c>
      <c r="M698" s="331">
        <v>-16.208860993801533</v>
      </c>
      <c r="N698" s="111">
        <f>N$114*N$7</f>
        <v>0</v>
      </c>
      <c r="O698" s="111">
        <f>O$114*O$7</f>
        <v>0</v>
      </c>
      <c r="P698" s="111">
        <f>P$114*P$7</f>
        <v>0</v>
      </c>
      <c r="Q698" s="111">
        <f>Q$114*Q$7</f>
        <v>0</v>
      </c>
      <c r="R698" s="9"/>
      <c r="S698" s="12"/>
      <c r="T698" s="12"/>
      <c r="U698" s="12"/>
      <c r="V698" s="12"/>
      <c r="W698" s="12"/>
      <c r="X698" s="12"/>
      <c r="Y698" s="12"/>
      <c r="Z698" s="12"/>
      <c r="AA698" s="221"/>
      <c r="AB698" s="221"/>
      <c r="AC698" s="221"/>
      <c r="AD698" s="221"/>
      <c r="AE698" s="221"/>
      <c r="AF698" s="221"/>
      <c r="AG698" s="221"/>
      <c r="AH698" s="221"/>
      <c r="AI698" s="221"/>
      <c r="AJ698" s="221"/>
      <c r="AK698" s="221"/>
      <c r="AL698" s="221"/>
      <c r="AM698" s="221"/>
      <c r="AN698" s="221"/>
      <c r="AO698" s="221"/>
      <c r="AP698" s="221"/>
      <c r="AQ698" s="221"/>
      <c r="AR698" s="221"/>
      <c r="AS698" s="221"/>
      <c r="AT698" s="221"/>
      <c r="AU698" s="221"/>
      <c r="AV698" s="221"/>
      <c r="AW698" s="221"/>
      <c r="AX698" s="221"/>
      <c r="AY698" s="221"/>
      <c r="AZ698" s="221"/>
      <c r="BA698" s="221"/>
      <c r="BB698" s="221"/>
      <c r="BC698" s="221"/>
      <c r="BD698" s="12"/>
      <c r="BE698" s="12"/>
      <c r="BF698" s="12"/>
      <c r="BG698" s="12"/>
      <c r="BH698" s="12"/>
      <c r="BI698" s="12"/>
      <c r="BJ698" s="12"/>
      <c r="BK698" s="12"/>
      <c r="BL698" s="12"/>
    </row>
    <row r="699" spans="1:64" ht="12" hidden="1" customHeight="1" outlineLevel="1">
      <c r="A699" s="9"/>
      <c r="B699" s="9"/>
      <c r="C699" s="9"/>
      <c r="D699" s="270" t="str">
        <f>Asset4</f>
        <v>Reactive</v>
      </c>
      <c r="E699" s="9"/>
      <c r="F699" s="9"/>
      <c r="G699" s="201">
        <f t="shared" si="88"/>
        <v>-4.419352999573781</v>
      </c>
      <c r="H699" s="331">
        <v>-4.4381830991832665</v>
      </c>
      <c r="I699" s="331">
        <v>-4.6019029149965842</v>
      </c>
      <c r="J699" s="331">
        <v>-4.725360332412686</v>
      </c>
      <c r="K699" s="331">
        <v>-4.8520777711894469</v>
      </c>
      <c r="L699" s="331">
        <v>-5.0168251282603222</v>
      </c>
      <c r="M699" s="331">
        <v>-5.1527589486317353</v>
      </c>
      <c r="N699" s="111">
        <f>N$127*N$7</f>
        <v>0</v>
      </c>
      <c r="O699" s="111">
        <f>O$127*O$7</f>
        <v>0</v>
      </c>
      <c r="P699" s="111">
        <f>P$127*P$7</f>
        <v>0</v>
      </c>
      <c r="Q699" s="111">
        <f>Q$127*Q$7</f>
        <v>0</v>
      </c>
      <c r="R699" s="9"/>
      <c r="S699" s="12"/>
      <c r="T699" s="12"/>
      <c r="U699" s="12"/>
      <c r="V699" s="12"/>
      <c r="W699" s="12"/>
      <c r="X699" s="12"/>
      <c r="Y699" s="12"/>
      <c r="Z699" s="12"/>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1"/>
      <c r="AY699" s="221"/>
      <c r="AZ699" s="221"/>
      <c r="BA699" s="221"/>
      <c r="BB699" s="221"/>
      <c r="BC699" s="221"/>
      <c r="BD699" s="12"/>
      <c r="BE699" s="12"/>
      <c r="BF699" s="12"/>
      <c r="BG699" s="12"/>
      <c r="BH699" s="12"/>
      <c r="BI699" s="12"/>
      <c r="BJ699" s="12"/>
      <c r="BK699" s="12"/>
      <c r="BL699" s="12"/>
    </row>
    <row r="700" spans="1:64" ht="12" hidden="1" customHeight="1" outlineLevel="1">
      <c r="A700" s="9"/>
      <c r="B700" s="9"/>
      <c r="C700" s="9"/>
      <c r="D700" s="270" t="str">
        <f>Asset5</f>
        <v>Towers and Conductor</v>
      </c>
      <c r="E700" s="9"/>
      <c r="F700" s="9"/>
      <c r="G700" s="201">
        <f t="shared" si="88"/>
        <v>-38.533894214563276</v>
      </c>
      <c r="H700" s="331">
        <v>-37.190055834788978</v>
      </c>
      <c r="I700" s="331">
        <v>-38.658258656396775</v>
      </c>
      <c r="J700" s="331">
        <v>-39.812047177498691</v>
      </c>
      <c r="K700" s="331">
        <v>-41.03142797761533</v>
      </c>
      <c r="L700" s="331">
        <v>-43.03509071299036</v>
      </c>
      <c r="M700" s="331">
        <v>-44.408246669063082</v>
      </c>
      <c r="N700" s="111">
        <f>N$140*N$7</f>
        <v>0</v>
      </c>
      <c r="O700" s="111">
        <f>O$140*O$7</f>
        <v>0</v>
      </c>
      <c r="P700" s="111">
        <f>P$140*P$7</f>
        <v>0</v>
      </c>
      <c r="Q700" s="111">
        <f>Q$140*Q$7</f>
        <v>0</v>
      </c>
      <c r="R700" s="9"/>
      <c r="S700" s="12"/>
      <c r="T700" s="12"/>
      <c r="U700" s="12"/>
      <c r="V700" s="12"/>
      <c r="W700" s="12"/>
      <c r="X700" s="12"/>
      <c r="Y700" s="12"/>
      <c r="Z700" s="12"/>
      <c r="AA700" s="221"/>
      <c r="AB700" s="221"/>
      <c r="AC700" s="221"/>
      <c r="AD700" s="221"/>
      <c r="AE700" s="221"/>
      <c r="AF700" s="221"/>
      <c r="AG700" s="221"/>
      <c r="AH700" s="221"/>
      <c r="AI700" s="221"/>
      <c r="AJ700" s="221"/>
      <c r="AK700" s="221"/>
      <c r="AL700" s="221"/>
      <c r="AM700" s="221"/>
      <c r="AN700" s="221"/>
      <c r="AO700" s="221"/>
      <c r="AP700" s="221"/>
      <c r="AQ700" s="221"/>
      <c r="AR700" s="221"/>
      <c r="AS700" s="221"/>
      <c r="AT700" s="221"/>
      <c r="AU700" s="221"/>
      <c r="AV700" s="221"/>
      <c r="AW700" s="221"/>
      <c r="AX700" s="221"/>
      <c r="AY700" s="221"/>
      <c r="AZ700" s="221"/>
      <c r="BA700" s="221"/>
      <c r="BB700" s="221"/>
      <c r="BC700" s="221"/>
      <c r="BD700" s="12"/>
      <c r="BE700" s="12"/>
      <c r="BF700" s="12"/>
      <c r="BG700" s="12"/>
      <c r="BH700" s="12"/>
      <c r="BI700" s="12"/>
      <c r="BJ700" s="12"/>
      <c r="BK700" s="12"/>
      <c r="BL700" s="12"/>
    </row>
    <row r="701" spans="1:64" ht="12" hidden="1" customHeight="1" outlineLevel="1">
      <c r="A701" s="9"/>
      <c r="B701" s="9"/>
      <c r="C701" s="9"/>
      <c r="D701" s="270" t="str">
        <f>Asset6</f>
        <v>Establishment</v>
      </c>
      <c r="E701" s="9"/>
      <c r="F701" s="9"/>
      <c r="G701" s="201">
        <f t="shared" si="88"/>
        <v>-4.2911100413010619</v>
      </c>
      <c r="H701" s="331">
        <v>-3.9219072170551441</v>
      </c>
      <c r="I701" s="331">
        <v>-4.3624209797655364</v>
      </c>
      <c r="J701" s="331">
        <v>-4.7193800697552817</v>
      </c>
      <c r="K701" s="331">
        <v>-5.0000235073433599</v>
      </c>
      <c r="L701" s="331">
        <v>-5.2801440817945551</v>
      </c>
      <c r="M701" s="331">
        <v>-5.5767532693215687</v>
      </c>
      <c r="N701" s="111">
        <f>N$153*N$7</f>
        <v>0</v>
      </c>
      <c r="O701" s="111">
        <f>O$153*O$7</f>
        <v>0</v>
      </c>
      <c r="P701" s="111">
        <f>P$153*P$7</f>
        <v>0</v>
      </c>
      <c r="Q701" s="111">
        <f>Q$153*Q$7</f>
        <v>0</v>
      </c>
      <c r="R701" s="9"/>
      <c r="S701" s="12"/>
      <c r="T701" s="12"/>
      <c r="U701" s="12"/>
      <c r="V701" s="12"/>
      <c r="W701" s="12"/>
      <c r="X701" s="12"/>
      <c r="Y701" s="12"/>
      <c r="Z701" s="12"/>
      <c r="AA701" s="221"/>
      <c r="AB701" s="221"/>
      <c r="AC701" s="221"/>
      <c r="AD701" s="221"/>
      <c r="AE701" s="221"/>
      <c r="AF701" s="221"/>
      <c r="AG701" s="221"/>
      <c r="AH701" s="221"/>
      <c r="AI701" s="221"/>
      <c r="AJ701" s="221"/>
      <c r="AK701" s="221"/>
      <c r="AL701" s="221"/>
      <c r="AM701" s="221"/>
      <c r="AN701" s="221"/>
      <c r="AO701" s="221"/>
      <c r="AP701" s="221"/>
      <c r="AQ701" s="221"/>
      <c r="AR701" s="221"/>
      <c r="AS701" s="221"/>
      <c r="AT701" s="221"/>
      <c r="AU701" s="221"/>
      <c r="AV701" s="221"/>
      <c r="AW701" s="221"/>
      <c r="AX701" s="221"/>
      <c r="AY701" s="221"/>
      <c r="AZ701" s="221"/>
      <c r="BA701" s="221"/>
      <c r="BB701" s="221"/>
      <c r="BC701" s="221"/>
      <c r="BD701" s="12"/>
      <c r="BE701" s="12"/>
      <c r="BF701" s="12"/>
      <c r="BG701" s="12"/>
      <c r="BH701" s="12"/>
      <c r="BI701" s="12"/>
      <c r="BJ701" s="12"/>
      <c r="BK701" s="12"/>
      <c r="BL701" s="12"/>
    </row>
    <row r="702" spans="1:64" ht="12" hidden="1" customHeight="1" outlineLevel="1">
      <c r="A702" s="9"/>
      <c r="B702" s="9"/>
      <c r="C702" s="9"/>
      <c r="D702" s="270" t="str">
        <f>Asset7</f>
        <v>Communications</v>
      </c>
      <c r="E702" s="9"/>
      <c r="F702" s="9"/>
      <c r="G702" s="201">
        <f t="shared" si="88"/>
        <v>-7.3893631311994454</v>
      </c>
      <c r="H702" s="331">
        <v>-1.8052717705226209</v>
      </c>
      <c r="I702" s="331">
        <v>-1.8963753900483564</v>
      </c>
      <c r="J702" s="331">
        <v>-2.08380304178052</v>
      </c>
      <c r="K702" s="331">
        <v>-2.9828966482062045</v>
      </c>
      <c r="L702" s="331">
        <v>-3.4109692794180093</v>
      </c>
      <c r="M702" s="331">
        <v>-3.3735527502011058</v>
      </c>
      <c r="N702" s="111">
        <f>N$166*N$7</f>
        <v>0</v>
      </c>
      <c r="O702" s="111">
        <f>O$166*O$7</f>
        <v>0</v>
      </c>
      <c r="P702" s="111">
        <f>P$166*P$7</f>
        <v>0</v>
      </c>
      <c r="Q702" s="111">
        <f>Q$166*Q$7</f>
        <v>0</v>
      </c>
      <c r="R702" s="9"/>
      <c r="S702" s="12"/>
      <c r="T702" s="12"/>
      <c r="U702" s="12"/>
      <c r="V702" s="12"/>
      <c r="W702" s="12"/>
      <c r="X702" s="12"/>
      <c r="Y702" s="12"/>
      <c r="Z702" s="12"/>
      <c r="AA702" s="221"/>
      <c r="AB702" s="221"/>
      <c r="AC702" s="221"/>
      <c r="AD702" s="221"/>
      <c r="AE702" s="221"/>
      <c r="AF702" s="221"/>
      <c r="AG702" s="221"/>
      <c r="AH702" s="221"/>
      <c r="AI702" s="221"/>
      <c r="AJ702" s="221"/>
      <c r="AK702" s="221"/>
      <c r="AL702" s="221"/>
      <c r="AM702" s="221"/>
      <c r="AN702" s="221"/>
      <c r="AO702" s="221"/>
      <c r="AP702" s="221"/>
      <c r="AQ702" s="221"/>
      <c r="AR702" s="221"/>
      <c r="AS702" s="221"/>
      <c r="AT702" s="221"/>
      <c r="AU702" s="221"/>
      <c r="AV702" s="221"/>
      <c r="AW702" s="221"/>
      <c r="AX702" s="221"/>
      <c r="AY702" s="221"/>
      <c r="AZ702" s="221"/>
      <c r="BA702" s="221"/>
      <c r="BB702" s="221"/>
      <c r="BC702" s="221"/>
      <c r="BD702" s="12"/>
      <c r="BE702" s="12"/>
      <c r="BF702" s="12"/>
      <c r="BG702" s="12"/>
      <c r="BH702" s="12"/>
      <c r="BI702" s="12"/>
      <c r="BJ702" s="12"/>
      <c r="BK702" s="12"/>
      <c r="BL702" s="12"/>
    </row>
    <row r="703" spans="1:64" ht="12" hidden="1" customHeight="1" outlineLevel="1">
      <c r="A703" s="9"/>
      <c r="B703" s="9"/>
      <c r="C703" s="9"/>
      <c r="D703" s="270" t="str">
        <f>Asset8</f>
        <v>Inventory</v>
      </c>
      <c r="E703" s="9"/>
      <c r="F703" s="9"/>
      <c r="G703" s="201">
        <f t="shared" si="88"/>
        <v>-2.0043714102192842E-2</v>
      </c>
      <c r="H703" s="331">
        <v>0</v>
      </c>
      <c r="I703" s="331">
        <v>0</v>
      </c>
      <c r="J703" s="331">
        <v>0</v>
      </c>
      <c r="K703" s="331">
        <v>0</v>
      </c>
      <c r="L703" s="331">
        <v>0</v>
      </c>
      <c r="M703" s="331">
        <v>0</v>
      </c>
      <c r="N703" s="111">
        <f>N$179*N$7</f>
        <v>0</v>
      </c>
      <c r="O703" s="111">
        <f>O$179*O$7</f>
        <v>0</v>
      </c>
      <c r="P703" s="111">
        <f>P$179*P$7</f>
        <v>0</v>
      </c>
      <c r="Q703" s="111">
        <f>Q$179*Q$7</f>
        <v>0</v>
      </c>
      <c r="R703" s="9"/>
      <c r="S703" s="12"/>
      <c r="T703" s="12"/>
      <c r="U703" s="12"/>
      <c r="V703" s="12"/>
      <c r="W703" s="12"/>
      <c r="X703" s="12"/>
      <c r="Y703" s="12"/>
      <c r="Z703" s="12"/>
      <c r="AA703" s="221"/>
      <c r="AB703" s="221"/>
      <c r="AC703" s="221"/>
      <c r="AD703" s="221"/>
      <c r="AE703" s="221"/>
      <c r="AF703" s="221"/>
      <c r="AG703" s="221"/>
      <c r="AH703" s="221"/>
      <c r="AI703" s="221"/>
      <c r="AJ703" s="221"/>
      <c r="AK703" s="221"/>
      <c r="AL703" s="221"/>
      <c r="AM703" s="221"/>
      <c r="AN703" s="221"/>
      <c r="AO703" s="221"/>
      <c r="AP703" s="221"/>
      <c r="AQ703" s="221"/>
      <c r="AR703" s="221"/>
      <c r="AS703" s="221"/>
      <c r="AT703" s="221"/>
      <c r="AU703" s="221"/>
      <c r="AV703" s="221"/>
      <c r="AW703" s="221"/>
      <c r="AX703" s="221"/>
      <c r="AY703" s="221"/>
      <c r="AZ703" s="221"/>
      <c r="BA703" s="221"/>
      <c r="BB703" s="221"/>
      <c r="BC703" s="221"/>
      <c r="BD703" s="12"/>
      <c r="BE703" s="12"/>
      <c r="BF703" s="12"/>
      <c r="BG703" s="12"/>
      <c r="BH703" s="12"/>
      <c r="BI703" s="12"/>
      <c r="BJ703" s="12"/>
      <c r="BK703" s="12"/>
      <c r="BL703" s="12"/>
    </row>
    <row r="704" spans="1:64" ht="12" hidden="1" customHeight="1" outlineLevel="1">
      <c r="A704" s="9"/>
      <c r="B704" s="9"/>
      <c r="C704" s="9"/>
      <c r="D704" s="270" t="str">
        <f>Asset9</f>
        <v>IT</v>
      </c>
      <c r="E704" s="9"/>
      <c r="F704" s="9"/>
      <c r="G704" s="201">
        <f t="shared" si="88"/>
        <v>-4.3784199133380133</v>
      </c>
      <c r="H704" s="331">
        <v>-5.8678036247686451</v>
      </c>
      <c r="I704" s="331">
        <v>-6.6486733655087464</v>
      </c>
      <c r="J704" s="331">
        <v>-8.8661448990318572</v>
      </c>
      <c r="K704" s="331">
        <v>-8.5355435773201371</v>
      </c>
      <c r="L704" s="331">
        <v>-10.526848441773124</v>
      </c>
      <c r="M704" s="331">
        <v>-13.291843152096884</v>
      </c>
      <c r="N704" s="111">
        <f>N$192*N$7</f>
        <v>0</v>
      </c>
      <c r="O704" s="111">
        <f>O$192*O$7</f>
        <v>0</v>
      </c>
      <c r="P704" s="111">
        <f>P$192*P$7</f>
        <v>0</v>
      </c>
      <c r="Q704" s="111">
        <f>Q$192*Q$7</f>
        <v>0</v>
      </c>
      <c r="R704" s="9"/>
      <c r="S704" s="12"/>
      <c r="T704" s="12"/>
      <c r="U704" s="12"/>
      <c r="V704" s="12"/>
      <c r="W704" s="12"/>
      <c r="X704" s="12"/>
      <c r="Y704" s="12"/>
      <c r="Z704" s="12"/>
      <c r="AA704" s="221"/>
      <c r="AB704" s="221"/>
      <c r="AC704" s="221"/>
      <c r="AD704" s="221"/>
      <c r="AE704" s="221"/>
      <c r="AF704" s="221"/>
      <c r="AG704" s="221"/>
      <c r="AH704" s="221"/>
      <c r="AI704" s="221"/>
      <c r="AJ704" s="221"/>
      <c r="AK704" s="221"/>
      <c r="AL704" s="221"/>
      <c r="AM704" s="221"/>
      <c r="AN704" s="221"/>
      <c r="AO704" s="221"/>
      <c r="AP704" s="221"/>
      <c r="AQ704" s="221"/>
      <c r="AR704" s="221"/>
      <c r="AS704" s="221"/>
      <c r="AT704" s="221"/>
      <c r="AU704" s="221"/>
      <c r="AV704" s="221"/>
      <c r="AW704" s="221"/>
      <c r="AX704" s="221"/>
      <c r="AY704" s="221"/>
      <c r="AZ704" s="221"/>
      <c r="BA704" s="221"/>
      <c r="BB704" s="221"/>
      <c r="BC704" s="221"/>
      <c r="BD704" s="12"/>
      <c r="BE704" s="12"/>
      <c r="BF704" s="12"/>
      <c r="BG704" s="12"/>
      <c r="BH704" s="12"/>
      <c r="BI704" s="12"/>
      <c r="BJ704" s="12"/>
      <c r="BK704" s="12"/>
      <c r="BL704" s="12"/>
    </row>
    <row r="705" spans="1:64" ht="12" hidden="1" customHeight="1" outlineLevel="1">
      <c r="A705" s="9"/>
      <c r="B705" s="9"/>
      <c r="C705" s="9"/>
      <c r="D705" s="270" t="str">
        <f>Asset10</f>
        <v>Vehicles</v>
      </c>
      <c r="E705" s="9"/>
      <c r="F705" s="9"/>
      <c r="G705" s="201">
        <f t="shared" si="88"/>
        <v>-0.26102973349870084</v>
      </c>
      <c r="H705" s="331">
        <v>-0.94600269442399831</v>
      </c>
      <c r="I705" s="331">
        <v>-0.97338170542400848</v>
      </c>
      <c r="J705" s="331">
        <v>-0.87969557429682643</v>
      </c>
      <c r="K705" s="331">
        <v>-0.29501095677911471</v>
      </c>
      <c r="L705" s="331">
        <v>-0.33159398079168267</v>
      </c>
      <c r="M705" s="331">
        <v>-0.6266911038810824</v>
      </c>
      <c r="N705" s="111">
        <f>N$205*N$7</f>
        <v>0</v>
      </c>
      <c r="O705" s="111">
        <f>O$205*O$7</f>
        <v>0</v>
      </c>
      <c r="P705" s="111">
        <f>P$205*P$7</f>
        <v>0</v>
      </c>
      <c r="Q705" s="111">
        <f>Q$205*Q$7</f>
        <v>0</v>
      </c>
      <c r="R705" s="9"/>
      <c r="S705" s="12"/>
      <c r="T705" s="12"/>
      <c r="U705" s="12"/>
      <c r="V705" s="12"/>
      <c r="W705" s="12"/>
      <c r="X705" s="12"/>
      <c r="Y705" s="12"/>
      <c r="Z705" s="12"/>
      <c r="AA705" s="221"/>
      <c r="AB705" s="221"/>
      <c r="AC705" s="221"/>
      <c r="AD705" s="221"/>
      <c r="AE705" s="221"/>
      <c r="AF705" s="221"/>
      <c r="AG705" s="221"/>
      <c r="AH705" s="221"/>
      <c r="AI705" s="221"/>
      <c r="AJ705" s="221"/>
      <c r="AK705" s="221"/>
      <c r="AL705" s="221"/>
      <c r="AM705" s="221"/>
      <c r="AN705" s="221"/>
      <c r="AO705" s="221"/>
      <c r="AP705" s="221"/>
      <c r="AQ705" s="221"/>
      <c r="AR705" s="221"/>
      <c r="AS705" s="221"/>
      <c r="AT705" s="221"/>
      <c r="AU705" s="221"/>
      <c r="AV705" s="221"/>
      <c r="AW705" s="221"/>
      <c r="AX705" s="221"/>
      <c r="AY705" s="221"/>
      <c r="AZ705" s="221"/>
      <c r="BA705" s="221"/>
      <c r="BB705" s="221"/>
      <c r="BC705" s="221"/>
      <c r="BD705" s="12"/>
      <c r="BE705" s="12"/>
      <c r="BF705" s="12"/>
      <c r="BG705" s="12"/>
      <c r="BH705" s="12"/>
      <c r="BI705" s="12"/>
      <c r="BJ705" s="12"/>
      <c r="BK705" s="12"/>
      <c r="BL705" s="12"/>
    </row>
    <row r="706" spans="1:64" ht="12" hidden="1" customHeight="1" outlineLevel="1">
      <c r="A706" s="9"/>
      <c r="B706" s="9"/>
      <c r="C706" s="9"/>
      <c r="D706" s="270" t="str">
        <f>Asset11</f>
        <v>other</v>
      </c>
      <c r="E706" s="9"/>
      <c r="F706" s="9"/>
      <c r="G706" s="201">
        <f t="shared" si="88"/>
        <v>-1.652731229245967</v>
      </c>
      <c r="H706" s="331">
        <v>-1.6628633280940759</v>
      </c>
      <c r="I706" s="331">
        <v>-1.7687013049683293</v>
      </c>
      <c r="J706" s="331">
        <v>-1.8478962683992004</v>
      </c>
      <c r="K706" s="331">
        <v>-1.7785570340365968</v>
      </c>
      <c r="L706" s="331">
        <v>-2.1923937334264747</v>
      </c>
      <c r="M706" s="331">
        <v>-2.3874712271380445</v>
      </c>
      <c r="N706" s="111">
        <f>N$218*N$7</f>
        <v>0</v>
      </c>
      <c r="O706" s="111">
        <f>O$218*O$7</f>
        <v>0</v>
      </c>
      <c r="P706" s="111">
        <f>P$218*P$7</f>
        <v>0</v>
      </c>
      <c r="Q706" s="111">
        <f>Q$218*Q$7</f>
        <v>0</v>
      </c>
      <c r="R706" s="9"/>
      <c r="S706" s="12"/>
      <c r="T706" s="12"/>
      <c r="U706" s="12"/>
      <c r="V706" s="12"/>
      <c r="W706" s="12"/>
      <c r="X706" s="12"/>
      <c r="Y706" s="12"/>
      <c r="Z706" s="12"/>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1"/>
      <c r="AY706" s="221"/>
      <c r="AZ706" s="221"/>
      <c r="BA706" s="221"/>
      <c r="BB706" s="221"/>
      <c r="BC706" s="221"/>
      <c r="BD706" s="12"/>
      <c r="BE706" s="12"/>
      <c r="BF706" s="12"/>
      <c r="BG706" s="12"/>
      <c r="BH706" s="12"/>
      <c r="BI706" s="12"/>
      <c r="BJ706" s="12"/>
      <c r="BK706" s="12"/>
      <c r="BL706" s="12"/>
    </row>
    <row r="707" spans="1:64" ht="12" hidden="1" customHeight="1" outlineLevel="1">
      <c r="A707" s="9"/>
      <c r="B707" s="9"/>
      <c r="C707" s="9"/>
      <c r="D707" s="270" t="str">
        <f>Asset12</f>
        <v>premises</v>
      </c>
      <c r="E707" s="9"/>
      <c r="F707" s="9"/>
      <c r="G707" s="201">
        <f t="shared" si="88"/>
        <v>-1.911211058171556</v>
      </c>
      <c r="H707" s="331">
        <v>-1.4220964456273413</v>
      </c>
      <c r="I707" s="331">
        <v>-1.4723609724366016</v>
      </c>
      <c r="J707" s="331">
        <v>-1.4195860929951778</v>
      </c>
      <c r="K707" s="331">
        <v>-1.0917900989707954</v>
      </c>
      <c r="L707" s="331">
        <v>-1.2415000522489046</v>
      </c>
      <c r="M707" s="331">
        <v>-1.1991815388754374</v>
      </c>
      <c r="N707" s="111">
        <f>N$231*N$7</f>
        <v>0</v>
      </c>
      <c r="O707" s="111">
        <f>O$231*O$7</f>
        <v>0</v>
      </c>
      <c r="P707" s="111">
        <f>P$231*P$7</f>
        <v>0</v>
      </c>
      <c r="Q707" s="111">
        <f>Q$231*Q$7</f>
        <v>0</v>
      </c>
      <c r="R707" s="9"/>
      <c r="S707" s="12"/>
      <c r="T707" s="12"/>
      <c r="U707" s="12"/>
      <c r="V707" s="12"/>
      <c r="W707" s="12"/>
      <c r="X707" s="12"/>
      <c r="Y707" s="12"/>
      <c r="Z707" s="12"/>
      <c r="AA707" s="221"/>
      <c r="AB707" s="221"/>
      <c r="AC707" s="221"/>
      <c r="AD707" s="221"/>
      <c r="AE707" s="221"/>
      <c r="AF707" s="221"/>
      <c r="AG707" s="221"/>
      <c r="AH707" s="221"/>
      <c r="AI707" s="221"/>
      <c r="AJ707" s="221"/>
      <c r="AK707" s="221"/>
      <c r="AL707" s="221"/>
      <c r="AM707" s="221"/>
      <c r="AN707" s="221"/>
      <c r="AO707" s="221"/>
      <c r="AP707" s="221"/>
      <c r="AQ707" s="221"/>
      <c r="AR707" s="221"/>
      <c r="AS707" s="221"/>
      <c r="AT707" s="221"/>
      <c r="AU707" s="221"/>
      <c r="AV707" s="221"/>
      <c r="AW707" s="221"/>
      <c r="AX707" s="221"/>
      <c r="AY707" s="221"/>
      <c r="AZ707" s="221"/>
      <c r="BA707" s="221"/>
      <c r="BB707" s="221"/>
      <c r="BC707" s="221"/>
      <c r="BD707" s="12"/>
      <c r="BE707" s="12"/>
      <c r="BF707" s="12"/>
      <c r="BG707" s="12"/>
      <c r="BH707" s="12"/>
      <c r="BI707" s="12"/>
      <c r="BJ707" s="12"/>
      <c r="BK707" s="12"/>
      <c r="BL707" s="12"/>
    </row>
    <row r="708" spans="1:64" ht="12" hidden="1" customHeight="1" outlineLevel="1">
      <c r="A708" s="9"/>
      <c r="B708" s="9"/>
      <c r="C708" s="9"/>
      <c r="D708" s="270" t="str">
        <f>Asset13</f>
        <v>Land</v>
      </c>
      <c r="E708" s="9"/>
      <c r="F708" s="9"/>
      <c r="G708" s="201">
        <f t="shared" si="88"/>
        <v>-0.34525136259926636</v>
      </c>
      <c r="H708" s="331">
        <v>0</v>
      </c>
      <c r="I708" s="331">
        <v>0</v>
      </c>
      <c r="J708" s="331">
        <v>0</v>
      </c>
      <c r="K708" s="331">
        <v>0</v>
      </c>
      <c r="L708" s="331">
        <v>0</v>
      </c>
      <c r="M708" s="331">
        <v>0</v>
      </c>
      <c r="N708" s="111">
        <f>N$244*N$7</f>
        <v>0</v>
      </c>
      <c r="O708" s="111">
        <f>O$244*O$7</f>
        <v>0</v>
      </c>
      <c r="P708" s="111">
        <f>P$244*P$7</f>
        <v>0</v>
      </c>
      <c r="Q708" s="111">
        <f>Q$244*Q$7</f>
        <v>0</v>
      </c>
      <c r="R708" s="9"/>
      <c r="S708" s="12"/>
      <c r="T708" s="12"/>
      <c r="U708" s="12"/>
      <c r="V708" s="12"/>
      <c r="W708" s="12"/>
      <c r="X708" s="12"/>
      <c r="Y708" s="12"/>
      <c r="Z708" s="12"/>
      <c r="AA708" s="221"/>
      <c r="AB708" s="221"/>
      <c r="AC708" s="221"/>
      <c r="AD708" s="221"/>
      <c r="AE708" s="221"/>
      <c r="AF708" s="221"/>
      <c r="AG708" s="221"/>
      <c r="AH708" s="221"/>
      <c r="AI708" s="221"/>
      <c r="AJ708" s="221"/>
      <c r="AK708" s="221"/>
      <c r="AL708" s="221"/>
      <c r="AM708" s="221"/>
      <c r="AN708" s="221"/>
      <c r="AO708" s="221"/>
      <c r="AP708" s="221"/>
      <c r="AQ708" s="221"/>
      <c r="AR708" s="221"/>
      <c r="AS708" s="221"/>
      <c r="AT708" s="221"/>
      <c r="AU708" s="221"/>
      <c r="AV708" s="221"/>
      <c r="AW708" s="221"/>
      <c r="AX708" s="221"/>
      <c r="AY708" s="221"/>
      <c r="AZ708" s="221"/>
      <c r="BA708" s="221"/>
      <c r="BB708" s="221"/>
      <c r="BC708" s="221"/>
      <c r="BD708" s="12"/>
      <c r="BE708" s="12"/>
      <c r="BF708" s="12"/>
      <c r="BG708" s="12"/>
      <c r="BH708" s="12"/>
      <c r="BI708" s="12"/>
      <c r="BJ708" s="12"/>
      <c r="BK708" s="12"/>
      <c r="BL708" s="12"/>
    </row>
    <row r="709" spans="1:64" ht="12" hidden="1" customHeight="1" outlineLevel="1">
      <c r="A709" s="9"/>
      <c r="B709" s="9"/>
      <c r="C709" s="9"/>
      <c r="D709" s="270" t="str">
        <f>Asset14</f>
        <v>Easements</v>
      </c>
      <c r="E709" s="9"/>
      <c r="F709" s="9"/>
      <c r="G709" s="201">
        <f t="shared" si="88"/>
        <v>-0.38015832738626898</v>
      </c>
      <c r="H709" s="331">
        <v>0</v>
      </c>
      <c r="I709" s="331">
        <v>0</v>
      </c>
      <c r="J709" s="331">
        <v>0</v>
      </c>
      <c r="K709" s="331">
        <v>0</v>
      </c>
      <c r="L709" s="331">
        <v>0</v>
      </c>
      <c r="M709" s="331">
        <v>0</v>
      </c>
      <c r="N709" s="111">
        <f>N$257*N$7</f>
        <v>0</v>
      </c>
      <c r="O709" s="111">
        <f>O$257*O$7</f>
        <v>0</v>
      </c>
      <c r="P709" s="111">
        <f>P$257*P$7</f>
        <v>0</v>
      </c>
      <c r="Q709" s="111">
        <f>Q$257*Q$7</f>
        <v>0</v>
      </c>
      <c r="R709" s="9"/>
      <c r="S709" s="12"/>
      <c r="T709" s="12"/>
      <c r="U709" s="12"/>
      <c r="V709" s="12"/>
      <c r="W709" s="12"/>
      <c r="X709" s="12"/>
      <c r="Y709" s="12"/>
      <c r="Z709" s="12"/>
      <c r="AA709" s="221"/>
      <c r="AB709" s="221"/>
      <c r="AC709" s="221"/>
      <c r="AD709" s="221"/>
      <c r="AE709" s="221"/>
      <c r="AF709" s="221"/>
      <c r="AG709" s="221"/>
      <c r="AH709" s="221"/>
      <c r="AI709" s="221"/>
      <c r="AJ709" s="221"/>
      <c r="AK709" s="221"/>
      <c r="AL709" s="221"/>
      <c r="AM709" s="221"/>
      <c r="AN709" s="221"/>
      <c r="AO709" s="221"/>
      <c r="AP709" s="221"/>
      <c r="AQ709" s="221"/>
      <c r="AR709" s="221"/>
      <c r="AS709" s="221"/>
      <c r="AT709" s="221"/>
      <c r="AU709" s="221"/>
      <c r="AV709" s="221"/>
      <c r="AW709" s="221"/>
      <c r="AX709" s="221"/>
      <c r="AY709" s="221"/>
      <c r="AZ709" s="221"/>
      <c r="BA709" s="221"/>
      <c r="BB709" s="221"/>
      <c r="BC709" s="221"/>
      <c r="BD709" s="12"/>
      <c r="BE709" s="12"/>
      <c r="BF709" s="12"/>
      <c r="BG709" s="12"/>
      <c r="BH709" s="12"/>
      <c r="BI709" s="12"/>
      <c r="BJ709" s="12"/>
      <c r="BK709" s="12"/>
      <c r="BL709" s="12"/>
    </row>
    <row r="710" spans="1:64" ht="12" hidden="1" customHeight="1" outlineLevel="1">
      <c r="A710" s="9"/>
      <c r="B710" s="9"/>
      <c r="C710" s="9"/>
      <c r="D710" s="270">
        <f>Asset15</f>
        <v>0</v>
      </c>
      <c r="E710" s="9"/>
      <c r="F710" s="9"/>
      <c r="G710" s="201">
        <f t="shared" si="88"/>
        <v>0</v>
      </c>
      <c r="H710" s="111">
        <f t="shared" ref="H710:Q710" si="89">H$270*H$7</f>
        <v>0</v>
      </c>
      <c r="I710" s="111">
        <f t="shared" si="89"/>
        <v>0</v>
      </c>
      <c r="J710" s="111">
        <f t="shared" si="89"/>
        <v>0</v>
      </c>
      <c r="K710" s="111">
        <f t="shared" si="89"/>
        <v>0</v>
      </c>
      <c r="L710" s="111">
        <f t="shared" si="89"/>
        <v>0</v>
      </c>
      <c r="M710" s="111">
        <f t="shared" si="89"/>
        <v>0</v>
      </c>
      <c r="N710" s="111">
        <f t="shared" si="89"/>
        <v>0</v>
      </c>
      <c r="O710" s="111">
        <f t="shared" si="89"/>
        <v>0</v>
      </c>
      <c r="P710" s="111">
        <f t="shared" si="89"/>
        <v>0</v>
      </c>
      <c r="Q710" s="111">
        <f t="shared" si="89"/>
        <v>0</v>
      </c>
      <c r="R710" s="9"/>
      <c r="S710" s="12"/>
      <c r="T710" s="12"/>
      <c r="U710" s="12"/>
      <c r="V710" s="12"/>
      <c r="W710" s="12"/>
      <c r="X710" s="12"/>
      <c r="Y710" s="12"/>
      <c r="Z710" s="12"/>
      <c r="AA710" s="221"/>
      <c r="AB710" s="221"/>
      <c r="AC710" s="221"/>
      <c r="AD710" s="221"/>
      <c r="AE710" s="221"/>
      <c r="AF710" s="221"/>
      <c r="AG710" s="221"/>
      <c r="AH710" s="221"/>
      <c r="AI710" s="221"/>
      <c r="AJ710" s="221"/>
      <c r="AK710" s="221"/>
      <c r="AL710" s="221"/>
      <c r="AM710" s="221"/>
      <c r="AN710" s="221"/>
      <c r="AO710" s="221"/>
      <c r="AP710" s="221"/>
      <c r="AQ710" s="221"/>
      <c r="AR710" s="221"/>
      <c r="AS710" s="221"/>
      <c r="AT710" s="221"/>
      <c r="AU710" s="221"/>
      <c r="AV710" s="221"/>
      <c r="AW710" s="221"/>
      <c r="AX710" s="221"/>
      <c r="AY710" s="221"/>
      <c r="AZ710" s="221"/>
      <c r="BA710" s="221"/>
      <c r="BB710" s="221"/>
      <c r="BC710" s="221"/>
      <c r="BD710" s="12"/>
      <c r="BE710" s="12"/>
      <c r="BF710" s="12"/>
      <c r="BG710" s="12"/>
      <c r="BH710" s="12"/>
      <c r="BI710" s="12"/>
      <c r="BJ710" s="12"/>
      <c r="BK710" s="12"/>
      <c r="BL710" s="12"/>
    </row>
    <row r="711" spans="1:64" ht="12" hidden="1" customHeight="1" outlineLevel="1">
      <c r="A711" s="9"/>
      <c r="B711" s="9"/>
      <c r="C711" s="9"/>
      <c r="D711" s="270">
        <f>Asset16</f>
        <v>0</v>
      </c>
      <c r="E711" s="9"/>
      <c r="F711" s="9"/>
      <c r="G711" s="201">
        <f t="shared" si="88"/>
        <v>0</v>
      </c>
      <c r="H711" s="111">
        <f t="shared" ref="H711:Q711" si="90">H$283*H$7</f>
        <v>0</v>
      </c>
      <c r="I711" s="111">
        <f t="shared" si="90"/>
        <v>0</v>
      </c>
      <c r="J711" s="111">
        <f t="shared" si="90"/>
        <v>0</v>
      </c>
      <c r="K711" s="111">
        <f t="shared" si="90"/>
        <v>0</v>
      </c>
      <c r="L711" s="111">
        <f t="shared" si="90"/>
        <v>0</v>
      </c>
      <c r="M711" s="111">
        <f t="shared" si="90"/>
        <v>0</v>
      </c>
      <c r="N711" s="111">
        <f t="shared" si="90"/>
        <v>0</v>
      </c>
      <c r="O711" s="111">
        <f t="shared" si="90"/>
        <v>0</v>
      </c>
      <c r="P711" s="111">
        <f t="shared" si="90"/>
        <v>0</v>
      </c>
      <c r="Q711" s="111">
        <f t="shared" si="90"/>
        <v>0</v>
      </c>
      <c r="R711" s="9"/>
      <c r="S711" s="12"/>
      <c r="T711" s="12"/>
      <c r="U711" s="12"/>
      <c r="V711" s="12"/>
      <c r="W711" s="12"/>
      <c r="X711" s="12"/>
      <c r="Y711" s="12"/>
      <c r="Z711" s="12"/>
      <c r="AA711" s="221"/>
      <c r="AB711" s="221"/>
      <c r="AC711" s="221"/>
      <c r="AD711" s="221"/>
      <c r="AE711" s="221"/>
      <c r="AF711" s="221"/>
      <c r="AG711" s="221"/>
      <c r="AH711" s="221"/>
      <c r="AI711" s="221"/>
      <c r="AJ711" s="221"/>
      <c r="AK711" s="221"/>
      <c r="AL711" s="221"/>
      <c r="AM711" s="221"/>
      <c r="AN711" s="221"/>
      <c r="AO711" s="221"/>
      <c r="AP711" s="221"/>
      <c r="AQ711" s="221"/>
      <c r="AR711" s="221"/>
      <c r="AS711" s="221"/>
      <c r="AT711" s="221"/>
      <c r="AU711" s="221"/>
      <c r="AV711" s="221"/>
      <c r="AW711" s="221"/>
      <c r="AX711" s="221"/>
      <c r="AY711" s="221"/>
      <c r="AZ711" s="221"/>
      <c r="BA711" s="221"/>
      <c r="BB711" s="221"/>
      <c r="BC711" s="221"/>
      <c r="BD711" s="12"/>
      <c r="BE711" s="12"/>
      <c r="BF711" s="12"/>
      <c r="BG711" s="12"/>
      <c r="BH711" s="12"/>
      <c r="BI711" s="12"/>
      <c r="BJ711" s="12"/>
      <c r="BK711" s="12"/>
      <c r="BL711" s="12"/>
    </row>
    <row r="712" spans="1:64" ht="12" hidden="1" customHeight="1" outlineLevel="1">
      <c r="A712" s="9"/>
      <c r="B712" s="9"/>
      <c r="C712" s="9"/>
      <c r="D712" s="270">
        <f>Asset17</f>
        <v>0</v>
      </c>
      <c r="E712" s="9"/>
      <c r="F712" s="9"/>
      <c r="G712" s="201">
        <f t="shared" si="88"/>
        <v>0</v>
      </c>
      <c r="H712" s="111">
        <f t="shared" ref="H712:Q712" si="91">H$296*H$7</f>
        <v>0</v>
      </c>
      <c r="I712" s="111">
        <f t="shared" si="91"/>
        <v>0</v>
      </c>
      <c r="J712" s="111">
        <f t="shared" si="91"/>
        <v>0</v>
      </c>
      <c r="K712" s="111">
        <f t="shared" si="91"/>
        <v>0</v>
      </c>
      <c r="L712" s="111">
        <f t="shared" si="91"/>
        <v>0</v>
      </c>
      <c r="M712" s="111">
        <f t="shared" si="91"/>
        <v>0</v>
      </c>
      <c r="N712" s="111">
        <f t="shared" si="91"/>
        <v>0</v>
      </c>
      <c r="O712" s="111">
        <f t="shared" si="91"/>
        <v>0</v>
      </c>
      <c r="P712" s="111">
        <f t="shared" si="91"/>
        <v>0</v>
      </c>
      <c r="Q712" s="111">
        <f t="shared" si="91"/>
        <v>0</v>
      </c>
      <c r="R712" s="9"/>
      <c r="S712" s="12"/>
      <c r="T712" s="12"/>
      <c r="U712" s="12"/>
      <c r="V712" s="12"/>
      <c r="W712" s="12"/>
      <c r="X712" s="12"/>
      <c r="Y712" s="12"/>
      <c r="Z712" s="12"/>
      <c r="AA712" s="221"/>
      <c r="AB712" s="221"/>
      <c r="AC712" s="221"/>
      <c r="AD712" s="221"/>
      <c r="AE712" s="221"/>
      <c r="AF712" s="221"/>
      <c r="AG712" s="221"/>
      <c r="AH712" s="221"/>
      <c r="AI712" s="221"/>
      <c r="AJ712" s="221"/>
      <c r="AK712" s="221"/>
      <c r="AL712" s="221"/>
      <c r="AM712" s="221"/>
      <c r="AN712" s="221"/>
      <c r="AO712" s="221"/>
      <c r="AP712" s="221"/>
      <c r="AQ712" s="221"/>
      <c r="AR712" s="221"/>
      <c r="AS712" s="221"/>
      <c r="AT712" s="221"/>
      <c r="AU712" s="221"/>
      <c r="AV712" s="221"/>
      <c r="AW712" s="221"/>
      <c r="AX712" s="221"/>
      <c r="AY712" s="221"/>
      <c r="AZ712" s="221"/>
      <c r="BA712" s="221"/>
      <c r="BB712" s="221"/>
      <c r="BC712" s="221"/>
      <c r="BD712" s="12"/>
      <c r="BE712" s="12"/>
      <c r="BF712" s="12"/>
      <c r="BG712" s="12"/>
      <c r="BH712" s="12"/>
      <c r="BI712" s="12"/>
      <c r="BJ712" s="12"/>
      <c r="BK712" s="12"/>
      <c r="BL712" s="12"/>
    </row>
    <row r="713" spans="1:64" ht="12" hidden="1" customHeight="1" outlineLevel="1">
      <c r="A713" s="9"/>
      <c r="B713" s="9"/>
      <c r="C713" s="9"/>
      <c r="D713" s="270">
        <f>Asset18</f>
        <v>0</v>
      </c>
      <c r="E713" s="9"/>
      <c r="F713" s="9"/>
      <c r="G713" s="201">
        <f t="shared" si="88"/>
        <v>0</v>
      </c>
      <c r="H713" s="111">
        <f t="shared" ref="H713:Q713" si="92">H$309*H$7</f>
        <v>0</v>
      </c>
      <c r="I713" s="111">
        <f t="shared" si="92"/>
        <v>0</v>
      </c>
      <c r="J713" s="111">
        <f t="shared" si="92"/>
        <v>0</v>
      </c>
      <c r="K713" s="111">
        <f t="shared" si="92"/>
        <v>0</v>
      </c>
      <c r="L713" s="111">
        <f t="shared" si="92"/>
        <v>0</v>
      </c>
      <c r="M713" s="111">
        <f t="shared" si="92"/>
        <v>0</v>
      </c>
      <c r="N713" s="111">
        <f t="shared" si="92"/>
        <v>0</v>
      </c>
      <c r="O713" s="111">
        <f t="shared" si="92"/>
        <v>0</v>
      </c>
      <c r="P713" s="111">
        <f t="shared" si="92"/>
        <v>0</v>
      </c>
      <c r="Q713" s="111">
        <f t="shared" si="92"/>
        <v>0</v>
      </c>
      <c r="R713" s="9"/>
      <c r="S713" s="12"/>
      <c r="T713" s="12"/>
      <c r="U713" s="12"/>
      <c r="V713" s="12"/>
      <c r="W713" s="12"/>
      <c r="X713" s="12"/>
      <c r="Y713" s="12"/>
      <c r="Z713" s="12"/>
      <c r="AA713" s="221"/>
      <c r="AB713" s="221"/>
      <c r="AC713" s="221"/>
      <c r="AD713" s="221"/>
      <c r="AE713" s="221"/>
      <c r="AF713" s="221"/>
      <c r="AG713" s="221"/>
      <c r="AH713" s="221"/>
      <c r="AI713" s="221"/>
      <c r="AJ713" s="221"/>
      <c r="AK713" s="221"/>
      <c r="AL713" s="221"/>
      <c r="AM713" s="221"/>
      <c r="AN713" s="221"/>
      <c r="AO713" s="221"/>
      <c r="AP713" s="221"/>
      <c r="AQ713" s="221"/>
      <c r="AR713" s="221"/>
      <c r="AS713" s="221"/>
      <c r="AT713" s="221"/>
      <c r="AU713" s="221"/>
      <c r="AV713" s="221"/>
      <c r="AW713" s="221"/>
      <c r="AX713" s="221"/>
      <c r="AY713" s="221"/>
      <c r="AZ713" s="221"/>
      <c r="BA713" s="221"/>
      <c r="BB713" s="221"/>
      <c r="BC713" s="221"/>
      <c r="BD713" s="12"/>
      <c r="BE713" s="12"/>
      <c r="BF713" s="12"/>
      <c r="BG713" s="12"/>
      <c r="BH713" s="12"/>
      <c r="BI713" s="12"/>
      <c r="BJ713" s="12"/>
      <c r="BK713" s="12"/>
      <c r="BL713" s="12"/>
    </row>
    <row r="714" spans="1:64" ht="12" hidden="1" customHeight="1" outlineLevel="1">
      <c r="A714" s="9"/>
      <c r="B714" s="9"/>
      <c r="C714" s="9"/>
      <c r="D714" s="270">
        <f>Asset19</f>
        <v>0</v>
      </c>
      <c r="E714" s="9"/>
      <c r="F714" s="9"/>
      <c r="G714" s="201">
        <f t="shared" si="88"/>
        <v>0</v>
      </c>
      <c r="H714" s="111">
        <f t="shared" ref="H714:Q714" si="93">H$322*H$7</f>
        <v>0</v>
      </c>
      <c r="I714" s="111">
        <f t="shared" si="93"/>
        <v>0</v>
      </c>
      <c r="J714" s="111">
        <f t="shared" si="93"/>
        <v>0</v>
      </c>
      <c r="K714" s="111">
        <f t="shared" si="93"/>
        <v>0</v>
      </c>
      <c r="L714" s="111">
        <f t="shared" si="93"/>
        <v>0</v>
      </c>
      <c r="M714" s="111">
        <f t="shared" si="93"/>
        <v>0</v>
      </c>
      <c r="N714" s="111">
        <f t="shared" si="93"/>
        <v>0</v>
      </c>
      <c r="O714" s="111">
        <f t="shared" si="93"/>
        <v>0</v>
      </c>
      <c r="P714" s="111">
        <f t="shared" si="93"/>
        <v>0</v>
      </c>
      <c r="Q714" s="111">
        <f t="shared" si="93"/>
        <v>0</v>
      </c>
      <c r="R714" s="9"/>
      <c r="S714" s="12"/>
      <c r="T714" s="12"/>
      <c r="U714" s="12"/>
      <c r="V714" s="12"/>
      <c r="W714" s="12"/>
      <c r="X714" s="12"/>
      <c r="Y714" s="12"/>
      <c r="Z714" s="12"/>
      <c r="AA714" s="221"/>
      <c r="AB714" s="221"/>
      <c r="AC714" s="221"/>
      <c r="AD714" s="221"/>
      <c r="AE714" s="221"/>
      <c r="AF714" s="221"/>
      <c r="AG714" s="221"/>
      <c r="AH714" s="221"/>
      <c r="AI714" s="221"/>
      <c r="AJ714" s="221"/>
      <c r="AK714" s="221"/>
      <c r="AL714" s="221"/>
      <c r="AM714" s="221"/>
      <c r="AN714" s="221"/>
      <c r="AO714" s="221"/>
      <c r="AP714" s="221"/>
      <c r="AQ714" s="221"/>
      <c r="AR714" s="221"/>
      <c r="AS714" s="221"/>
      <c r="AT714" s="221"/>
      <c r="AU714" s="221"/>
      <c r="AV714" s="221"/>
      <c r="AW714" s="221"/>
      <c r="AX714" s="221"/>
      <c r="AY714" s="221"/>
      <c r="AZ714" s="221"/>
      <c r="BA714" s="221"/>
      <c r="BB714" s="221"/>
      <c r="BC714" s="221"/>
      <c r="BD714" s="12"/>
      <c r="BE714" s="12"/>
      <c r="BF714" s="12"/>
      <c r="BG714" s="12"/>
      <c r="BH714" s="12"/>
      <c r="BI714" s="12"/>
      <c r="BJ714" s="12"/>
      <c r="BK714" s="12"/>
      <c r="BL714" s="12"/>
    </row>
    <row r="715" spans="1:64" ht="12" hidden="1" customHeight="1" outlineLevel="1">
      <c r="A715" s="9"/>
      <c r="B715" s="9"/>
      <c r="C715" s="9"/>
      <c r="D715" s="270">
        <f>Asset20</f>
        <v>0</v>
      </c>
      <c r="E715" s="9"/>
      <c r="F715" s="9"/>
      <c r="G715" s="201">
        <f t="shared" si="88"/>
        <v>0</v>
      </c>
      <c r="H715" s="111">
        <f>H$335*H$7</f>
        <v>0</v>
      </c>
      <c r="I715" s="111">
        <f t="shared" ref="I715:Q715" si="94">I$335*I$7</f>
        <v>0</v>
      </c>
      <c r="J715" s="111">
        <f t="shared" si="94"/>
        <v>0</v>
      </c>
      <c r="K715" s="111">
        <f t="shared" si="94"/>
        <v>0</v>
      </c>
      <c r="L715" s="111">
        <f t="shared" si="94"/>
        <v>0</v>
      </c>
      <c r="M715" s="111">
        <f t="shared" si="94"/>
        <v>0</v>
      </c>
      <c r="N715" s="111">
        <f t="shared" si="94"/>
        <v>0</v>
      </c>
      <c r="O715" s="111">
        <f t="shared" si="94"/>
        <v>0</v>
      </c>
      <c r="P715" s="111">
        <f t="shared" si="94"/>
        <v>0</v>
      </c>
      <c r="Q715" s="111">
        <f t="shared" si="94"/>
        <v>0</v>
      </c>
      <c r="R715" s="9"/>
      <c r="S715" s="12"/>
      <c r="T715" s="12"/>
      <c r="U715" s="12"/>
      <c r="V715" s="12"/>
      <c r="W715" s="12"/>
      <c r="X715" s="12"/>
      <c r="Y715" s="12"/>
      <c r="Z715" s="12"/>
      <c r="AA715" s="221"/>
      <c r="AB715" s="221"/>
      <c r="AC715" s="221"/>
      <c r="AD715" s="221"/>
      <c r="AE715" s="221"/>
      <c r="AF715" s="221"/>
      <c r="AG715" s="221"/>
      <c r="AH715" s="221"/>
      <c r="AI715" s="221"/>
      <c r="AJ715" s="221"/>
      <c r="AK715" s="221"/>
      <c r="AL715" s="221"/>
      <c r="AM715" s="221"/>
      <c r="AN715" s="221"/>
      <c r="AO715" s="221"/>
      <c r="AP715" s="221"/>
      <c r="AQ715" s="221"/>
      <c r="AR715" s="221"/>
      <c r="AS715" s="221"/>
      <c r="AT715" s="221"/>
      <c r="AU715" s="221"/>
      <c r="AV715" s="221"/>
      <c r="AW715" s="221"/>
      <c r="AX715" s="221"/>
      <c r="AY715" s="221"/>
      <c r="AZ715" s="221"/>
      <c r="BA715" s="221"/>
      <c r="BB715" s="221"/>
      <c r="BC715" s="221"/>
      <c r="BD715" s="12"/>
      <c r="BE715" s="12"/>
      <c r="BF715" s="12"/>
      <c r="BG715" s="12"/>
      <c r="BH715" s="12"/>
      <c r="BI715" s="12"/>
      <c r="BJ715" s="12"/>
      <c r="BK715" s="12"/>
      <c r="BL715" s="12"/>
    </row>
    <row r="716" spans="1:64" ht="12" hidden="1" customHeight="1" outlineLevel="1">
      <c r="A716" s="9"/>
      <c r="B716" s="9"/>
      <c r="C716" s="9"/>
      <c r="D716" s="270">
        <f>Asset21</f>
        <v>0</v>
      </c>
      <c r="E716" s="9"/>
      <c r="F716" s="9"/>
      <c r="G716" s="201">
        <f t="shared" si="88"/>
        <v>0</v>
      </c>
      <c r="H716" s="111">
        <f t="shared" ref="H716:Q716" si="95">H$348*H$7</f>
        <v>0</v>
      </c>
      <c r="I716" s="111">
        <f t="shared" si="95"/>
        <v>0</v>
      </c>
      <c r="J716" s="111">
        <f t="shared" si="95"/>
        <v>0</v>
      </c>
      <c r="K716" s="111">
        <f t="shared" si="95"/>
        <v>0</v>
      </c>
      <c r="L716" s="111">
        <f t="shared" si="95"/>
        <v>0</v>
      </c>
      <c r="M716" s="111">
        <f t="shared" si="95"/>
        <v>0</v>
      </c>
      <c r="N716" s="111">
        <f t="shared" si="95"/>
        <v>0</v>
      </c>
      <c r="O716" s="111">
        <f t="shared" si="95"/>
        <v>0</v>
      </c>
      <c r="P716" s="111">
        <f t="shared" si="95"/>
        <v>0</v>
      </c>
      <c r="Q716" s="111">
        <f t="shared" si="95"/>
        <v>0</v>
      </c>
      <c r="R716" s="9"/>
      <c r="S716" s="12"/>
      <c r="T716" s="12"/>
      <c r="U716" s="12"/>
      <c r="V716" s="12"/>
      <c r="W716" s="12"/>
      <c r="X716" s="12"/>
      <c r="Y716" s="12"/>
      <c r="Z716" s="12"/>
      <c r="AA716" s="221"/>
      <c r="AB716" s="221"/>
      <c r="AC716" s="221"/>
      <c r="AD716" s="221"/>
      <c r="AE716" s="221"/>
      <c r="AF716" s="221"/>
      <c r="AG716" s="221"/>
      <c r="AH716" s="221"/>
      <c r="AI716" s="221"/>
      <c r="AJ716" s="221"/>
      <c r="AK716" s="221"/>
      <c r="AL716" s="221"/>
      <c r="AM716" s="221"/>
      <c r="AN716" s="221"/>
      <c r="AO716" s="221"/>
      <c r="AP716" s="221"/>
      <c r="AQ716" s="221"/>
      <c r="AR716" s="221"/>
      <c r="AS716" s="221"/>
      <c r="AT716" s="221"/>
      <c r="AU716" s="221"/>
      <c r="AV716" s="221"/>
      <c r="AW716" s="221"/>
      <c r="AX716" s="221"/>
      <c r="AY716" s="221"/>
      <c r="AZ716" s="221"/>
      <c r="BA716" s="221"/>
      <c r="BB716" s="221"/>
      <c r="BC716" s="221"/>
      <c r="BD716" s="12"/>
      <c r="BE716" s="12"/>
      <c r="BF716" s="12"/>
      <c r="BG716" s="12"/>
      <c r="BH716" s="12"/>
      <c r="BI716" s="12"/>
      <c r="BJ716" s="12"/>
      <c r="BK716" s="12"/>
      <c r="BL716" s="12"/>
    </row>
    <row r="717" spans="1:64" ht="12" hidden="1" customHeight="1" outlineLevel="1">
      <c r="A717" s="9"/>
      <c r="B717" s="9"/>
      <c r="C717" s="9"/>
      <c r="D717" s="270">
        <f>Asset22</f>
        <v>0</v>
      </c>
      <c r="E717" s="9"/>
      <c r="F717" s="9"/>
      <c r="G717" s="201">
        <f t="shared" si="88"/>
        <v>0</v>
      </c>
      <c r="H717" s="111">
        <f>H$361*H$7</f>
        <v>0</v>
      </c>
      <c r="I717" s="111">
        <f t="shared" ref="I717:Q717" si="96">I$361*I$7</f>
        <v>0</v>
      </c>
      <c r="J717" s="111">
        <f t="shared" si="96"/>
        <v>0</v>
      </c>
      <c r="K717" s="111">
        <f t="shared" si="96"/>
        <v>0</v>
      </c>
      <c r="L717" s="111">
        <f t="shared" si="96"/>
        <v>0</v>
      </c>
      <c r="M717" s="111">
        <f t="shared" si="96"/>
        <v>0</v>
      </c>
      <c r="N717" s="111">
        <f t="shared" si="96"/>
        <v>0</v>
      </c>
      <c r="O717" s="111">
        <f t="shared" si="96"/>
        <v>0</v>
      </c>
      <c r="P717" s="111">
        <f t="shared" si="96"/>
        <v>0</v>
      </c>
      <c r="Q717" s="111">
        <f t="shared" si="96"/>
        <v>0</v>
      </c>
      <c r="R717" s="9"/>
      <c r="S717" s="12"/>
      <c r="T717" s="12"/>
      <c r="U717" s="12"/>
      <c r="V717" s="12"/>
      <c r="W717" s="12"/>
      <c r="X717" s="12"/>
      <c r="Y717" s="12"/>
      <c r="Z717" s="12"/>
      <c r="AA717" s="221"/>
      <c r="AB717" s="221"/>
      <c r="AC717" s="221"/>
      <c r="AD717" s="221"/>
      <c r="AE717" s="221"/>
      <c r="AF717" s="221"/>
      <c r="AG717" s="221"/>
      <c r="AH717" s="221"/>
      <c r="AI717" s="221"/>
      <c r="AJ717" s="221"/>
      <c r="AK717" s="221"/>
      <c r="AL717" s="221"/>
      <c r="AM717" s="221"/>
      <c r="AN717" s="221"/>
      <c r="AO717" s="221"/>
      <c r="AP717" s="221"/>
      <c r="AQ717" s="221"/>
      <c r="AR717" s="221"/>
      <c r="AS717" s="221"/>
      <c r="AT717" s="221"/>
      <c r="AU717" s="221"/>
      <c r="AV717" s="221"/>
      <c r="AW717" s="221"/>
      <c r="AX717" s="221"/>
      <c r="AY717" s="221"/>
      <c r="AZ717" s="221"/>
      <c r="BA717" s="221"/>
      <c r="BB717" s="221"/>
      <c r="BC717" s="221"/>
      <c r="BD717" s="12"/>
      <c r="BE717" s="12"/>
      <c r="BF717" s="12"/>
      <c r="BG717" s="12"/>
      <c r="BH717" s="12"/>
      <c r="BI717" s="12"/>
      <c r="BJ717" s="12"/>
      <c r="BK717" s="12"/>
      <c r="BL717" s="12"/>
    </row>
    <row r="718" spans="1:64" ht="12" hidden="1" customHeight="1" outlineLevel="1">
      <c r="A718" s="9"/>
      <c r="B718" s="9"/>
      <c r="C718" s="9"/>
      <c r="D718" s="270">
        <f>Asset23</f>
        <v>0</v>
      </c>
      <c r="E718" s="9"/>
      <c r="F718" s="9"/>
      <c r="G718" s="201">
        <f t="shared" si="88"/>
        <v>0</v>
      </c>
      <c r="H718" s="111">
        <f>H$374*H$7</f>
        <v>0</v>
      </c>
      <c r="I718" s="111">
        <f t="shared" ref="I718:P718" si="97">I$374*I$7</f>
        <v>0</v>
      </c>
      <c r="J718" s="111">
        <f t="shared" si="97"/>
        <v>0</v>
      </c>
      <c r="K718" s="111">
        <f t="shared" si="97"/>
        <v>0</v>
      </c>
      <c r="L718" s="111">
        <f t="shared" si="97"/>
        <v>0</v>
      </c>
      <c r="M718" s="111">
        <f t="shared" si="97"/>
        <v>0</v>
      </c>
      <c r="N718" s="111">
        <f t="shared" si="97"/>
        <v>0</v>
      </c>
      <c r="O718" s="111">
        <f t="shared" si="97"/>
        <v>0</v>
      </c>
      <c r="P718" s="111">
        <f t="shared" si="97"/>
        <v>0</v>
      </c>
      <c r="Q718" s="111">
        <f>Q$374*Q$7</f>
        <v>0</v>
      </c>
      <c r="R718" s="9"/>
      <c r="S718" s="12"/>
      <c r="T718" s="12"/>
      <c r="U718" s="12"/>
      <c r="V718" s="12"/>
      <c r="W718" s="12"/>
      <c r="X718" s="12"/>
      <c r="Y718" s="12"/>
      <c r="Z718" s="12"/>
      <c r="AA718" s="221"/>
      <c r="AB718" s="221"/>
      <c r="AC718" s="221"/>
      <c r="AD718" s="221"/>
      <c r="AE718" s="221"/>
      <c r="AF718" s="221"/>
      <c r="AG718" s="221"/>
      <c r="AH718" s="221"/>
      <c r="AI718" s="221"/>
      <c r="AJ718" s="221"/>
      <c r="AK718" s="221"/>
      <c r="AL718" s="221"/>
      <c r="AM718" s="221"/>
      <c r="AN718" s="221"/>
      <c r="AO718" s="221"/>
      <c r="AP718" s="221"/>
      <c r="AQ718" s="221"/>
      <c r="AR718" s="221"/>
      <c r="AS718" s="221"/>
      <c r="AT718" s="221"/>
      <c r="AU718" s="221"/>
      <c r="AV718" s="221"/>
      <c r="AW718" s="221"/>
      <c r="AX718" s="221"/>
      <c r="AY718" s="221"/>
      <c r="AZ718" s="221"/>
      <c r="BA718" s="221"/>
      <c r="BB718" s="221"/>
      <c r="BC718" s="221"/>
      <c r="BD718" s="12"/>
      <c r="BE718" s="12"/>
      <c r="BF718" s="12"/>
      <c r="BG718" s="12"/>
      <c r="BH718" s="12"/>
      <c r="BI718" s="12"/>
      <c r="BJ718" s="12"/>
      <c r="BK718" s="12"/>
      <c r="BL718" s="12"/>
    </row>
    <row r="719" spans="1:64" ht="12" hidden="1" customHeight="1" outlineLevel="1">
      <c r="A719" s="9"/>
      <c r="B719" s="9"/>
      <c r="C719" s="9"/>
      <c r="D719" s="270">
        <f>Asset24</f>
        <v>0</v>
      </c>
      <c r="E719" s="9"/>
      <c r="F719" s="9"/>
      <c r="G719" s="201">
        <f t="shared" si="88"/>
        <v>0</v>
      </c>
      <c r="H719" s="111">
        <f>H$387*H$7</f>
        <v>0</v>
      </c>
      <c r="I719" s="111">
        <f t="shared" ref="I719:P719" si="98">I$387*I$7</f>
        <v>0</v>
      </c>
      <c r="J719" s="111">
        <f t="shared" si="98"/>
        <v>0</v>
      </c>
      <c r="K719" s="111">
        <f t="shared" si="98"/>
        <v>0</v>
      </c>
      <c r="L719" s="111">
        <f t="shared" si="98"/>
        <v>0</v>
      </c>
      <c r="M719" s="111">
        <f t="shared" si="98"/>
        <v>0</v>
      </c>
      <c r="N719" s="111">
        <f t="shared" si="98"/>
        <v>0</v>
      </c>
      <c r="O719" s="111">
        <f t="shared" si="98"/>
        <v>0</v>
      </c>
      <c r="P719" s="111">
        <f t="shared" si="98"/>
        <v>0</v>
      </c>
      <c r="Q719" s="111">
        <f>Q$387*Q$7</f>
        <v>0</v>
      </c>
      <c r="R719" s="9"/>
      <c r="S719" s="12"/>
      <c r="T719" s="12"/>
      <c r="U719" s="12"/>
      <c r="V719" s="12"/>
      <c r="W719" s="12"/>
      <c r="X719" s="12"/>
      <c r="Y719" s="12"/>
      <c r="Z719" s="12"/>
      <c r="AA719" s="221"/>
      <c r="AB719" s="221"/>
      <c r="AC719" s="221"/>
      <c r="AD719" s="221"/>
      <c r="AE719" s="221"/>
      <c r="AF719" s="221"/>
      <c r="AG719" s="221"/>
      <c r="AH719" s="221"/>
      <c r="AI719" s="221"/>
      <c r="AJ719" s="221"/>
      <c r="AK719" s="221"/>
      <c r="AL719" s="221"/>
      <c r="AM719" s="221"/>
      <c r="AN719" s="221"/>
      <c r="AO719" s="221"/>
      <c r="AP719" s="221"/>
      <c r="AQ719" s="221"/>
      <c r="AR719" s="221"/>
      <c r="AS719" s="221"/>
      <c r="AT719" s="221"/>
      <c r="AU719" s="221"/>
      <c r="AV719" s="221"/>
      <c r="AW719" s="221"/>
      <c r="AX719" s="221"/>
      <c r="AY719" s="221"/>
      <c r="AZ719" s="221"/>
      <c r="BA719" s="221"/>
      <c r="BB719" s="221"/>
      <c r="BC719" s="221"/>
      <c r="BD719" s="12"/>
      <c r="BE719" s="12"/>
      <c r="BF719" s="12"/>
      <c r="BG719" s="12"/>
      <c r="BH719" s="12"/>
      <c r="BI719" s="12"/>
      <c r="BJ719" s="12"/>
      <c r="BK719" s="12"/>
      <c r="BL719" s="12"/>
    </row>
    <row r="720" spans="1:64" ht="12" hidden="1" customHeight="1" outlineLevel="1">
      <c r="A720" s="9"/>
      <c r="B720" s="9"/>
      <c r="C720" s="9"/>
      <c r="D720" s="270">
        <f>Asset25</f>
        <v>0</v>
      </c>
      <c r="E720" s="9"/>
      <c r="F720" s="9"/>
      <c r="G720" s="201">
        <f t="shared" si="88"/>
        <v>0</v>
      </c>
      <c r="H720" s="111">
        <f>H$400*H$7</f>
        <v>0</v>
      </c>
      <c r="I720" s="111">
        <f t="shared" ref="I720:P720" si="99">I$400*I$7</f>
        <v>0</v>
      </c>
      <c r="J720" s="111">
        <f t="shared" si="99"/>
        <v>0</v>
      </c>
      <c r="K720" s="111">
        <f t="shared" si="99"/>
        <v>0</v>
      </c>
      <c r="L720" s="111">
        <f t="shared" si="99"/>
        <v>0</v>
      </c>
      <c r="M720" s="111">
        <f t="shared" si="99"/>
        <v>0</v>
      </c>
      <c r="N720" s="111">
        <f t="shared" si="99"/>
        <v>0</v>
      </c>
      <c r="O720" s="111">
        <f t="shared" si="99"/>
        <v>0</v>
      </c>
      <c r="P720" s="111">
        <f t="shared" si="99"/>
        <v>0</v>
      </c>
      <c r="Q720" s="111">
        <f>Q$400*Q$7</f>
        <v>0</v>
      </c>
      <c r="R720" s="9"/>
      <c r="S720" s="12"/>
      <c r="T720" s="12"/>
      <c r="U720" s="12"/>
      <c r="V720" s="12"/>
      <c r="W720" s="12"/>
      <c r="X720" s="12"/>
      <c r="Y720" s="12"/>
      <c r="Z720" s="12"/>
      <c r="AA720" s="221"/>
      <c r="AB720" s="221"/>
      <c r="AC720" s="221"/>
      <c r="AD720" s="221"/>
      <c r="AE720" s="221"/>
      <c r="AF720" s="221"/>
      <c r="AG720" s="221"/>
      <c r="AH720" s="221"/>
      <c r="AI720" s="221"/>
      <c r="AJ720" s="221"/>
      <c r="AK720" s="221"/>
      <c r="AL720" s="221"/>
      <c r="AM720" s="221"/>
      <c r="AN720" s="221"/>
      <c r="AO720" s="221"/>
      <c r="AP720" s="221"/>
      <c r="AQ720" s="221"/>
      <c r="AR720" s="221"/>
      <c r="AS720" s="221"/>
      <c r="AT720" s="221"/>
      <c r="AU720" s="221"/>
      <c r="AV720" s="221"/>
      <c r="AW720" s="221"/>
      <c r="AX720" s="221"/>
      <c r="AY720" s="221"/>
      <c r="AZ720" s="221"/>
      <c r="BA720" s="221"/>
      <c r="BB720" s="221"/>
      <c r="BC720" s="221"/>
      <c r="BD720" s="12"/>
      <c r="BE720" s="12"/>
      <c r="BF720" s="12"/>
      <c r="BG720" s="12"/>
      <c r="BH720" s="12"/>
      <c r="BI720" s="12"/>
      <c r="BJ720" s="12"/>
      <c r="BK720" s="12"/>
      <c r="BL720" s="12"/>
    </row>
    <row r="721" spans="1:64" ht="12" hidden="1" customHeight="1" outlineLevel="1">
      <c r="A721" s="9"/>
      <c r="B721" s="9"/>
      <c r="C721" s="9"/>
      <c r="D721" s="270">
        <f>Asset26</f>
        <v>0</v>
      </c>
      <c r="E721" s="9"/>
      <c r="F721" s="9"/>
      <c r="G721" s="201">
        <f t="shared" si="88"/>
        <v>0</v>
      </c>
      <c r="H721" s="111">
        <f>H$413*H$7</f>
        <v>0</v>
      </c>
      <c r="I721" s="111">
        <f t="shared" ref="I721:Q721" si="100">I$413*I$7</f>
        <v>0</v>
      </c>
      <c r="J721" s="111">
        <f t="shared" si="100"/>
        <v>0</v>
      </c>
      <c r="K721" s="111">
        <f t="shared" si="100"/>
        <v>0</v>
      </c>
      <c r="L721" s="111">
        <f t="shared" si="100"/>
        <v>0</v>
      </c>
      <c r="M721" s="111">
        <f t="shared" si="100"/>
        <v>0</v>
      </c>
      <c r="N721" s="111">
        <f t="shared" si="100"/>
        <v>0</v>
      </c>
      <c r="O721" s="111">
        <f t="shared" si="100"/>
        <v>0</v>
      </c>
      <c r="P721" s="111">
        <f t="shared" si="100"/>
        <v>0</v>
      </c>
      <c r="Q721" s="111">
        <f t="shared" si="100"/>
        <v>0</v>
      </c>
      <c r="R721" s="9"/>
      <c r="S721" s="12"/>
      <c r="T721" s="12"/>
      <c r="U721" s="12"/>
      <c r="V721" s="12"/>
      <c r="W721" s="12"/>
      <c r="X721" s="12"/>
      <c r="Y721" s="12"/>
      <c r="Z721" s="12"/>
      <c r="AA721" s="221"/>
      <c r="AB721" s="221"/>
      <c r="AC721" s="221"/>
      <c r="AD721" s="221"/>
      <c r="AE721" s="221"/>
      <c r="AF721" s="221"/>
      <c r="AG721" s="221"/>
      <c r="AH721" s="221"/>
      <c r="AI721" s="221"/>
      <c r="AJ721" s="221"/>
      <c r="AK721" s="221"/>
      <c r="AL721" s="221"/>
      <c r="AM721" s="221"/>
      <c r="AN721" s="221"/>
      <c r="AO721" s="221"/>
      <c r="AP721" s="221"/>
      <c r="AQ721" s="221"/>
      <c r="AR721" s="221"/>
      <c r="AS721" s="221"/>
      <c r="AT721" s="221"/>
      <c r="AU721" s="221"/>
      <c r="AV721" s="221"/>
      <c r="AW721" s="221"/>
      <c r="AX721" s="221"/>
      <c r="AY721" s="221"/>
      <c r="AZ721" s="221"/>
      <c r="BA721" s="221"/>
      <c r="BB721" s="221"/>
      <c r="BC721" s="221"/>
      <c r="BD721" s="12"/>
      <c r="BE721" s="12"/>
      <c r="BF721" s="12"/>
      <c r="BG721" s="12"/>
      <c r="BH721" s="12"/>
      <c r="BI721" s="12"/>
      <c r="BJ721" s="12"/>
      <c r="BK721" s="12"/>
      <c r="BL721" s="12"/>
    </row>
    <row r="722" spans="1:64" ht="12" hidden="1" customHeight="1" outlineLevel="1">
      <c r="A722" s="9"/>
      <c r="B722" s="9"/>
      <c r="C722" s="9"/>
      <c r="D722" s="270">
        <f>Asset27</f>
        <v>0</v>
      </c>
      <c r="E722" s="9"/>
      <c r="F722" s="9"/>
      <c r="G722" s="201">
        <f t="shared" si="88"/>
        <v>0</v>
      </c>
      <c r="H722" s="111">
        <f>H$426*H$7</f>
        <v>0</v>
      </c>
      <c r="I722" s="111">
        <f t="shared" ref="I722:Q722" si="101">I$426*I$7</f>
        <v>0</v>
      </c>
      <c r="J722" s="111">
        <f t="shared" si="101"/>
        <v>0</v>
      </c>
      <c r="K722" s="111">
        <f t="shared" si="101"/>
        <v>0</v>
      </c>
      <c r="L722" s="111">
        <f t="shared" si="101"/>
        <v>0</v>
      </c>
      <c r="M722" s="111">
        <f t="shared" si="101"/>
        <v>0</v>
      </c>
      <c r="N722" s="111">
        <f t="shared" si="101"/>
        <v>0</v>
      </c>
      <c r="O722" s="111">
        <f t="shared" si="101"/>
        <v>0</v>
      </c>
      <c r="P722" s="111">
        <f t="shared" si="101"/>
        <v>0</v>
      </c>
      <c r="Q722" s="111">
        <f t="shared" si="101"/>
        <v>0</v>
      </c>
      <c r="R722" s="9"/>
      <c r="S722" s="12"/>
      <c r="T722" s="12"/>
      <c r="U722" s="12"/>
      <c r="V722" s="12"/>
      <c r="W722" s="12"/>
      <c r="X722" s="12"/>
      <c r="Y722" s="12"/>
      <c r="Z722" s="12"/>
      <c r="AA722" s="221"/>
      <c r="AB722" s="221"/>
      <c r="AC722" s="221"/>
      <c r="AD722" s="221"/>
      <c r="AE722" s="221"/>
      <c r="AF722" s="221"/>
      <c r="AG722" s="221"/>
      <c r="AH722" s="221"/>
      <c r="AI722" s="221"/>
      <c r="AJ722" s="221"/>
      <c r="AK722" s="221"/>
      <c r="AL722" s="221"/>
      <c r="AM722" s="221"/>
      <c r="AN722" s="221"/>
      <c r="AO722" s="221"/>
      <c r="AP722" s="221"/>
      <c r="AQ722" s="221"/>
      <c r="AR722" s="221"/>
      <c r="AS722" s="221"/>
      <c r="AT722" s="221"/>
      <c r="AU722" s="221"/>
      <c r="AV722" s="221"/>
      <c r="AW722" s="221"/>
      <c r="AX722" s="221"/>
      <c r="AY722" s="221"/>
      <c r="AZ722" s="221"/>
      <c r="BA722" s="221"/>
      <c r="BB722" s="221"/>
      <c r="BC722" s="221"/>
      <c r="BD722" s="12"/>
      <c r="BE722" s="12"/>
      <c r="BF722" s="12"/>
      <c r="BG722" s="12"/>
      <c r="BH722" s="12"/>
      <c r="BI722" s="12"/>
      <c r="BJ722" s="12"/>
      <c r="BK722" s="12"/>
      <c r="BL722" s="12"/>
    </row>
    <row r="723" spans="1:64" ht="12" hidden="1" customHeight="1" outlineLevel="1">
      <c r="A723" s="9"/>
      <c r="B723" s="9"/>
      <c r="C723" s="9"/>
      <c r="D723" s="270">
        <f>Asset28</f>
        <v>0</v>
      </c>
      <c r="E723" s="9"/>
      <c r="F723" s="9"/>
      <c r="G723" s="201">
        <f t="shared" si="88"/>
        <v>0</v>
      </c>
      <c r="H723" s="111">
        <f>H$439*H$7</f>
        <v>0</v>
      </c>
      <c r="I723" s="111">
        <f t="shared" ref="I723:Q723" si="102">I$439*I$7</f>
        <v>0</v>
      </c>
      <c r="J723" s="111">
        <f t="shared" si="102"/>
        <v>0</v>
      </c>
      <c r="K723" s="111">
        <f t="shared" si="102"/>
        <v>0</v>
      </c>
      <c r="L723" s="111">
        <f t="shared" si="102"/>
        <v>0</v>
      </c>
      <c r="M723" s="111">
        <f t="shared" si="102"/>
        <v>0</v>
      </c>
      <c r="N723" s="111">
        <f t="shared" si="102"/>
        <v>0</v>
      </c>
      <c r="O723" s="111">
        <f t="shared" si="102"/>
        <v>0</v>
      </c>
      <c r="P723" s="111">
        <f t="shared" si="102"/>
        <v>0</v>
      </c>
      <c r="Q723" s="111">
        <f t="shared" si="102"/>
        <v>0</v>
      </c>
      <c r="R723" s="9"/>
      <c r="S723" s="12"/>
      <c r="T723" s="12"/>
      <c r="U723" s="12"/>
      <c r="V723" s="12"/>
      <c r="W723" s="12"/>
      <c r="X723" s="12"/>
      <c r="Y723" s="12"/>
      <c r="Z723" s="12"/>
      <c r="AA723" s="221"/>
      <c r="AB723" s="221"/>
      <c r="AC723" s="221"/>
      <c r="AD723" s="221"/>
      <c r="AE723" s="221"/>
      <c r="AF723" s="221"/>
      <c r="AG723" s="221"/>
      <c r="AH723" s="221"/>
      <c r="AI723" s="221"/>
      <c r="AJ723" s="221"/>
      <c r="AK723" s="221"/>
      <c r="AL723" s="221"/>
      <c r="AM723" s="221"/>
      <c r="AN723" s="221"/>
      <c r="AO723" s="221"/>
      <c r="AP723" s="221"/>
      <c r="AQ723" s="221"/>
      <c r="AR723" s="221"/>
      <c r="AS723" s="221"/>
      <c r="AT723" s="221"/>
      <c r="AU723" s="221"/>
      <c r="AV723" s="221"/>
      <c r="AW723" s="221"/>
      <c r="AX723" s="221"/>
      <c r="AY723" s="221"/>
      <c r="AZ723" s="221"/>
      <c r="BA723" s="221"/>
      <c r="BB723" s="221"/>
      <c r="BC723" s="221"/>
      <c r="BD723" s="12"/>
      <c r="BE723" s="12"/>
      <c r="BF723" s="12"/>
      <c r="BG723" s="12"/>
      <c r="BH723" s="12"/>
      <c r="BI723" s="12"/>
      <c r="BJ723" s="12"/>
      <c r="BK723" s="12"/>
      <c r="BL723" s="12"/>
    </row>
    <row r="724" spans="1:64" ht="12" hidden="1" customHeight="1" outlineLevel="1">
      <c r="A724" s="9"/>
      <c r="B724" s="9"/>
      <c r="C724" s="9"/>
      <c r="D724" s="270">
        <f>Asset29</f>
        <v>0</v>
      </c>
      <c r="E724" s="9"/>
      <c r="F724" s="9"/>
      <c r="G724" s="201">
        <f t="shared" si="88"/>
        <v>0</v>
      </c>
      <c r="H724" s="111">
        <f>H$452*H$7</f>
        <v>0</v>
      </c>
      <c r="I724" s="111">
        <f t="shared" ref="I724:Q724" si="103">I$452*I$7</f>
        <v>0</v>
      </c>
      <c r="J724" s="111">
        <f t="shared" si="103"/>
        <v>0</v>
      </c>
      <c r="K724" s="111">
        <f t="shared" si="103"/>
        <v>0</v>
      </c>
      <c r="L724" s="111">
        <f t="shared" si="103"/>
        <v>0</v>
      </c>
      <c r="M724" s="111">
        <f t="shared" si="103"/>
        <v>0</v>
      </c>
      <c r="N724" s="111">
        <f t="shared" si="103"/>
        <v>0</v>
      </c>
      <c r="O724" s="111">
        <f t="shared" si="103"/>
        <v>0</v>
      </c>
      <c r="P724" s="111">
        <f t="shared" si="103"/>
        <v>0</v>
      </c>
      <c r="Q724" s="111">
        <f t="shared" si="103"/>
        <v>0</v>
      </c>
      <c r="R724" s="9"/>
      <c r="S724" s="12"/>
      <c r="T724" s="12"/>
      <c r="U724" s="12"/>
      <c r="V724" s="12"/>
      <c r="W724" s="12"/>
      <c r="X724" s="12"/>
      <c r="Y724" s="12"/>
      <c r="Z724" s="12"/>
      <c r="AA724" s="221"/>
      <c r="AB724" s="221"/>
      <c r="AC724" s="221"/>
      <c r="AD724" s="221"/>
      <c r="AE724" s="221"/>
      <c r="AF724" s="221"/>
      <c r="AG724" s="221"/>
      <c r="AH724" s="221"/>
      <c r="AI724" s="221"/>
      <c r="AJ724" s="221"/>
      <c r="AK724" s="221"/>
      <c r="AL724" s="221"/>
      <c r="AM724" s="221"/>
      <c r="AN724" s="221"/>
      <c r="AO724" s="221"/>
      <c r="AP724" s="221"/>
      <c r="AQ724" s="221"/>
      <c r="AR724" s="221"/>
      <c r="AS724" s="221"/>
      <c r="AT724" s="221"/>
      <c r="AU724" s="221"/>
      <c r="AV724" s="221"/>
      <c r="AW724" s="221"/>
      <c r="AX724" s="221"/>
      <c r="AY724" s="221"/>
      <c r="AZ724" s="221"/>
      <c r="BA724" s="221"/>
      <c r="BB724" s="221"/>
      <c r="BC724" s="221"/>
      <c r="BD724" s="12"/>
      <c r="BE724" s="12"/>
      <c r="BF724" s="12"/>
      <c r="BG724" s="12"/>
      <c r="BH724" s="12"/>
      <c r="BI724" s="12"/>
      <c r="BJ724" s="12"/>
      <c r="BK724" s="12"/>
      <c r="BL724" s="12"/>
    </row>
    <row r="725" spans="1:64" ht="12" hidden="1" customHeight="1" outlineLevel="1">
      <c r="A725" s="9"/>
      <c r="B725" s="9"/>
      <c r="C725" s="9"/>
      <c r="D725" s="270">
        <f>Asset30</f>
        <v>0</v>
      </c>
      <c r="E725" s="9"/>
      <c r="F725" s="9"/>
      <c r="G725" s="201">
        <f t="shared" si="88"/>
        <v>0</v>
      </c>
      <c r="H725" s="111">
        <f>H$465*H$7</f>
        <v>0</v>
      </c>
      <c r="I725" s="111">
        <f t="shared" ref="I725:P725" si="104">I$465*I$7</f>
        <v>0</v>
      </c>
      <c r="J725" s="111">
        <f t="shared" si="104"/>
        <v>0</v>
      </c>
      <c r="K725" s="111">
        <f t="shared" si="104"/>
        <v>0</v>
      </c>
      <c r="L725" s="111">
        <f t="shared" si="104"/>
        <v>0</v>
      </c>
      <c r="M725" s="111">
        <f t="shared" si="104"/>
        <v>0</v>
      </c>
      <c r="N725" s="111">
        <f t="shared" si="104"/>
        <v>0</v>
      </c>
      <c r="O725" s="111">
        <f t="shared" si="104"/>
        <v>0</v>
      </c>
      <c r="P725" s="111">
        <f t="shared" si="104"/>
        <v>0</v>
      </c>
      <c r="Q725" s="111">
        <f>Q$465*Q$7</f>
        <v>0</v>
      </c>
      <c r="R725" s="9"/>
      <c r="S725" s="12"/>
      <c r="T725" s="12"/>
      <c r="U725" s="12"/>
      <c r="V725" s="12"/>
      <c r="W725" s="12"/>
      <c r="X725" s="12"/>
      <c r="Y725" s="12"/>
      <c r="Z725" s="12"/>
      <c r="AA725" s="221"/>
      <c r="AB725" s="221"/>
      <c r="AC725" s="221"/>
      <c r="AD725" s="221"/>
      <c r="AE725" s="221"/>
      <c r="AF725" s="221"/>
      <c r="AG725" s="221"/>
      <c r="AH725" s="221"/>
      <c r="AI725" s="221"/>
      <c r="AJ725" s="221"/>
      <c r="AK725" s="221"/>
      <c r="AL725" s="221"/>
      <c r="AM725" s="221"/>
      <c r="AN725" s="221"/>
      <c r="AO725" s="221"/>
      <c r="AP725" s="221"/>
      <c r="AQ725" s="221"/>
      <c r="AR725" s="221"/>
      <c r="AS725" s="221"/>
      <c r="AT725" s="221"/>
      <c r="AU725" s="221"/>
      <c r="AV725" s="221"/>
      <c r="AW725" s="221"/>
      <c r="AX725" s="221"/>
      <c r="AY725" s="221"/>
      <c r="AZ725" s="221"/>
      <c r="BA725" s="221"/>
      <c r="BB725" s="221"/>
      <c r="BC725" s="221"/>
      <c r="BD725" s="12"/>
      <c r="BE725" s="12"/>
      <c r="BF725" s="12"/>
      <c r="BG725" s="12"/>
      <c r="BH725" s="12"/>
      <c r="BI725" s="12"/>
      <c r="BJ725" s="12"/>
      <c r="BK725" s="12"/>
      <c r="BL725" s="12"/>
    </row>
    <row r="726" spans="1:64" ht="12" customHeight="1" collapsed="1">
      <c r="A726" s="9"/>
      <c r="B726" s="9"/>
      <c r="C726" s="9"/>
      <c r="D726" s="9"/>
      <c r="E726" s="9"/>
      <c r="F726" s="9"/>
      <c r="G726" s="209"/>
      <c r="H726" s="9"/>
      <c r="I726" s="9"/>
      <c r="J726" s="9"/>
      <c r="K726" s="9"/>
      <c r="L726" s="9"/>
      <c r="M726" s="9"/>
      <c r="N726" s="9"/>
      <c r="O726" s="9"/>
      <c r="P726" s="9"/>
      <c r="Q726" s="9"/>
      <c r="R726" s="9"/>
      <c r="S726" s="12"/>
      <c r="T726" s="12"/>
      <c r="U726" s="12"/>
      <c r="V726" s="12"/>
      <c r="W726" s="12"/>
      <c r="X726" s="12"/>
      <c r="Y726" s="12"/>
      <c r="Z726" s="12"/>
      <c r="AA726" s="221"/>
      <c r="AB726" s="221"/>
      <c r="AC726" s="221"/>
      <c r="AD726" s="221"/>
      <c r="AE726" s="221"/>
      <c r="AF726" s="221"/>
      <c r="AG726" s="221"/>
      <c r="AH726" s="221"/>
      <c r="AI726" s="221"/>
      <c r="AJ726" s="221"/>
      <c r="AK726" s="221"/>
      <c r="AL726" s="221"/>
      <c r="AM726" s="221"/>
      <c r="AN726" s="221"/>
      <c r="AO726" s="221"/>
      <c r="AP726" s="221"/>
      <c r="AQ726" s="221"/>
      <c r="AR726" s="221"/>
      <c r="AS726" s="221"/>
      <c r="AT726" s="221"/>
      <c r="AU726" s="221"/>
      <c r="AV726" s="221"/>
      <c r="AW726" s="221"/>
      <c r="AX726" s="221"/>
      <c r="AY726" s="221"/>
      <c r="AZ726" s="221"/>
      <c r="BA726" s="221"/>
      <c r="BB726" s="221"/>
      <c r="BC726" s="221"/>
      <c r="BD726" s="12"/>
      <c r="BE726" s="12"/>
      <c r="BF726" s="12"/>
      <c r="BG726" s="12"/>
      <c r="BH726" s="12"/>
      <c r="BI726" s="12"/>
      <c r="BJ726" s="12"/>
      <c r="BK726" s="12"/>
      <c r="BL726" s="12"/>
    </row>
    <row r="727" spans="1:64" ht="12" customHeight="1">
      <c r="A727" s="9"/>
      <c r="B727" s="12"/>
      <c r="C727" s="90" t="s">
        <v>43</v>
      </c>
      <c r="D727" s="12"/>
      <c r="E727" s="12"/>
      <c r="F727" s="12"/>
      <c r="G727" s="205">
        <f>SUM(G728:G757)</f>
        <v>57.869245478405666</v>
      </c>
      <c r="H727" s="118">
        <f>SUM(H728:H757)</f>
        <v>80.75011371548598</v>
      </c>
      <c r="I727" s="118">
        <f t="shared" ref="I727:P727" si="105">SUM(I728:I757)</f>
        <v>47.664318051459567</v>
      </c>
      <c r="J727" s="118">
        <f t="shared" si="105"/>
        <v>61.349403698887649</v>
      </c>
      <c r="K727" s="118">
        <f t="shared" si="105"/>
        <v>73.455546049992094</v>
      </c>
      <c r="L727" s="118">
        <f t="shared" si="105"/>
        <v>54.095246792121777</v>
      </c>
      <c r="M727" s="118">
        <f t="shared" si="105"/>
        <v>63.808797075963845</v>
      </c>
      <c r="N727" s="118">
        <f t="shared" si="105"/>
        <v>0</v>
      </c>
      <c r="O727" s="118">
        <f t="shared" si="105"/>
        <v>0</v>
      </c>
      <c r="P727" s="118">
        <f t="shared" si="105"/>
        <v>0</v>
      </c>
      <c r="Q727" s="118">
        <f>SUM(Q728:Q757)</f>
        <v>0</v>
      </c>
      <c r="R727" s="9"/>
      <c r="S727" s="12"/>
      <c r="T727" s="12"/>
      <c r="U727" s="12"/>
      <c r="V727" s="12"/>
      <c r="W727" s="12"/>
      <c r="X727" s="12"/>
      <c r="Y727" s="12"/>
      <c r="Z727" s="12"/>
      <c r="AA727" s="221"/>
      <c r="AB727" s="221"/>
      <c r="AC727" s="221"/>
      <c r="AD727" s="221"/>
      <c r="AE727" s="221"/>
      <c r="AF727" s="221"/>
      <c r="AG727" s="221"/>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12"/>
      <c r="BE727" s="12"/>
      <c r="BF727" s="12"/>
      <c r="BG727" s="12"/>
      <c r="BH727" s="12"/>
      <c r="BI727" s="12"/>
      <c r="BJ727" s="12"/>
      <c r="BK727" s="12"/>
      <c r="BL727" s="12"/>
    </row>
    <row r="728" spans="1:64" ht="12" hidden="1" customHeight="1" outlineLevel="1">
      <c r="A728" s="9"/>
      <c r="B728" s="9"/>
      <c r="C728" s="9"/>
      <c r="D728" s="270" t="str">
        <f>Asset1</f>
        <v>Secondary</v>
      </c>
      <c r="E728" s="9"/>
      <c r="F728" s="9"/>
      <c r="G728" s="201">
        <f t="shared" ref="G728:L737" si="106">G470*G$6</f>
        <v>3.9055836749609361</v>
      </c>
      <c r="H728" s="111">
        <f t="shared" si="106"/>
        <v>5.4945751811021699</v>
      </c>
      <c r="I728" s="111">
        <f t="shared" si="106"/>
        <v>3.1224314689306412</v>
      </c>
      <c r="J728" s="111">
        <f t="shared" si="106"/>
        <v>3.7321111713876731</v>
      </c>
      <c r="K728" s="111">
        <f t="shared" si="106"/>
        <v>4.2749510707828682</v>
      </c>
      <c r="L728" s="111">
        <f t="shared" si="106"/>
        <v>3.0857700926128171</v>
      </c>
      <c r="M728" s="111">
        <f t="shared" ref="M728" si="107">M470*M$6</f>
        <v>3.9503695345258354</v>
      </c>
      <c r="N728" s="111">
        <f>IF(COUNT($H728:M728)&gt;=Input!$Y$7,0,N470*N$6)</f>
        <v>0</v>
      </c>
      <c r="O728" s="111">
        <f>IF(COUNT($H728:N728)&gt;=Input!$Y$7,0,O470*O$6)</f>
        <v>0</v>
      </c>
      <c r="P728" s="111">
        <f>IF(COUNT($H728:O728)&gt;=Input!$Y$7,0,P470*P$6)</f>
        <v>0</v>
      </c>
      <c r="Q728" s="111">
        <f>IF(COUNT($H728:P728)&gt;=Input!$Y$7,0,Q470*Q$6)</f>
        <v>0</v>
      </c>
      <c r="R728" s="9"/>
      <c r="S728" s="12"/>
      <c r="T728" s="12"/>
      <c r="U728" s="12"/>
      <c r="V728" s="12"/>
      <c r="W728" s="12"/>
      <c r="X728" s="12"/>
      <c r="Y728" s="12"/>
      <c r="Z728" s="12"/>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12"/>
      <c r="BE728" s="12"/>
      <c r="BF728" s="12"/>
      <c r="BG728" s="12"/>
      <c r="BH728" s="12"/>
      <c r="BI728" s="12"/>
      <c r="BJ728" s="12"/>
      <c r="BK728" s="12"/>
      <c r="BL728" s="12"/>
    </row>
    <row r="729" spans="1:64" hidden="1" outlineLevel="1">
      <c r="A729" s="9"/>
      <c r="B729" s="9"/>
      <c r="C729" s="9"/>
      <c r="D729" s="270" t="str">
        <f>Asset2</f>
        <v>Switchgear</v>
      </c>
      <c r="E729" s="9"/>
      <c r="F729" s="9"/>
      <c r="G729" s="201">
        <f t="shared" si="106"/>
        <v>7.3633273680930067</v>
      </c>
      <c r="H729" s="111">
        <f t="shared" si="106"/>
        <v>13.073780978411753</v>
      </c>
      <c r="I729" s="111">
        <f t="shared" si="106"/>
        <v>8.0093589481822072</v>
      </c>
      <c r="J729" s="111">
        <f t="shared" si="106"/>
        <v>10.863645976995823</v>
      </c>
      <c r="K729" s="111">
        <f t="shared" si="106"/>
        <v>13.397080663933469</v>
      </c>
      <c r="L729" s="111">
        <f t="shared" si="106"/>
        <v>9.979567888395362</v>
      </c>
      <c r="M729" s="111">
        <f t="shared" ref="M729" si="108">M471*M$6</f>
        <v>12.028965581775996</v>
      </c>
      <c r="N729" s="111">
        <f>IF(COUNT($H729:M729)&gt;=Input!$Y$7,0,N471*N$6)</f>
        <v>0</v>
      </c>
      <c r="O729" s="111">
        <f>IF(COUNT($H729:N729)&gt;=Input!$Y$7,0,O471*O$6)</f>
        <v>0</v>
      </c>
      <c r="P729" s="111">
        <f>IF(COUNT($H729:O729)&gt;=Input!$Y$7,0,P471*P$6)</f>
        <v>0</v>
      </c>
      <c r="Q729" s="111">
        <f>IF(COUNT($H729:P729)&gt;=Input!$Y$7,0,Q471*Q$6)</f>
        <v>0</v>
      </c>
      <c r="R729" s="29"/>
      <c r="S729" s="100"/>
      <c r="T729" s="100"/>
      <c r="U729" s="100"/>
      <c r="V729" s="100"/>
      <c r="W729" s="100"/>
      <c r="X729" s="100"/>
      <c r="Y729" s="100"/>
      <c r="Z729" s="100"/>
      <c r="AA729" s="228"/>
      <c r="AB729" s="228"/>
      <c r="AC729" s="228"/>
      <c r="AD729" s="228"/>
      <c r="AE729" s="228"/>
      <c r="AF729" s="228"/>
      <c r="AG729" s="228"/>
      <c r="AH729" s="228"/>
      <c r="AI729" s="228"/>
      <c r="AJ729" s="228"/>
      <c r="AK729" s="228"/>
      <c r="AL729" s="228"/>
      <c r="AM729" s="228"/>
      <c r="AN729" s="228"/>
      <c r="AO729" s="228"/>
      <c r="AP729" s="228"/>
      <c r="AQ729" s="228"/>
      <c r="AR729" s="228"/>
      <c r="AS729" s="228"/>
      <c r="AT729" s="228"/>
      <c r="AU729" s="228"/>
      <c r="AV729" s="228"/>
      <c r="AW729" s="228"/>
      <c r="AX729" s="228"/>
      <c r="AY729" s="228"/>
      <c r="AZ729" s="228"/>
      <c r="BA729" s="228"/>
      <c r="BB729" s="228"/>
      <c r="BC729" s="228"/>
      <c r="BD729" s="100"/>
      <c r="BE729" s="100"/>
      <c r="BF729" s="100"/>
      <c r="BG729" s="100"/>
      <c r="BH729" s="100"/>
      <c r="BI729" s="100"/>
      <c r="BJ729" s="100"/>
      <c r="BK729" s="12"/>
      <c r="BL729" s="12"/>
    </row>
    <row r="730" spans="1:64" ht="12" hidden="1" customHeight="1" outlineLevel="1">
      <c r="A730" s="9"/>
      <c r="B730" s="9"/>
      <c r="C730" s="9"/>
      <c r="D730" s="270" t="str">
        <f>Asset3</f>
        <v>Transformers</v>
      </c>
      <c r="E730" s="9"/>
      <c r="F730" s="9"/>
      <c r="G730" s="201">
        <f t="shared" si="106"/>
        <v>4.5591515337949486</v>
      </c>
      <c r="H730" s="111">
        <f t="shared" si="106"/>
        <v>6.1564145070433165</v>
      </c>
      <c r="I730" s="111">
        <f t="shared" si="106"/>
        <v>3.6180540659530513</v>
      </c>
      <c r="J730" s="111">
        <f t="shared" si="106"/>
        <v>4.4822050961516711</v>
      </c>
      <c r="K730" s="111">
        <f t="shared" si="106"/>
        <v>5.4777228209237911</v>
      </c>
      <c r="L730" s="111">
        <f t="shared" si="106"/>
        <v>4.2246143065600998</v>
      </c>
      <c r="M730" s="111">
        <f t="shared" ref="M730" si="109">M472*M$6</f>
        <v>5.3742751660192782</v>
      </c>
      <c r="N730" s="111">
        <f>IF(COUNT($H730:M730)&gt;=Input!$Y$7,0,N472*N$6)</f>
        <v>0</v>
      </c>
      <c r="O730" s="111">
        <f>IF(COUNT($H730:N730)&gt;=Input!$Y$7,0,O472*O$6)</f>
        <v>0</v>
      </c>
      <c r="P730" s="111">
        <f>IF(COUNT($H730:O730)&gt;=Input!$Y$7,0,P472*P$6)</f>
        <v>0</v>
      </c>
      <c r="Q730" s="111">
        <f>IF(COUNT($H730:P730)&gt;=Input!$Y$7,0,Q472*Q$6)</f>
        <v>0</v>
      </c>
      <c r="R730" s="9"/>
      <c r="S730" s="12"/>
      <c r="T730" s="12"/>
      <c r="U730" s="12"/>
      <c r="V730" s="12"/>
      <c r="W730" s="12"/>
      <c r="X730" s="12"/>
      <c r="Y730" s="12"/>
      <c r="Z730" s="12"/>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1"/>
      <c r="AY730" s="221"/>
      <c r="AZ730" s="221"/>
      <c r="BA730" s="221"/>
      <c r="BB730" s="221"/>
      <c r="BC730" s="221"/>
      <c r="BD730" s="12"/>
      <c r="BE730" s="12"/>
      <c r="BF730" s="12"/>
      <c r="BG730" s="12"/>
      <c r="BH730" s="12"/>
      <c r="BI730" s="12"/>
      <c r="BJ730" s="12"/>
      <c r="BK730" s="12"/>
      <c r="BL730" s="12"/>
    </row>
    <row r="731" spans="1:64" ht="12" hidden="1" customHeight="1" outlineLevel="1">
      <c r="A731" s="9"/>
      <c r="B731" s="9"/>
      <c r="C731" s="9"/>
      <c r="D731" s="270" t="str">
        <f>Asset4</f>
        <v>Reactive</v>
      </c>
      <c r="E731" s="9"/>
      <c r="F731" s="9"/>
      <c r="G731" s="201">
        <f t="shared" si="106"/>
        <v>2.4628113849700362</v>
      </c>
      <c r="H731" s="111">
        <f t="shared" si="106"/>
        <v>3.2311082279194161</v>
      </c>
      <c r="I731" s="111">
        <f t="shared" si="106"/>
        <v>1.865328705850936</v>
      </c>
      <c r="J731" s="111">
        <f t="shared" si="106"/>
        <v>2.3228944876228375</v>
      </c>
      <c r="K731" s="111">
        <f t="shared" si="106"/>
        <v>2.6558883323658642</v>
      </c>
      <c r="L731" s="111">
        <f t="shared" si="106"/>
        <v>1.8750749462922229</v>
      </c>
      <c r="M731" s="111">
        <f t="shared" ref="M731" si="110">M473*M$6</f>
        <v>2.0726492341396372</v>
      </c>
      <c r="N731" s="111">
        <f>IF(COUNT($H731:M731)&gt;=Input!$Y$7,0,N473*N$6)</f>
        <v>0</v>
      </c>
      <c r="O731" s="111">
        <f>IF(COUNT($H731:N731)&gt;=Input!$Y$7,0,O473*O$6)</f>
        <v>0</v>
      </c>
      <c r="P731" s="111">
        <f>IF(COUNT($H731:O731)&gt;=Input!$Y$7,0,P473*P$6)</f>
        <v>0</v>
      </c>
      <c r="Q731" s="111">
        <f>IF(COUNT($H731:P731)&gt;=Input!$Y$7,0,Q473*Q$6)</f>
        <v>0</v>
      </c>
      <c r="R731" s="9"/>
      <c r="S731" s="12"/>
      <c r="T731" s="12"/>
      <c r="U731" s="12"/>
      <c r="V731" s="12"/>
      <c r="W731" s="12"/>
      <c r="X731" s="12"/>
      <c r="Y731" s="12"/>
      <c r="Z731" s="12"/>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1"/>
      <c r="AY731" s="221"/>
      <c r="AZ731" s="221"/>
      <c r="BA731" s="221"/>
      <c r="BB731" s="221"/>
      <c r="BC731" s="221"/>
      <c r="BD731" s="12"/>
      <c r="BE731" s="12"/>
      <c r="BF731" s="12"/>
      <c r="BG731" s="12"/>
      <c r="BH731" s="12"/>
      <c r="BI731" s="12"/>
      <c r="BJ731" s="12"/>
      <c r="BK731" s="12"/>
      <c r="BL731" s="12"/>
    </row>
    <row r="732" spans="1:64" ht="12" hidden="1" customHeight="1" outlineLevel="1">
      <c r="A732" s="9"/>
      <c r="B732" s="9"/>
      <c r="C732" s="9"/>
      <c r="D732" s="270" t="str">
        <f>Asset5</f>
        <v>Towers and Conductor</v>
      </c>
      <c r="E732" s="9"/>
      <c r="F732" s="9"/>
      <c r="G732" s="201">
        <f t="shared" si="106"/>
        <v>29.136429910590962</v>
      </c>
      <c r="H732" s="111">
        <f t="shared" si="106"/>
        <v>38.490138749209422</v>
      </c>
      <c r="I732" s="111">
        <f t="shared" si="106"/>
        <v>22.220421352756624</v>
      </c>
      <c r="J732" s="111">
        <f t="shared" si="106"/>
        <v>27.953892855533162</v>
      </c>
      <c r="K732" s="111">
        <f t="shared" si="106"/>
        <v>33.124989552298793</v>
      </c>
      <c r="L732" s="111">
        <f t="shared" si="106"/>
        <v>24.104548548421175</v>
      </c>
      <c r="M732" s="111">
        <f t="shared" ref="M732" si="111">M474*M$6</f>
        <v>27.492253693496679</v>
      </c>
      <c r="N732" s="111">
        <f>IF(COUNT($H732:M732)&gt;=Input!$Y$7,0,N474*N$6)</f>
        <v>0</v>
      </c>
      <c r="O732" s="111">
        <f>IF(COUNT($H732:N732)&gt;=Input!$Y$7,0,O474*O$6)</f>
        <v>0</v>
      </c>
      <c r="P732" s="111">
        <f>IF(COUNT($H732:O732)&gt;=Input!$Y$7,0,P474*P$6)</f>
        <v>0</v>
      </c>
      <c r="Q732" s="111">
        <f>IF(COUNT($H732:P732)&gt;=Input!$Y$7,0,Q474*Q$6)</f>
        <v>0</v>
      </c>
      <c r="R732" s="9"/>
      <c r="S732" s="12"/>
      <c r="T732" s="12"/>
      <c r="U732" s="12"/>
      <c r="V732" s="12"/>
      <c r="W732" s="12"/>
      <c r="X732" s="12"/>
      <c r="Y732" s="12"/>
      <c r="Z732" s="12"/>
      <c r="AA732" s="221"/>
      <c r="AB732" s="221"/>
      <c r="AC732" s="221"/>
      <c r="AD732" s="221"/>
      <c r="AE732" s="221"/>
      <c r="AF732" s="221"/>
      <c r="AG732" s="221"/>
      <c r="AH732" s="221"/>
      <c r="AI732" s="221"/>
      <c r="AJ732" s="221"/>
      <c r="AK732" s="221"/>
      <c r="AL732" s="221"/>
      <c r="AM732" s="221"/>
      <c r="AN732" s="221"/>
      <c r="AO732" s="221"/>
      <c r="AP732" s="221"/>
      <c r="AQ732" s="221"/>
      <c r="AR732" s="221"/>
      <c r="AS732" s="221"/>
      <c r="AT732" s="221"/>
      <c r="AU732" s="221"/>
      <c r="AV732" s="221"/>
      <c r="AW732" s="221"/>
      <c r="AX732" s="221"/>
      <c r="AY732" s="221"/>
      <c r="AZ732" s="221"/>
      <c r="BA732" s="221"/>
      <c r="BB732" s="221"/>
      <c r="BC732" s="221"/>
      <c r="BD732" s="12"/>
      <c r="BE732" s="12"/>
      <c r="BF732" s="12"/>
      <c r="BG732" s="12"/>
      <c r="BH732" s="12"/>
      <c r="BI732" s="12"/>
      <c r="BJ732" s="12"/>
      <c r="BK732" s="12"/>
      <c r="BL732" s="12"/>
    </row>
    <row r="733" spans="1:64" hidden="1" outlineLevel="1">
      <c r="A733" s="9"/>
      <c r="B733" s="9"/>
      <c r="C733" s="9"/>
      <c r="D733" s="270" t="str">
        <f>Asset6</f>
        <v>Establishment</v>
      </c>
      <c r="E733" s="9"/>
      <c r="F733" s="9"/>
      <c r="G733" s="201">
        <f t="shared" si="106"/>
        <v>2.3618110593105346</v>
      </c>
      <c r="H733" s="111">
        <f t="shared" si="106"/>
        <v>3.6783350531194943</v>
      </c>
      <c r="I733" s="111">
        <f t="shared" si="106"/>
        <v>2.3436463235933984</v>
      </c>
      <c r="J733" s="111">
        <f t="shared" si="106"/>
        <v>3.199808482947462</v>
      </c>
      <c r="K733" s="111">
        <f t="shared" si="106"/>
        <v>3.8213698635907773</v>
      </c>
      <c r="L733" s="111">
        <f t="shared" si="106"/>
        <v>2.9540971305686208</v>
      </c>
      <c r="M733" s="111">
        <f t="shared" ref="M733" si="112">M475*M$6</f>
        <v>3.5470579114689702</v>
      </c>
      <c r="N733" s="111">
        <f>IF(COUNT($H733:M733)&gt;=Input!$Y$7,0,N475*N$6)</f>
        <v>0</v>
      </c>
      <c r="O733" s="111">
        <f>IF(COUNT($H733:N733)&gt;=Input!$Y$7,0,O475*O$6)</f>
        <v>0</v>
      </c>
      <c r="P733" s="111">
        <f>IF(COUNT($H733:O733)&gt;=Input!$Y$7,0,P475*P$6)</f>
        <v>0</v>
      </c>
      <c r="Q733" s="111">
        <f>IF(COUNT($H733:P733)&gt;=Input!$Y$7,0,Q475*Q$6)</f>
        <v>0</v>
      </c>
      <c r="R733" s="9"/>
      <c r="S733" s="12"/>
      <c r="T733" s="12"/>
      <c r="U733" s="12"/>
      <c r="V733" s="12"/>
      <c r="W733" s="12"/>
      <c r="X733" s="12"/>
      <c r="Y733" s="12"/>
      <c r="Z733" s="12"/>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1"/>
      <c r="AY733" s="221"/>
      <c r="AZ733" s="221"/>
      <c r="BA733" s="221"/>
      <c r="BB733" s="221"/>
      <c r="BC733" s="221"/>
      <c r="BD733" s="12"/>
      <c r="BE733" s="12"/>
      <c r="BF733" s="12"/>
      <c r="BG733" s="12"/>
      <c r="BH733" s="12"/>
      <c r="BI733" s="12"/>
      <c r="BJ733" s="12"/>
      <c r="BK733" s="12"/>
      <c r="BL733" s="12"/>
    </row>
    <row r="734" spans="1:64" hidden="1" outlineLevel="1">
      <c r="A734" s="9"/>
      <c r="B734" s="9"/>
      <c r="C734" s="9"/>
      <c r="D734" s="270" t="str">
        <f>Asset7</f>
        <v>Communications</v>
      </c>
      <c r="E734" s="9"/>
      <c r="F734" s="9"/>
      <c r="G734" s="201">
        <f t="shared" si="106"/>
        <v>1.0869343410933741</v>
      </c>
      <c r="H734" s="111">
        <f t="shared" si="106"/>
        <v>0.30195881416118875</v>
      </c>
      <c r="I734" s="111">
        <f t="shared" si="106"/>
        <v>0.31406718599194583</v>
      </c>
      <c r="J734" s="111">
        <f t="shared" si="106"/>
        <v>0.89616579098522187</v>
      </c>
      <c r="K734" s="111">
        <f t="shared" si="106"/>
        <v>1.1701838355022471</v>
      </c>
      <c r="L734" s="111">
        <f t="shared" si="106"/>
        <v>0.88352866770810612</v>
      </c>
      <c r="M734" s="111">
        <f t="shared" ref="M734" si="113">M476*M$6</f>
        <v>1.0599888674753284</v>
      </c>
      <c r="N734" s="111">
        <f>IF(COUNT($H734:M734)&gt;=Input!$Y$7,0,N476*N$6)</f>
        <v>0</v>
      </c>
      <c r="O734" s="111">
        <f>IF(COUNT($H734:N734)&gt;=Input!$Y$7,0,O476*O$6)</f>
        <v>0</v>
      </c>
      <c r="P734" s="111">
        <f>IF(COUNT($H734:O734)&gt;=Input!$Y$7,0,P476*P$6)</f>
        <v>0</v>
      </c>
      <c r="Q734" s="111">
        <f>IF(COUNT($H734:P734)&gt;=Input!$Y$7,0,Q476*Q$6)</f>
        <v>0</v>
      </c>
      <c r="R734" s="9"/>
      <c r="S734" s="9"/>
      <c r="T734" s="9"/>
      <c r="U734" s="9"/>
      <c r="V734" s="9"/>
      <c r="W734" s="9"/>
      <c r="X734" s="9"/>
      <c r="Y734" s="9"/>
      <c r="Z734" s="9"/>
      <c r="AB734" s="198"/>
      <c r="AC734" s="198"/>
      <c r="AD734" s="198"/>
      <c r="AE734" s="198"/>
      <c r="AF734" s="198"/>
      <c r="AG734" s="198"/>
      <c r="AH734" s="198"/>
      <c r="AI734" s="198"/>
      <c r="AJ734" s="198"/>
      <c r="AK734" s="198"/>
      <c r="AL734" s="198"/>
      <c r="AM734" s="198"/>
      <c r="AN734" s="198"/>
      <c r="AO734" s="198"/>
      <c r="AP734" s="198"/>
      <c r="AQ734" s="198"/>
      <c r="AR734" s="198"/>
      <c r="AS734" s="198"/>
      <c r="AT734" s="198"/>
      <c r="AU734" s="198"/>
      <c r="AV734" s="198"/>
      <c r="AW734" s="198"/>
      <c r="AX734" s="198"/>
      <c r="AY734" s="198"/>
      <c r="AZ734" s="198"/>
      <c r="BA734" s="198"/>
      <c r="BB734" s="198"/>
      <c r="BC734" s="198"/>
      <c r="BD734" s="9"/>
      <c r="BE734" s="9"/>
      <c r="BF734" s="9"/>
      <c r="BG734" s="9"/>
      <c r="BH734" s="9"/>
      <c r="BI734" s="9"/>
      <c r="BJ734" s="9"/>
      <c r="BK734" s="9"/>
      <c r="BL734" s="9"/>
    </row>
    <row r="735" spans="1:64" hidden="1" outlineLevel="1">
      <c r="A735" s="9"/>
      <c r="B735" s="9"/>
      <c r="C735" s="9"/>
      <c r="D735" s="270" t="str">
        <f>Asset8</f>
        <v>Inventory</v>
      </c>
      <c r="E735" s="9"/>
      <c r="F735" s="9"/>
      <c r="G735" s="201">
        <f t="shared" si="106"/>
        <v>0.13905863325008744</v>
      </c>
      <c r="H735" s="111">
        <f t="shared" si="106"/>
        <v>0.27048186622619236</v>
      </c>
      <c r="I735" s="111">
        <f t="shared" si="106"/>
        <v>0.16045534437147022</v>
      </c>
      <c r="J735" s="111">
        <f t="shared" si="106"/>
        <v>0.2062997284776045</v>
      </c>
      <c r="K735" s="111">
        <f t="shared" si="106"/>
        <v>0.24755967417312463</v>
      </c>
      <c r="L735" s="111">
        <f t="shared" si="106"/>
        <v>0.18130121762534249</v>
      </c>
      <c r="M735" s="111">
        <f t="shared" ref="M735" si="114">M477*M$6</f>
        <v>0.21014459315664574</v>
      </c>
      <c r="N735" s="111">
        <f>IF(COUNT($H735:M735)&gt;=Input!$Y$7,0,N477*N$6)</f>
        <v>0</v>
      </c>
      <c r="O735" s="111">
        <f>IF(COUNT($H735:N735)&gt;=Input!$Y$7,0,O477*O$6)</f>
        <v>0</v>
      </c>
      <c r="P735" s="111">
        <f>IF(COUNT($H735:O735)&gt;=Input!$Y$7,0,P477*P$6)</f>
        <v>0</v>
      </c>
      <c r="Q735" s="111">
        <f>IF(COUNT($H735:P735)&gt;=Input!$Y$7,0,Q477*Q$6)</f>
        <v>0</v>
      </c>
      <c r="R735" s="9"/>
      <c r="S735" s="9"/>
      <c r="T735" s="9"/>
      <c r="U735" s="9"/>
      <c r="V735" s="9"/>
      <c r="W735" s="9"/>
      <c r="X735" s="9"/>
      <c r="Y735" s="9"/>
      <c r="Z735" s="9"/>
      <c r="AB735" s="198"/>
      <c r="AC735" s="198"/>
      <c r="AD735" s="198"/>
      <c r="AE735" s="198"/>
      <c r="AF735" s="198"/>
      <c r="AG735" s="198"/>
      <c r="AH735" s="198"/>
      <c r="AI735" s="198"/>
      <c r="AJ735" s="198"/>
      <c r="AK735" s="198"/>
      <c r="AL735" s="198"/>
      <c r="AM735" s="198"/>
      <c r="AN735" s="198"/>
      <c r="AO735" s="198"/>
      <c r="AP735" s="198"/>
      <c r="AQ735" s="198"/>
      <c r="AR735" s="198"/>
      <c r="AS735" s="198"/>
      <c r="AT735" s="198"/>
      <c r="AU735" s="198"/>
      <c r="AV735" s="198"/>
      <c r="AW735" s="198"/>
      <c r="AX735" s="198"/>
      <c r="AY735" s="198"/>
      <c r="AZ735" s="198"/>
      <c r="BA735" s="198"/>
      <c r="BB735" s="198"/>
      <c r="BC735" s="198"/>
      <c r="BD735" s="9"/>
      <c r="BE735" s="9"/>
      <c r="BF735" s="9"/>
      <c r="BG735" s="9"/>
      <c r="BH735" s="9"/>
      <c r="BI735" s="9"/>
      <c r="BJ735" s="9"/>
      <c r="BK735" s="9"/>
      <c r="BL735" s="9"/>
    </row>
    <row r="736" spans="1:64" hidden="1" outlineLevel="1">
      <c r="A736" s="9"/>
      <c r="B736" s="9"/>
      <c r="C736" s="9"/>
      <c r="D736" s="270" t="str">
        <f>Asset9</f>
        <v>IT</v>
      </c>
      <c r="E736" s="9"/>
      <c r="F736" s="9"/>
      <c r="G736" s="201">
        <f t="shared" si="106"/>
        <v>0.47753362125339649</v>
      </c>
      <c r="H736" s="111">
        <f t="shared" si="106"/>
        <v>1.5710342301660012</v>
      </c>
      <c r="I736" s="111">
        <f t="shared" si="106"/>
        <v>0.96426737901076565</v>
      </c>
      <c r="J736" s="111">
        <f t="shared" si="106"/>
        <v>1.2301396537897602</v>
      </c>
      <c r="K736" s="111">
        <f t="shared" si="106"/>
        <v>1.5789742163790967</v>
      </c>
      <c r="L736" s="111">
        <f t="shared" si="106"/>
        <v>1.2180055886426595</v>
      </c>
      <c r="M736" s="111">
        <f t="shared" ref="M736" si="115">M478*M$6</f>
        <v>1.5878086560880558</v>
      </c>
      <c r="N736" s="111">
        <f>IF(COUNT($H736:M736)&gt;=Input!$Y$7,0,N478*N$6)</f>
        <v>0</v>
      </c>
      <c r="O736" s="111">
        <f>IF(COUNT($H736:N736)&gt;=Input!$Y$7,0,O478*O$6)</f>
        <v>0</v>
      </c>
      <c r="P736" s="111">
        <f>IF(COUNT($H736:O736)&gt;=Input!$Y$7,0,P478*P$6)</f>
        <v>0</v>
      </c>
      <c r="Q736" s="111">
        <f>IF(COUNT($H736:P736)&gt;=Input!$Y$7,0,Q478*Q$6)</f>
        <v>0</v>
      </c>
      <c r="R736" s="9"/>
      <c r="S736" s="9"/>
      <c r="T736" s="9"/>
      <c r="U736" s="9"/>
      <c r="V736" s="9"/>
      <c r="W736" s="9"/>
      <c r="X736" s="9"/>
      <c r="Y736" s="9"/>
      <c r="Z736" s="9"/>
      <c r="AB736" s="198"/>
      <c r="AC736" s="198"/>
      <c r="AD736" s="198"/>
      <c r="AE736" s="198"/>
      <c r="AF736" s="198"/>
      <c r="AG736" s="198"/>
      <c r="AH736" s="198"/>
      <c r="AI736" s="198"/>
      <c r="AJ736" s="198"/>
      <c r="AK736" s="198"/>
      <c r="AL736" s="198"/>
      <c r="AM736" s="198"/>
      <c r="AN736" s="198"/>
      <c r="AO736" s="198"/>
      <c r="AP736" s="198"/>
      <c r="AQ736" s="198"/>
      <c r="AR736" s="198"/>
      <c r="AS736" s="198"/>
      <c r="AT736" s="198"/>
      <c r="AU736" s="198"/>
      <c r="AV736" s="198"/>
      <c r="AW736" s="198"/>
      <c r="AX736" s="198"/>
      <c r="AY736" s="198"/>
      <c r="AZ736" s="198"/>
      <c r="BA736" s="198"/>
      <c r="BB736" s="198"/>
      <c r="BC736" s="198"/>
      <c r="BD736" s="9"/>
      <c r="BE736" s="9"/>
      <c r="BF736" s="9"/>
      <c r="BG736" s="9"/>
      <c r="BH736" s="9"/>
      <c r="BI736" s="9"/>
      <c r="BJ736" s="9"/>
      <c r="BK736" s="9"/>
      <c r="BL736" s="9"/>
    </row>
    <row r="737" spans="1:64" hidden="1" outlineLevel="1">
      <c r="A737" s="9"/>
      <c r="B737" s="9"/>
      <c r="C737" s="9"/>
      <c r="D737" s="270" t="str">
        <f>Asset10</f>
        <v>Vehicles</v>
      </c>
      <c r="E737" s="9"/>
      <c r="F737" s="9"/>
      <c r="G737" s="201">
        <f t="shared" si="106"/>
        <v>0.11536461816076168</v>
      </c>
      <c r="H737" s="111">
        <f t="shared" si="106"/>
        <v>0.15458862429093001</v>
      </c>
      <c r="I737" s="111">
        <f t="shared" si="106"/>
        <v>8.263757245620057E-2</v>
      </c>
      <c r="J737" s="111">
        <f t="shared" si="106"/>
        <v>8.7681069530713224E-2</v>
      </c>
      <c r="K737" s="111">
        <f t="shared" si="106"/>
        <v>7.2988612814582229E-2</v>
      </c>
      <c r="L737" s="111">
        <f t="shared" si="106"/>
        <v>5.0941890620667001E-2</v>
      </c>
      <c r="M737" s="111">
        <f t="shared" ref="M737" si="116">M479*M$6</f>
        <v>9.1931494863785296E-2</v>
      </c>
      <c r="N737" s="111">
        <f>IF(COUNT($H737:M737)&gt;=Input!$Y$7,0,N479*N$6)</f>
        <v>0</v>
      </c>
      <c r="O737" s="111">
        <f>IF(COUNT($H737:N737)&gt;=Input!$Y$7,0,O479*O$6)</f>
        <v>0</v>
      </c>
      <c r="P737" s="111">
        <f>IF(COUNT($H737:O737)&gt;=Input!$Y$7,0,P479*P$6)</f>
        <v>0</v>
      </c>
      <c r="Q737" s="111">
        <f>IF(COUNT($H737:P737)&gt;=Input!$Y$7,0,Q479*Q$6)</f>
        <v>0</v>
      </c>
      <c r="R737" s="9"/>
      <c r="S737" s="9"/>
      <c r="T737" s="9"/>
      <c r="U737" s="9"/>
      <c r="V737" s="9"/>
      <c r="W737" s="9"/>
      <c r="X737" s="9"/>
      <c r="Y737" s="9"/>
      <c r="Z737" s="9"/>
      <c r="AB737" s="198"/>
      <c r="AC737" s="198"/>
      <c r="AD737" s="198"/>
      <c r="AE737" s="198"/>
      <c r="AF737" s="198"/>
      <c r="AG737" s="198"/>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9"/>
      <c r="BE737" s="9"/>
      <c r="BF737" s="9"/>
      <c r="BG737" s="9"/>
      <c r="BH737" s="9"/>
      <c r="BI737" s="9"/>
      <c r="BJ737" s="9"/>
      <c r="BK737" s="9"/>
      <c r="BL737" s="9"/>
    </row>
    <row r="738" spans="1:64" hidden="1" outlineLevel="1">
      <c r="A738" s="9"/>
      <c r="B738" s="9"/>
      <c r="C738" s="9"/>
      <c r="D738" s="270" t="str">
        <f>Asset11</f>
        <v>other</v>
      </c>
      <c r="E738" s="9"/>
      <c r="F738" s="9"/>
      <c r="G738" s="201">
        <f t="shared" ref="G738:L747" si="117">G480*G$6</f>
        <v>0.11465249108919226</v>
      </c>
      <c r="H738" s="111">
        <f t="shared" si="117"/>
        <v>0.47312876729503273</v>
      </c>
      <c r="I738" s="111">
        <f t="shared" si="117"/>
        <v>0.3288699375672921</v>
      </c>
      <c r="J738" s="111">
        <f t="shared" si="117"/>
        <v>0.44836006898140723</v>
      </c>
      <c r="K738" s="111">
        <f t="shared" si="117"/>
        <v>0.57763051072179583</v>
      </c>
      <c r="L738" s="111">
        <f t="shared" si="117"/>
        <v>0.41412309067656033</v>
      </c>
      <c r="M738" s="111">
        <f t="shared" ref="M738" si="118">M480*M$6</f>
        <v>0.48009654907651217</v>
      </c>
      <c r="N738" s="111">
        <f>IF(COUNT($H738:M738)&gt;=Input!$Y$7,0,N480*N$6)</f>
        <v>0</v>
      </c>
      <c r="O738" s="111">
        <f>IF(COUNT($H738:N738)&gt;=Input!$Y$7,0,O480*O$6)</f>
        <v>0</v>
      </c>
      <c r="P738" s="111">
        <f>IF(COUNT($H738:O738)&gt;=Input!$Y$7,0,P480*P$6)</f>
        <v>0</v>
      </c>
      <c r="Q738" s="111">
        <f>IF(COUNT($H738:P738)&gt;=Input!$Y$7,0,Q480*Q$6)</f>
        <v>0</v>
      </c>
      <c r="R738" s="9"/>
      <c r="S738" s="9"/>
      <c r="T738" s="9"/>
      <c r="U738" s="9"/>
      <c r="V738" s="9"/>
      <c r="W738" s="9"/>
      <c r="X738" s="9"/>
      <c r="Y738" s="9"/>
      <c r="Z738" s="9"/>
      <c r="AB738" s="198"/>
      <c r="AC738" s="198"/>
      <c r="AD738" s="198"/>
      <c r="AE738" s="198"/>
      <c r="AF738" s="198"/>
      <c r="AG738" s="198"/>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9"/>
      <c r="BE738" s="9"/>
      <c r="BF738" s="9"/>
      <c r="BG738" s="9"/>
      <c r="BH738" s="9"/>
      <c r="BI738" s="9"/>
      <c r="BJ738" s="9"/>
      <c r="BK738" s="9"/>
      <c r="BL738" s="9"/>
    </row>
    <row r="739" spans="1:64" hidden="1" outlineLevel="1">
      <c r="A739" s="9"/>
      <c r="B739" s="9"/>
      <c r="C739" s="9"/>
      <c r="D739" s="270" t="str">
        <f>Asset12</f>
        <v>premises</v>
      </c>
      <c r="E739" s="9"/>
      <c r="F739" s="9"/>
      <c r="G739" s="201">
        <f t="shared" si="117"/>
        <v>0.15577073064711569</v>
      </c>
      <c r="H739" s="111">
        <f t="shared" si="117"/>
        <v>0.30984516176115295</v>
      </c>
      <c r="I739" s="111">
        <f t="shared" si="117"/>
        <v>0.15909630209508058</v>
      </c>
      <c r="J739" s="111">
        <f t="shared" si="117"/>
        <v>0.17174914758437382</v>
      </c>
      <c r="K739" s="111">
        <f t="shared" si="117"/>
        <v>0.16628339685174301</v>
      </c>
      <c r="L739" s="111">
        <f t="shared" si="117"/>
        <v>0.10022529402996172</v>
      </c>
      <c r="M739" s="111">
        <f t="shared" ref="M739" si="119">M481*M$6</f>
        <v>9.0622734141303243E-2</v>
      </c>
      <c r="N739" s="111">
        <f>IF(COUNT($H739:M739)&gt;=Input!$Y$7,0,N481*N$6)</f>
        <v>0</v>
      </c>
      <c r="O739" s="111">
        <f>IF(COUNT($H739:N739)&gt;=Input!$Y$7,0,O481*O$6)</f>
        <v>0</v>
      </c>
      <c r="P739" s="111">
        <f>IF(COUNT($H739:O739)&gt;=Input!$Y$7,0,P481*P$6)</f>
        <v>0</v>
      </c>
      <c r="Q739" s="111">
        <f>IF(COUNT($H739:P739)&gt;=Input!$Y$7,0,Q481*Q$6)</f>
        <v>0</v>
      </c>
      <c r="R739" s="9"/>
      <c r="S739" s="9"/>
      <c r="T739" s="9"/>
      <c r="U739" s="9"/>
      <c r="V739" s="9"/>
      <c r="W739" s="9"/>
      <c r="X739" s="9"/>
      <c r="Y739" s="9"/>
      <c r="Z739" s="9"/>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9"/>
      <c r="BE739" s="9"/>
      <c r="BF739" s="9"/>
      <c r="BG739" s="9"/>
      <c r="BH739" s="9"/>
      <c r="BI739" s="9"/>
      <c r="BJ739" s="9"/>
      <c r="BK739" s="9"/>
      <c r="BL739" s="9"/>
    </row>
    <row r="740" spans="1:64" hidden="1" outlineLevel="1">
      <c r="A740" s="9"/>
      <c r="B740" s="9"/>
      <c r="C740" s="9"/>
      <c r="D740" s="270" t="str">
        <f>Asset13</f>
        <v>Land</v>
      </c>
      <c r="E740" s="9"/>
      <c r="F740" s="9"/>
      <c r="G740" s="201">
        <f t="shared" si="117"/>
        <v>2.8512679855595553</v>
      </c>
      <c r="H740" s="111">
        <f t="shared" si="117"/>
        <v>3.528825378559989</v>
      </c>
      <c r="I740" s="111">
        <f t="shared" si="117"/>
        <v>2.0933709872813515</v>
      </c>
      <c r="J740" s="111">
        <f t="shared" si="117"/>
        <v>2.6914769836474512</v>
      </c>
      <c r="K740" s="111">
        <f t="shared" si="117"/>
        <v>3.2143556773509681</v>
      </c>
      <c r="L740" s="111">
        <f t="shared" si="117"/>
        <v>2.3316328176647785</v>
      </c>
      <c r="M740" s="111">
        <f t="shared" ref="M740" si="120">M482*M$6</f>
        <v>2.7025744022932505</v>
      </c>
      <c r="N740" s="111">
        <f>IF(COUNT($H740:M740)&gt;=Input!$Y$7,0,N482*N$6)</f>
        <v>0</v>
      </c>
      <c r="O740" s="111">
        <f>IF(COUNT($H740:N740)&gt;=Input!$Y$7,0,O482*O$6)</f>
        <v>0</v>
      </c>
      <c r="P740" s="111">
        <f>IF(COUNT($H740:O740)&gt;=Input!$Y$7,0,P482*P$6)</f>
        <v>0</v>
      </c>
      <c r="Q740" s="111">
        <f>IF(COUNT($H740:P740)&gt;=Input!$Y$7,0,Q482*Q$6)</f>
        <v>0</v>
      </c>
      <c r="R740" s="9"/>
      <c r="S740" s="9"/>
      <c r="T740" s="9"/>
      <c r="U740" s="9"/>
      <c r="V740" s="9"/>
      <c r="W740" s="9"/>
      <c r="X740" s="9"/>
      <c r="Y740" s="9"/>
      <c r="Z740" s="9"/>
      <c r="AB740" s="198"/>
      <c r="AC740" s="198"/>
      <c r="AD740" s="198"/>
      <c r="AE740" s="198"/>
      <c r="AF740" s="198"/>
      <c r="AG740" s="198"/>
      <c r="AH740" s="198"/>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9"/>
      <c r="BE740" s="9"/>
      <c r="BF740" s="9"/>
      <c r="BG740" s="9"/>
      <c r="BH740" s="9"/>
      <c r="BI740" s="9"/>
      <c r="BJ740" s="9"/>
      <c r="BK740" s="9"/>
      <c r="BL740" s="9"/>
    </row>
    <row r="741" spans="1:64" hidden="1" outlineLevel="1">
      <c r="A741" s="9"/>
      <c r="B741" s="9"/>
      <c r="C741" s="9"/>
      <c r="D741" s="270" t="str">
        <f>Asset14</f>
        <v>Easements</v>
      </c>
      <c r="E741" s="9"/>
      <c r="F741" s="9"/>
      <c r="G741" s="201">
        <f t="shared" si="117"/>
        <v>3.1395481256317552</v>
      </c>
      <c r="H741" s="111">
        <f t="shared" si="117"/>
        <v>4.0158981762199319</v>
      </c>
      <c r="I741" s="111">
        <f t="shared" si="117"/>
        <v>2.3823124774186062</v>
      </c>
      <c r="J741" s="111">
        <f t="shared" si="117"/>
        <v>3.0629731852524928</v>
      </c>
      <c r="K741" s="111">
        <f t="shared" si="117"/>
        <v>3.6755678223029795</v>
      </c>
      <c r="L741" s="111">
        <f t="shared" si="117"/>
        <v>2.691815312303405</v>
      </c>
      <c r="M741" s="111">
        <f t="shared" ref="M741" si="121">M483*M$6</f>
        <v>3.1200586574425646</v>
      </c>
      <c r="N741" s="111">
        <f>IF(COUNT($H741:M741)&gt;=Input!$Y$7,0,N483*N$6)</f>
        <v>0</v>
      </c>
      <c r="O741" s="111">
        <f>IF(COUNT($H741:N741)&gt;=Input!$Y$7,0,O483*O$6)</f>
        <v>0</v>
      </c>
      <c r="P741" s="111">
        <f>IF(COUNT($H741:O741)&gt;=Input!$Y$7,0,P483*P$6)</f>
        <v>0</v>
      </c>
      <c r="Q741" s="111">
        <f>IF(COUNT($H741:P741)&gt;=Input!$Y$7,0,Q483*Q$6)</f>
        <v>0</v>
      </c>
      <c r="R741" s="9"/>
      <c r="S741" s="9"/>
      <c r="T741" s="9"/>
      <c r="U741" s="9"/>
      <c r="V741" s="9"/>
      <c r="W741" s="9"/>
      <c r="X741" s="9"/>
      <c r="Y741" s="9"/>
      <c r="Z741" s="9"/>
      <c r="AB741" s="198"/>
      <c r="AC741" s="198"/>
      <c r="AD741" s="198"/>
      <c r="AE741" s="198"/>
      <c r="AF741" s="198"/>
      <c r="AG741" s="198"/>
      <c r="AH741" s="198"/>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9"/>
      <c r="BE741" s="9"/>
      <c r="BF741" s="9"/>
      <c r="BG741" s="9"/>
      <c r="BH741" s="9"/>
      <c r="BI741" s="9"/>
      <c r="BJ741" s="9"/>
      <c r="BK741" s="9"/>
      <c r="BL741" s="9"/>
    </row>
    <row r="742" spans="1:64" hidden="1" outlineLevel="1">
      <c r="A742" s="9"/>
      <c r="B742" s="9"/>
      <c r="C742" s="9"/>
      <c r="D742" s="270">
        <f>Asset15</f>
        <v>0</v>
      </c>
      <c r="E742" s="9"/>
      <c r="F742" s="9"/>
      <c r="G742" s="201">
        <f t="shared" si="117"/>
        <v>0</v>
      </c>
      <c r="H742" s="111">
        <f t="shared" si="117"/>
        <v>0</v>
      </c>
      <c r="I742" s="111">
        <f t="shared" si="117"/>
        <v>0</v>
      </c>
      <c r="J742" s="111">
        <f t="shared" si="117"/>
        <v>0</v>
      </c>
      <c r="K742" s="111">
        <f t="shared" si="117"/>
        <v>0</v>
      </c>
      <c r="L742" s="111">
        <f t="shared" si="117"/>
        <v>0</v>
      </c>
      <c r="M742" s="111">
        <f t="shared" ref="M742" si="122">M484*M$6</f>
        <v>0</v>
      </c>
      <c r="N742" s="111">
        <f>IF(COUNT($H742:M742)&gt;=Input!$Y$7,0,N484*N$6)</f>
        <v>0</v>
      </c>
      <c r="O742" s="111">
        <f>IF(COUNT($H742:N742)&gt;=Input!$Y$7,0,O484*O$6)</f>
        <v>0</v>
      </c>
      <c r="P742" s="111">
        <f>IF(COUNT($H742:O742)&gt;=Input!$Y$7,0,P484*P$6)</f>
        <v>0</v>
      </c>
      <c r="Q742" s="111">
        <f>IF(COUNT($H742:P742)&gt;=Input!$Y$7,0,Q484*Q$6)</f>
        <v>0</v>
      </c>
      <c r="R742" s="9"/>
      <c r="S742" s="9"/>
      <c r="T742" s="9"/>
      <c r="U742" s="9"/>
      <c r="V742" s="9"/>
      <c r="W742" s="9"/>
      <c r="X742" s="9"/>
      <c r="Y742" s="9"/>
      <c r="Z742" s="9"/>
      <c r="AB742" s="198"/>
      <c r="AC742" s="198"/>
      <c r="AD742" s="198"/>
      <c r="AE742" s="198"/>
      <c r="AF742" s="198"/>
      <c r="AG742" s="198"/>
      <c r="AH742" s="198"/>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9"/>
      <c r="BE742" s="9"/>
      <c r="BF742" s="9"/>
      <c r="BG742" s="9"/>
      <c r="BH742" s="9"/>
      <c r="BI742" s="9"/>
      <c r="BJ742" s="9"/>
      <c r="BK742" s="9"/>
      <c r="BL742" s="9"/>
    </row>
    <row r="743" spans="1:64" hidden="1" outlineLevel="1">
      <c r="A743" s="9"/>
      <c r="B743" s="9"/>
      <c r="C743" s="9"/>
      <c r="D743" s="270">
        <f>Asset16</f>
        <v>0</v>
      </c>
      <c r="E743" s="9"/>
      <c r="F743" s="9"/>
      <c r="G743" s="201">
        <f t="shared" si="117"/>
        <v>0</v>
      </c>
      <c r="H743" s="111">
        <f t="shared" si="117"/>
        <v>0</v>
      </c>
      <c r="I743" s="111">
        <f t="shared" si="117"/>
        <v>0</v>
      </c>
      <c r="J743" s="111">
        <f t="shared" si="117"/>
        <v>0</v>
      </c>
      <c r="K743" s="111">
        <f t="shared" si="117"/>
        <v>0</v>
      </c>
      <c r="L743" s="111">
        <f t="shared" si="117"/>
        <v>0</v>
      </c>
      <c r="M743" s="111">
        <f t="shared" ref="M743" si="123">M485*M$6</f>
        <v>0</v>
      </c>
      <c r="N743" s="111">
        <f>IF(COUNT($H743:M743)&gt;=Input!$Y$7,0,N485*N$6)</f>
        <v>0</v>
      </c>
      <c r="O743" s="111">
        <f>IF(COUNT($H743:N743)&gt;=Input!$Y$7,0,O485*O$6)</f>
        <v>0</v>
      </c>
      <c r="P743" s="111">
        <f>IF(COUNT($H743:O743)&gt;=Input!$Y$7,0,P485*P$6)</f>
        <v>0</v>
      </c>
      <c r="Q743" s="111">
        <f>IF(COUNT($H743:P743)&gt;=Input!$Y$7,0,Q485*Q$6)</f>
        <v>0</v>
      </c>
      <c r="R743" s="9"/>
      <c r="S743" s="9"/>
      <c r="T743" s="9"/>
      <c r="U743" s="9"/>
      <c r="V743" s="9"/>
      <c r="W743" s="9"/>
      <c r="X743" s="9"/>
      <c r="Y743" s="9"/>
      <c r="Z743" s="9"/>
      <c r="AB743" s="198"/>
      <c r="AC743" s="198"/>
      <c r="AD743" s="198"/>
      <c r="AE743" s="198"/>
      <c r="AF743" s="198"/>
      <c r="AG743" s="198"/>
      <c r="AH743" s="198"/>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9"/>
      <c r="BE743" s="9"/>
      <c r="BF743" s="9"/>
      <c r="BG743" s="9"/>
      <c r="BH743" s="9"/>
      <c r="BI743" s="9"/>
      <c r="BJ743" s="9"/>
      <c r="BK743" s="9"/>
      <c r="BL743" s="9"/>
    </row>
    <row r="744" spans="1:64" hidden="1" outlineLevel="1">
      <c r="A744" s="9"/>
      <c r="B744" s="9"/>
      <c r="C744" s="9"/>
      <c r="D744" s="270">
        <f>Asset17</f>
        <v>0</v>
      </c>
      <c r="E744" s="9"/>
      <c r="F744" s="9"/>
      <c r="G744" s="201">
        <f t="shared" si="117"/>
        <v>0</v>
      </c>
      <c r="H744" s="111">
        <f t="shared" si="117"/>
        <v>0</v>
      </c>
      <c r="I744" s="111">
        <f t="shared" si="117"/>
        <v>0</v>
      </c>
      <c r="J744" s="111">
        <f t="shared" si="117"/>
        <v>0</v>
      </c>
      <c r="K744" s="111">
        <f t="shared" si="117"/>
        <v>0</v>
      </c>
      <c r="L744" s="111">
        <f t="shared" si="117"/>
        <v>0</v>
      </c>
      <c r="M744" s="111">
        <f t="shared" ref="M744" si="124">M486*M$6</f>
        <v>0</v>
      </c>
      <c r="N744" s="111">
        <f>IF(COUNT($H744:M744)&gt;=Input!$Y$7,0,N486*N$6)</f>
        <v>0</v>
      </c>
      <c r="O744" s="111">
        <f>IF(COUNT($H744:N744)&gt;=Input!$Y$7,0,O486*O$6)</f>
        <v>0</v>
      </c>
      <c r="P744" s="111">
        <f>IF(COUNT($H744:O744)&gt;=Input!$Y$7,0,P486*P$6)</f>
        <v>0</v>
      </c>
      <c r="Q744" s="111">
        <f>IF(COUNT($H744:P744)&gt;=Input!$Y$7,0,Q486*Q$6)</f>
        <v>0</v>
      </c>
      <c r="R744" s="9"/>
      <c r="S744" s="9"/>
      <c r="T744" s="9"/>
      <c r="U744" s="9"/>
      <c r="V744" s="9"/>
      <c r="W744" s="9"/>
      <c r="X744" s="9"/>
      <c r="Y744" s="9"/>
      <c r="Z744" s="9"/>
      <c r="AB744" s="198"/>
      <c r="AC744" s="198"/>
      <c r="AD744" s="198"/>
      <c r="AE744" s="198"/>
      <c r="AF744" s="198"/>
      <c r="AG744" s="198"/>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9"/>
      <c r="BE744" s="9"/>
      <c r="BF744" s="9"/>
      <c r="BG744" s="9"/>
      <c r="BH744" s="9"/>
      <c r="BI744" s="9"/>
      <c r="BJ744" s="9"/>
      <c r="BK744" s="9"/>
      <c r="BL744" s="9"/>
    </row>
    <row r="745" spans="1:64" hidden="1" outlineLevel="1">
      <c r="A745" s="9"/>
      <c r="B745" s="9"/>
      <c r="C745" s="9"/>
      <c r="D745" s="270">
        <f>Asset18</f>
        <v>0</v>
      </c>
      <c r="E745" s="9"/>
      <c r="F745" s="9"/>
      <c r="G745" s="201">
        <f t="shared" si="117"/>
        <v>0</v>
      </c>
      <c r="H745" s="111">
        <f t="shared" si="117"/>
        <v>0</v>
      </c>
      <c r="I745" s="111">
        <f t="shared" si="117"/>
        <v>0</v>
      </c>
      <c r="J745" s="111">
        <f t="shared" si="117"/>
        <v>0</v>
      </c>
      <c r="K745" s="111">
        <f t="shared" si="117"/>
        <v>0</v>
      </c>
      <c r="L745" s="111">
        <f t="shared" si="117"/>
        <v>0</v>
      </c>
      <c r="M745" s="111">
        <f t="shared" ref="M745" si="125">M487*M$6</f>
        <v>0</v>
      </c>
      <c r="N745" s="111">
        <f>IF(COUNT($H745:M745)&gt;=Input!$Y$7,0,N487*N$6)</f>
        <v>0</v>
      </c>
      <c r="O745" s="111">
        <f>IF(COUNT($H745:N745)&gt;=Input!$Y$7,0,O487*O$6)</f>
        <v>0</v>
      </c>
      <c r="P745" s="111">
        <f>IF(COUNT($H745:O745)&gt;=Input!$Y$7,0,P487*P$6)</f>
        <v>0</v>
      </c>
      <c r="Q745" s="111">
        <f>IF(COUNT($H745:P745)&gt;=Input!$Y$7,0,Q487*Q$6)</f>
        <v>0</v>
      </c>
      <c r="R745" s="9"/>
      <c r="S745" s="9"/>
      <c r="T745" s="9"/>
      <c r="U745" s="9"/>
      <c r="V745" s="9"/>
      <c r="W745" s="9"/>
      <c r="X745" s="9"/>
      <c r="Y745" s="9"/>
      <c r="Z745" s="9"/>
      <c r="AB745" s="198"/>
      <c r="AC745" s="198"/>
      <c r="AD745" s="198"/>
      <c r="AE745" s="198"/>
      <c r="AF745" s="198"/>
      <c r="AG745" s="198"/>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9"/>
      <c r="BE745" s="9"/>
      <c r="BF745" s="9"/>
      <c r="BG745" s="9"/>
      <c r="BH745" s="9"/>
      <c r="BI745" s="9"/>
      <c r="BJ745" s="9"/>
      <c r="BK745" s="9"/>
      <c r="BL745" s="9"/>
    </row>
    <row r="746" spans="1:64" hidden="1" outlineLevel="1">
      <c r="A746" s="9"/>
      <c r="B746" s="9"/>
      <c r="C746" s="9"/>
      <c r="D746" s="270">
        <f>Asset19</f>
        <v>0</v>
      </c>
      <c r="E746" s="9"/>
      <c r="F746" s="9"/>
      <c r="G746" s="201">
        <f t="shared" si="117"/>
        <v>0</v>
      </c>
      <c r="H746" s="111">
        <f t="shared" si="117"/>
        <v>0</v>
      </c>
      <c r="I746" s="111">
        <f t="shared" si="117"/>
        <v>0</v>
      </c>
      <c r="J746" s="111">
        <f t="shared" si="117"/>
        <v>0</v>
      </c>
      <c r="K746" s="111">
        <f t="shared" si="117"/>
        <v>0</v>
      </c>
      <c r="L746" s="111">
        <f t="shared" si="117"/>
        <v>0</v>
      </c>
      <c r="M746" s="111">
        <f t="shared" ref="M746" si="126">M488*M$6</f>
        <v>0</v>
      </c>
      <c r="N746" s="111">
        <f>IF(COUNT($H746:M746)&gt;=Input!$Y$7,0,N488*N$6)</f>
        <v>0</v>
      </c>
      <c r="O746" s="111">
        <f>IF(COUNT($H746:N746)&gt;=Input!$Y$7,0,O488*O$6)</f>
        <v>0</v>
      </c>
      <c r="P746" s="111">
        <f>IF(COUNT($H746:O746)&gt;=Input!$Y$7,0,P488*P$6)</f>
        <v>0</v>
      </c>
      <c r="Q746" s="111">
        <f>IF(COUNT($H746:P746)&gt;=Input!$Y$7,0,Q488*Q$6)</f>
        <v>0</v>
      </c>
      <c r="R746" s="9"/>
      <c r="S746" s="9"/>
      <c r="T746" s="9"/>
      <c r="U746" s="9"/>
      <c r="V746" s="9"/>
      <c r="W746" s="9"/>
      <c r="X746" s="9"/>
      <c r="Y746" s="9"/>
      <c r="Z746" s="9"/>
      <c r="AB746" s="198"/>
      <c r="AC746" s="198"/>
      <c r="AD746" s="198"/>
      <c r="AE746" s="198"/>
      <c r="AF746" s="198"/>
      <c r="AG746" s="198"/>
      <c r="AH746" s="198"/>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9"/>
      <c r="BE746" s="9"/>
      <c r="BF746" s="9"/>
      <c r="BG746" s="9"/>
      <c r="BH746" s="9"/>
      <c r="BI746" s="9"/>
      <c r="BJ746" s="9"/>
      <c r="BK746" s="9"/>
      <c r="BL746" s="9"/>
    </row>
    <row r="747" spans="1:64" hidden="1" outlineLevel="1">
      <c r="A747" s="9"/>
      <c r="B747" s="9"/>
      <c r="C747" s="9"/>
      <c r="D747" s="270">
        <f>Asset20</f>
        <v>0</v>
      </c>
      <c r="E747" s="9"/>
      <c r="F747" s="9"/>
      <c r="G747" s="201">
        <f t="shared" si="117"/>
        <v>0</v>
      </c>
      <c r="H747" s="111">
        <f t="shared" si="117"/>
        <v>0</v>
      </c>
      <c r="I747" s="111">
        <f t="shared" si="117"/>
        <v>0</v>
      </c>
      <c r="J747" s="111">
        <f t="shared" si="117"/>
        <v>0</v>
      </c>
      <c r="K747" s="111">
        <f t="shared" si="117"/>
        <v>0</v>
      </c>
      <c r="L747" s="111">
        <f t="shared" si="117"/>
        <v>0</v>
      </c>
      <c r="M747" s="111">
        <f t="shared" ref="M747" si="127">M489*M$6</f>
        <v>0</v>
      </c>
      <c r="N747" s="111">
        <f>IF(COUNT($H747:M747)&gt;=Input!$Y$7,0,N489*N$6)</f>
        <v>0</v>
      </c>
      <c r="O747" s="111">
        <f>IF(COUNT($H747:N747)&gt;=Input!$Y$7,0,O489*O$6)</f>
        <v>0</v>
      </c>
      <c r="P747" s="111">
        <f>IF(COUNT($H747:O747)&gt;=Input!$Y$7,0,P489*P$6)</f>
        <v>0</v>
      </c>
      <c r="Q747" s="111">
        <f>IF(COUNT($H747:P747)&gt;=Input!$Y$7,0,Q489*Q$6)</f>
        <v>0</v>
      </c>
      <c r="R747" s="9"/>
      <c r="S747" s="9"/>
      <c r="T747" s="9"/>
      <c r="U747" s="9"/>
      <c r="V747" s="9"/>
      <c r="W747" s="9"/>
      <c r="X747" s="9"/>
      <c r="Y747" s="9"/>
      <c r="Z747" s="9"/>
      <c r="AB747" s="198"/>
      <c r="AC747" s="198"/>
      <c r="AD747" s="198"/>
      <c r="AE747" s="198"/>
      <c r="AF747" s="198"/>
      <c r="AG747" s="198"/>
      <c r="AH747" s="198"/>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9"/>
      <c r="BE747" s="9"/>
      <c r="BF747" s="9"/>
      <c r="BG747" s="9"/>
      <c r="BH747" s="9"/>
      <c r="BI747" s="9"/>
      <c r="BJ747" s="9"/>
      <c r="BK747" s="9"/>
      <c r="BL747" s="9"/>
    </row>
    <row r="748" spans="1:64" hidden="1" outlineLevel="1">
      <c r="A748" s="9"/>
      <c r="B748" s="9"/>
      <c r="C748" s="9"/>
      <c r="D748" s="270">
        <f>Asset21</f>
        <v>0</v>
      </c>
      <c r="E748" s="9"/>
      <c r="F748" s="9"/>
      <c r="G748" s="201">
        <f t="shared" ref="G748:L757" si="128">G490*G$6</f>
        <v>0</v>
      </c>
      <c r="H748" s="111">
        <f t="shared" si="128"/>
        <v>0</v>
      </c>
      <c r="I748" s="111">
        <f t="shared" si="128"/>
        <v>0</v>
      </c>
      <c r="J748" s="111">
        <f t="shared" si="128"/>
        <v>0</v>
      </c>
      <c r="K748" s="111">
        <f t="shared" si="128"/>
        <v>0</v>
      </c>
      <c r="L748" s="111">
        <f t="shared" si="128"/>
        <v>0</v>
      </c>
      <c r="M748" s="111">
        <f t="shared" ref="M748" si="129">M490*M$6</f>
        <v>0</v>
      </c>
      <c r="N748" s="111">
        <f>IF(COUNT($H748:M748)&gt;=Input!$Y$7,0,N490*N$6)</f>
        <v>0</v>
      </c>
      <c r="O748" s="111">
        <f>IF(COUNT($H748:N748)&gt;=Input!$Y$7,0,O490*O$6)</f>
        <v>0</v>
      </c>
      <c r="P748" s="111">
        <f>IF(COUNT($H748:O748)&gt;=Input!$Y$7,0,P490*P$6)</f>
        <v>0</v>
      </c>
      <c r="Q748" s="111">
        <f>IF(COUNT($H748:P748)&gt;=Input!$Y$7,0,Q490*Q$6)</f>
        <v>0</v>
      </c>
      <c r="R748" s="9"/>
      <c r="S748" s="9"/>
      <c r="T748" s="9"/>
      <c r="U748" s="9"/>
      <c r="V748" s="9"/>
      <c r="W748" s="9"/>
      <c r="X748" s="9"/>
      <c r="Y748" s="9"/>
      <c r="Z748" s="9"/>
      <c r="AB748" s="198"/>
      <c r="AC748" s="198"/>
      <c r="AD748" s="198"/>
      <c r="AE748" s="198"/>
      <c r="AF748" s="198"/>
      <c r="AG748" s="198"/>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9"/>
      <c r="BE748" s="9"/>
      <c r="BF748" s="9"/>
      <c r="BG748" s="9"/>
      <c r="BH748" s="9"/>
      <c r="BI748" s="9"/>
      <c r="BJ748" s="9"/>
      <c r="BK748" s="9"/>
      <c r="BL748" s="9"/>
    </row>
    <row r="749" spans="1:64" hidden="1" outlineLevel="1">
      <c r="A749" s="9"/>
      <c r="B749" s="9"/>
      <c r="C749" s="9"/>
      <c r="D749" s="270">
        <f>Asset22</f>
        <v>0</v>
      </c>
      <c r="E749" s="9"/>
      <c r="F749" s="9"/>
      <c r="G749" s="201">
        <f t="shared" si="128"/>
        <v>0</v>
      </c>
      <c r="H749" s="111">
        <f t="shared" si="128"/>
        <v>0</v>
      </c>
      <c r="I749" s="111">
        <f t="shared" si="128"/>
        <v>0</v>
      </c>
      <c r="J749" s="111">
        <f t="shared" si="128"/>
        <v>0</v>
      </c>
      <c r="K749" s="111">
        <f t="shared" si="128"/>
        <v>0</v>
      </c>
      <c r="L749" s="111">
        <f t="shared" si="128"/>
        <v>0</v>
      </c>
      <c r="M749" s="111">
        <f t="shared" ref="M749" si="130">M491*M$6</f>
        <v>0</v>
      </c>
      <c r="N749" s="111">
        <f>IF(COUNT($H749:M749)&gt;=Input!$Y$7,0,N491*N$6)</f>
        <v>0</v>
      </c>
      <c r="O749" s="111">
        <f>IF(COUNT($H749:N749)&gt;=Input!$Y$7,0,O491*O$6)</f>
        <v>0</v>
      </c>
      <c r="P749" s="111">
        <f>IF(COUNT($H749:O749)&gt;=Input!$Y$7,0,P491*P$6)</f>
        <v>0</v>
      </c>
      <c r="Q749" s="111">
        <f>IF(COUNT($H749:P749)&gt;=Input!$Y$7,0,Q491*Q$6)</f>
        <v>0</v>
      </c>
      <c r="R749" s="9"/>
      <c r="S749" s="9"/>
      <c r="T749" s="9"/>
      <c r="U749" s="9"/>
      <c r="V749" s="9"/>
      <c r="W749" s="9"/>
      <c r="X749" s="9"/>
      <c r="Y749" s="9"/>
      <c r="Z749" s="9"/>
      <c r="AB749" s="198"/>
      <c r="AC749" s="198"/>
      <c r="AD749" s="198"/>
      <c r="AE749" s="198"/>
      <c r="AF749" s="198"/>
      <c r="AG749" s="198"/>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9"/>
      <c r="BE749" s="9"/>
      <c r="BF749" s="9"/>
      <c r="BG749" s="9"/>
      <c r="BH749" s="9"/>
      <c r="BI749" s="9"/>
      <c r="BJ749" s="9"/>
      <c r="BK749" s="9"/>
      <c r="BL749" s="9"/>
    </row>
    <row r="750" spans="1:64" hidden="1" outlineLevel="1">
      <c r="A750" s="9"/>
      <c r="B750" s="9"/>
      <c r="C750" s="9"/>
      <c r="D750" s="270">
        <f>Asset23</f>
        <v>0</v>
      </c>
      <c r="E750" s="9"/>
      <c r="F750" s="9"/>
      <c r="G750" s="201">
        <f t="shared" si="128"/>
        <v>0</v>
      </c>
      <c r="H750" s="111">
        <f t="shared" si="128"/>
        <v>0</v>
      </c>
      <c r="I750" s="111">
        <f t="shared" si="128"/>
        <v>0</v>
      </c>
      <c r="J750" s="111">
        <f t="shared" si="128"/>
        <v>0</v>
      </c>
      <c r="K750" s="111">
        <f t="shared" si="128"/>
        <v>0</v>
      </c>
      <c r="L750" s="111">
        <f t="shared" si="128"/>
        <v>0</v>
      </c>
      <c r="M750" s="111">
        <f t="shared" ref="M750" si="131">M492*M$6</f>
        <v>0</v>
      </c>
      <c r="N750" s="111">
        <f>IF(COUNT($H750:M750)&gt;=Input!$Y$7,0,N492*N$6)</f>
        <v>0</v>
      </c>
      <c r="O750" s="111">
        <f>IF(COUNT($H750:N750)&gt;=Input!$Y$7,0,O492*O$6)</f>
        <v>0</v>
      </c>
      <c r="P750" s="111">
        <f>IF(COUNT($H750:O750)&gt;=Input!$Y$7,0,P492*P$6)</f>
        <v>0</v>
      </c>
      <c r="Q750" s="111">
        <f>IF(COUNT($H750:P750)&gt;=Input!$Y$7,0,Q492*Q$6)</f>
        <v>0</v>
      </c>
      <c r="R750" s="9"/>
      <c r="S750" s="9"/>
      <c r="T750" s="9"/>
      <c r="U750" s="9"/>
      <c r="V750" s="9"/>
      <c r="W750" s="9"/>
      <c r="X750" s="9"/>
      <c r="Y750" s="9"/>
      <c r="Z750" s="9"/>
      <c r="AB750" s="198"/>
      <c r="AC750" s="198"/>
      <c r="AD750" s="198"/>
      <c r="AE750" s="198"/>
      <c r="AF750" s="198"/>
      <c r="AG750" s="198"/>
      <c r="AH750" s="198"/>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9"/>
      <c r="BE750" s="9"/>
      <c r="BF750" s="9"/>
      <c r="BG750" s="9"/>
      <c r="BH750" s="9"/>
      <c r="BI750" s="9"/>
      <c r="BJ750" s="9"/>
      <c r="BK750" s="9"/>
      <c r="BL750" s="9"/>
    </row>
    <row r="751" spans="1:64" hidden="1" outlineLevel="1">
      <c r="A751" s="9"/>
      <c r="B751" s="9"/>
      <c r="C751" s="9"/>
      <c r="D751" s="270">
        <f>Asset24</f>
        <v>0</v>
      </c>
      <c r="E751" s="9"/>
      <c r="F751" s="9"/>
      <c r="G751" s="201">
        <f t="shared" si="128"/>
        <v>0</v>
      </c>
      <c r="H751" s="111">
        <f t="shared" si="128"/>
        <v>0</v>
      </c>
      <c r="I751" s="111">
        <f t="shared" si="128"/>
        <v>0</v>
      </c>
      <c r="J751" s="111">
        <f t="shared" si="128"/>
        <v>0</v>
      </c>
      <c r="K751" s="111">
        <f t="shared" si="128"/>
        <v>0</v>
      </c>
      <c r="L751" s="111">
        <f t="shared" si="128"/>
        <v>0</v>
      </c>
      <c r="M751" s="111">
        <f t="shared" ref="M751" si="132">M493*M$6</f>
        <v>0</v>
      </c>
      <c r="N751" s="111">
        <f>IF(COUNT($H751:M751)&gt;=Input!$Y$7,0,N493*N$6)</f>
        <v>0</v>
      </c>
      <c r="O751" s="111">
        <f>IF(COUNT($H751:N751)&gt;=Input!$Y$7,0,O493*O$6)</f>
        <v>0</v>
      </c>
      <c r="P751" s="111">
        <f>IF(COUNT($H751:O751)&gt;=Input!$Y$7,0,P493*P$6)</f>
        <v>0</v>
      </c>
      <c r="Q751" s="111">
        <f>IF(COUNT($H751:P751)&gt;=Input!$Y$7,0,Q493*Q$6)</f>
        <v>0</v>
      </c>
      <c r="R751" s="9"/>
      <c r="S751" s="9"/>
      <c r="T751" s="9"/>
      <c r="U751" s="9"/>
      <c r="V751" s="9"/>
      <c r="W751" s="9"/>
      <c r="X751" s="9"/>
      <c r="Y751" s="9"/>
      <c r="Z751" s="9"/>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9"/>
      <c r="BE751" s="9"/>
      <c r="BF751" s="9"/>
      <c r="BG751" s="9"/>
      <c r="BH751" s="9"/>
      <c r="BI751" s="9"/>
      <c r="BJ751" s="9"/>
      <c r="BK751" s="9"/>
      <c r="BL751" s="9"/>
    </row>
    <row r="752" spans="1:64" hidden="1" outlineLevel="1">
      <c r="A752" s="9"/>
      <c r="B752" s="9"/>
      <c r="C752" s="9"/>
      <c r="D752" s="270">
        <f>Asset25</f>
        <v>0</v>
      </c>
      <c r="E752" s="9"/>
      <c r="F752" s="9"/>
      <c r="G752" s="201">
        <f t="shared" si="128"/>
        <v>0</v>
      </c>
      <c r="H752" s="111">
        <f t="shared" si="128"/>
        <v>0</v>
      </c>
      <c r="I752" s="111">
        <f t="shared" si="128"/>
        <v>0</v>
      </c>
      <c r="J752" s="111">
        <f t="shared" si="128"/>
        <v>0</v>
      </c>
      <c r="K752" s="111">
        <f t="shared" si="128"/>
        <v>0</v>
      </c>
      <c r="L752" s="111">
        <f t="shared" si="128"/>
        <v>0</v>
      </c>
      <c r="M752" s="111">
        <f t="shared" ref="M752" si="133">M494*M$6</f>
        <v>0</v>
      </c>
      <c r="N752" s="111">
        <f>IF(COUNT($H752:M752)&gt;=Input!$Y$7,0,N494*N$6)</f>
        <v>0</v>
      </c>
      <c r="O752" s="111">
        <f>IF(COUNT($H752:N752)&gt;=Input!$Y$7,0,O494*O$6)</f>
        <v>0</v>
      </c>
      <c r="P752" s="111">
        <f>IF(COUNT($H752:O752)&gt;=Input!$Y$7,0,P494*P$6)</f>
        <v>0</v>
      </c>
      <c r="Q752" s="111">
        <f>IF(COUNT($H752:P752)&gt;=Input!$Y$7,0,Q494*Q$6)</f>
        <v>0</v>
      </c>
      <c r="R752" s="9"/>
      <c r="S752" s="9"/>
      <c r="T752" s="9"/>
      <c r="U752" s="9"/>
      <c r="V752" s="9"/>
      <c r="W752" s="9"/>
      <c r="X752" s="9"/>
      <c r="Y752" s="9"/>
      <c r="Z752" s="9"/>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9"/>
      <c r="BE752" s="9"/>
      <c r="BF752" s="9"/>
      <c r="BG752" s="9"/>
      <c r="BH752" s="9"/>
      <c r="BI752" s="9"/>
      <c r="BJ752" s="9"/>
      <c r="BK752" s="9"/>
      <c r="BL752" s="9"/>
    </row>
    <row r="753" spans="1:64" hidden="1" outlineLevel="1">
      <c r="A753" s="9"/>
      <c r="B753" s="9"/>
      <c r="C753" s="9"/>
      <c r="D753" s="270">
        <f>Asset26</f>
        <v>0</v>
      </c>
      <c r="E753" s="9"/>
      <c r="F753" s="9"/>
      <c r="G753" s="201">
        <f t="shared" si="128"/>
        <v>0</v>
      </c>
      <c r="H753" s="111">
        <f t="shared" si="128"/>
        <v>0</v>
      </c>
      <c r="I753" s="111">
        <f t="shared" si="128"/>
        <v>0</v>
      </c>
      <c r="J753" s="111">
        <f t="shared" si="128"/>
        <v>0</v>
      </c>
      <c r="K753" s="111">
        <f t="shared" si="128"/>
        <v>0</v>
      </c>
      <c r="L753" s="111">
        <f t="shared" si="128"/>
        <v>0</v>
      </c>
      <c r="M753" s="111">
        <f t="shared" ref="M753" si="134">M495*M$6</f>
        <v>0</v>
      </c>
      <c r="N753" s="111">
        <f>IF(COUNT($H753:M753)&gt;=Input!$Y$7,0,N495*N$6)</f>
        <v>0</v>
      </c>
      <c r="O753" s="111">
        <f>IF(COUNT($H753:N753)&gt;=Input!$Y$7,0,O495*O$6)</f>
        <v>0</v>
      </c>
      <c r="P753" s="111">
        <f>IF(COUNT($H753:O753)&gt;=Input!$Y$7,0,P495*P$6)</f>
        <v>0</v>
      </c>
      <c r="Q753" s="111">
        <f>IF(COUNT($H753:P753)&gt;=Input!$Y$7,0,Q495*Q$6)</f>
        <v>0</v>
      </c>
      <c r="R753" s="9"/>
      <c r="S753" s="9"/>
      <c r="T753" s="9"/>
      <c r="U753" s="9"/>
      <c r="V753" s="9"/>
      <c r="W753" s="9"/>
      <c r="X753" s="9"/>
      <c r="Y753" s="9"/>
      <c r="Z753" s="9"/>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9"/>
      <c r="BE753" s="9"/>
      <c r="BF753" s="9"/>
      <c r="BG753" s="9"/>
      <c r="BH753" s="9"/>
      <c r="BI753" s="9"/>
      <c r="BJ753" s="9"/>
      <c r="BK753" s="9"/>
      <c r="BL753" s="9"/>
    </row>
    <row r="754" spans="1:64" hidden="1" outlineLevel="1">
      <c r="A754" s="9"/>
      <c r="B754" s="9"/>
      <c r="C754" s="9"/>
      <c r="D754" s="270">
        <f>Asset27</f>
        <v>0</v>
      </c>
      <c r="E754" s="9"/>
      <c r="F754" s="9"/>
      <c r="G754" s="201">
        <f t="shared" si="128"/>
        <v>0</v>
      </c>
      <c r="H754" s="111">
        <f t="shared" si="128"/>
        <v>0</v>
      </c>
      <c r="I754" s="111">
        <f t="shared" si="128"/>
        <v>0</v>
      </c>
      <c r="J754" s="111">
        <f t="shared" si="128"/>
        <v>0</v>
      </c>
      <c r="K754" s="111">
        <f t="shared" si="128"/>
        <v>0</v>
      </c>
      <c r="L754" s="111">
        <f t="shared" si="128"/>
        <v>0</v>
      </c>
      <c r="M754" s="111">
        <f t="shared" ref="M754" si="135">M496*M$6</f>
        <v>0</v>
      </c>
      <c r="N754" s="111">
        <f>IF(COUNT($H754:M754)&gt;=Input!$Y$7,0,N496*N$6)</f>
        <v>0</v>
      </c>
      <c r="O754" s="111">
        <f>IF(COUNT($H754:N754)&gt;=Input!$Y$7,0,O496*O$6)</f>
        <v>0</v>
      </c>
      <c r="P754" s="111">
        <f>IF(COUNT($H754:O754)&gt;=Input!$Y$7,0,P496*P$6)</f>
        <v>0</v>
      </c>
      <c r="Q754" s="111">
        <f>IF(COUNT($H754:P754)&gt;=Input!$Y$7,0,Q496*Q$6)</f>
        <v>0</v>
      </c>
      <c r="R754" s="9"/>
      <c r="S754" s="9"/>
      <c r="T754" s="9"/>
      <c r="U754" s="9"/>
      <c r="V754" s="9"/>
      <c r="W754" s="9"/>
      <c r="X754" s="9"/>
      <c r="Y754" s="9"/>
      <c r="Z754" s="9"/>
      <c r="AB754" s="198"/>
      <c r="AC754" s="198"/>
      <c r="AD754" s="198"/>
      <c r="AE754" s="198"/>
      <c r="AF754" s="198"/>
      <c r="AG754" s="198"/>
      <c r="AH754" s="198"/>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9"/>
      <c r="BE754" s="9"/>
      <c r="BF754" s="9"/>
      <c r="BG754" s="9"/>
      <c r="BH754" s="9"/>
      <c r="BI754" s="9"/>
      <c r="BJ754" s="9"/>
      <c r="BK754" s="9"/>
      <c r="BL754" s="9"/>
    </row>
    <row r="755" spans="1:64" hidden="1" outlineLevel="1">
      <c r="A755" s="9"/>
      <c r="B755" s="9"/>
      <c r="C755" s="9"/>
      <c r="D755" s="270">
        <f>Asset28</f>
        <v>0</v>
      </c>
      <c r="E755" s="9"/>
      <c r="F755" s="9"/>
      <c r="G755" s="201">
        <f t="shared" si="128"/>
        <v>0</v>
      </c>
      <c r="H755" s="111">
        <f t="shared" si="128"/>
        <v>0</v>
      </c>
      <c r="I755" s="111">
        <f t="shared" si="128"/>
        <v>0</v>
      </c>
      <c r="J755" s="111">
        <f t="shared" si="128"/>
        <v>0</v>
      </c>
      <c r="K755" s="111">
        <f t="shared" si="128"/>
        <v>0</v>
      </c>
      <c r="L755" s="111">
        <f t="shared" si="128"/>
        <v>0</v>
      </c>
      <c r="M755" s="111">
        <f t="shared" ref="M755" si="136">M497*M$6</f>
        <v>0</v>
      </c>
      <c r="N755" s="111">
        <f>IF(COUNT($H755:M755)&gt;=Input!$Y$7,0,N497*N$6)</f>
        <v>0</v>
      </c>
      <c r="O755" s="111">
        <f>IF(COUNT($H755:N755)&gt;=Input!$Y$7,0,O497*O$6)</f>
        <v>0</v>
      </c>
      <c r="P755" s="111">
        <f>IF(COUNT($H755:O755)&gt;=Input!$Y$7,0,P497*P$6)</f>
        <v>0</v>
      </c>
      <c r="Q755" s="111">
        <f>IF(COUNT($H755:P755)&gt;=Input!$Y$7,0,Q497*Q$6)</f>
        <v>0</v>
      </c>
      <c r="R755" s="9"/>
      <c r="S755" s="9"/>
      <c r="T755" s="9"/>
      <c r="U755" s="9"/>
      <c r="V755" s="9"/>
      <c r="W755" s="9"/>
      <c r="X755" s="9"/>
      <c r="Y755" s="9"/>
      <c r="Z755" s="9"/>
      <c r="AB755" s="198"/>
      <c r="AC755" s="198"/>
      <c r="AD755" s="198"/>
      <c r="AE755" s="198"/>
      <c r="AF755" s="198"/>
      <c r="AG755" s="198"/>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9"/>
      <c r="BE755" s="9"/>
      <c r="BF755" s="9"/>
      <c r="BG755" s="9"/>
      <c r="BH755" s="9"/>
      <c r="BI755" s="9"/>
      <c r="BJ755" s="9"/>
      <c r="BK755" s="9"/>
      <c r="BL755" s="9"/>
    </row>
    <row r="756" spans="1:64" hidden="1" outlineLevel="1">
      <c r="A756" s="9"/>
      <c r="B756" s="9"/>
      <c r="C756" s="9"/>
      <c r="D756" s="270">
        <f>Asset29</f>
        <v>0</v>
      </c>
      <c r="E756" s="9"/>
      <c r="F756" s="9"/>
      <c r="G756" s="201">
        <f t="shared" si="128"/>
        <v>0</v>
      </c>
      <c r="H756" s="111">
        <f t="shared" si="128"/>
        <v>0</v>
      </c>
      <c r="I756" s="111">
        <f t="shared" si="128"/>
        <v>0</v>
      </c>
      <c r="J756" s="111">
        <f t="shared" si="128"/>
        <v>0</v>
      </c>
      <c r="K756" s="111">
        <f t="shared" si="128"/>
        <v>0</v>
      </c>
      <c r="L756" s="111">
        <f t="shared" si="128"/>
        <v>0</v>
      </c>
      <c r="M756" s="111">
        <f t="shared" ref="M756" si="137">M498*M$6</f>
        <v>0</v>
      </c>
      <c r="N756" s="111">
        <f>IF(COUNT($H756:M756)&gt;=Input!$Y$7,0,N498*N$6)</f>
        <v>0</v>
      </c>
      <c r="O756" s="111">
        <f>IF(COUNT($H756:N756)&gt;=Input!$Y$7,0,O498*O$6)</f>
        <v>0</v>
      </c>
      <c r="P756" s="111">
        <f>IF(COUNT($H756:O756)&gt;=Input!$Y$7,0,P498*P$6)</f>
        <v>0</v>
      </c>
      <c r="Q756" s="111">
        <f>IF(COUNT($H756:P756)&gt;=Input!$Y$7,0,Q498*Q$6)</f>
        <v>0</v>
      </c>
      <c r="R756" s="9"/>
      <c r="S756" s="9"/>
      <c r="T756" s="9"/>
      <c r="U756" s="9"/>
      <c r="V756" s="9"/>
      <c r="W756" s="9"/>
      <c r="X756" s="9"/>
      <c r="Y756" s="9"/>
      <c r="Z756" s="9"/>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9"/>
      <c r="BE756" s="9"/>
      <c r="BF756" s="9"/>
      <c r="BG756" s="9"/>
      <c r="BH756" s="9"/>
      <c r="BI756" s="9"/>
      <c r="BJ756" s="9"/>
      <c r="BK756" s="9"/>
      <c r="BL756" s="9"/>
    </row>
    <row r="757" spans="1:64" hidden="1" outlineLevel="1">
      <c r="A757" s="9"/>
      <c r="B757" s="9"/>
      <c r="C757" s="9"/>
      <c r="D757" s="270">
        <f>Asset30</f>
        <v>0</v>
      </c>
      <c r="E757" s="9"/>
      <c r="F757" s="9"/>
      <c r="G757" s="201">
        <f t="shared" si="128"/>
        <v>0</v>
      </c>
      <c r="H757" s="111">
        <f t="shared" si="128"/>
        <v>0</v>
      </c>
      <c r="I757" s="111">
        <f t="shared" si="128"/>
        <v>0</v>
      </c>
      <c r="J757" s="111">
        <f t="shared" si="128"/>
        <v>0</v>
      </c>
      <c r="K757" s="111">
        <f t="shared" si="128"/>
        <v>0</v>
      </c>
      <c r="L757" s="111">
        <f t="shared" si="128"/>
        <v>0</v>
      </c>
      <c r="M757" s="111">
        <f t="shared" ref="M757" si="138">M499*M$6</f>
        <v>0</v>
      </c>
      <c r="N757" s="111">
        <f>IF(COUNT($H757:M757)&gt;=Input!$Y$7,0,N499*N$6)</f>
        <v>0</v>
      </c>
      <c r="O757" s="111">
        <f>IF(COUNT($H757:N757)&gt;=Input!$Y$7,0,O499*O$6)</f>
        <v>0</v>
      </c>
      <c r="P757" s="111">
        <f>IF(COUNT($H757:O757)&gt;=Input!$Y$7,0,P499*P$6)</f>
        <v>0</v>
      </c>
      <c r="Q757" s="111">
        <f>IF(COUNT($H757:P757)&gt;=Input!$Y$7,0,Q499*Q$6)</f>
        <v>0</v>
      </c>
      <c r="R757" s="9"/>
      <c r="S757" s="9"/>
      <c r="T757" s="9"/>
      <c r="U757" s="9"/>
      <c r="V757" s="9"/>
      <c r="W757" s="9"/>
      <c r="X757" s="9"/>
      <c r="Y757" s="9"/>
      <c r="Z757" s="9"/>
      <c r="AB757" s="198"/>
      <c r="AC757" s="198"/>
      <c r="AD757" s="198"/>
      <c r="AE757" s="198"/>
      <c r="AF757" s="198"/>
      <c r="AG757" s="198"/>
      <c r="AH757" s="198"/>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9"/>
      <c r="BE757" s="9"/>
      <c r="BF757" s="9"/>
      <c r="BG757" s="9"/>
      <c r="BH757" s="9"/>
      <c r="BI757" s="9"/>
      <c r="BJ757" s="9"/>
      <c r="BK757" s="9"/>
      <c r="BL757" s="9"/>
    </row>
    <row r="758" spans="1:64" ht="13.5" customHeight="1" collapsed="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B758" s="198"/>
      <c r="AC758" s="198"/>
      <c r="AD758" s="198"/>
      <c r="AE758" s="198"/>
      <c r="AF758" s="198"/>
      <c r="AG758" s="198"/>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9"/>
      <c r="BE758" s="9"/>
      <c r="BF758" s="9"/>
      <c r="BG758" s="9"/>
      <c r="BH758" s="9"/>
      <c r="BI758" s="9"/>
      <c r="BJ758" s="9"/>
      <c r="BK758" s="9"/>
      <c r="BL758" s="9"/>
    </row>
    <row r="759" spans="1:64" s="12" customFormat="1">
      <c r="A759" s="74"/>
      <c r="B759" s="74"/>
      <c r="C759" s="81" t="s">
        <v>97</v>
      </c>
      <c r="D759" s="74"/>
      <c r="E759" s="74"/>
      <c r="F759" s="74"/>
      <c r="G759" s="84"/>
      <c r="H759" s="117"/>
      <c r="I759" s="117"/>
      <c r="J759" s="117"/>
      <c r="K759" s="117"/>
      <c r="L759" s="117"/>
      <c r="M759" s="117"/>
      <c r="N759" s="85"/>
      <c r="O759" s="85"/>
      <c r="P759" s="85"/>
      <c r="Q759" s="85"/>
      <c r="R759" s="85"/>
      <c r="S759" s="85"/>
      <c r="T759" s="106"/>
      <c r="U759" s="106"/>
      <c r="V759" s="106"/>
      <c r="W759" s="106"/>
      <c r="X759" s="106"/>
      <c r="Y759" s="106"/>
      <c r="Z759" s="106"/>
      <c r="AA759" s="215"/>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row>
    <row r="760" spans="1:64">
      <c r="A760" s="9"/>
      <c r="B760" s="9"/>
      <c r="C760" s="9"/>
      <c r="D760" s="9"/>
      <c r="E760" s="9"/>
      <c r="F760" s="9"/>
      <c r="G760" s="9"/>
      <c r="H760" s="9"/>
      <c r="I760" s="9"/>
      <c r="J760" s="9"/>
      <c r="K760" s="9"/>
      <c r="L760" s="9"/>
      <c r="M760" s="9"/>
      <c r="N760" s="9"/>
      <c r="O760" s="9"/>
      <c r="P760" s="9"/>
      <c r="Q760" s="9"/>
      <c r="R760" s="9"/>
      <c r="S760" s="9"/>
      <c r="T760" s="106"/>
      <c r="U760" s="106"/>
      <c r="V760" s="106"/>
      <c r="W760" s="106"/>
      <c r="X760" s="106"/>
      <c r="Y760" s="106"/>
      <c r="Z760" s="106"/>
      <c r="AA760" s="215"/>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106"/>
      <c r="BE760" s="106"/>
      <c r="BF760" s="106"/>
      <c r="BG760" s="106"/>
      <c r="BH760" s="106"/>
      <c r="BI760" s="106"/>
      <c r="BJ760" s="106"/>
      <c r="BK760" s="12"/>
      <c r="BL760" s="12"/>
    </row>
    <row r="761" spans="1:64">
      <c r="A761" s="9"/>
      <c r="B761" s="9"/>
      <c r="C761" s="44" t="s">
        <v>86</v>
      </c>
      <c r="D761" s="9"/>
      <c r="E761" s="9"/>
      <c r="F761" s="9"/>
      <c r="G761" s="312">
        <f>SUM(G762:G791)</f>
        <v>1956.232102585243</v>
      </c>
      <c r="H761" s="363">
        <f>SUM(H762:H791)</f>
        <v>2174.1990292795417</v>
      </c>
      <c r="I761" s="313">
        <f t="shared" ref="I761:Q761" si="139">SUM(I762:I791)</f>
        <v>2188.4180220726726</v>
      </c>
      <c r="J761" s="313">
        <f t="shared" si="139"/>
        <v>2208.6910981523019</v>
      </c>
      <c r="K761" s="313">
        <f t="shared" si="139"/>
        <v>2258.8894557200347</v>
      </c>
      <c r="L761" s="313">
        <f t="shared" si="139"/>
        <v>2329.4712192319889</v>
      </c>
      <c r="M761" s="313">
        <f t="shared" si="139"/>
        <v>2396.4417657525819</v>
      </c>
      <c r="N761" s="313">
        <f t="shared" si="139"/>
        <v>2471.2211100288623</v>
      </c>
      <c r="O761" s="313">
        <f t="shared" si="139"/>
        <v>0</v>
      </c>
      <c r="P761" s="313">
        <f t="shared" si="139"/>
        <v>0</v>
      </c>
      <c r="Q761" s="313">
        <f t="shared" si="139"/>
        <v>0</v>
      </c>
      <c r="R761" s="313">
        <f>SUM(R762:R791)</f>
        <v>0</v>
      </c>
      <c r="S761" s="280"/>
      <c r="T761" s="99"/>
      <c r="U761" s="99"/>
      <c r="V761" s="99"/>
      <c r="W761" s="99"/>
      <c r="X761" s="99"/>
      <c r="Y761" s="99"/>
      <c r="Z761" s="99"/>
      <c r="AA761" s="230"/>
      <c r="AB761" s="230"/>
      <c r="AC761" s="230"/>
      <c r="AD761" s="230"/>
      <c r="AE761" s="230"/>
      <c r="AF761" s="230"/>
      <c r="AG761" s="230"/>
      <c r="AH761" s="230"/>
      <c r="AI761" s="230"/>
      <c r="AJ761" s="230"/>
      <c r="AK761" s="230"/>
      <c r="AL761" s="230"/>
      <c r="AM761" s="230"/>
      <c r="AN761" s="230"/>
      <c r="AO761" s="230"/>
      <c r="AP761" s="230"/>
      <c r="AQ761" s="230"/>
      <c r="AR761" s="230"/>
      <c r="AS761" s="230"/>
      <c r="AT761" s="230"/>
      <c r="AU761" s="230"/>
      <c r="AV761" s="230"/>
      <c r="AW761" s="230"/>
      <c r="AX761" s="230"/>
      <c r="AY761" s="230"/>
      <c r="AZ761" s="230"/>
      <c r="BA761" s="230"/>
      <c r="BB761" s="230"/>
      <c r="BC761" s="230"/>
      <c r="BD761" s="99"/>
      <c r="BE761" s="99"/>
      <c r="BF761" s="99"/>
      <c r="BG761" s="99"/>
      <c r="BH761" s="99"/>
      <c r="BI761" s="99"/>
      <c r="BJ761" s="99"/>
      <c r="BK761" s="12"/>
      <c r="BL761" s="12"/>
    </row>
    <row r="762" spans="1:64" hidden="1" outlineLevel="1">
      <c r="A762" s="9"/>
      <c r="B762" s="9"/>
      <c r="C762" s="9"/>
      <c r="D762" s="270" t="str">
        <f>Asset1</f>
        <v>Secondary</v>
      </c>
      <c r="E762" s="9"/>
      <c r="F762" s="9"/>
      <c r="G762" s="201">
        <f>Input!J7</f>
        <v>132.02570901226696</v>
      </c>
      <c r="H762" s="331">
        <f>G762+G794+G826+G858+G890+G922</f>
        <v>142.69945303295879</v>
      </c>
      <c r="I762" s="111">
        <f t="shared" ref="I762:N771" si="140">H762+H794+H826</f>
        <v>136.88118482617858</v>
      </c>
      <c r="J762" s="111">
        <f t="shared" si="140"/>
        <v>123.04315752119351</v>
      </c>
      <c r="K762" s="111">
        <f t="shared" si="140"/>
        <v>117.09868012573659</v>
      </c>
      <c r="L762" s="111">
        <f t="shared" si="140"/>
        <v>111.46950962105612</v>
      </c>
      <c r="M762" s="111">
        <f t="shared" si="140"/>
        <v>124.50563246040605</v>
      </c>
      <c r="N762" s="111">
        <f t="shared" si="140"/>
        <v>135.53976877246347</v>
      </c>
      <c r="O762" s="111">
        <f>IF(COUNT($H762:N762)&gt;Input!$Y$7,0, N762+N794+N826)</f>
        <v>0</v>
      </c>
      <c r="P762" s="111">
        <f>IF(COUNT($H762:O762)&gt;Input!$Y$7,0, O762+O794+O826)</f>
        <v>0</v>
      </c>
      <c r="Q762" s="111">
        <f>IF(COUNT($H762:P762)&gt;Input!$Y$7,0, P762+P794+P826)</f>
        <v>0</v>
      </c>
      <c r="R762" s="111">
        <f>IF(COUNT($H762:Q762)&gt;Input!$Y$7,0, Q762+Q794+Q826)</f>
        <v>0</v>
      </c>
      <c r="S762" s="9"/>
      <c r="T762" s="9"/>
      <c r="U762" s="9"/>
      <c r="V762" s="9"/>
      <c r="W762" s="9"/>
      <c r="X762" s="9"/>
      <c r="Y762" s="9"/>
      <c r="Z762" s="9"/>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9"/>
      <c r="BE762" s="9"/>
      <c r="BF762" s="9"/>
      <c r="BG762" s="9"/>
      <c r="BH762" s="9"/>
      <c r="BI762" s="9"/>
      <c r="BJ762" s="9"/>
      <c r="BK762" s="9"/>
      <c r="BL762" s="9"/>
    </row>
    <row r="763" spans="1:64" hidden="1" outlineLevel="1">
      <c r="A763" s="9"/>
      <c r="B763" s="9"/>
      <c r="C763" s="44"/>
      <c r="D763" s="270" t="str">
        <f>Asset2</f>
        <v>Switchgear</v>
      </c>
      <c r="E763" s="9"/>
      <c r="F763" s="9"/>
      <c r="G763" s="201">
        <f>Input!J8</f>
        <v>248.91247950836242</v>
      </c>
      <c r="H763" s="331">
        <f t="shared" ref="H763:H791" si="141">G763+G795+G827+G859+G891+G923</f>
        <v>350.07855548198643</v>
      </c>
      <c r="I763" s="111">
        <f t="shared" si="140"/>
        <v>351.33088925520093</v>
      </c>
      <c r="J763" s="111">
        <f t="shared" si="140"/>
        <v>367.05025443942549</v>
      </c>
      <c r="K763" s="111">
        <f t="shared" si="140"/>
        <v>407.88928570698135</v>
      </c>
      <c r="L763" s="111">
        <f t="shared" si="140"/>
        <v>433.30793982679143</v>
      </c>
      <c r="M763" s="111">
        <f t="shared" si="140"/>
        <v>448.40099269190864</v>
      </c>
      <c r="N763" s="111">
        <f t="shared" si="140"/>
        <v>480.04474493580483</v>
      </c>
      <c r="O763" s="111">
        <f>IF(COUNT($H763:N763)&gt;Input!$Y$7,0, N763+N795+N827)</f>
        <v>0</v>
      </c>
      <c r="P763" s="111">
        <f>IF(COUNT($H763:O763)&gt;Input!$Y$7,0, O763+O795+O827)</f>
        <v>0</v>
      </c>
      <c r="Q763" s="111">
        <f>IF(COUNT($H763:P763)&gt;Input!$Y$7,0, P763+P795+P827)</f>
        <v>0</v>
      </c>
      <c r="R763" s="111">
        <f>IF(COUNT($H763:Q763)&gt;Input!$Y$7,0, Q763+Q795+Q827)</f>
        <v>0</v>
      </c>
      <c r="S763" s="100"/>
      <c r="T763" s="100"/>
      <c r="U763" s="100"/>
      <c r="V763" s="100"/>
      <c r="W763" s="100"/>
      <c r="X763" s="100"/>
      <c r="Y763" s="100"/>
      <c r="Z763" s="100"/>
      <c r="AA763" s="228"/>
      <c r="AB763" s="228"/>
      <c r="AC763" s="228"/>
      <c r="AD763" s="228"/>
      <c r="AE763" s="228"/>
      <c r="AF763" s="228"/>
      <c r="AG763" s="228"/>
      <c r="AH763" s="228"/>
      <c r="AI763" s="228"/>
      <c r="AJ763" s="228"/>
      <c r="AK763" s="228"/>
      <c r="AL763" s="228"/>
      <c r="AM763" s="228"/>
      <c r="AN763" s="228"/>
      <c r="AO763" s="228"/>
      <c r="AP763" s="228"/>
      <c r="AQ763" s="228"/>
      <c r="AR763" s="228"/>
      <c r="AS763" s="228"/>
      <c r="AT763" s="228"/>
      <c r="AU763" s="228"/>
      <c r="AV763" s="228"/>
      <c r="AW763" s="228"/>
      <c r="AX763" s="228"/>
      <c r="AY763" s="228"/>
      <c r="AZ763" s="228"/>
      <c r="BA763" s="228"/>
      <c r="BB763" s="228"/>
      <c r="BC763" s="228"/>
      <c r="BD763" s="100"/>
      <c r="BE763" s="100"/>
      <c r="BF763" s="100"/>
      <c r="BG763" s="100"/>
      <c r="BH763" s="100"/>
      <c r="BI763" s="100"/>
      <c r="BJ763" s="100"/>
      <c r="BK763" s="12"/>
      <c r="BL763" s="12"/>
    </row>
    <row r="764" spans="1:64" hidden="1" outlineLevel="1">
      <c r="A764" s="9"/>
      <c r="B764" s="9"/>
      <c r="C764" s="44"/>
      <c r="D764" s="270" t="str">
        <f>Asset3</f>
        <v>Transformers</v>
      </c>
      <c r="E764" s="9"/>
      <c r="F764" s="9"/>
      <c r="G764" s="201">
        <f>Input!J9</f>
        <v>154.11914424024289</v>
      </c>
      <c r="H764" s="331">
        <f t="shared" si="141"/>
        <v>167.05795975892104</v>
      </c>
      <c r="I764" s="111">
        <f t="shared" si="140"/>
        <v>165.27110976612846</v>
      </c>
      <c r="J764" s="111">
        <f t="shared" si="140"/>
        <v>161.55503903169989</v>
      </c>
      <c r="K764" s="111">
        <f t="shared" si="140"/>
        <v>163.14314219511803</v>
      </c>
      <c r="L764" s="111">
        <f t="shared" si="140"/>
        <v>163.02281205349976</v>
      </c>
      <c r="M764" s="111">
        <f t="shared" si="140"/>
        <v>177.13153613094568</v>
      </c>
      <c r="N764" s="111">
        <f t="shared" si="140"/>
        <v>200.74685799215581</v>
      </c>
      <c r="O764" s="111">
        <f>IF(COUNT($H764:N764)&gt;Input!$Y$7,0, N764+N796+N828)</f>
        <v>0</v>
      </c>
      <c r="P764" s="111">
        <f>IF(COUNT($H764:O764)&gt;Input!$Y$7,0, O764+O796+O828)</f>
        <v>0</v>
      </c>
      <c r="Q764" s="111">
        <f>IF(COUNT($H764:P764)&gt;Input!$Y$7,0, P764+P796+P828)</f>
        <v>0</v>
      </c>
      <c r="R764" s="111">
        <f>IF(COUNT($H764:Q764)&gt;Input!$Y$7,0, Q764+Q796+Q828)</f>
        <v>0</v>
      </c>
      <c r="S764" s="100"/>
      <c r="T764" s="100"/>
      <c r="U764" s="100"/>
      <c r="V764" s="100"/>
      <c r="W764" s="100"/>
      <c r="X764" s="100"/>
      <c r="Y764" s="100"/>
      <c r="Z764" s="100"/>
      <c r="AA764" s="228"/>
      <c r="AB764" s="228"/>
      <c r="AC764" s="228"/>
      <c r="AD764" s="228"/>
      <c r="AE764" s="228"/>
      <c r="AF764" s="228"/>
      <c r="AG764" s="228"/>
      <c r="AH764" s="228"/>
      <c r="AI764" s="228"/>
      <c r="AJ764" s="228"/>
      <c r="AK764" s="228"/>
      <c r="AL764" s="228"/>
      <c r="AM764" s="228"/>
      <c r="AN764" s="228"/>
      <c r="AO764" s="228"/>
      <c r="AP764" s="228"/>
      <c r="AQ764" s="228"/>
      <c r="AR764" s="228"/>
      <c r="AS764" s="228"/>
      <c r="AT764" s="228"/>
      <c r="AU764" s="228"/>
      <c r="AV764" s="228"/>
      <c r="AW764" s="228"/>
      <c r="AX764" s="228"/>
      <c r="AY764" s="228"/>
      <c r="AZ764" s="228"/>
      <c r="BA764" s="228"/>
      <c r="BB764" s="228"/>
      <c r="BC764" s="228"/>
      <c r="BD764" s="100"/>
      <c r="BE764" s="100"/>
      <c r="BF764" s="100"/>
      <c r="BG764" s="100"/>
      <c r="BH764" s="100"/>
      <c r="BI764" s="100"/>
      <c r="BJ764" s="100"/>
      <c r="BK764" s="12"/>
      <c r="BL764" s="12"/>
    </row>
    <row r="765" spans="1:64" hidden="1" outlineLevel="1">
      <c r="A765" s="9"/>
      <c r="B765" s="9"/>
      <c r="C765" s="44"/>
      <c r="D765" s="270" t="str">
        <f>Asset4</f>
        <v>Reactive</v>
      </c>
      <c r="E765" s="9"/>
      <c r="F765" s="9"/>
      <c r="G765" s="201">
        <f>Input!J10</f>
        <v>83.253732687574384</v>
      </c>
      <c r="H765" s="331">
        <f t="shared" si="141"/>
        <v>87.678038523711535</v>
      </c>
      <c r="I765" s="111">
        <f t="shared" si="140"/>
        <v>86.477314202673952</v>
      </c>
      <c r="J765" s="111">
        <f t="shared" si="140"/>
        <v>84.726169853517902</v>
      </c>
      <c r="K765" s="111">
        <f t="shared" si="140"/>
        <v>82.299615372201401</v>
      </c>
      <c r="L765" s="111">
        <f t="shared" si="140"/>
        <v>80.552432754387993</v>
      </c>
      <c r="M765" s="111">
        <f t="shared" si="140"/>
        <v>78.298814085973845</v>
      </c>
      <c r="N765" s="111">
        <f t="shared" si="140"/>
        <v>75.993294804031194</v>
      </c>
      <c r="O765" s="111">
        <f>IF(COUNT($H765:N765)&gt;Input!$Y$7,0, N765+N797+N829)</f>
        <v>0</v>
      </c>
      <c r="P765" s="111">
        <f>IF(COUNT($H765:O765)&gt;Input!$Y$7,0, O765+O797+O829)</f>
        <v>0</v>
      </c>
      <c r="Q765" s="111">
        <f>IF(COUNT($H765:P765)&gt;Input!$Y$7,0, P765+P797+P829)</f>
        <v>0</v>
      </c>
      <c r="R765" s="111">
        <f>IF(COUNT($H765:Q765)&gt;Input!$Y$7,0, Q765+Q797+Q829)</f>
        <v>0</v>
      </c>
      <c r="S765" s="100"/>
      <c r="T765" s="100"/>
      <c r="U765" s="100"/>
      <c r="V765" s="100"/>
      <c r="W765" s="100"/>
      <c r="X765" s="100"/>
      <c r="Y765" s="100"/>
      <c r="Z765" s="100"/>
      <c r="AA765" s="228"/>
      <c r="AB765" s="228"/>
      <c r="AC765" s="228"/>
      <c r="AD765" s="228"/>
      <c r="AE765" s="228"/>
      <c r="AF765" s="228"/>
      <c r="AG765" s="228"/>
      <c r="AH765" s="228"/>
      <c r="AI765" s="228"/>
      <c r="AJ765" s="228"/>
      <c r="AK765" s="228"/>
      <c r="AL765" s="228"/>
      <c r="AM765" s="228"/>
      <c r="AN765" s="228"/>
      <c r="AO765" s="228"/>
      <c r="AP765" s="228"/>
      <c r="AQ765" s="228"/>
      <c r="AR765" s="228"/>
      <c r="AS765" s="228"/>
      <c r="AT765" s="228"/>
      <c r="AU765" s="228"/>
      <c r="AV765" s="228"/>
      <c r="AW765" s="228"/>
      <c r="AX765" s="228"/>
      <c r="AY765" s="228"/>
      <c r="AZ765" s="228"/>
      <c r="BA765" s="228"/>
      <c r="BB765" s="228"/>
      <c r="BC765" s="228"/>
      <c r="BD765" s="100"/>
      <c r="BE765" s="100"/>
      <c r="BF765" s="100"/>
      <c r="BG765" s="100"/>
      <c r="BH765" s="100"/>
      <c r="BI765" s="100"/>
      <c r="BJ765" s="100"/>
      <c r="BK765" s="12"/>
      <c r="BL765" s="12"/>
    </row>
    <row r="766" spans="1:64" hidden="1" outlineLevel="1">
      <c r="A766" s="9"/>
      <c r="B766" s="9"/>
      <c r="C766" s="44"/>
      <c r="D766" s="270" t="str">
        <f>Asset5</f>
        <v>Towers and Conductor</v>
      </c>
      <c r="E766" s="9"/>
      <c r="F766" s="9"/>
      <c r="G766" s="201">
        <f>Input!J11</f>
        <v>984.93801110802451</v>
      </c>
      <c r="H766" s="331">
        <f t="shared" si="141"/>
        <v>1040.296273092953</v>
      </c>
      <c r="I766" s="111">
        <f t="shared" si="140"/>
        <v>1047.1153705241238</v>
      </c>
      <c r="J766" s="111">
        <f t="shared" si="140"/>
        <v>1050.2855849380508</v>
      </c>
      <c r="K766" s="111">
        <f t="shared" si="140"/>
        <v>1047.8759847141114</v>
      </c>
      <c r="L766" s="111">
        <f t="shared" si="140"/>
        <v>1081.9551242163773</v>
      </c>
      <c r="M766" s="111">
        <f t="shared" si="140"/>
        <v>1087.581723590361</v>
      </c>
      <c r="N766" s="111">
        <f t="shared" si="140"/>
        <v>1075.4479882005051</v>
      </c>
      <c r="O766" s="111">
        <f>IF(COUNT($H766:N766)&gt;Input!$Y$7,0, N766+N798+N830)</f>
        <v>0</v>
      </c>
      <c r="P766" s="111">
        <f>IF(COUNT($H766:O766)&gt;Input!$Y$7,0, O766+O798+O830)</f>
        <v>0</v>
      </c>
      <c r="Q766" s="111">
        <f>IF(COUNT($H766:P766)&gt;Input!$Y$7,0, P766+P798+P830)</f>
        <v>0</v>
      </c>
      <c r="R766" s="111">
        <f>IF(COUNT($H766:Q766)&gt;Input!$Y$7,0, Q766+Q798+Q830)</f>
        <v>0</v>
      </c>
      <c r="S766" s="100"/>
      <c r="T766" s="100"/>
      <c r="U766" s="100"/>
      <c r="V766" s="100"/>
      <c r="W766" s="100"/>
      <c r="X766" s="100"/>
      <c r="Y766" s="100"/>
      <c r="Z766" s="100"/>
      <c r="AA766" s="228"/>
      <c r="AB766" s="228"/>
      <c r="AC766" s="228"/>
      <c r="AD766" s="228"/>
      <c r="AE766" s="228"/>
      <c r="AF766" s="228"/>
      <c r="AG766" s="228"/>
      <c r="AH766" s="228"/>
      <c r="AI766" s="228"/>
      <c r="AJ766" s="228"/>
      <c r="AK766" s="228"/>
      <c r="AL766" s="228"/>
      <c r="AM766" s="228"/>
      <c r="AN766" s="228"/>
      <c r="AO766" s="228"/>
      <c r="AP766" s="228"/>
      <c r="AQ766" s="228"/>
      <c r="AR766" s="228"/>
      <c r="AS766" s="228"/>
      <c r="AT766" s="228"/>
      <c r="AU766" s="228"/>
      <c r="AV766" s="228"/>
      <c r="AW766" s="228"/>
      <c r="AX766" s="228"/>
      <c r="AY766" s="228"/>
      <c r="AZ766" s="228"/>
      <c r="BA766" s="228"/>
      <c r="BB766" s="228"/>
      <c r="BC766" s="228"/>
      <c r="BD766" s="100"/>
      <c r="BE766" s="100"/>
      <c r="BF766" s="100"/>
      <c r="BG766" s="100"/>
      <c r="BH766" s="100"/>
      <c r="BI766" s="100"/>
      <c r="BJ766" s="100"/>
      <c r="BK766" s="12"/>
      <c r="BL766" s="12"/>
    </row>
    <row r="767" spans="1:64" hidden="1" outlineLevel="1">
      <c r="A767" s="9"/>
      <c r="B767" s="9"/>
      <c r="C767" s="44"/>
      <c r="D767" s="270" t="str">
        <f>Asset6</f>
        <v>Establishment</v>
      </c>
      <c r="E767" s="9"/>
      <c r="F767" s="9"/>
      <c r="G767" s="201">
        <f>Input!J12</f>
        <v>79.839482548432514</v>
      </c>
      <c r="H767" s="331">
        <f t="shared" si="141"/>
        <v>99.813803729564498</v>
      </c>
      <c r="I767" s="111">
        <f t="shared" si="140"/>
        <v>112.46137845837794</v>
      </c>
      <c r="J767" s="111">
        <f t="shared" si="140"/>
        <v>122.05889121266914</v>
      </c>
      <c r="K767" s="111">
        <f t="shared" si="140"/>
        <v>127.40817194591858</v>
      </c>
      <c r="L767" s="111">
        <f t="shared" si="140"/>
        <v>131.82748849895879</v>
      </c>
      <c r="M767" s="111">
        <f t="shared" si="140"/>
        <v>137.35337343281211</v>
      </c>
      <c r="N767" s="111">
        <f t="shared" si="140"/>
        <v>144.89303712282481</v>
      </c>
      <c r="O767" s="111">
        <f>IF(COUNT($H767:N767)&gt;Input!$Y$7,0, N767+N799+N831)</f>
        <v>0</v>
      </c>
      <c r="P767" s="111">
        <f>IF(COUNT($H767:O767)&gt;Input!$Y$7,0, O767+O799+O831)</f>
        <v>0</v>
      </c>
      <c r="Q767" s="111">
        <f>IF(COUNT($H767:P767)&gt;Input!$Y$7,0, P767+P799+P831)</f>
        <v>0</v>
      </c>
      <c r="R767" s="111">
        <f>IF(COUNT($H767:Q767)&gt;Input!$Y$7,0, Q767+Q799+Q831)</f>
        <v>0</v>
      </c>
      <c r="S767" s="100"/>
      <c r="T767" s="100"/>
      <c r="U767" s="100"/>
      <c r="V767" s="100"/>
      <c r="W767" s="100"/>
      <c r="X767" s="100"/>
      <c r="Y767" s="100"/>
      <c r="Z767" s="100"/>
      <c r="AA767" s="228"/>
      <c r="AB767" s="228"/>
      <c r="AC767" s="228"/>
      <c r="AD767" s="228"/>
      <c r="AE767" s="228"/>
      <c r="AF767" s="228"/>
      <c r="AG767" s="228"/>
      <c r="AH767" s="228"/>
      <c r="AI767" s="228"/>
      <c r="AJ767" s="228"/>
      <c r="AK767" s="228"/>
      <c r="AL767" s="228"/>
      <c r="AM767" s="228"/>
      <c r="AN767" s="228"/>
      <c r="AO767" s="228"/>
      <c r="AP767" s="228"/>
      <c r="AQ767" s="228"/>
      <c r="AR767" s="228"/>
      <c r="AS767" s="228"/>
      <c r="AT767" s="228"/>
      <c r="AU767" s="228"/>
      <c r="AV767" s="228"/>
      <c r="AW767" s="228"/>
      <c r="AX767" s="228"/>
      <c r="AY767" s="228"/>
      <c r="AZ767" s="228"/>
      <c r="BA767" s="228"/>
      <c r="BB767" s="228"/>
      <c r="BC767" s="228"/>
      <c r="BD767" s="100"/>
      <c r="BE767" s="100"/>
      <c r="BF767" s="100"/>
      <c r="BG767" s="100"/>
      <c r="BH767" s="100"/>
      <c r="BI767" s="100"/>
      <c r="BJ767" s="100"/>
      <c r="BK767" s="12"/>
      <c r="BL767" s="12"/>
    </row>
    <row r="768" spans="1:64" hidden="1" outlineLevel="1">
      <c r="A768" s="9"/>
      <c r="B768" s="9"/>
      <c r="C768" s="44"/>
      <c r="D768" s="270" t="str">
        <f>Asset7</f>
        <v>Communications</v>
      </c>
      <c r="E768" s="9"/>
      <c r="F768" s="9"/>
      <c r="G768" s="201">
        <f>Input!J13</f>
        <v>36.743106530439206</v>
      </c>
      <c r="H768" s="331">
        <f t="shared" si="141"/>
        <v>6.8651385503739455</v>
      </c>
      <c r="I768" s="111">
        <f t="shared" si="140"/>
        <v>5.6696485502170155</v>
      </c>
      <c r="J768" s="111">
        <f t="shared" si="140"/>
        <v>6.0422705741393559</v>
      </c>
      <c r="K768" s="111">
        <f t="shared" si="140"/>
        <v>16.481073684634694</v>
      </c>
      <c r="L768" s="111">
        <f t="shared" si="140"/>
        <v>20.963272796611943</v>
      </c>
      <c r="M768" s="111">
        <f t="shared" si="140"/>
        <v>22.705052015783767</v>
      </c>
      <c r="N768" s="111">
        <f t="shared" si="140"/>
        <v>25.576654233192599</v>
      </c>
      <c r="O768" s="111">
        <f>IF(COUNT($H768:N768)&gt;Input!$Y$7,0, N768+N800+N832)</f>
        <v>0</v>
      </c>
      <c r="P768" s="111">
        <f>IF(COUNT($H768:O768)&gt;Input!$Y$7,0, O768+O800+O832)</f>
        <v>0</v>
      </c>
      <c r="Q768" s="111">
        <f>IF(COUNT($H768:P768)&gt;Input!$Y$7,0, P768+P800+P832)</f>
        <v>0</v>
      </c>
      <c r="R768" s="111">
        <f>IF(COUNT($H768:Q768)&gt;Input!$Y$7,0, Q768+Q800+Q832)</f>
        <v>0</v>
      </c>
      <c r="S768" s="100"/>
      <c r="T768" s="100"/>
      <c r="U768" s="100"/>
      <c r="V768" s="100"/>
      <c r="W768" s="100"/>
      <c r="X768" s="100"/>
      <c r="Y768" s="100"/>
      <c r="Z768" s="100"/>
      <c r="AA768" s="228"/>
      <c r="AB768" s="228"/>
      <c r="AC768" s="228"/>
      <c r="AD768" s="228"/>
      <c r="AE768" s="228"/>
      <c r="AF768" s="228"/>
      <c r="AG768" s="228"/>
      <c r="AH768" s="228"/>
      <c r="AI768" s="228"/>
      <c r="AJ768" s="228"/>
      <c r="AK768" s="228"/>
      <c r="AL768" s="228"/>
      <c r="AM768" s="228"/>
      <c r="AN768" s="228"/>
      <c r="AO768" s="228"/>
      <c r="AP768" s="228"/>
      <c r="AQ768" s="228"/>
      <c r="AR768" s="228"/>
      <c r="AS768" s="228"/>
      <c r="AT768" s="228"/>
      <c r="AU768" s="228"/>
      <c r="AV768" s="228"/>
      <c r="AW768" s="228"/>
      <c r="AX768" s="228"/>
      <c r="AY768" s="228"/>
      <c r="AZ768" s="228"/>
      <c r="BA768" s="228"/>
      <c r="BB768" s="228"/>
      <c r="BC768" s="228"/>
      <c r="BD768" s="100"/>
      <c r="BE768" s="100"/>
      <c r="BF768" s="100"/>
      <c r="BG768" s="100"/>
      <c r="BH768" s="100"/>
      <c r="BI768" s="100"/>
      <c r="BJ768" s="100"/>
      <c r="BK768" s="12"/>
      <c r="BL768" s="12"/>
    </row>
    <row r="769" spans="1:64" hidden="1" outlineLevel="1">
      <c r="A769" s="9"/>
      <c r="B769" s="9"/>
      <c r="C769" s="44"/>
      <c r="D769" s="270" t="str">
        <f>Asset8</f>
        <v>Inventory</v>
      </c>
      <c r="E769" s="9"/>
      <c r="F769" s="9"/>
      <c r="G769" s="201">
        <f>Input!J14</f>
        <v>4.7007864066062357</v>
      </c>
      <c r="H769" s="331">
        <f t="shared" si="141"/>
        <v>7.3396858953920949</v>
      </c>
      <c r="I769" s="111">
        <f t="shared" si="140"/>
        <v>7.6101677616182872</v>
      </c>
      <c r="J769" s="111">
        <f t="shared" si="140"/>
        <v>7.770623105989757</v>
      </c>
      <c r="K769" s="111">
        <f t="shared" si="140"/>
        <v>7.9769228344673619</v>
      </c>
      <c r="L769" s="111">
        <f t="shared" si="140"/>
        <v>8.2244825086404862</v>
      </c>
      <c r="M769" s="111">
        <f t="shared" si="140"/>
        <v>8.4057837262658293</v>
      </c>
      <c r="N769" s="111">
        <f t="shared" si="140"/>
        <v>8.6159283194224745</v>
      </c>
      <c r="O769" s="111">
        <f>IF(COUNT($H769:N769)&gt;Input!$Y$7,0, N769+N801+N833)</f>
        <v>0</v>
      </c>
      <c r="P769" s="111">
        <f>IF(COUNT($H769:O769)&gt;Input!$Y$7,0, O769+O801+O833)</f>
        <v>0</v>
      </c>
      <c r="Q769" s="111">
        <f>IF(COUNT($H769:P769)&gt;Input!$Y$7,0, P769+P801+P833)</f>
        <v>0</v>
      </c>
      <c r="R769" s="111">
        <f>IF(COUNT($H769:Q769)&gt;Input!$Y$7,0, Q769+Q801+Q833)</f>
        <v>0</v>
      </c>
      <c r="S769" s="100"/>
      <c r="T769" s="100"/>
      <c r="U769" s="100"/>
      <c r="V769" s="100"/>
      <c r="W769" s="100"/>
      <c r="X769" s="100"/>
      <c r="Y769" s="100"/>
      <c r="Z769" s="100"/>
      <c r="AA769" s="228"/>
      <c r="AB769" s="228"/>
      <c r="AC769" s="228"/>
      <c r="AD769" s="228"/>
      <c r="AE769" s="228"/>
      <c r="AF769" s="228"/>
      <c r="AG769" s="228"/>
      <c r="AH769" s="228"/>
      <c r="AI769" s="228"/>
      <c r="AJ769" s="228"/>
      <c r="AK769" s="228"/>
      <c r="AL769" s="228"/>
      <c r="AM769" s="228"/>
      <c r="AN769" s="228"/>
      <c r="AO769" s="228"/>
      <c r="AP769" s="228"/>
      <c r="AQ769" s="228"/>
      <c r="AR769" s="228"/>
      <c r="AS769" s="228"/>
      <c r="AT769" s="228"/>
      <c r="AU769" s="228"/>
      <c r="AV769" s="228"/>
      <c r="AW769" s="228"/>
      <c r="AX769" s="228"/>
      <c r="AY769" s="228"/>
      <c r="AZ769" s="228"/>
      <c r="BA769" s="228"/>
      <c r="BB769" s="228"/>
      <c r="BC769" s="228"/>
      <c r="BD769" s="100"/>
      <c r="BE769" s="100"/>
      <c r="BF769" s="100"/>
      <c r="BG769" s="100"/>
      <c r="BH769" s="100"/>
      <c r="BI769" s="100"/>
      <c r="BJ769" s="100"/>
      <c r="BK769" s="12"/>
      <c r="BL769" s="12"/>
    </row>
    <row r="770" spans="1:64" hidden="1" outlineLevel="1">
      <c r="A770" s="9"/>
      <c r="B770" s="9"/>
      <c r="C770" s="44"/>
      <c r="D770" s="270" t="str">
        <f>Asset9</f>
        <v>IT</v>
      </c>
      <c r="E770" s="9"/>
      <c r="F770" s="9"/>
      <c r="G770" s="201">
        <f>Input!J15</f>
        <v>16.14271263150075</v>
      </c>
      <c r="H770" s="331">
        <f t="shared" si="141"/>
        <v>42.630945805012978</v>
      </c>
      <c r="I770" s="111">
        <f t="shared" si="140"/>
        <v>41.066579850722839</v>
      </c>
      <c r="J770" s="111">
        <f t="shared" si="140"/>
        <v>47.951281783020292</v>
      </c>
      <c r="K770" s="111">
        <f t="shared" si="140"/>
        <v>45.558224219398902</v>
      </c>
      <c r="L770" s="111">
        <f t="shared" si="140"/>
        <v>46.82704510029297</v>
      </c>
      <c r="M770" s="111">
        <f t="shared" si="140"/>
        <v>54.900482654339328</v>
      </c>
      <c r="N770" s="111">
        <f t="shared" si="140"/>
        <v>61.340001316522184</v>
      </c>
      <c r="O770" s="111">
        <f>IF(COUNT($H770:N770)&gt;Input!$Y$7,0, N770+N802+N834)</f>
        <v>0</v>
      </c>
      <c r="P770" s="111">
        <f>IF(COUNT($H770:O770)&gt;Input!$Y$7,0, O770+O802+O834)</f>
        <v>0</v>
      </c>
      <c r="Q770" s="111">
        <f>IF(COUNT($H770:P770)&gt;Input!$Y$7,0, P770+P802+P834)</f>
        <v>0</v>
      </c>
      <c r="R770" s="111">
        <f>IF(COUNT($H770:Q770)&gt;Input!$Y$7,0, Q770+Q802+Q834)</f>
        <v>0</v>
      </c>
      <c r="S770" s="100"/>
      <c r="T770" s="100"/>
      <c r="U770" s="100"/>
      <c r="V770" s="100"/>
      <c r="W770" s="100"/>
      <c r="X770" s="100"/>
      <c r="Y770" s="100"/>
      <c r="Z770" s="100"/>
      <c r="AA770" s="228"/>
      <c r="AB770" s="228"/>
      <c r="AC770" s="228"/>
      <c r="AD770" s="228"/>
      <c r="AE770" s="228"/>
      <c r="AF770" s="228"/>
      <c r="AG770" s="228"/>
      <c r="AH770" s="228"/>
      <c r="AI770" s="228"/>
      <c r="AJ770" s="228"/>
      <c r="AK770" s="228"/>
      <c r="AL770" s="228"/>
      <c r="AM770" s="228"/>
      <c r="AN770" s="228"/>
      <c r="AO770" s="228"/>
      <c r="AP770" s="228"/>
      <c r="AQ770" s="228"/>
      <c r="AR770" s="228"/>
      <c r="AS770" s="228"/>
      <c r="AT770" s="228"/>
      <c r="AU770" s="228"/>
      <c r="AV770" s="228"/>
      <c r="AW770" s="228"/>
      <c r="AX770" s="228"/>
      <c r="AY770" s="228"/>
      <c r="AZ770" s="228"/>
      <c r="BA770" s="228"/>
      <c r="BB770" s="228"/>
      <c r="BC770" s="228"/>
      <c r="BD770" s="100"/>
      <c r="BE770" s="100"/>
      <c r="BF770" s="100"/>
      <c r="BG770" s="100"/>
      <c r="BH770" s="100"/>
      <c r="BI770" s="100"/>
      <c r="BJ770" s="100"/>
      <c r="BK770" s="12"/>
      <c r="BL770" s="12"/>
    </row>
    <row r="771" spans="1:64" hidden="1" outlineLevel="1">
      <c r="A771" s="9"/>
      <c r="B771" s="9"/>
      <c r="C771" s="44"/>
      <c r="D771" s="270" t="str">
        <f>Asset10</f>
        <v>Vehicles</v>
      </c>
      <c r="E771" s="9"/>
      <c r="F771" s="9"/>
      <c r="G771" s="201">
        <f>Input!J16</f>
        <v>3.8998256791301116</v>
      </c>
      <c r="H771" s="331">
        <f t="shared" si="141"/>
        <v>4.1948540252504873</v>
      </c>
      <c r="I771" s="111">
        <f t="shared" si="140"/>
        <v>3.3527423067629472</v>
      </c>
      <c r="J771" s="111">
        <f t="shared" si="140"/>
        <v>2.964968707048786</v>
      </c>
      <c r="K771" s="111">
        <f t="shared" si="140"/>
        <v>2.0052157838819316</v>
      </c>
      <c r="L771" s="111">
        <f t="shared" si="140"/>
        <v>1.9590556160644685</v>
      </c>
      <c r="M771" s="111">
        <f t="shared" si="140"/>
        <v>3.3176497129460554</v>
      </c>
      <c r="N771" s="111">
        <f t="shared" si="140"/>
        <v>4.4748131166706289</v>
      </c>
      <c r="O771" s="111">
        <f>IF(COUNT($H771:N771)&gt;Input!$Y$7,0, N771+N803+N835)</f>
        <v>0</v>
      </c>
      <c r="P771" s="111">
        <f>IF(COUNT($H771:O771)&gt;Input!$Y$7,0, O771+O803+O835)</f>
        <v>0</v>
      </c>
      <c r="Q771" s="111">
        <f>IF(COUNT($H771:P771)&gt;Input!$Y$7,0, P771+P803+P835)</f>
        <v>0</v>
      </c>
      <c r="R771" s="111">
        <f>IF(COUNT($H771:Q771)&gt;Input!$Y$7,0, Q771+Q803+Q835)</f>
        <v>0</v>
      </c>
      <c r="S771" s="100"/>
      <c r="T771" s="100"/>
      <c r="U771" s="100"/>
      <c r="V771" s="100"/>
      <c r="W771" s="100"/>
      <c r="X771" s="100"/>
      <c r="Y771" s="100"/>
      <c r="Z771" s="100"/>
      <c r="AA771" s="228"/>
      <c r="AB771" s="228"/>
      <c r="AC771" s="228"/>
      <c r="AD771" s="228"/>
      <c r="AE771" s="228"/>
      <c r="AF771" s="228"/>
      <c r="AG771" s="228"/>
      <c r="AH771" s="228"/>
      <c r="AI771" s="228"/>
      <c r="AJ771" s="228"/>
      <c r="AK771" s="228"/>
      <c r="AL771" s="228"/>
      <c r="AM771" s="228"/>
      <c r="AN771" s="228"/>
      <c r="AO771" s="228"/>
      <c r="AP771" s="228"/>
      <c r="AQ771" s="228"/>
      <c r="AR771" s="228"/>
      <c r="AS771" s="228"/>
      <c r="AT771" s="228"/>
      <c r="AU771" s="228"/>
      <c r="AV771" s="228"/>
      <c r="AW771" s="228"/>
      <c r="AX771" s="228"/>
      <c r="AY771" s="228"/>
      <c r="AZ771" s="228"/>
      <c r="BA771" s="228"/>
      <c r="BB771" s="228"/>
      <c r="BC771" s="228"/>
      <c r="BD771" s="100"/>
      <c r="BE771" s="100"/>
      <c r="BF771" s="100"/>
      <c r="BG771" s="100"/>
      <c r="BH771" s="100"/>
      <c r="BI771" s="100"/>
      <c r="BJ771" s="100"/>
      <c r="BK771" s="12"/>
      <c r="BL771" s="12"/>
    </row>
    <row r="772" spans="1:64" hidden="1" outlineLevel="1">
      <c r="A772" s="9"/>
      <c r="B772" s="9"/>
      <c r="C772" s="44"/>
      <c r="D772" s="270" t="str">
        <f>Asset11</f>
        <v>other</v>
      </c>
      <c r="E772" s="9"/>
      <c r="F772" s="9"/>
      <c r="G772" s="201">
        <f>Input!J17</f>
        <v>3.8757526879064059</v>
      </c>
      <c r="H772" s="331">
        <f t="shared" si="141"/>
        <v>12.405939770158419</v>
      </c>
      <c r="I772" s="111">
        <f t="shared" ref="I772:N781" si="142">H772+H804+H836</f>
        <v>11.631519264730752</v>
      </c>
      <c r="J772" s="111">
        <f t="shared" si="142"/>
        <v>11.968692078801022</v>
      </c>
      <c r="K772" s="111">
        <f t="shared" si="142"/>
        <v>13.780421230889699</v>
      </c>
      <c r="L772" s="111">
        <f t="shared" si="142"/>
        <v>15.915573364896785</v>
      </c>
      <c r="M772" s="111">
        <f t="shared" si="142"/>
        <v>16.270027244677127</v>
      </c>
      <c r="N772" s="111">
        <f t="shared" si="142"/>
        <v>16.010448862523628</v>
      </c>
      <c r="O772" s="111">
        <f>IF(COUNT($H772:N772)&gt;Input!$Y$7,0, N772+N804+N836)</f>
        <v>0</v>
      </c>
      <c r="P772" s="111">
        <f>IF(COUNT($H772:O772)&gt;Input!$Y$7,0, O772+O804+O836)</f>
        <v>0</v>
      </c>
      <c r="Q772" s="111">
        <f>IF(COUNT($H772:P772)&gt;Input!$Y$7,0, P772+P804+P836)</f>
        <v>0</v>
      </c>
      <c r="R772" s="111">
        <f>IF(COUNT($H772:Q772)&gt;Input!$Y$7,0, Q772+Q804+Q836)</f>
        <v>0</v>
      </c>
      <c r="S772" s="100"/>
      <c r="T772" s="100"/>
      <c r="U772" s="100"/>
      <c r="V772" s="100"/>
      <c r="W772" s="100"/>
      <c r="X772" s="100"/>
      <c r="Y772" s="100"/>
      <c r="Z772" s="100"/>
      <c r="AA772" s="228"/>
      <c r="AB772" s="228"/>
      <c r="AC772" s="228"/>
      <c r="AD772" s="228"/>
      <c r="AE772" s="228"/>
      <c r="AF772" s="228"/>
      <c r="AG772" s="228"/>
      <c r="AH772" s="228"/>
      <c r="AI772" s="228"/>
      <c r="AJ772" s="228"/>
      <c r="AK772" s="228"/>
      <c r="AL772" s="228"/>
      <c r="AM772" s="228"/>
      <c r="AN772" s="228"/>
      <c r="AO772" s="228"/>
      <c r="AP772" s="228"/>
      <c r="AQ772" s="228"/>
      <c r="AR772" s="228"/>
      <c r="AS772" s="228"/>
      <c r="AT772" s="228"/>
      <c r="AU772" s="228"/>
      <c r="AV772" s="228"/>
      <c r="AW772" s="228"/>
      <c r="AX772" s="228"/>
      <c r="AY772" s="228"/>
      <c r="AZ772" s="228"/>
      <c r="BA772" s="228"/>
      <c r="BB772" s="228"/>
      <c r="BC772" s="228"/>
      <c r="BD772" s="100"/>
      <c r="BE772" s="100"/>
      <c r="BF772" s="100"/>
      <c r="BG772" s="100"/>
      <c r="BH772" s="100"/>
      <c r="BI772" s="100"/>
      <c r="BJ772" s="100"/>
      <c r="BK772" s="12"/>
      <c r="BL772" s="12"/>
    </row>
    <row r="773" spans="1:64" hidden="1" outlineLevel="1">
      <c r="A773" s="9"/>
      <c r="B773" s="9"/>
      <c r="C773" s="44"/>
      <c r="D773" s="270" t="str">
        <f>Asset12</f>
        <v>premises</v>
      </c>
      <c r="E773" s="9"/>
      <c r="F773" s="9"/>
      <c r="G773" s="201">
        <f>Input!J18</f>
        <v>5.2657279599188227</v>
      </c>
      <c r="H773" s="331">
        <f t="shared" si="141"/>
        <v>8.4078322708407711</v>
      </c>
      <c r="I773" s="111">
        <f t="shared" si="142"/>
        <v>7.2748444087394422</v>
      </c>
      <c r="J773" s="111">
        <f t="shared" si="142"/>
        <v>6.3228473207392319</v>
      </c>
      <c r="K773" s="111">
        <f t="shared" si="142"/>
        <v>5.158391258090238</v>
      </c>
      <c r="L773" s="111">
        <f t="shared" si="142"/>
        <v>5.3525448768625177</v>
      </c>
      <c r="M773" s="111">
        <f t="shared" si="142"/>
        <v>4.4486371269044387</v>
      </c>
      <c r="N773" s="111">
        <f t="shared" si="142"/>
        <v>3.5874599515058794</v>
      </c>
      <c r="O773" s="111">
        <f>IF(COUNT($H773:N773)&gt;Input!$Y$7,0, N773+N805+N837)</f>
        <v>0</v>
      </c>
      <c r="P773" s="111">
        <f>IF(COUNT($H773:O773)&gt;Input!$Y$7,0, O773+O805+O837)</f>
        <v>0</v>
      </c>
      <c r="Q773" s="111">
        <f>IF(COUNT($H773:P773)&gt;Input!$Y$7,0, P773+P805+P837)</f>
        <v>0</v>
      </c>
      <c r="R773" s="111">
        <f>IF(COUNT($H773:Q773)&gt;Input!$Y$7,0, Q773+Q805+Q837)</f>
        <v>0</v>
      </c>
      <c r="S773" s="100"/>
      <c r="T773" s="100"/>
      <c r="U773" s="100"/>
      <c r="V773" s="100"/>
      <c r="W773" s="100"/>
      <c r="X773" s="100"/>
      <c r="Y773" s="100"/>
      <c r="Z773" s="100"/>
      <c r="AA773" s="228"/>
      <c r="AB773" s="228"/>
      <c r="AC773" s="228"/>
      <c r="AD773" s="228"/>
      <c r="AE773" s="228"/>
      <c r="AF773" s="228"/>
      <c r="AG773" s="228"/>
      <c r="AH773" s="228"/>
      <c r="AI773" s="228"/>
      <c r="AJ773" s="228"/>
      <c r="AK773" s="228"/>
      <c r="AL773" s="228"/>
      <c r="AM773" s="228"/>
      <c r="AN773" s="228"/>
      <c r="AO773" s="228"/>
      <c r="AP773" s="228"/>
      <c r="AQ773" s="228"/>
      <c r="AR773" s="228"/>
      <c r="AS773" s="228"/>
      <c r="AT773" s="228"/>
      <c r="AU773" s="228"/>
      <c r="AV773" s="228"/>
      <c r="AW773" s="228"/>
      <c r="AX773" s="228"/>
      <c r="AY773" s="228"/>
      <c r="AZ773" s="228"/>
      <c r="BA773" s="228"/>
      <c r="BB773" s="228"/>
      <c r="BC773" s="228"/>
      <c r="BD773" s="100"/>
      <c r="BE773" s="100"/>
      <c r="BF773" s="100"/>
      <c r="BG773" s="100"/>
      <c r="BH773" s="100"/>
      <c r="BI773" s="100"/>
      <c r="BJ773" s="100"/>
      <c r="BK773" s="12"/>
      <c r="BL773" s="12"/>
    </row>
    <row r="774" spans="1:64" hidden="1" outlineLevel="1">
      <c r="A774" s="9"/>
      <c r="B774" s="9"/>
      <c r="C774" s="44"/>
      <c r="D774" s="270" t="str">
        <f>Asset13</f>
        <v>Land</v>
      </c>
      <c r="E774" s="9"/>
      <c r="F774" s="9"/>
      <c r="G774" s="201">
        <f>Input!J19</f>
        <v>96.385254729241879</v>
      </c>
      <c r="H774" s="331">
        <f t="shared" si="141"/>
        <v>95.756770018212507</v>
      </c>
      <c r="I774" s="111">
        <f t="shared" si="142"/>
        <v>99.285595396772493</v>
      </c>
      <c r="J774" s="111">
        <f t="shared" si="142"/>
        <v>101.57932760816327</v>
      </c>
      <c r="K774" s="111">
        <f t="shared" si="142"/>
        <v>103.779363485508</v>
      </c>
      <c r="L774" s="111">
        <f t="shared" si="142"/>
        <v>105.9834070121492</v>
      </c>
      <c r="M774" s="111">
        <f t="shared" si="142"/>
        <v>108.3197145815553</v>
      </c>
      <c r="N774" s="111">
        <f t="shared" si="142"/>
        <v>111.02770744609418</v>
      </c>
      <c r="O774" s="111">
        <f>IF(COUNT($H774:N774)&gt;Input!$Y$7,0, N774+N806+N838)</f>
        <v>0</v>
      </c>
      <c r="P774" s="111">
        <f>IF(COUNT($H774:O774)&gt;Input!$Y$7,0, O774+O806+O838)</f>
        <v>0</v>
      </c>
      <c r="Q774" s="111">
        <f>IF(COUNT($H774:P774)&gt;Input!$Y$7,0, P774+P806+P838)</f>
        <v>0</v>
      </c>
      <c r="R774" s="111">
        <f>IF(COUNT($H774:Q774)&gt;Input!$Y$7,0, Q774+Q806+Q838)</f>
        <v>0</v>
      </c>
      <c r="S774" s="100"/>
      <c r="T774" s="100"/>
      <c r="U774" s="100"/>
      <c r="V774" s="100"/>
      <c r="W774" s="100"/>
      <c r="X774" s="100"/>
      <c r="Y774" s="100"/>
      <c r="Z774" s="100"/>
      <c r="AA774" s="228"/>
      <c r="AB774" s="228"/>
      <c r="AC774" s="228"/>
      <c r="AD774" s="228"/>
      <c r="AE774" s="228"/>
      <c r="AF774" s="228"/>
      <c r="AG774" s="228"/>
      <c r="AH774" s="228"/>
      <c r="AI774" s="228"/>
      <c r="AJ774" s="228"/>
      <c r="AK774" s="228"/>
      <c r="AL774" s="228"/>
      <c r="AM774" s="228"/>
      <c r="AN774" s="228"/>
      <c r="AO774" s="228"/>
      <c r="AP774" s="228"/>
      <c r="AQ774" s="228"/>
      <c r="AR774" s="228"/>
      <c r="AS774" s="228"/>
      <c r="AT774" s="228"/>
      <c r="AU774" s="228"/>
      <c r="AV774" s="228"/>
      <c r="AW774" s="228"/>
      <c r="AX774" s="228"/>
      <c r="AY774" s="228"/>
      <c r="AZ774" s="228"/>
      <c r="BA774" s="228"/>
      <c r="BB774" s="228"/>
      <c r="BC774" s="228"/>
      <c r="BD774" s="100"/>
      <c r="BE774" s="100"/>
      <c r="BF774" s="100"/>
      <c r="BG774" s="100"/>
      <c r="BH774" s="100"/>
      <c r="BI774" s="100"/>
      <c r="BJ774" s="100"/>
      <c r="BK774" s="12"/>
      <c r="BL774" s="12"/>
    </row>
    <row r="775" spans="1:64" hidden="1" outlineLevel="1">
      <c r="A775" s="9"/>
      <c r="B775" s="9"/>
      <c r="C775" s="44"/>
      <c r="D775" s="270" t="str">
        <f>Asset14</f>
        <v>Easements</v>
      </c>
      <c r="E775" s="9"/>
      <c r="F775" s="9"/>
      <c r="G775" s="201">
        <f>Input!J20</f>
        <v>106.13037685559563</v>
      </c>
      <c r="H775" s="331">
        <f t="shared" si="141"/>
        <v>108.97377932420517</v>
      </c>
      <c r="I775" s="111">
        <f t="shared" si="142"/>
        <v>112.9896775004251</v>
      </c>
      <c r="J775" s="111">
        <f t="shared" si="142"/>
        <v>115.37198997784371</v>
      </c>
      <c r="K775" s="111">
        <f t="shared" si="142"/>
        <v>118.4349631630962</v>
      </c>
      <c r="L775" s="111">
        <f t="shared" si="142"/>
        <v>122.11053098539918</v>
      </c>
      <c r="M775" s="111">
        <f t="shared" si="142"/>
        <v>124.80234629770258</v>
      </c>
      <c r="N775" s="111">
        <f t="shared" si="142"/>
        <v>127.92240495514515</v>
      </c>
      <c r="O775" s="111">
        <f>IF(COUNT($H775:N775)&gt;Input!$Y$7,0, N775+N807+N839)</f>
        <v>0</v>
      </c>
      <c r="P775" s="111">
        <f>IF(COUNT($H775:O775)&gt;Input!$Y$7,0, O775+O807+O839)</f>
        <v>0</v>
      </c>
      <c r="Q775" s="111">
        <f>IF(COUNT($H775:P775)&gt;Input!$Y$7,0, P775+P807+P839)</f>
        <v>0</v>
      </c>
      <c r="R775" s="111">
        <f>IF(COUNT($H775:Q775)&gt;Input!$Y$7,0, Q775+Q807+Q839)</f>
        <v>0</v>
      </c>
      <c r="S775" s="100"/>
      <c r="T775" s="100"/>
      <c r="U775" s="100"/>
      <c r="V775" s="100"/>
      <c r="W775" s="100"/>
      <c r="X775" s="100"/>
      <c r="Y775" s="100"/>
      <c r="Z775" s="100"/>
      <c r="AA775" s="228"/>
      <c r="AB775" s="228"/>
      <c r="AC775" s="228"/>
      <c r="AD775" s="228"/>
      <c r="AE775" s="228"/>
      <c r="AF775" s="228"/>
      <c r="AG775" s="228"/>
      <c r="AH775" s="228"/>
      <c r="AI775" s="228"/>
      <c r="AJ775" s="228"/>
      <c r="AK775" s="228"/>
      <c r="AL775" s="228"/>
      <c r="AM775" s="228"/>
      <c r="AN775" s="228"/>
      <c r="AO775" s="228"/>
      <c r="AP775" s="228"/>
      <c r="AQ775" s="228"/>
      <c r="AR775" s="228"/>
      <c r="AS775" s="228"/>
      <c r="AT775" s="228"/>
      <c r="AU775" s="228"/>
      <c r="AV775" s="228"/>
      <c r="AW775" s="228"/>
      <c r="AX775" s="228"/>
      <c r="AY775" s="228"/>
      <c r="AZ775" s="228"/>
      <c r="BA775" s="228"/>
      <c r="BB775" s="228"/>
      <c r="BC775" s="228"/>
      <c r="BD775" s="100"/>
      <c r="BE775" s="100"/>
      <c r="BF775" s="100"/>
      <c r="BG775" s="100"/>
      <c r="BH775" s="100"/>
      <c r="BI775" s="100"/>
      <c r="BJ775" s="100"/>
      <c r="BK775" s="12"/>
      <c r="BL775" s="12"/>
    </row>
    <row r="776" spans="1:64" hidden="1" outlineLevel="1">
      <c r="A776" s="9"/>
      <c r="B776" s="9"/>
      <c r="C776" s="44"/>
      <c r="D776" s="270">
        <f>Asset15</f>
        <v>0</v>
      </c>
      <c r="E776" s="9"/>
      <c r="F776" s="9"/>
      <c r="G776" s="201">
        <f>Input!J21</f>
        <v>0</v>
      </c>
      <c r="H776" s="331">
        <f t="shared" si="141"/>
        <v>0</v>
      </c>
      <c r="I776" s="111">
        <f t="shared" si="142"/>
        <v>0</v>
      </c>
      <c r="J776" s="111">
        <f t="shared" si="142"/>
        <v>0</v>
      </c>
      <c r="K776" s="111">
        <f t="shared" si="142"/>
        <v>0</v>
      </c>
      <c r="L776" s="111">
        <f t="shared" si="142"/>
        <v>0</v>
      </c>
      <c r="M776" s="111">
        <f t="shared" si="142"/>
        <v>0</v>
      </c>
      <c r="N776" s="111">
        <f t="shared" si="142"/>
        <v>0</v>
      </c>
      <c r="O776" s="111">
        <f>IF(COUNT($H776:N776)&gt;Input!$Y$7,0, N776+N808+N840)</f>
        <v>0</v>
      </c>
      <c r="P776" s="111">
        <f>IF(COUNT($H776:O776)&gt;Input!$Y$7,0, O776+O808+O840)</f>
        <v>0</v>
      </c>
      <c r="Q776" s="111">
        <f>IF(COUNT($H776:P776)&gt;Input!$Y$7,0, P776+P808+P840)</f>
        <v>0</v>
      </c>
      <c r="R776" s="111">
        <f>IF(COUNT($H776:Q776)&gt;Input!$Y$7,0, Q776+Q808+Q840)</f>
        <v>0</v>
      </c>
      <c r="S776" s="100"/>
      <c r="T776" s="100"/>
      <c r="U776" s="100"/>
      <c r="V776" s="100"/>
      <c r="W776" s="100"/>
      <c r="X776" s="100"/>
      <c r="Y776" s="100"/>
      <c r="Z776" s="100"/>
      <c r="AA776" s="228"/>
      <c r="AB776" s="228"/>
      <c r="AC776" s="228"/>
      <c r="AD776" s="228"/>
      <c r="AE776" s="228"/>
      <c r="AF776" s="228"/>
      <c r="AG776" s="228"/>
      <c r="AH776" s="228"/>
      <c r="AI776" s="228"/>
      <c r="AJ776" s="228"/>
      <c r="AK776" s="228"/>
      <c r="AL776" s="228"/>
      <c r="AM776" s="228"/>
      <c r="AN776" s="228"/>
      <c r="AO776" s="228"/>
      <c r="AP776" s="228"/>
      <c r="AQ776" s="228"/>
      <c r="AR776" s="228"/>
      <c r="AS776" s="228"/>
      <c r="AT776" s="228"/>
      <c r="AU776" s="228"/>
      <c r="AV776" s="228"/>
      <c r="AW776" s="228"/>
      <c r="AX776" s="228"/>
      <c r="AY776" s="228"/>
      <c r="AZ776" s="228"/>
      <c r="BA776" s="228"/>
      <c r="BB776" s="228"/>
      <c r="BC776" s="228"/>
      <c r="BD776" s="100"/>
      <c r="BE776" s="100"/>
      <c r="BF776" s="100"/>
      <c r="BG776" s="100"/>
      <c r="BH776" s="100"/>
      <c r="BI776" s="100"/>
      <c r="BJ776" s="100"/>
      <c r="BK776" s="12"/>
      <c r="BL776" s="12"/>
    </row>
    <row r="777" spans="1:64" hidden="1" outlineLevel="1">
      <c r="A777" s="9"/>
      <c r="B777" s="9"/>
      <c r="C777" s="44"/>
      <c r="D777" s="270">
        <f>Asset16</f>
        <v>0</v>
      </c>
      <c r="E777" s="9"/>
      <c r="F777" s="9"/>
      <c r="G777" s="201">
        <f>Input!J22</f>
        <v>0</v>
      </c>
      <c r="H777" s="331">
        <f t="shared" si="141"/>
        <v>0</v>
      </c>
      <c r="I777" s="111">
        <f t="shared" si="142"/>
        <v>0</v>
      </c>
      <c r="J777" s="111">
        <f t="shared" si="142"/>
        <v>0</v>
      </c>
      <c r="K777" s="111">
        <f t="shared" si="142"/>
        <v>0</v>
      </c>
      <c r="L777" s="111">
        <f t="shared" si="142"/>
        <v>0</v>
      </c>
      <c r="M777" s="111">
        <f t="shared" si="142"/>
        <v>0</v>
      </c>
      <c r="N777" s="111">
        <f t="shared" si="142"/>
        <v>0</v>
      </c>
      <c r="O777" s="111">
        <f>IF(COUNT($H777:N777)&gt;Input!$Y$7,0, N777+N809+N841)</f>
        <v>0</v>
      </c>
      <c r="P777" s="111">
        <f>IF(COUNT($H777:O777)&gt;Input!$Y$7,0, O777+O809+O841)</f>
        <v>0</v>
      </c>
      <c r="Q777" s="111">
        <f>IF(COUNT($H777:P777)&gt;Input!$Y$7,0, P777+P809+P841)</f>
        <v>0</v>
      </c>
      <c r="R777" s="111">
        <f>IF(COUNT($H777:Q777)&gt;Input!$Y$7,0, Q777+Q809+Q841)</f>
        <v>0</v>
      </c>
      <c r="S777" s="100"/>
      <c r="T777" s="100"/>
      <c r="U777" s="100"/>
      <c r="V777" s="100"/>
      <c r="W777" s="100"/>
      <c r="X777" s="100"/>
      <c r="Y777" s="100"/>
      <c r="Z777" s="100"/>
      <c r="AA777" s="228"/>
      <c r="AB777" s="228"/>
      <c r="AC777" s="228"/>
      <c r="AD777" s="228"/>
      <c r="AE777" s="228"/>
      <c r="AF777" s="228"/>
      <c r="AG777" s="228"/>
      <c r="AH777" s="228"/>
      <c r="AI777" s="228"/>
      <c r="AJ777" s="228"/>
      <c r="AK777" s="228"/>
      <c r="AL777" s="228"/>
      <c r="AM777" s="228"/>
      <c r="AN777" s="228"/>
      <c r="AO777" s="228"/>
      <c r="AP777" s="228"/>
      <c r="AQ777" s="228"/>
      <c r="AR777" s="228"/>
      <c r="AS777" s="228"/>
      <c r="AT777" s="228"/>
      <c r="AU777" s="228"/>
      <c r="AV777" s="228"/>
      <c r="AW777" s="228"/>
      <c r="AX777" s="228"/>
      <c r="AY777" s="228"/>
      <c r="AZ777" s="228"/>
      <c r="BA777" s="228"/>
      <c r="BB777" s="228"/>
      <c r="BC777" s="228"/>
      <c r="BD777" s="100"/>
      <c r="BE777" s="100"/>
      <c r="BF777" s="100"/>
      <c r="BG777" s="100"/>
      <c r="BH777" s="100"/>
      <c r="BI777" s="100"/>
      <c r="BJ777" s="100"/>
      <c r="BK777" s="12"/>
      <c r="BL777" s="12"/>
    </row>
    <row r="778" spans="1:64" hidden="1" outlineLevel="1">
      <c r="A778" s="9"/>
      <c r="B778" s="9"/>
      <c r="C778" s="44"/>
      <c r="D778" s="270">
        <f>Asset17</f>
        <v>0</v>
      </c>
      <c r="E778" s="9"/>
      <c r="F778" s="9"/>
      <c r="G778" s="201">
        <f>Input!J23</f>
        <v>0</v>
      </c>
      <c r="H778" s="331">
        <f t="shared" si="141"/>
        <v>0</v>
      </c>
      <c r="I778" s="111">
        <f t="shared" si="142"/>
        <v>0</v>
      </c>
      <c r="J778" s="111">
        <f t="shared" si="142"/>
        <v>0</v>
      </c>
      <c r="K778" s="111">
        <f t="shared" si="142"/>
        <v>0</v>
      </c>
      <c r="L778" s="111">
        <f t="shared" si="142"/>
        <v>0</v>
      </c>
      <c r="M778" s="111">
        <f t="shared" si="142"/>
        <v>0</v>
      </c>
      <c r="N778" s="111">
        <f t="shared" si="142"/>
        <v>0</v>
      </c>
      <c r="O778" s="111">
        <f>IF(COUNT($H778:N778)&gt;Input!$Y$7,0, N778+N810+N842)</f>
        <v>0</v>
      </c>
      <c r="P778" s="111">
        <f>IF(COUNT($H778:O778)&gt;Input!$Y$7,0, O778+O810+O842)</f>
        <v>0</v>
      </c>
      <c r="Q778" s="111">
        <f>IF(COUNT($H778:P778)&gt;Input!$Y$7,0, P778+P810+P842)</f>
        <v>0</v>
      </c>
      <c r="R778" s="111">
        <f>IF(COUNT($H778:Q778)&gt;Input!$Y$7,0, Q778+Q810+Q842)</f>
        <v>0</v>
      </c>
      <c r="S778" s="100"/>
      <c r="T778" s="100"/>
      <c r="U778" s="100"/>
      <c r="V778" s="100"/>
      <c r="W778" s="100"/>
      <c r="X778" s="100"/>
      <c r="Y778" s="100"/>
      <c r="Z778" s="100"/>
      <c r="AA778" s="228"/>
      <c r="AB778" s="228"/>
      <c r="AC778" s="228"/>
      <c r="AD778" s="228"/>
      <c r="AE778" s="228"/>
      <c r="AF778" s="228"/>
      <c r="AG778" s="228"/>
      <c r="AH778" s="228"/>
      <c r="AI778" s="228"/>
      <c r="AJ778" s="228"/>
      <c r="AK778" s="228"/>
      <c r="AL778" s="228"/>
      <c r="AM778" s="228"/>
      <c r="AN778" s="228"/>
      <c r="AO778" s="228"/>
      <c r="AP778" s="228"/>
      <c r="AQ778" s="228"/>
      <c r="AR778" s="228"/>
      <c r="AS778" s="228"/>
      <c r="AT778" s="228"/>
      <c r="AU778" s="228"/>
      <c r="AV778" s="228"/>
      <c r="AW778" s="228"/>
      <c r="AX778" s="228"/>
      <c r="AY778" s="228"/>
      <c r="AZ778" s="228"/>
      <c r="BA778" s="228"/>
      <c r="BB778" s="228"/>
      <c r="BC778" s="228"/>
      <c r="BD778" s="100"/>
      <c r="BE778" s="100"/>
      <c r="BF778" s="100"/>
      <c r="BG778" s="100"/>
      <c r="BH778" s="100"/>
      <c r="BI778" s="100"/>
      <c r="BJ778" s="100"/>
      <c r="BK778" s="12"/>
      <c r="BL778" s="12"/>
    </row>
    <row r="779" spans="1:64" hidden="1" outlineLevel="1">
      <c r="A779" s="9"/>
      <c r="B779" s="9"/>
      <c r="C779" s="44"/>
      <c r="D779" s="270">
        <f>Asset18</f>
        <v>0</v>
      </c>
      <c r="E779" s="9"/>
      <c r="F779" s="9"/>
      <c r="G779" s="201">
        <f>Input!J24</f>
        <v>0</v>
      </c>
      <c r="H779" s="331">
        <f t="shared" si="141"/>
        <v>0</v>
      </c>
      <c r="I779" s="111">
        <f t="shared" si="142"/>
        <v>0</v>
      </c>
      <c r="J779" s="111">
        <f t="shared" si="142"/>
        <v>0</v>
      </c>
      <c r="K779" s="111">
        <f t="shared" si="142"/>
        <v>0</v>
      </c>
      <c r="L779" s="111">
        <f t="shared" si="142"/>
        <v>0</v>
      </c>
      <c r="M779" s="111">
        <f t="shared" si="142"/>
        <v>0</v>
      </c>
      <c r="N779" s="111">
        <f t="shared" si="142"/>
        <v>0</v>
      </c>
      <c r="O779" s="111">
        <f>IF(COUNT($H779:N779)&gt;Input!$Y$7,0, N779+N811+N843)</f>
        <v>0</v>
      </c>
      <c r="P779" s="111">
        <f>IF(COUNT($H779:O779)&gt;Input!$Y$7,0, O779+O811+O843)</f>
        <v>0</v>
      </c>
      <c r="Q779" s="111">
        <f>IF(COUNT($H779:P779)&gt;Input!$Y$7,0, P779+P811+P843)</f>
        <v>0</v>
      </c>
      <c r="R779" s="111">
        <f>IF(COUNT($H779:Q779)&gt;Input!$Y$7,0, Q779+Q811+Q843)</f>
        <v>0</v>
      </c>
      <c r="S779" s="100"/>
      <c r="T779" s="100"/>
      <c r="U779" s="100"/>
      <c r="V779" s="100"/>
      <c r="W779" s="100"/>
      <c r="X779" s="100"/>
      <c r="Y779" s="100"/>
      <c r="Z779" s="100"/>
      <c r="AA779" s="228"/>
      <c r="AB779" s="228"/>
      <c r="AC779" s="228"/>
      <c r="AD779" s="228"/>
      <c r="AE779" s="228"/>
      <c r="AF779" s="228"/>
      <c r="AG779" s="228"/>
      <c r="AH779" s="228"/>
      <c r="AI779" s="228"/>
      <c r="AJ779" s="228"/>
      <c r="AK779" s="228"/>
      <c r="AL779" s="228"/>
      <c r="AM779" s="228"/>
      <c r="AN779" s="228"/>
      <c r="AO779" s="228"/>
      <c r="AP779" s="228"/>
      <c r="AQ779" s="228"/>
      <c r="AR779" s="228"/>
      <c r="AS779" s="228"/>
      <c r="AT779" s="228"/>
      <c r="AU779" s="228"/>
      <c r="AV779" s="228"/>
      <c r="AW779" s="228"/>
      <c r="AX779" s="228"/>
      <c r="AY779" s="228"/>
      <c r="AZ779" s="228"/>
      <c r="BA779" s="228"/>
      <c r="BB779" s="228"/>
      <c r="BC779" s="228"/>
      <c r="BD779" s="100"/>
      <c r="BE779" s="100"/>
      <c r="BF779" s="100"/>
      <c r="BG779" s="100"/>
      <c r="BH779" s="100"/>
      <c r="BI779" s="100"/>
      <c r="BJ779" s="100"/>
      <c r="BK779" s="12"/>
      <c r="BL779" s="12"/>
    </row>
    <row r="780" spans="1:64" hidden="1" outlineLevel="1">
      <c r="A780" s="9"/>
      <c r="B780" s="9"/>
      <c r="C780" s="44"/>
      <c r="D780" s="270">
        <f>Asset19</f>
        <v>0</v>
      </c>
      <c r="E780" s="9"/>
      <c r="F780" s="9"/>
      <c r="G780" s="201">
        <f>Input!J25</f>
        <v>0</v>
      </c>
      <c r="H780" s="331">
        <f t="shared" si="141"/>
        <v>0</v>
      </c>
      <c r="I780" s="111">
        <f t="shared" si="142"/>
        <v>0</v>
      </c>
      <c r="J780" s="111">
        <f t="shared" si="142"/>
        <v>0</v>
      </c>
      <c r="K780" s="111">
        <f t="shared" si="142"/>
        <v>0</v>
      </c>
      <c r="L780" s="111">
        <f t="shared" si="142"/>
        <v>0</v>
      </c>
      <c r="M780" s="111">
        <f t="shared" si="142"/>
        <v>0</v>
      </c>
      <c r="N780" s="111">
        <f t="shared" si="142"/>
        <v>0</v>
      </c>
      <c r="O780" s="111">
        <f>IF(COUNT($H780:N780)&gt;Input!$Y$7,0, N780+N812+N844)</f>
        <v>0</v>
      </c>
      <c r="P780" s="111">
        <f>IF(COUNT($H780:O780)&gt;Input!$Y$7,0, O780+O812+O844)</f>
        <v>0</v>
      </c>
      <c r="Q780" s="111">
        <f>IF(COUNT($H780:P780)&gt;Input!$Y$7,0, P780+P812+P844)</f>
        <v>0</v>
      </c>
      <c r="R780" s="111">
        <f>IF(COUNT($H780:Q780)&gt;Input!$Y$7,0, Q780+Q812+Q844)</f>
        <v>0</v>
      </c>
      <c r="S780" s="100"/>
      <c r="T780" s="100"/>
      <c r="U780" s="100"/>
      <c r="V780" s="100"/>
      <c r="W780" s="100"/>
      <c r="X780" s="100"/>
      <c r="Y780" s="100"/>
      <c r="Z780" s="100"/>
      <c r="AA780" s="228"/>
      <c r="AB780" s="228"/>
      <c r="AC780" s="228"/>
      <c r="AD780" s="228"/>
      <c r="AE780" s="228"/>
      <c r="AF780" s="228"/>
      <c r="AG780" s="228"/>
      <c r="AH780" s="228"/>
      <c r="AI780" s="228"/>
      <c r="AJ780" s="228"/>
      <c r="AK780" s="228"/>
      <c r="AL780" s="228"/>
      <c r="AM780" s="228"/>
      <c r="AN780" s="228"/>
      <c r="AO780" s="228"/>
      <c r="AP780" s="228"/>
      <c r="AQ780" s="228"/>
      <c r="AR780" s="228"/>
      <c r="AS780" s="228"/>
      <c r="AT780" s="228"/>
      <c r="AU780" s="228"/>
      <c r="AV780" s="228"/>
      <c r="AW780" s="228"/>
      <c r="AX780" s="228"/>
      <c r="AY780" s="228"/>
      <c r="AZ780" s="228"/>
      <c r="BA780" s="228"/>
      <c r="BB780" s="228"/>
      <c r="BC780" s="228"/>
      <c r="BD780" s="100"/>
      <c r="BE780" s="100"/>
      <c r="BF780" s="100"/>
      <c r="BG780" s="100"/>
      <c r="BH780" s="100"/>
      <c r="BI780" s="100"/>
      <c r="BJ780" s="100"/>
      <c r="BK780" s="12"/>
      <c r="BL780" s="12"/>
    </row>
    <row r="781" spans="1:64" hidden="1" outlineLevel="1">
      <c r="A781" s="9"/>
      <c r="B781" s="9"/>
      <c r="C781" s="44"/>
      <c r="D781" s="270">
        <f>Asset20</f>
        <v>0</v>
      </c>
      <c r="E781" s="9"/>
      <c r="F781" s="9"/>
      <c r="G781" s="201">
        <f>Input!J26</f>
        <v>0</v>
      </c>
      <c r="H781" s="331">
        <f t="shared" si="141"/>
        <v>0</v>
      </c>
      <c r="I781" s="111">
        <f t="shared" si="142"/>
        <v>0</v>
      </c>
      <c r="J781" s="111">
        <f t="shared" si="142"/>
        <v>0</v>
      </c>
      <c r="K781" s="111">
        <f t="shared" si="142"/>
        <v>0</v>
      </c>
      <c r="L781" s="111">
        <f t="shared" si="142"/>
        <v>0</v>
      </c>
      <c r="M781" s="111">
        <f t="shared" si="142"/>
        <v>0</v>
      </c>
      <c r="N781" s="111">
        <f t="shared" si="142"/>
        <v>0</v>
      </c>
      <c r="O781" s="111">
        <f>IF(COUNT($H781:N781)&gt;Input!$Y$7,0, N781+N813+N845)</f>
        <v>0</v>
      </c>
      <c r="P781" s="111">
        <f>IF(COUNT($H781:O781)&gt;Input!$Y$7,0, O781+O813+O845)</f>
        <v>0</v>
      </c>
      <c r="Q781" s="111">
        <f>IF(COUNT($H781:P781)&gt;Input!$Y$7,0, P781+P813+P845)</f>
        <v>0</v>
      </c>
      <c r="R781" s="111">
        <f>IF(COUNT($H781:Q781)&gt;Input!$Y$7,0, Q781+Q813+Q845)</f>
        <v>0</v>
      </c>
      <c r="S781" s="100"/>
      <c r="T781" s="100"/>
      <c r="U781" s="100"/>
      <c r="V781" s="100"/>
      <c r="W781" s="100"/>
      <c r="X781" s="100"/>
      <c r="Y781" s="100"/>
      <c r="Z781" s="100"/>
      <c r="AA781" s="228"/>
      <c r="AB781" s="228"/>
      <c r="AC781" s="228"/>
      <c r="AD781" s="228"/>
      <c r="AE781" s="228"/>
      <c r="AF781" s="228"/>
      <c r="AG781" s="228"/>
      <c r="AH781" s="228"/>
      <c r="AI781" s="228"/>
      <c r="AJ781" s="228"/>
      <c r="AK781" s="228"/>
      <c r="AL781" s="228"/>
      <c r="AM781" s="228"/>
      <c r="AN781" s="228"/>
      <c r="AO781" s="228"/>
      <c r="AP781" s="228"/>
      <c r="AQ781" s="228"/>
      <c r="AR781" s="228"/>
      <c r="AS781" s="228"/>
      <c r="AT781" s="228"/>
      <c r="AU781" s="228"/>
      <c r="AV781" s="228"/>
      <c r="AW781" s="228"/>
      <c r="AX781" s="228"/>
      <c r="AY781" s="228"/>
      <c r="AZ781" s="228"/>
      <c r="BA781" s="228"/>
      <c r="BB781" s="228"/>
      <c r="BC781" s="228"/>
      <c r="BD781" s="100"/>
      <c r="BE781" s="100"/>
      <c r="BF781" s="100"/>
      <c r="BG781" s="100"/>
      <c r="BH781" s="100"/>
      <c r="BI781" s="100"/>
      <c r="BJ781" s="100"/>
      <c r="BK781" s="12"/>
      <c r="BL781" s="12"/>
    </row>
    <row r="782" spans="1:64" hidden="1" outlineLevel="1">
      <c r="A782" s="9"/>
      <c r="B782" s="9"/>
      <c r="C782" s="44"/>
      <c r="D782" s="270">
        <f>Asset21</f>
        <v>0</v>
      </c>
      <c r="E782" s="9"/>
      <c r="F782" s="9"/>
      <c r="G782" s="201">
        <f>Input!J27</f>
        <v>0</v>
      </c>
      <c r="H782" s="331">
        <f t="shared" si="141"/>
        <v>0</v>
      </c>
      <c r="I782" s="111">
        <f t="shared" ref="I782:N782" si="143">H782+H814+H846</f>
        <v>0</v>
      </c>
      <c r="J782" s="111">
        <f t="shared" si="143"/>
        <v>0</v>
      </c>
      <c r="K782" s="111">
        <f t="shared" si="143"/>
        <v>0</v>
      </c>
      <c r="L782" s="111">
        <f t="shared" si="143"/>
        <v>0</v>
      </c>
      <c r="M782" s="111">
        <f t="shared" si="143"/>
        <v>0</v>
      </c>
      <c r="N782" s="111">
        <f t="shared" si="143"/>
        <v>0</v>
      </c>
      <c r="O782" s="111">
        <f>IF(COUNT($H782:N782)&gt;Input!$Y$7,0, N782+N814+N846)</f>
        <v>0</v>
      </c>
      <c r="P782" s="111">
        <f>IF(COUNT($H782:O782)&gt;Input!$Y$7,0, O782+O814+O846)</f>
        <v>0</v>
      </c>
      <c r="Q782" s="111">
        <f>IF(COUNT($H782:P782)&gt;Input!$Y$7,0, P782+P814+P846)</f>
        <v>0</v>
      </c>
      <c r="R782" s="111">
        <f>IF(COUNT($H782:Q782)&gt;Input!$Y$7,0, Q782+Q814+Q846)</f>
        <v>0</v>
      </c>
      <c r="S782" s="100"/>
      <c r="T782" s="100"/>
      <c r="U782" s="100"/>
      <c r="V782" s="100"/>
      <c r="W782" s="100"/>
      <c r="X782" s="100"/>
      <c r="Y782" s="100"/>
      <c r="Z782" s="100"/>
      <c r="AA782" s="228"/>
      <c r="AB782" s="228"/>
      <c r="AC782" s="228"/>
      <c r="AD782" s="228"/>
      <c r="AE782" s="228"/>
      <c r="AF782" s="228"/>
      <c r="AG782" s="228"/>
      <c r="AH782" s="228"/>
      <c r="AI782" s="228"/>
      <c r="AJ782" s="228"/>
      <c r="AK782" s="228"/>
      <c r="AL782" s="228"/>
      <c r="AM782" s="228"/>
      <c r="AN782" s="228"/>
      <c r="AO782" s="228"/>
      <c r="AP782" s="228"/>
      <c r="AQ782" s="228"/>
      <c r="AR782" s="228"/>
      <c r="AS782" s="228"/>
      <c r="AT782" s="228"/>
      <c r="AU782" s="228"/>
      <c r="AV782" s="228"/>
      <c r="AW782" s="228"/>
      <c r="AX782" s="228"/>
      <c r="AY782" s="228"/>
      <c r="AZ782" s="228"/>
      <c r="BA782" s="228"/>
      <c r="BB782" s="228"/>
      <c r="BC782" s="228"/>
      <c r="BD782" s="100"/>
      <c r="BE782" s="100"/>
      <c r="BF782" s="100"/>
      <c r="BG782" s="100"/>
      <c r="BH782" s="100"/>
      <c r="BI782" s="100"/>
      <c r="BJ782" s="100"/>
      <c r="BK782" s="12"/>
      <c r="BL782" s="12"/>
    </row>
    <row r="783" spans="1:64" hidden="1" outlineLevel="1">
      <c r="A783" s="9"/>
      <c r="B783" s="9"/>
      <c r="C783" s="44"/>
      <c r="D783" s="270">
        <f>Asset22</f>
        <v>0</v>
      </c>
      <c r="E783" s="9"/>
      <c r="F783" s="9"/>
      <c r="G783" s="201">
        <f>Input!J28</f>
        <v>0</v>
      </c>
      <c r="H783" s="331">
        <f t="shared" si="141"/>
        <v>0</v>
      </c>
      <c r="I783" s="111">
        <f t="shared" ref="I783:I791" si="144">H783+H815+H847</f>
        <v>0</v>
      </c>
      <c r="J783" s="111">
        <f t="shared" ref="J783:N791" si="145">I783+I815+I847</f>
        <v>0</v>
      </c>
      <c r="K783" s="111">
        <f t="shared" si="145"/>
        <v>0</v>
      </c>
      <c r="L783" s="111">
        <f t="shared" si="145"/>
        <v>0</v>
      </c>
      <c r="M783" s="111">
        <f t="shared" si="145"/>
        <v>0</v>
      </c>
      <c r="N783" s="111">
        <f t="shared" si="145"/>
        <v>0</v>
      </c>
      <c r="O783" s="111">
        <f>IF(COUNT($H783:N783)&gt;Input!$Y$7,0, N783+N815+N847)</f>
        <v>0</v>
      </c>
      <c r="P783" s="111">
        <f>IF(COUNT($H783:O783)&gt;Input!$Y$7,0, O783+O815+O847)</f>
        <v>0</v>
      </c>
      <c r="Q783" s="111">
        <f>IF(COUNT($H783:P783)&gt;Input!$Y$7,0, P783+P815+P847)</f>
        <v>0</v>
      </c>
      <c r="R783" s="111">
        <f>IF(COUNT($H783:Q783)&gt;Input!$Y$7,0, Q783+Q815+Q847)</f>
        <v>0</v>
      </c>
      <c r="S783" s="100"/>
      <c r="T783" s="100"/>
      <c r="U783" s="100"/>
      <c r="V783" s="100"/>
      <c r="W783" s="100"/>
      <c r="X783" s="100"/>
      <c r="Y783" s="100"/>
      <c r="Z783" s="100"/>
      <c r="AA783" s="228"/>
      <c r="AB783" s="228"/>
      <c r="AC783" s="228"/>
      <c r="AD783" s="228"/>
      <c r="AE783" s="228"/>
      <c r="AF783" s="228"/>
      <c r="AG783" s="228"/>
      <c r="AH783" s="228"/>
      <c r="AI783" s="228"/>
      <c r="AJ783" s="228"/>
      <c r="AK783" s="228"/>
      <c r="AL783" s="228"/>
      <c r="AM783" s="228"/>
      <c r="AN783" s="228"/>
      <c r="AO783" s="228"/>
      <c r="AP783" s="228"/>
      <c r="AQ783" s="228"/>
      <c r="AR783" s="228"/>
      <c r="AS783" s="228"/>
      <c r="AT783" s="228"/>
      <c r="AU783" s="228"/>
      <c r="AV783" s="228"/>
      <c r="AW783" s="228"/>
      <c r="AX783" s="228"/>
      <c r="AY783" s="228"/>
      <c r="AZ783" s="228"/>
      <c r="BA783" s="228"/>
      <c r="BB783" s="228"/>
      <c r="BC783" s="228"/>
      <c r="BD783" s="100"/>
      <c r="BE783" s="100"/>
      <c r="BF783" s="100"/>
      <c r="BG783" s="100"/>
      <c r="BH783" s="100"/>
      <c r="BI783" s="100"/>
      <c r="BJ783" s="100"/>
      <c r="BK783" s="12"/>
      <c r="BL783" s="12"/>
    </row>
    <row r="784" spans="1:64" hidden="1" outlineLevel="1">
      <c r="A784" s="9"/>
      <c r="B784" s="9"/>
      <c r="C784" s="44"/>
      <c r="D784" s="270">
        <f>Asset23</f>
        <v>0</v>
      </c>
      <c r="E784" s="9"/>
      <c r="F784" s="9"/>
      <c r="G784" s="201">
        <f>Input!J29</f>
        <v>0</v>
      </c>
      <c r="H784" s="331">
        <f t="shared" si="141"/>
        <v>0</v>
      </c>
      <c r="I784" s="111">
        <f t="shared" si="144"/>
        <v>0</v>
      </c>
      <c r="J784" s="111">
        <f t="shared" si="145"/>
        <v>0</v>
      </c>
      <c r="K784" s="111">
        <f t="shared" si="145"/>
        <v>0</v>
      </c>
      <c r="L784" s="111">
        <f t="shared" si="145"/>
        <v>0</v>
      </c>
      <c r="M784" s="111">
        <f t="shared" si="145"/>
        <v>0</v>
      </c>
      <c r="N784" s="111">
        <f t="shared" si="145"/>
        <v>0</v>
      </c>
      <c r="O784" s="111">
        <f>IF(COUNT($H784:N784)&gt;Input!$Y$7,0, N784+N816+N848)</f>
        <v>0</v>
      </c>
      <c r="P784" s="111">
        <f>IF(COUNT($H784:O784)&gt;Input!$Y$7,0, O784+O816+O848)</f>
        <v>0</v>
      </c>
      <c r="Q784" s="111">
        <f>IF(COUNT($H784:P784)&gt;Input!$Y$7,0, P784+P816+P848)</f>
        <v>0</v>
      </c>
      <c r="R784" s="111">
        <f>IF(COUNT($H784:Q784)&gt;Input!$Y$7,0, Q784+Q816+Q848)</f>
        <v>0</v>
      </c>
      <c r="S784" s="100"/>
      <c r="T784" s="100"/>
      <c r="U784" s="100"/>
      <c r="V784" s="100"/>
      <c r="W784" s="100"/>
      <c r="X784" s="100"/>
      <c r="Y784" s="100"/>
      <c r="Z784" s="100"/>
      <c r="AA784" s="228"/>
      <c r="AB784" s="228"/>
      <c r="AC784" s="228"/>
      <c r="AD784" s="228"/>
      <c r="AE784" s="228"/>
      <c r="AF784" s="228"/>
      <c r="AG784" s="228"/>
      <c r="AH784" s="228"/>
      <c r="AI784" s="228"/>
      <c r="AJ784" s="228"/>
      <c r="AK784" s="228"/>
      <c r="AL784" s="228"/>
      <c r="AM784" s="228"/>
      <c r="AN784" s="228"/>
      <c r="AO784" s="228"/>
      <c r="AP784" s="228"/>
      <c r="AQ784" s="228"/>
      <c r="AR784" s="228"/>
      <c r="AS784" s="228"/>
      <c r="AT784" s="228"/>
      <c r="AU784" s="228"/>
      <c r="AV784" s="228"/>
      <c r="AW784" s="228"/>
      <c r="AX784" s="228"/>
      <c r="AY784" s="228"/>
      <c r="AZ784" s="228"/>
      <c r="BA784" s="228"/>
      <c r="BB784" s="228"/>
      <c r="BC784" s="228"/>
      <c r="BD784" s="100"/>
      <c r="BE784" s="100"/>
      <c r="BF784" s="100"/>
      <c r="BG784" s="100"/>
      <c r="BH784" s="100"/>
      <c r="BI784" s="100"/>
      <c r="BJ784" s="100"/>
      <c r="BK784" s="12"/>
      <c r="BL784" s="12"/>
    </row>
    <row r="785" spans="1:64" hidden="1" outlineLevel="1">
      <c r="A785" s="9"/>
      <c r="B785" s="9"/>
      <c r="C785" s="44"/>
      <c r="D785" s="270">
        <f>Asset24</f>
        <v>0</v>
      </c>
      <c r="E785" s="9"/>
      <c r="F785" s="9"/>
      <c r="G785" s="201">
        <f>Input!J30</f>
        <v>0</v>
      </c>
      <c r="H785" s="331">
        <f t="shared" si="141"/>
        <v>0</v>
      </c>
      <c r="I785" s="111">
        <f t="shared" si="144"/>
        <v>0</v>
      </c>
      <c r="J785" s="111">
        <f t="shared" si="145"/>
        <v>0</v>
      </c>
      <c r="K785" s="111">
        <f t="shared" si="145"/>
        <v>0</v>
      </c>
      <c r="L785" s="111">
        <f t="shared" si="145"/>
        <v>0</v>
      </c>
      <c r="M785" s="111">
        <f t="shared" si="145"/>
        <v>0</v>
      </c>
      <c r="N785" s="111">
        <f t="shared" si="145"/>
        <v>0</v>
      </c>
      <c r="O785" s="111">
        <f>IF(COUNT($H785:N785)&gt;Input!$Y$7,0, N785+N817+N849)</f>
        <v>0</v>
      </c>
      <c r="P785" s="111">
        <f>IF(COUNT($H785:O785)&gt;Input!$Y$7,0, O785+O817+O849)</f>
        <v>0</v>
      </c>
      <c r="Q785" s="111">
        <f>IF(COUNT($H785:P785)&gt;Input!$Y$7,0, P785+P817+P849)</f>
        <v>0</v>
      </c>
      <c r="R785" s="111">
        <f>IF(COUNT($H785:Q785)&gt;Input!$Y$7,0, Q785+Q817+Q849)</f>
        <v>0</v>
      </c>
      <c r="S785" s="100"/>
      <c r="T785" s="100"/>
      <c r="U785" s="100"/>
      <c r="V785" s="100"/>
      <c r="W785" s="100"/>
      <c r="X785" s="100"/>
      <c r="Y785" s="100"/>
      <c r="Z785" s="100"/>
      <c r="AA785" s="228"/>
      <c r="AB785" s="228"/>
      <c r="AC785" s="228"/>
      <c r="AD785" s="228"/>
      <c r="AE785" s="228"/>
      <c r="AF785" s="228"/>
      <c r="AG785" s="228"/>
      <c r="AH785" s="228"/>
      <c r="AI785" s="228"/>
      <c r="AJ785" s="228"/>
      <c r="AK785" s="228"/>
      <c r="AL785" s="228"/>
      <c r="AM785" s="228"/>
      <c r="AN785" s="228"/>
      <c r="AO785" s="228"/>
      <c r="AP785" s="228"/>
      <c r="AQ785" s="228"/>
      <c r="AR785" s="228"/>
      <c r="AS785" s="228"/>
      <c r="AT785" s="228"/>
      <c r="AU785" s="228"/>
      <c r="AV785" s="228"/>
      <c r="AW785" s="228"/>
      <c r="AX785" s="228"/>
      <c r="AY785" s="228"/>
      <c r="AZ785" s="228"/>
      <c r="BA785" s="228"/>
      <c r="BB785" s="228"/>
      <c r="BC785" s="228"/>
      <c r="BD785" s="100"/>
      <c r="BE785" s="100"/>
      <c r="BF785" s="100"/>
      <c r="BG785" s="100"/>
      <c r="BH785" s="100"/>
      <c r="BI785" s="100"/>
      <c r="BJ785" s="100"/>
      <c r="BK785" s="12"/>
      <c r="BL785" s="12"/>
    </row>
    <row r="786" spans="1:64" hidden="1" outlineLevel="1">
      <c r="A786" s="9"/>
      <c r="B786" s="9"/>
      <c r="C786" s="44"/>
      <c r="D786" s="270">
        <f>Asset25</f>
        <v>0</v>
      </c>
      <c r="E786" s="9"/>
      <c r="F786" s="9"/>
      <c r="G786" s="201">
        <f>Input!J31</f>
        <v>0</v>
      </c>
      <c r="H786" s="331">
        <f t="shared" si="141"/>
        <v>0</v>
      </c>
      <c r="I786" s="111">
        <f t="shared" si="144"/>
        <v>0</v>
      </c>
      <c r="J786" s="111">
        <f t="shared" si="145"/>
        <v>0</v>
      </c>
      <c r="K786" s="111">
        <f t="shared" si="145"/>
        <v>0</v>
      </c>
      <c r="L786" s="111">
        <f t="shared" si="145"/>
        <v>0</v>
      </c>
      <c r="M786" s="111">
        <f t="shared" si="145"/>
        <v>0</v>
      </c>
      <c r="N786" s="111">
        <f t="shared" si="145"/>
        <v>0</v>
      </c>
      <c r="O786" s="111">
        <f>IF(COUNT($H786:N786)&gt;Input!$Y$7,0, N786+N818+N850)</f>
        <v>0</v>
      </c>
      <c r="P786" s="111">
        <f>IF(COUNT($H786:O786)&gt;Input!$Y$7,0, O786+O818+O850)</f>
        <v>0</v>
      </c>
      <c r="Q786" s="111">
        <f>IF(COUNT($H786:P786)&gt;Input!$Y$7,0, P786+P818+P850)</f>
        <v>0</v>
      </c>
      <c r="R786" s="111">
        <f>IF(COUNT($H786:Q786)&gt;Input!$Y$7,0, Q786+Q818+Q850)</f>
        <v>0</v>
      </c>
      <c r="S786" s="100"/>
      <c r="T786" s="100"/>
      <c r="U786" s="100"/>
      <c r="V786" s="100"/>
      <c r="W786" s="100"/>
      <c r="X786" s="100"/>
      <c r="Y786" s="100"/>
      <c r="Z786" s="100"/>
      <c r="AA786" s="228"/>
      <c r="AB786" s="228"/>
      <c r="AC786" s="228"/>
      <c r="AD786" s="228"/>
      <c r="AE786" s="228"/>
      <c r="AF786" s="228"/>
      <c r="AG786" s="228"/>
      <c r="AH786" s="228"/>
      <c r="AI786" s="228"/>
      <c r="AJ786" s="228"/>
      <c r="AK786" s="228"/>
      <c r="AL786" s="228"/>
      <c r="AM786" s="228"/>
      <c r="AN786" s="228"/>
      <c r="AO786" s="228"/>
      <c r="AP786" s="228"/>
      <c r="AQ786" s="228"/>
      <c r="AR786" s="228"/>
      <c r="AS786" s="228"/>
      <c r="AT786" s="228"/>
      <c r="AU786" s="228"/>
      <c r="AV786" s="228"/>
      <c r="AW786" s="228"/>
      <c r="AX786" s="228"/>
      <c r="AY786" s="228"/>
      <c r="AZ786" s="228"/>
      <c r="BA786" s="228"/>
      <c r="BB786" s="228"/>
      <c r="BC786" s="228"/>
      <c r="BD786" s="100"/>
      <c r="BE786" s="100"/>
      <c r="BF786" s="100"/>
      <c r="BG786" s="100"/>
      <c r="BH786" s="100"/>
      <c r="BI786" s="100"/>
      <c r="BJ786" s="100"/>
      <c r="BK786" s="12"/>
      <c r="BL786" s="12"/>
    </row>
    <row r="787" spans="1:64" hidden="1" outlineLevel="1">
      <c r="A787" s="9"/>
      <c r="B787" s="9"/>
      <c r="C787" s="44"/>
      <c r="D787" s="270">
        <f>Asset26</f>
        <v>0</v>
      </c>
      <c r="E787" s="9"/>
      <c r="F787" s="9"/>
      <c r="G787" s="201">
        <f>Input!J32</f>
        <v>0</v>
      </c>
      <c r="H787" s="331">
        <f t="shared" si="141"/>
        <v>0</v>
      </c>
      <c r="I787" s="111">
        <f t="shared" si="144"/>
        <v>0</v>
      </c>
      <c r="J787" s="111">
        <f t="shared" si="145"/>
        <v>0</v>
      </c>
      <c r="K787" s="111">
        <f t="shared" si="145"/>
        <v>0</v>
      </c>
      <c r="L787" s="111">
        <f t="shared" si="145"/>
        <v>0</v>
      </c>
      <c r="M787" s="111">
        <f t="shared" si="145"/>
        <v>0</v>
      </c>
      <c r="N787" s="111">
        <f t="shared" si="145"/>
        <v>0</v>
      </c>
      <c r="O787" s="111">
        <f>IF(COUNT($H787:N787)&gt;Input!$Y$7,0, N787+N819+N851)</f>
        <v>0</v>
      </c>
      <c r="P787" s="111">
        <f>IF(COUNT($H787:O787)&gt;Input!$Y$7,0, O787+O819+O851)</f>
        <v>0</v>
      </c>
      <c r="Q787" s="111">
        <f>IF(COUNT($H787:P787)&gt;Input!$Y$7,0, P787+P819+P851)</f>
        <v>0</v>
      </c>
      <c r="R787" s="111">
        <f>IF(COUNT($H787:Q787)&gt;Input!$Y$7,0, Q787+Q819+Q851)</f>
        <v>0</v>
      </c>
      <c r="S787" s="100"/>
      <c r="T787" s="100"/>
      <c r="U787" s="100"/>
      <c r="V787" s="100"/>
      <c r="W787" s="100"/>
      <c r="X787" s="100"/>
      <c r="Y787" s="100"/>
      <c r="Z787" s="100"/>
      <c r="AA787" s="228"/>
      <c r="AB787" s="228"/>
      <c r="AC787" s="228"/>
      <c r="AD787" s="228"/>
      <c r="AE787" s="228"/>
      <c r="AF787" s="228"/>
      <c r="AG787" s="228"/>
      <c r="AH787" s="228"/>
      <c r="AI787" s="228"/>
      <c r="AJ787" s="228"/>
      <c r="AK787" s="228"/>
      <c r="AL787" s="228"/>
      <c r="AM787" s="228"/>
      <c r="AN787" s="228"/>
      <c r="AO787" s="228"/>
      <c r="AP787" s="228"/>
      <c r="AQ787" s="228"/>
      <c r="AR787" s="228"/>
      <c r="AS787" s="228"/>
      <c r="AT787" s="228"/>
      <c r="AU787" s="228"/>
      <c r="AV787" s="228"/>
      <c r="AW787" s="228"/>
      <c r="AX787" s="228"/>
      <c r="AY787" s="228"/>
      <c r="AZ787" s="228"/>
      <c r="BA787" s="228"/>
      <c r="BB787" s="228"/>
      <c r="BC787" s="228"/>
      <c r="BD787" s="100"/>
      <c r="BE787" s="100"/>
      <c r="BF787" s="100"/>
      <c r="BG787" s="100"/>
      <c r="BH787" s="100"/>
      <c r="BI787" s="100"/>
      <c r="BJ787" s="100"/>
      <c r="BK787" s="12"/>
      <c r="BL787" s="12"/>
    </row>
    <row r="788" spans="1:64" hidden="1" outlineLevel="1">
      <c r="A788" s="9"/>
      <c r="B788" s="9"/>
      <c r="C788" s="44"/>
      <c r="D788" s="270">
        <f>Asset27</f>
        <v>0</v>
      </c>
      <c r="E788" s="9"/>
      <c r="F788" s="9"/>
      <c r="G788" s="201">
        <f>Input!J33</f>
        <v>0</v>
      </c>
      <c r="H788" s="331">
        <f t="shared" si="141"/>
        <v>0</v>
      </c>
      <c r="I788" s="111">
        <f t="shared" si="144"/>
        <v>0</v>
      </c>
      <c r="J788" s="111">
        <f t="shared" si="145"/>
        <v>0</v>
      </c>
      <c r="K788" s="111">
        <f t="shared" si="145"/>
        <v>0</v>
      </c>
      <c r="L788" s="111">
        <f t="shared" si="145"/>
        <v>0</v>
      </c>
      <c r="M788" s="111">
        <f t="shared" si="145"/>
        <v>0</v>
      </c>
      <c r="N788" s="111">
        <f t="shared" si="145"/>
        <v>0</v>
      </c>
      <c r="O788" s="111">
        <f>IF(COUNT($H788:N788)&gt;Input!$Y$7,0, N788+N820+N852)</f>
        <v>0</v>
      </c>
      <c r="P788" s="111">
        <f>IF(COUNT($H788:O788)&gt;Input!$Y$7,0, O788+O820+O852)</f>
        <v>0</v>
      </c>
      <c r="Q788" s="111">
        <f>IF(COUNT($H788:P788)&gt;Input!$Y$7,0, P788+P820+P852)</f>
        <v>0</v>
      </c>
      <c r="R788" s="111">
        <f>IF(COUNT($H788:Q788)&gt;Input!$Y$7,0, Q788+Q820+Q852)</f>
        <v>0</v>
      </c>
      <c r="S788" s="100"/>
      <c r="T788" s="100"/>
      <c r="U788" s="100"/>
      <c r="V788" s="100"/>
      <c r="W788" s="100"/>
      <c r="X788" s="100"/>
      <c r="Y788" s="100"/>
      <c r="Z788" s="100"/>
      <c r="AA788" s="228"/>
      <c r="AB788" s="228"/>
      <c r="AC788" s="228"/>
      <c r="AD788" s="228"/>
      <c r="AE788" s="228"/>
      <c r="AF788" s="228"/>
      <c r="AG788" s="228"/>
      <c r="AH788" s="228"/>
      <c r="AI788" s="228"/>
      <c r="AJ788" s="228"/>
      <c r="AK788" s="228"/>
      <c r="AL788" s="228"/>
      <c r="AM788" s="228"/>
      <c r="AN788" s="228"/>
      <c r="AO788" s="228"/>
      <c r="AP788" s="228"/>
      <c r="AQ788" s="228"/>
      <c r="AR788" s="228"/>
      <c r="AS788" s="228"/>
      <c r="AT788" s="228"/>
      <c r="AU788" s="228"/>
      <c r="AV788" s="228"/>
      <c r="AW788" s="228"/>
      <c r="AX788" s="228"/>
      <c r="AY788" s="228"/>
      <c r="AZ788" s="228"/>
      <c r="BA788" s="228"/>
      <c r="BB788" s="228"/>
      <c r="BC788" s="228"/>
      <c r="BD788" s="100"/>
      <c r="BE788" s="100"/>
      <c r="BF788" s="100"/>
      <c r="BG788" s="100"/>
      <c r="BH788" s="100"/>
      <c r="BI788" s="100"/>
      <c r="BJ788" s="100"/>
      <c r="BK788" s="12"/>
      <c r="BL788" s="12"/>
    </row>
    <row r="789" spans="1:64" hidden="1" outlineLevel="1">
      <c r="A789" s="9"/>
      <c r="B789" s="9"/>
      <c r="C789" s="44"/>
      <c r="D789" s="270">
        <f>Asset28</f>
        <v>0</v>
      </c>
      <c r="E789" s="9"/>
      <c r="F789" s="9"/>
      <c r="G789" s="201">
        <f>Input!J34</f>
        <v>0</v>
      </c>
      <c r="H789" s="331">
        <f t="shared" si="141"/>
        <v>0</v>
      </c>
      <c r="I789" s="111">
        <f t="shared" si="144"/>
        <v>0</v>
      </c>
      <c r="J789" s="111">
        <f t="shared" si="145"/>
        <v>0</v>
      </c>
      <c r="K789" s="111">
        <f t="shared" si="145"/>
        <v>0</v>
      </c>
      <c r="L789" s="111">
        <f t="shared" si="145"/>
        <v>0</v>
      </c>
      <c r="M789" s="111">
        <f t="shared" si="145"/>
        <v>0</v>
      </c>
      <c r="N789" s="111">
        <f t="shared" si="145"/>
        <v>0</v>
      </c>
      <c r="O789" s="111">
        <f>IF(COUNT($H789:N789)&gt;Input!$Y$7,0, N789+N821+N853)</f>
        <v>0</v>
      </c>
      <c r="P789" s="111">
        <f>IF(COUNT($H789:O789)&gt;Input!$Y$7,0, O789+O821+O853)</f>
        <v>0</v>
      </c>
      <c r="Q789" s="111">
        <f>IF(COUNT($H789:P789)&gt;Input!$Y$7,0, P789+P821+P853)</f>
        <v>0</v>
      </c>
      <c r="R789" s="111">
        <f>IF(COUNT($H789:Q789)&gt;Input!$Y$7,0, Q789+Q821+Q853)</f>
        <v>0</v>
      </c>
      <c r="S789" s="100"/>
      <c r="T789" s="100"/>
      <c r="U789" s="100"/>
      <c r="V789" s="100"/>
      <c r="W789" s="100"/>
      <c r="X789" s="100"/>
      <c r="Y789" s="100"/>
      <c r="Z789" s="100"/>
      <c r="AA789" s="228"/>
      <c r="AB789" s="228"/>
      <c r="AC789" s="228"/>
      <c r="AD789" s="228"/>
      <c r="AE789" s="228"/>
      <c r="AF789" s="228"/>
      <c r="AG789" s="228"/>
      <c r="AH789" s="228"/>
      <c r="AI789" s="228"/>
      <c r="AJ789" s="228"/>
      <c r="AK789" s="228"/>
      <c r="AL789" s="228"/>
      <c r="AM789" s="228"/>
      <c r="AN789" s="228"/>
      <c r="AO789" s="228"/>
      <c r="AP789" s="228"/>
      <c r="AQ789" s="228"/>
      <c r="AR789" s="228"/>
      <c r="AS789" s="228"/>
      <c r="AT789" s="228"/>
      <c r="AU789" s="228"/>
      <c r="AV789" s="228"/>
      <c r="AW789" s="228"/>
      <c r="AX789" s="228"/>
      <c r="AY789" s="228"/>
      <c r="AZ789" s="228"/>
      <c r="BA789" s="228"/>
      <c r="BB789" s="228"/>
      <c r="BC789" s="228"/>
      <c r="BD789" s="100"/>
      <c r="BE789" s="100"/>
      <c r="BF789" s="100"/>
      <c r="BG789" s="100"/>
      <c r="BH789" s="100"/>
      <c r="BI789" s="100"/>
      <c r="BJ789" s="100"/>
      <c r="BK789" s="12"/>
      <c r="BL789" s="12"/>
    </row>
    <row r="790" spans="1:64" hidden="1" outlineLevel="1">
      <c r="A790" s="9"/>
      <c r="B790" s="9"/>
      <c r="C790" s="44"/>
      <c r="D790" s="270">
        <f>Asset29</f>
        <v>0</v>
      </c>
      <c r="E790" s="9"/>
      <c r="F790" s="9"/>
      <c r="G790" s="201">
        <f>Input!J35</f>
        <v>0</v>
      </c>
      <c r="H790" s="331">
        <f t="shared" si="141"/>
        <v>0</v>
      </c>
      <c r="I790" s="111">
        <f t="shared" si="144"/>
        <v>0</v>
      </c>
      <c r="J790" s="111">
        <f t="shared" si="145"/>
        <v>0</v>
      </c>
      <c r="K790" s="111">
        <f t="shared" si="145"/>
        <v>0</v>
      </c>
      <c r="L790" s="111">
        <f t="shared" si="145"/>
        <v>0</v>
      </c>
      <c r="M790" s="111">
        <f t="shared" si="145"/>
        <v>0</v>
      </c>
      <c r="N790" s="111">
        <f t="shared" si="145"/>
        <v>0</v>
      </c>
      <c r="O790" s="111">
        <f>IF(COUNT($H790:N790)&gt;Input!$Y$7,0, N790+N822+N854)</f>
        <v>0</v>
      </c>
      <c r="P790" s="111">
        <f>IF(COUNT($H790:O790)&gt;Input!$Y$7,0, O790+O822+O854)</f>
        <v>0</v>
      </c>
      <c r="Q790" s="111">
        <f>IF(COUNT($H790:P790)&gt;Input!$Y$7,0, P790+P822+P854)</f>
        <v>0</v>
      </c>
      <c r="R790" s="111">
        <f>IF(COUNT($H790:Q790)&gt;Input!$Y$7,0, Q790+Q822+Q854)</f>
        <v>0</v>
      </c>
      <c r="S790" s="100"/>
      <c r="T790" s="100"/>
      <c r="U790" s="100"/>
      <c r="V790" s="100"/>
      <c r="W790" s="100"/>
      <c r="X790" s="100"/>
      <c r="Y790" s="100"/>
      <c r="Z790" s="100"/>
      <c r="AA790" s="228"/>
      <c r="AB790" s="228"/>
      <c r="AC790" s="228"/>
      <c r="AD790" s="228"/>
      <c r="AE790" s="228"/>
      <c r="AF790" s="228"/>
      <c r="AG790" s="228"/>
      <c r="AH790" s="228"/>
      <c r="AI790" s="228"/>
      <c r="AJ790" s="228"/>
      <c r="AK790" s="228"/>
      <c r="AL790" s="228"/>
      <c r="AM790" s="228"/>
      <c r="AN790" s="228"/>
      <c r="AO790" s="228"/>
      <c r="AP790" s="228"/>
      <c r="AQ790" s="228"/>
      <c r="AR790" s="228"/>
      <c r="AS790" s="228"/>
      <c r="AT790" s="228"/>
      <c r="AU790" s="228"/>
      <c r="AV790" s="228"/>
      <c r="AW790" s="228"/>
      <c r="AX790" s="228"/>
      <c r="AY790" s="228"/>
      <c r="AZ790" s="228"/>
      <c r="BA790" s="228"/>
      <c r="BB790" s="228"/>
      <c r="BC790" s="228"/>
      <c r="BD790" s="100"/>
      <c r="BE790" s="100"/>
      <c r="BF790" s="100"/>
      <c r="BG790" s="100"/>
      <c r="BH790" s="100"/>
      <c r="BI790" s="100"/>
      <c r="BJ790" s="100"/>
      <c r="BK790" s="12"/>
      <c r="BL790" s="12"/>
    </row>
    <row r="791" spans="1:64" hidden="1" outlineLevel="1">
      <c r="A791" s="9"/>
      <c r="B791" s="9"/>
      <c r="C791" s="44"/>
      <c r="D791" s="270">
        <f>Asset30</f>
        <v>0</v>
      </c>
      <c r="E791" s="9"/>
      <c r="F791" s="9"/>
      <c r="G791" s="201">
        <f>Input!J36</f>
        <v>0</v>
      </c>
      <c r="H791" s="331">
        <f t="shared" si="141"/>
        <v>0</v>
      </c>
      <c r="I791" s="111">
        <f t="shared" si="144"/>
        <v>0</v>
      </c>
      <c r="J791" s="111">
        <f t="shared" si="145"/>
        <v>0</v>
      </c>
      <c r="K791" s="111">
        <f t="shared" si="145"/>
        <v>0</v>
      </c>
      <c r="L791" s="111">
        <f>K791+K823+K855</f>
        <v>0</v>
      </c>
      <c r="M791" s="111">
        <f>L791+L823+L855</f>
        <v>0</v>
      </c>
      <c r="N791" s="111">
        <f>M791+M823+M855</f>
        <v>0</v>
      </c>
      <c r="O791" s="111">
        <f>IF(COUNT($H791:N791)&gt;Input!$Y$7,0, N791+N823+N855)</f>
        <v>0</v>
      </c>
      <c r="P791" s="111">
        <f>IF(COUNT($H791:O791)&gt;Input!$Y$7,0, O791+O823+O855)</f>
        <v>0</v>
      </c>
      <c r="Q791" s="111">
        <f>IF(COUNT($H791:P791)&gt;Input!$Y$7,0, P791+P823+P855)</f>
        <v>0</v>
      </c>
      <c r="R791" s="111">
        <f>IF(COUNT($H791:Q791)&gt;Input!$Y$7,0, Q791+Q823+Q855)</f>
        <v>0</v>
      </c>
      <c r="S791" s="100"/>
      <c r="T791" s="100"/>
      <c r="U791" s="100"/>
      <c r="V791" s="100"/>
      <c r="W791" s="100"/>
      <c r="X791" s="100"/>
      <c r="Y791" s="100"/>
      <c r="Z791" s="100"/>
      <c r="AA791" s="228"/>
      <c r="AB791" s="228"/>
      <c r="AC791" s="228"/>
      <c r="AD791" s="228"/>
      <c r="AE791" s="228"/>
      <c r="AF791" s="228"/>
      <c r="AG791" s="228"/>
      <c r="AH791" s="228"/>
      <c r="AI791" s="228"/>
      <c r="AJ791" s="228"/>
      <c r="AK791" s="228"/>
      <c r="AL791" s="228"/>
      <c r="AM791" s="228"/>
      <c r="AN791" s="228"/>
      <c r="AO791" s="228"/>
      <c r="AP791" s="228"/>
      <c r="AQ791" s="228"/>
      <c r="AR791" s="228"/>
      <c r="AS791" s="228"/>
      <c r="AT791" s="228"/>
      <c r="AU791" s="228"/>
      <c r="AV791" s="228"/>
      <c r="AW791" s="228"/>
      <c r="AX791" s="228"/>
      <c r="AY791" s="228"/>
      <c r="AZ791" s="228"/>
      <c r="BA791" s="228"/>
      <c r="BB791" s="228"/>
      <c r="BC791" s="228"/>
      <c r="BD791" s="100"/>
      <c r="BE791" s="100"/>
      <c r="BF791" s="100"/>
      <c r="BG791" s="100"/>
      <c r="BH791" s="100"/>
      <c r="BI791" s="100"/>
      <c r="BJ791" s="100"/>
      <c r="BK791" s="12"/>
      <c r="BL791" s="12"/>
    </row>
    <row r="792" spans="1:64" collapsed="1">
      <c r="A792" s="9"/>
      <c r="B792" s="9"/>
      <c r="C792" s="44"/>
      <c r="D792" s="270"/>
      <c r="E792" s="9"/>
      <c r="F792" s="9"/>
      <c r="G792" s="281"/>
      <c r="H792" s="35"/>
      <c r="I792" s="35"/>
      <c r="J792" s="35"/>
      <c r="K792" s="35"/>
      <c r="L792" s="35"/>
      <c r="M792" s="35"/>
      <c r="N792" s="29"/>
      <c r="O792" s="29"/>
      <c r="P792" s="29"/>
      <c r="Q792" s="29"/>
      <c r="R792" s="29"/>
      <c r="S792" s="100"/>
      <c r="T792" s="100"/>
      <c r="U792" s="100"/>
      <c r="V792" s="100"/>
      <c r="W792" s="100"/>
      <c r="X792" s="100"/>
      <c r="Y792" s="100"/>
      <c r="Z792" s="100"/>
      <c r="AA792" s="228"/>
      <c r="AB792" s="228"/>
      <c r="AC792" s="228"/>
      <c r="AD792" s="228"/>
      <c r="AE792" s="228"/>
      <c r="AF792" s="228"/>
      <c r="AG792" s="228"/>
      <c r="AH792" s="228"/>
      <c r="AI792" s="228"/>
      <c r="AJ792" s="228"/>
      <c r="AK792" s="228"/>
      <c r="AL792" s="228"/>
      <c r="AM792" s="228"/>
      <c r="AN792" s="228"/>
      <c r="AO792" s="228"/>
      <c r="AP792" s="228"/>
      <c r="AQ792" s="228"/>
      <c r="AR792" s="228"/>
      <c r="AS792" s="228"/>
      <c r="AT792" s="228"/>
      <c r="AU792" s="228"/>
      <c r="AV792" s="228"/>
      <c r="AW792" s="228"/>
      <c r="AX792" s="228"/>
      <c r="AY792" s="228"/>
      <c r="AZ792" s="228"/>
      <c r="BA792" s="228"/>
      <c r="BB792" s="228"/>
      <c r="BC792" s="228"/>
      <c r="BD792" s="100"/>
      <c r="BE792" s="100"/>
      <c r="BF792" s="100"/>
      <c r="BG792" s="100"/>
      <c r="BH792" s="100"/>
      <c r="BI792" s="100"/>
      <c r="BJ792" s="100"/>
      <c r="BK792" s="12"/>
      <c r="BL792" s="12"/>
    </row>
    <row r="793" spans="1:64">
      <c r="A793" s="9"/>
      <c r="B793" s="9"/>
      <c r="C793" s="44" t="s">
        <v>31</v>
      </c>
      <c r="D793" s="9"/>
      <c r="E793" s="9"/>
      <c r="F793" s="9"/>
      <c r="G793" s="202">
        <f>SUM(G794:G823)</f>
        <v>85.232652528569361</v>
      </c>
      <c r="H793" s="35">
        <f>SUM(H794:H823)</f>
        <v>41.111650747726756</v>
      </c>
      <c r="I793" s="35">
        <f t="shared" ref="I793:P793" si="146">SUM(I794:I823)</f>
        <v>86.892948301384251</v>
      </c>
      <c r="J793" s="35">
        <f t="shared" si="146"/>
        <v>110.37891203890059</v>
      </c>
      <c r="K793" s="35">
        <f t="shared" si="146"/>
        <v>124.14160064027246</v>
      </c>
      <c r="L793" s="35">
        <f t="shared" si="146"/>
        <v>145.15783706054353</v>
      </c>
      <c r="M793" s="35">
        <f t="shared" si="146"/>
        <v>144.03307928448825</v>
      </c>
      <c r="N793" s="35">
        <f t="shared" si="146"/>
        <v>0</v>
      </c>
      <c r="O793" s="35">
        <f t="shared" si="146"/>
        <v>0</v>
      </c>
      <c r="P793" s="35">
        <f t="shared" si="146"/>
        <v>0</v>
      </c>
      <c r="Q793" s="35">
        <f>SUM(Q794:Q823)</f>
        <v>0</v>
      </c>
      <c r="R793" s="29"/>
      <c r="S793" s="100"/>
      <c r="T793" s="100"/>
      <c r="U793" s="100"/>
      <c r="V793" s="100"/>
      <c r="W793" s="100"/>
      <c r="X793" s="100"/>
      <c r="Y793" s="100"/>
      <c r="Z793" s="100"/>
      <c r="AA793" s="228"/>
      <c r="AB793" s="228"/>
      <c r="AC793" s="228"/>
      <c r="AD793" s="228"/>
      <c r="AE793" s="228"/>
      <c r="AF793" s="228"/>
      <c r="AG793" s="228"/>
      <c r="AH793" s="228"/>
      <c r="AI793" s="228"/>
      <c r="AJ793" s="228"/>
      <c r="AK793" s="228"/>
      <c r="AL793" s="228"/>
      <c r="AM793" s="228"/>
      <c r="AN793" s="228"/>
      <c r="AO793" s="228"/>
      <c r="AP793" s="228"/>
      <c r="AQ793" s="228"/>
      <c r="AR793" s="228"/>
      <c r="AS793" s="228"/>
      <c r="AT793" s="228"/>
      <c r="AU793" s="228"/>
      <c r="AV793" s="228"/>
      <c r="AW793" s="228"/>
      <c r="AX793" s="228"/>
      <c r="AY793" s="228"/>
      <c r="AZ793" s="228"/>
      <c r="BA793" s="228"/>
      <c r="BB793" s="228"/>
      <c r="BC793" s="228"/>
      <c r="BD793" s="100"/>
      <c r="BE793" s="100"/>
      <c r="BF793" s="100"/>
      <c r="BG793" s="100"/>
      <c r="BH793" s="100"/>
      <c r="BI793" s="100"/>
      <c r="BJ793" s="100"/>
      <c r="BK793" s="12"/>
      <c r="BL793" s="12"/>
    </row>
    <row r="794" spans="1:64" hidden="1" outlineLevel="1">
      <c r="A794" s="9"/>
      <c r="B794" s="9"/>
      <c r="C794" s="44"/>
      <c r="D794" s="270" t="str">
        <f>Asset1</f>
        <v>Secondary</v>
      </c>
      <c r="E794" s="9"/>
      <c r="F794" s="9"/>
      <c r="G794" s="204">
        <f>'Adjustment for previous period'!G478</f>
        <v>14.463151023717792</v>
      </c>
      <c r="H794" s="111">
        <f t="shared" ref="H794:Q794" si="147">H44*H$7</f>
        <v>7.5118820252378349</v>
      </c>
      <c r="I794" s="111">
        <f t="shared" si="147"/>
        <v>3.067290947435942</v>
      </c>
      <c r="J794" s="111">
        <f t="shared" si="147"/>
        <v>11.207948770012964</v>
      </c>
      <c r="K794" s="111">
        <f t="shared" si="147"/>
        <v>12.462879566457271</v>
      </c>
      <c r="L794" s="111">
        <f t="shared" si="147"/>
        <v>30.578622997678913</v>
      </c>
      <c r="M794" s="111">
        <f t="shared" si="147"/>
        <v>20.473159126558649</v>
      </c>
      <c r="N794" s="111">
        <f t="shared" si="147"/>
        <v>0</v>
      </c>
      <c r="O794" s="111">
        <f t="shared" si="147"/>
        <v>0</v>
      </c>
      <c r="P794" s="111">
        <f t="shared" si="147"/>
        <v>0</v>
      </c>
      <c r="Q794" s="111">
        <f t="shared" si="147"/>
        <v>0</v>
      </c>
      <c r="R794" s="29"/>
      <c r="S794" s="100"/>
      <c r="T794" s="100"/>
      <c r="U794" s="100"/>
      <c r="V794" s="100"/>
      <c r="W794" s="100"/>
      <c r="X794" s="100"/>
      <c r="Y794" s="100"/>
      <c r="Z794" s="100"/>
      <c r="AA794" s="228"/>
      <c r="AB794" s="228"/>
      <c r="AC794" s="228"/>
      <c r="AD794" s="228"/>
      <c r="AE794" s="228"/>
      <c r="AF794" s="228"/>
      <c r="AG794" s="228"/>
      <c r="AH794" s="228"/>
      <c r="AI794" s="228"/>
      <c r="AJ794" s="228"/>
      <c r="AK794" s="228"/>
      <c r="AL794" s="228"/>
      <c r="AM794" s="228"/>
      <c r="AN794" s="228"/>
      <c r="AO794" s="228"/>
      <c r="AP794" s="228"/>
      <c r="AQ794" s="228"/>
      <c r="AR794" s="228"/>
      <c r="AS794" s="228"/>
      <c r="AT794" s="228"/>
      <c r="AU794" s="228"/>
      <c r="AV794" s="228"/>
      <c r="AW794" s="228"/>
      <c r="AX794" s="228"/>
      <c r="AY794" s="228"/>
      <c r="AZ794" s="228"/>
      <c r="BA794" s="228"/>
      <c r="BB794" s="228"/>
      <c r="BC794" s="228"/>
      <c r="BD794" s="100"/>
      <c r="BE794" s="100"/>
      <c r="BF794" s="100"/>
      <c r="BG794" s="100"/>
      <c r="BH794" s="100"/>
      <c r="BI794" s="100"/>
      <c r="BJ794" s="100"/>
      <c r="BK794" s="12"/>
      <c r="BL794" s="12"/>
    </row>
    <row r="795" spans="1:64" hidden="1" outlineLevel="1">
      <c r="A795" s="9"/>
      <c r="B795" s="9"/>
      <c r="C795" s="44"/>
      <c r="D795" s="270" t="str">
        <f>Asset2</f>
        <v>Switchgear</v>
      </c>
      <c r="E795" s="9"/>
      <c r="F795" s="9"/>
      <c r="G795" s="204">
        <f>'Adjustment for previous period'!G479</f>
        <v>40.012027975872329</v>
      </c>
      <c r="H795" s="111">
        <f t="shared" ref="H795:Q795" si="148">H45*H$7</f>
        <v>6.5621289699150802</v>
      </c>
      <c r="I795" s="111">
        <f t="shared" si="148"/>
        <v>27.34443968400279</v>
      </c>
      <c r="J795" s="111">
        <f t="shared" si="148"/>
        <v>51.153517106249133</v>
      </c>
      <c r="K795" s="111">
        <f t="shared" si="148"/>
        <v>34.515562621268977</v>
      </c>
      <c r="L795" s="111">
        <f t="shared" si="148"/>
        <v>28.760982043446226</v>
      </c>
      <c r="M795" s="111">
        <f t="shared" si="148"/>
        <v>44.8214832995994</v>
      </c>
      <c r="N795" s="111">
        <f t="shared" si="148"/>
        <v>0</v>
      </c>
      <c r="O795" s="111">
        <f t="shared" si="148"/>
        <v>0</v>
      </c>
      <c r="P795" s="111">
        <f t="shared" si="148"/>
        <v>0</v>
      </c>
      <c r="Q795" s="111">
        <f t="shared" si="148"/>
        <v>0</v>
      </c>
      <c r="R795" s="29"/>
      <c r="S795" s="100"/>
      <c r="T795" s="100"/>
      <c r="U795" s="100"/>
      <c r="V795" s="100"/>
      <c r="W795" s="100"/>
      <c r="X795" s="100"/>
      <c r="Y795" s="100"/>
      <c r="Z795" s="100"/>
      <c r="AA795" s="228"/>
      <c r="AB795" s="228"/>
      <c r="AC795" s="228"/>
      <c r="AD795" s="228"/>
      <c r="AE795" s="228"/>
      <c r="AF795" s="228"/>
      <c r="AG795" s="228"/>
      <c r="AH795" s="228"/>
      <c r="AI795" s="228"/>
      <c r="AJ795" s="228"/>
      <c r="AK795" s="228"/>
      <c r="AL795" s="228"/>
      <c r="AM795" s="228"/>
      <c r="AN795" s="228"/>
      <c r="AO795" s="228"/>
      <c r="AP795" s="228"/>
      <c r="AQ795" s="228"/>
      <c r="AR795" s="228"/>
      <c r="AS795" s="228"/>
      <c r="AT795" s="228"/>
      <c r="AU795" s="228"/>
      <c r="AV795" s="228"/>
      <c r="AW795" s="228"/>
      <c r="AX795" s="228"/>
      <c r="AY795" s="228"/>
      <c r="AZ795" s="228"/>
      <c r="BA795" s="228"/>
      <c r="BB795" s="228"/>
      <c r="BC795" s="228"/>
      <c r="BD795" s="100"/>
      <c r="BE795" s="100"/>
      <c r="BF795" s="100"/>
      <c r="BG795" s="100"/>
      <c r="BH795" s="100"/>
      <c r="BI795" s="100"/>
      <c r="BJ795" s="100"/>
      <c r="BK795" s="12"/>
      <c r="BL795" s="12"/>
    </row>
    <row r="796" spans="1:64" hidden="1" outlineLevel="1">
      <c r="A796" s="9"/>
      <c r="B796" s="9"/>
      <c r="C796" s="44"/>
      <c r="D796" s="270" t="str">
        <f>Asset3</f>
        <v>Transformers</v>
      </c>
      <c r="E796" s="9"/>
      <c r="F796" s="9"/>
      <c r="G796" s="204">
        <f>'Adjustment for previous period'!G480</f>
        <v>7.479869950034308</v>
      </c>
      <c r="H796" s="111">
        <f t="shared" ref="H796:Q796" si="149">H46*H$7</f>
        <v>5.0189368567437231</v>
      </c>
      <c r="I796" s="111">
        <f t="shared" si="149"/>
        <v>6.3544173840643454</v>
      </c>
      <c r="J796" s="111">
        <f t="shared" si="149"/>
        <v>11.285247585580244</v>
      </c>
      <c r="K796" s="111">
        <f t="shared" si="149"/>
        <v>9.4308937020548598</v>
      </c>
      <c r="L796" s="111">
        <f t="shared" si="149"/>
        <v>25.798477455280093</v>
      </c>
      <c r="M796" s="111">
        <f t="shared" si="149"/>
        <v>35.395894451738023</v>
      </c>
      <c r="N796" s="111">
        <f t="shared" si="149"/>
        <v>0</v>
      </c>
      <c r="O796" s="111">
        <f t="shared" si="149"/>
        <v>0</v>
      </c>
      <c r="P796" s="111">
        <f t="shared" si="149"/>
        <v>0</v>
      </c>
      <c r="Q796" s="111">
        <f t="shared" si="149"/>
        <v>0</v>
      </c>
      <c r="R796" s="29"/>
      <c r="S796" s="100"/>
      <c r="T796" s="100"/>
      <c r="U796" s="100"/>
      <c r="V796" s="100"/>
      <c r="W796" s="100"/>
      <c r="X796" s="100"/>
      <c r="Y796" s="100"/>
      <c r="Z796" s="100"/>
      <c r="AA796" s="228"/>
      <c r="AB796" s="228"/>
      <c r="AC796" s="228"/>
      <c r="AD796" s="228"/>
      <c r="AE796" s="228"/>
      <c r="AF796" s="228"/>
      <c r="AG796" s="228"/>
      <c r="AH796" s="228"/>
      <c r="AI796" s="228"/>
      <c r="AJ796" s="228"/>
      <c r="AK796" s="228"/>
      <c r="AL796" s="228"/>
      <c r="AM796" s="228"/>
      <c r="AN796" s="228"/>
      <c r="AO796" s="228"/>
      <c r="AP796" s="228"/>
      <c r="AQ796" s="228"/>
      <c r="AR796" s="228"/>
      <c r="AS796" s="228"/>
      <c r="AT796" s="228"/>
      <c r="AU796" s="228"/>
      <c r="AV796" s="228"/>
      <c r="AW796" s="228"/>
      <c r="AX796" s="228"/>
      <c r="AY796" s="228"/>
      <c r="AZ796" s="228"/>
      <c r="BA796" s="228"/>
      <c r="BB796" s="228"/>
      <c r="BC796" s="228"/>
      <c r="BD796" s="100"/>
      <c r="BE796" s="100"/>
      <c r="BF796" s="100"/>
      <c r="BG796" s="100"/>
      <c r="BH796" s="100"/>
      <c r="BI796" s="100"/>
      <c r="BJ796" s="100"/>
      <c r="BK796" s="12"/>
      <c r="BL796" s="12"/>
    </row>
    <row r="797" spans="1:64" hidden="1" outlineLevel="1">
      <c r="A797" s="9"/>
      <c r="B797" s="9"/>
      <c r="C797" s="44"/>
      <c r="D797" s="270" t="str">
        <f>Asset4</f>
        <v>Reactive</v>
      </c>
      <c r="E797" s="9"/>
      <c r="F797" s="9"/>
      <c r="G797" s="204">
        <f>'Adjustment for previous period'!G481</f>
        <v>0.62073609543853181</v>
      </c>
      <c r="H797" s="111">
        <f t="shared" ref="H797:Q797" si="150">H47*H$7</f>
        <v>6.3505502262786824E-3</v>
      </c>
      <c r="I797" s="111">
        <f t="shared" si="150"/>
        <v>1.0274417001215055</v>
      </c>
      <c r="J797" s="111">
        <f t="shared" si="150"/>
        <v>4.9438509852332432E-2</v>
      </c>
      <c r="K797" s="111">
        <f t="shared" si="150"/>
        <v>0.55076915906634394</v>
      </c>
      <c r="L797" s="111">
        <f t="shared" si="150"/>
        <v>0.98750152938871161</v>
      </c>
      <c r="M797" s="111">
        <f t="shared" si="150"/>
        <v>0.88976931453972907</v>
      </c>
      <c r="N797" s="111">
        <f t="shared" si="150"/>
        <v>0</v>
      </c>
      <c r="O797" s="111">
        <f t="shared" si="150"/>
        <v>0</v>
      </c>
      <c r="P797" s="111">
        <f t="shared" si="150"/>
        <v>0</v>
      </c>
      <c r="Q797" s="111">
        <f t="shared" si="150"/>
        <v>0</v>
      </c>
      <c r="R797" s="29"/>
      <c r="S797" s="100"/>
      <c r="T797" s="100"/>
      <c r="U797" s="100"/>
      <c r="V797" s="100"/>
      <c r="W797" s="100"/>
      <c r="X797" s="100"/>
      <c r="Y797" s="100"/>
      <c r="Z797" s="100"/>
      <c r="AA797" s="228"/>
      <c r="AB797" s="228"/>
      <c r="AC797" s="228"/>
      <c r="AD797" s="228"/>
      <c r="AE797" s="228"/>
      <c r="AF797" s="228"/>
      <c r="AG797" s="228"/>
      <c r="AH797" s="228"/>
      <c r="AI797" s="228"/>
      <c r="AJ797" s="228"/>
      <c r="AK797" s="228"/>
      <c r="AL797" s="228"/>
      <c r="AM797" s="228"/>
      <c r="AN797" s="228"/>
      <c r="AO797" s="228"/>
      <c r="AP797" s="228"/>
      <c r="AQ797" s="228"/>
      <c r="AR797" s="228"/>
      <c r="AS797" s="228"/>
      <c r="AT797" s="228"/>
      <c r="AU797" s="228"/>
      <c r="AV797" s="228"/>
      <c r="AW797" s="228"/>
      <c r="AX797" s="228"/>
      <c r="AY797" s="228"/>
      <c r="AZ797" s="228"/>
      <c r="BA797" s="228"/>
      <c r="BB797" s="228"/>
      <c r="BC797" s="228"/>
      <c r="BD797" s="100"/>
      <c r="BE797" s="100"/>
      <c r="BF797" s="100"/>
      <c r="BG797" s="100"/>
      <c r="BH797" s="100"/>
      <c r="BI797" s="100"/>
      <c r="BJ797" s="100"/>
      <c r="BK797" s="12"/>
      <c r="BL797" s="12"/>
    </row>
    <row r="798" spans="1:64" hidden="1" outlineLevel="1">
      <c r="A798" s="9"/>
      <c r="B798" s="9"/>
      <c r="C798" s="44"/>
      <c r="D798" s="270" t="str">
        <f>Asset5</f>
        <v>Towers and Conductor</v>
      </c>
      <c r="E798" s="9"/>
      <c r="F798" s="9"/>
      <c r="G798" s="204">
        <f>'Adjustment for previous period'!G482</f>
        <v>1.7484066688185314</v>
      </c>
      <c r="H798" s="111">
        <f t="shared" ref="H798:Q798" si="151">H48*H$7</f>
        <v>5.6721887984491692</v>
      </c>
      <c r="I798" s="111">
        <f t="shared" si="151"/>
        <v>19.750739354453621</v>
      </c>
      <c r="J798" s="111">
        <f t="shared" si="151"/>
        <v>9.5187588578587192</v>
      </c>
      <c r="K798" s="111">
        <f t="shared" si="151"/>
        <v>42.590278299098642</v>
      </c>
      <c r="L798" s="111">
        <f t="shared" si="151"/>
        <v>24.810975925891377</v>
      </c>
      <c r="M798" s="111">
        <f t="shared" si="151"/>
        <v>5.0849681894479817</v>
      </c>
      <c r="N798" s="111">
        <f t="shared" si="151"/>
        <v>0</v>
      </c>
      <c r="O798" s="111">
        <f t="shared" si="151"/>
        <v>0</v>
      </c>
      <c r="P798" s="111">
        <f t="shared" si="151"/>
        <v>0</v>
      </c>
      <c r="Q798" s="111">
        <f t="shared" si="151"/>
        <v>0</v>
      </c>
      <c r="R798" s="29"/>
      <c r="S798" s="100"/>
      <c r="T798" s="100"/>
      <c r="U798" s="100"/>
      <c r="V798" s="100"/>
      <c r="W798" s="100"/>
      <c r="X798" s="100"/>
      <c r="Y798" s="100"/>
      <c r="Z798" s="100"/>
      <c r="AA798" s="228"/>
      <c r="AB798" s="228"/>
      <c r="AC798" s="228"/>
      <c r="AD798" s="228"/>
      <c r="AE798" s="228"/>
      <c r="AF798" s="228"/>
      <c r="AG798" s="228"/>
      <c r="AH798" s="228"/>
      <c r="AI798" s="228"/>
      <c r="AJ798" s="228"/>
      <c r="AK798" s="228"/>
      <c r="AL798" s="228"/>
      <c r="AM798" s="228"/>
      <c r="AN798" s="228"/>
      <c r="AO798" s="228"/>
      <c r="AP798" s="228"/>
      <c r="AQ798" s="228"/>
      <c r="AR798" s="228"/>
      <c r="AS798" s="228"/>
      <c r="AT798" s="228"/>
      <c r="AU798" s="228"/>
      <c r="AV798" s="228"/>
      <c r="AW798" s="228"/>
      <c r="AX798" s="228"/>
      <c r="AY798" s="228"/>
      <c r="AZ798" s="228"/>
      <c r="BA798" s="228"/>
      <c r="BB798" s="228"/>
      <c r="BC798" s="228"/>
      <c r="BD798" s="100"/>
      <c r="BE798" s="100"/>
      <c r="BF798" s="100"/>
      <c r="BG798" s="100"/>
      <c r="BH798" s="100"/>
      <c r="BI798" s="100"/>
      <c r="BJ798" s="100"/>
      <c r="BK798" s="12"/>
      <c r="BL798" s="12"/>
    </row>
    <row r="799" spans="1:64" hidden="1" outlineLevel="1">
      <c r="A799" s="9"/>
      <c r="B799" s="9"/>
      <c r="C799" s="44"/>
      <c r="D799" s="270" t="str">
        <f>Asset6</f>
        <v>Establishment</v>
      </c>
      <c r="E799" s="9"/>
      <c r="F799" s="9"/>
      <c r="G799" s="204">
        <f>'Adjustment for previous period'!G483</f>
        <v>13.314789247156508</v>
      </c>
      <c r="H799" s="111">
        <f t="shared" ref="H799:Q799" si="152">H49*H$7</f>
        <v>12.891146892749086</v>
      </c>
      <c r="I799" s="111">
        <f t="shared" si="152"/>
        <v>11.588760091862021</v>
      </c>
      <c r="J799" s="111">
        <f t="shared" si="152"/>
        <v>6.8281592663851711</v>
      </c>
      <c r="K799" s="111">
        <f t="shared" si="152"/>
        <v>5.4652933448205765</v>
      </c>
      <c r="L799" s="111">
        <f t="shared" si="152"/>
        <v>7.9000122351096929</v>
      </c>
      <c r="M799" s="111">
        <f t="shared" si="152"/>
        <v>9.6825826235139782</v>
      </c>
      <c r="N799" s="111">
        <f t="shared" si="152"/>
        <v>0</v>
      </c>
      <c r="O799" s="111">
        <f t="shared" si="152"/>
        <v>0</v>
      </c>
      <c r="P799" s="111">
        <f t="shared" si="152"/>
        <v>0</v>
      </c>
      <c r="Q799" s="111">
        <f t="shared" si="152"/>
        <v>0</v>
      </c>
      <c r="R799" s="29"/>
      <c r="S799" s="100"/>
      <c r="T799" s="100"/>
      <c r="U799" s="100"/>
      <c r="V799" s="100"/>
      <c r="W799" s="100"/>
      <c r="X799" s="100"/>
      <c r="Y799" s="100"/>
      <c r="Z799" s="100"/>
      <c r="AA799" s="228"/>
      <c r="AB799" s="228"/>
      <c r="AC799" s="228"/>
      <c r="AD799" s="228"/>
      <c r="AE799" s="228"/>
      <c r="AF799" s="228"/>
      <c r="AG799" s="228"/>
      <c r="AH799" s="228"/>
      <c r="AI799" s="228"/>
      <c r="AJ799" s="228"/>
      <c r="AK799" s="228"/>
      <c r="AL799" s="228"/>
      <c r="AM799" s="228"/>
      <c r="AN799" s="228"/>
      <c r="AO799" s="228"/>
      <c r="AP799" s="228"/>
      <c r="AQ799" s="228"/>
      <c r="AR799" s="228"/>
      <c r="AS799" s="228"/>
      <c r="AT799" s="228"/>
      <c r="AU799" s="228"/>
      <c r="AV799" s="228"/>
      <c r="AW799" s="228"/>
      <c r="AX799" s="228"/>
      <c r="AY799" s="228"/>
      <c r="AZ799" s="228"/>
      <c r="BA799" s="228"/>
      <c r="BB799" s="228"/>
      <c r="BC799" s="228"/>
      <c r="BD799" s="100"/>
      <c r="BE799" s="100"/>
      <c r="BF799" s="100"/>
      <c r="BG799" s="100"/>
      <c r="BH799" s="100"/>
      <c r="BI799" s="100"/>
      <c r="BJ799" s="100"/>
      <c r="BK799" s="12"/>
      <c r="BL799" s="12"/>
    </row>
    <row r="800" spans="1:64" hidden="1" outlineLevel="1">
      <c r="A800" s="9"/>
      <c r="B800" s="9"/>
      <c r="C800" s="44"/>
      <c r="D800" s="270" t="str">
        <f>Asset7</f>
        <v>Communications</v>
      </c>
      <c r="E800" s="9"/>
      <c r="F800" s="9"/>
      <c r="G800" s="204">
        <f>'Adjustment for previous period'!G484</f>
        <v>3.465776532865136</v>
      </c>
      <c r="H800" s="111">
        <f t="shared" ref="H800:Q800" si="153">H50*H$7</f>
        <v>0.35678790748495165</v>
      </c>
      <c r="I800" s="111">
        <f t="shared" si="153"/>
        <v>2.1494566312853984</v>
      </c>
      <c r="J800" s="111">
        <f t="shared" si="153"/>
        <v>12.36219188924561</v>
      </c>
      <c r="K800" s="111">
        <f t="shared" si="153"/>
        <v>6.9536141630740991</v>
      </c>
      <c r="L800" s="111">
        <f t="shared" si="153"/>
        <v>4.6906322645963803</v>
      </c>
      <c r="M800" s="111">
        <f t="shared" si="153"/>
        <v>5.6775286672153449</v>
      </c>
      <c r="N800" s="111">
        <f t="shared" si="153"/>
        <v>0</v>
      </c>
      <c r="O800" s="111">
        <f t="shared" si="153"/>
        <v>0</v>
      </c>
      <c r="P800" s="111">
        <f t="shared" si="153"/>
        <v>0</v>
      </c>
      <c r="Q800" s="111">
        <f t="shared" si="153"/>
        <v>0</v>
      </c>
      <c r="R800" s="29"/>
      <c r="S800" s="100"/>
      <c r="T800" s="100"/>
      <c r="U800" s="100"/>
      <c r="V800" s="100"/>
      <c r="W800" s="100"/>
      <c r="X800" s="100"/>
      <c r="Y800" s="100"/>
      <c r="Z800" s="100"/>
      <c r="AA800" s="228"/>
      <c r="AB800" s="228"/>
      <c r="AC800" s="228"/>
      <c r="AD800" s="228"/>
      <c r="AE800" s="228"/>
      <c r="AF800" s="228"/>
      <c r="AG800" s="228"/>
      <c r="AH800" s="228"/>
      <c r="AI800" s="228"/>
      <c r="AJ800" s="228"/>
      <c r="AK800" s="228"/>
      <c r="AL800" s="228"/>
      <c r="AM800" s="228"/>
      <c r="AN800" s="228"/>
      <c r="AO800" s="228"/>
      <c r="AP800" s="228"/>
      <c r="AQ800" s="228"/>
      <c r="AR800" s="228"/>
      <c r="AS800" s="228"/>
      <c r="AT800" s="228"/>
      <c r="AU800" s="228"/>
      <c r="AV800" s="228"/>
      <c r="AW800" s="228"/>
      <c r="AX800" s="228"/>
      <c r="AY800" s="228"/>
      <c r="AZ800" s="228"/>
      <c r="BA800" s="228"/>
      <c r="BB800" s="228"/>
      <c r="BC800" s="228"/>
      <c r="BD800" s="100"/>
      <c r="BE800" s="100"/>
      <c r="BF800" s="100"/>
      <c r="BG800" s="100"/>
      <c r="BH800" s="100"/>
      <c r="BI800" s="100"/>
      <c r="BJ800" s="100"/>
      <c r="BK800" s="12"/>
      <c r="BL800" s="12"/>
    </row>
    <row r="801" spans="1:64" hidden="1" outlineLevel="1">
      <c r="A801" s="9"/>
      <c r="B801" s="9"/>
      <c r="C801" s="44"/>
      <c r="D801" s="270" t="str">
        <f>Asset8</f>
        <v>Inventory</v>
      </c>
      <c r="E801" s="9"/>
      <c r="F801" s="9"/>
      <c r="G801" s="204">
        <f>'Adjustment for previous period'!G485</f>
        <v>0.29219122749760001</v>
      </c>
      <c r="H801" s="111">
        <f t="shared" ref="H801:Q801" si="154">H51*H$7</f>
        <v>0</v>
      </c>
      <c r="I801" s="111">
        <f t="shared" si="154"/>
        <v>0</v>
      </c>
      <c r="J801" s="111">
        <f t="shared" si="154"/>
        <v>0</v>
      </c>
      <c r="K801" s="111">
        <f t="shared" si="154"/>
        <v>0</v>
      </c>
      <c r="L801" s="111">
        <f t="shared" si="154"/>
        <v>0</v>
      </c>
      <c r="M801" s="111">
        <f t="shared" si="154"/>
        <v>0</v>
      </c>
      <c r="N801" s="111">
        <f t="shared" si="154"/>
        <v>0</v>
      </c>
      <c r="O801" s="111">
        <f t="shared" si="154"/>
        <v>0</v>
      </c>
      <c r="P801" s="111">
        <f t="shared" si="154"/>
        <v>0</v>
      </c>
      <c r="Q801" s="111">
        <f t="shared" si="154"/>
        <v>0</v>
      </c>
      <c r="R801" s="29"/>
      <c r="S801" s="100"/>
      <c r="T801" s="100"/>
      <c r="U801" s="100"/>
      <c r="V801" s="100"/>
      <c r="W801" s="100"/>
      <c r="X801" s="100"/>
      <c r="Y801" s="100"/>
      <c r="Z801" s="100"/>
      <c r="AA801" s="228"/>
      <c r="AB801" s="228"/>
      <c r="AC801" s="228"/>
      <c r="AD801" s="228"/>
      <c r="AE801" s="228"/>
      <c r="AF801" s="228"/>
      <c r="AG801" s="228"/>
      <c r="AH801" s="228"/>
      <c r="AI801" s="228"/>
      <c r="AJ801" s="228"/>
      <c r="AK801" s="228"/>
      <c r="AL801" s="228"/>
      <c r="AM801" s="228"/>
      <c r="AN801" s="228"/>
      <c r="AO801" s="228"/>
      <c r="AP801" s="228"/>
      <c r="AQ801" s="228"/>
      <c r="AR801" s="228"/>
      <c r="AS801" s="228"/>
      <c r="AT801" s="228"/>
      <c r="AU801" s="228"/>
      <c r="AV801" s="228"/>
      <c r="AW801" s="228"/>
      <c r="AX801" s="228"/>
      <c r="AY801" s="228"/>
      <c r="AZ801" s="228"/>
      <c r="BA801" s="228"/>
      <c r="BB801" s="228"/>
      <c r="BC801" s="228"/>
      <c r="BD801" s="100"/>
      <c r="BE801" s="100"/>
      <c r="BF801" s="100"/>
      <c r="BG801" s="100"/>
      <c r="BH801" s="100"/>
      <c r="BI801" s="100"/>
      <c r="BJ801" s="100"/>
      <c r="BK801" s="12"/>
      <c r="BL801" s="12"/>
    </row>
    <row r="802" spans="1:64" hidden="1" outlineLevel="1">
      <c r="A802" s="9"/>
      <c r="B802" s="9"/>
      <c r="C802" s="44"/>
      <c r="D802" s="270" t="str">
        <f>Asset9</f>
        <v>IT</v>
      </c>
      <c r="E802" s="9"/>
      <c r="F802" s="9"/>
      <c r="G802" s="204">
        <f>'Adjustment for previous period'!G486</f>
        <v>2.3183776984613531</v>
      </c>
      <c r="H802" s="111">
        <f t="shared" ref="H802:Q802" si="155">H52*H$7</f>
        <v>2.7324034403125035</v>
      </c>
      <c r="I802" s="111">
        <f t="shared" si="155"/>
        <v>12.667513674447584</v>
      </c>
      <c r="J802" s="111">
        <f t="shared" si="155"/>
        <v>5.2000444562152399</v>
      </c>
      <c r="K802" s="111">
        <f t="shared" si="155"/>
        <v>8.3904885341639019</v>
      </c>
      <c r="L802" s="111">
        <f t="shared" si="155"/>
        <v>17.568026484590561</v>
      </c>
      <c r="M802" s="111">
        <f t="shared" si="155"/>
        <v>18.358849747921251</v>
      </c>
      <c r="N802" s="111">
        <f t="shared" si="155"/>
        <v>0</v>
      </c>
      <c r="O802" s="111">
        <f t="shared" si="155"/>
        <v>0</v>
      </c>
      <c r="P802" s="111">
        <f t="shared" si="155"/>
        <v>0</v>
      </c>
      <c r="Q802" s="111">
        <f t="shared" si="155"/>
        <v>0</v>
      </c>
      <c r="R802" s="29"/>
      <c r="S802" s="100"/>
      <c r="T802" s="100"/>
      <c r="U802" s="100"/>
      <c r="V802" s="100"/>
      <c r="W802" s="100"/>
      <c r="X802" s="100"/>
      <c r="Y802" s="100"/>
      <c r="Z802" s="100"/>
      <c r="AA802" s="228"/>
      <c r="AB802" s="228"/>
      <c r="AC802" s="228"/>
      <c r="AD802" s="228"/>
      <c r="AE802" s="228"/>
      <c r="AF802" s="228"/>
      <c r="AG802" s="228"/>
      <c r="AH802" s="228"/>
      <c r="AI802" s="228"/>
      <c r="AJ802" s="228"/>
      <c r="AK802" s="228"/>
      <c r="AL802" s="228"/>
      <c r="AM802" s="228"/>
      <c r="AN802" s="228"/>
      <c r="AO802" s="228"/>
      <c r="AP802" s="228"/>
      <c r="AQ802" s="228"/>
      <c r="AR802" s="228"/>
      <c r="AS802" s="228"/>
      <c r="AT802" s="228"/>
      <c r="AU802" s="228"/>
      <c r="AV802" s="228"/>
      <c r="AW802" s="228"/>
      <c r="AX802" s="228"/>
      <c r="AY802" s="228"/>
      <c r="AZ802" s="228"/>
      <c r="BA802" s="228"/>
      <c r="BB802" s="228"/>
      <c r="BC802" s="228"/>
      <c r="BD802" s="100"/>
      <c r="BE802" s="100"/>
      <c r="BF802" s="100"/>
      <c r="BG802" s="100"/>
      <c r="BH802" s="100"/>
      <c r="BI802" s="100"/>
      <c r="BJ802" s="100"/>
      <c r="BK802" s="12"/>
      <c r="BL802" s="12"/>
    </row>
    <row r="803" spans="1:64" hidden="1" outlineLevel="1">
      <c r="A803" s="9"/>
      <c r="B803" s="9"/>
      <c r="C803" s="44"/>
      <c r="D803" s="270" t="str">
        <f>Asset10</f>
        <v>Vehicles</v>
      </c>
      <c r="E803" s="9"/>
      <c r="F803" s="9"/>
      <c r="G803" s="204">
        <f>'Adjustment for previous period'!G487</f>
        <v>0.31500994680163003</v>
      </c>
      <c r="H803" s="111">
        <f t="shared" ref="H803:Q803" si="156">H53*H$7</f>
        <v>-5.0697648354472054E-2</v>
      </c>
      <c r="I803" s="111">
        <f t="shared" si="156"/>
        <v>0.51491775586845978</v>
      </c>
      <c r="J803" s="111">
        <f t="shared" si="156"/>
        <v>-0.15877333224300491</v>
      </c>
      <c r="K803" s="111">
        <f t="shared" si="156"/>
        <v>0.18661995428945383</v>
      </c>
      <c r="L803" s="111">
        <f t="shared" si="156"/>
        <v>1.6470024829303653</v>
      </c>
      <c r="M803" s="111">
        <f t="shared" si="156"/>
        <v>1.7009132647820038</v>
      </c>
      <c r="N803" s="111">
        <f t="shared" si="156"/>
        <v>0</v>
      </c>
      <c r="O803" s="111">
        <f t="shared" si="156"/>
        <v>0</v>
      </c>
      <c r="P803" s="111">
        <f t="shared" si="156"/>
        <v>0</v>
      </c>
      <c r="Q803" s="111">
        <f t="shared" si="156"/>
        <v>0</v>
      </c>
      <c r="R803" s="29"/>
      <c r="S803" s="100"/>
      <c r="T803" s="100"/>
      <c r="U803" s="100"/>
      <c r="V803" s="100"/>
      <c r="W803" s="100"/>
      <c r="X803" s="100"/>
      <c r="Y803" s="100"/>
      <c r="Z803" s="100"/>
      <c r="AA803" s="228"/>
      <c r="AB803" s="228"/>
      <c r="AC803" s="228"/>
      <c r="AD803" s="228"/>
      <c r="AE803" s="228"/>
      <c r="AF803" s="228"/>
      <c r="AG803" s="228"/>
      <c r="AH803" s="228"/>
      <c r="AI803" s="228"/>
      <c r="AJ803" s="228"/>
      <c r="AK803" s="228"/>
      <c r="AL803" s="228"/>
      <c r="AM803" s="228"/>
      <c r="AN803" s="228"/>
      <c r="AO803" s="228"/>
      <c r="AP803" s="228"/>
      <c r="AQ803" s="228"/>
      <c r="AR803" s="228"/>
      <c r="AS803" s="228"/>
      <c r="AT803" s="228"/>
      <c r="AU803" s="228"/>
      <c r="AV803" s="228"/>
      <c r="AW803" s="228"/>
      <c r="AX803" s="228"/>
      <c r="AY803" s="228"/>
      <c r="AZ803" s="228"/>
      <c r="BA803" s="228"/>
      <c r="BB803" s="228"/>
      <c r="BC803" s="228"/>
      <c r="BD803" s="100"/>
      <c r="BE803" s="100"/>
      <c r="BF803" s="100"/>
      <c r="BG803" s="100"/>
      <c r="BH803" s="100"/>
      <c r="BI803" s="100"/>
      <c r="BJ803" s="100"/>
      <c r="BK803" s="12"/>
      <c r="BL803" s="12"/>
    </row>
    <row r="804" spans="1:64" hidden="1" outlineLevel="1">
      <c r="A804" s="9"/>
      <c r="B804" s="9"/>
      <c r="C804" s="44"/>
      <c r="D804" s="270" t="str">
        <f>Asset11</f>
        <v>other</v>
      </c>
      <c r="E804" s="9"/>
      <c r="F804" s="9"/>
      <c r="G804" s="204">
        <f>'Adjustment for previous period'!G488</f>
        <v>0.56364122439537223</v>
      </c>
      <c r="H804" s="111">
        <f t="shared" ref="H804:Q804" si="157">H54*H$7</f>
        <v>0.43125953319773602</v>
      </c>
      <c r="I804" s="111">
        <f t="shared" si="157"/>
        <v>1.8606312429749983</v>
      </c>
      <c r="J804" s="111">
        <f t="shared" si="157"/>
        <v>3.3418725334400627</v>
      </c>
      <c r="K804" s="111">
        <f t="shared" si="157"/>
        <v>3.4860409229471054</v>
      </c>
      <c r="L804" s="111">
        <f t="shared" si="157"/>
        <v>2.1960033105738201</v>
      </c>
      <c r="M804" s="111">
        <f t="shared" si="157"/>
        <v>1.7211421638676174</v>
      </c>
      <c r="N804" s="111">
        <f t="shared" si="157"/>
        <v>0</v>
      </c>
      <c r="O804" s="111">
        <f t="shared" si="157"/>
        <v>0</v>
      </c>
      <c r="P804" s="111">
        <f t="shared" si="157"/>
        <v>0</v>
      </c>
      <c r="Q804" s="111">
        <f t="shared" si="157"/>
        <v>0</v>
      </c>
      <c r="R804" s="29"/>
      <c r="S804" s="100"/>
      <c r="T804" s="100"/>
      <c r="U804" s="100"/>
      <c r="V804" s="100"/>
      <c r="W804" s="100"/>
      <c r="X804" s="100"/>
      <c r="Y804" s="100"/>
      <c r="Z804" s="100"/>
      <c r="AA804" s="228"/>
      <c r="AB804" s="228"/>
      <c r="AC804" s="228"/>
      <c r="AD804" s="228"/>
      <c r="AE804" s="228"/>
      <c r="AF804" s="228"/>
      <c r="AG804" s="228"/>
      <c r="AH804" s="228"/>
      <c r="AI804" s="228"/>
      <c r="AJ804" s="228"/>
      <c r="AK804" s="228"/>
      <c r="AL804" s="228"/>
      <c r="AM804" s="228"/>
      <c r="AN804" s="228"/>
      <c r="AO804" s="228"/>
      <c r="AP804" s="228"/>
      <c r="AQ804" s="228"/>
      <c r="AR804" s="228"/>
      <c r="AS804" s="228"/>
      <c r="AT804" s="228"/>
      <c r="AU804" s="228"/>
      <c r="AV804" s="228"/>
      <c r="AW804" s="228"/>
      <c r="AX804" s="228"/>
      <c r="AY804" s="228"/>
      <c r="AZ804" s="228"/>
      <c r="BA804" s="228"/>
      <c r="BB804" s="228"/>
      <c r="BC804" s="228"/>
      <c r="BD804" s="100"/>
      <c r="BE804" s="100"/>
      <c r="BF804" s="100"/>
      <c r="BG804" s="100"/>
      <c r="BH804" s="100"/>
      <c r="BI804" s="100"/>
      <c r="BJ804" s="100"/>
      <c r="BK804" s="12"/>
      <c r="BL804" s="12"/>
    </row>
    <row r="805" spans="1:64" hidden="1" outlineLevel="1">
      <c r="A805" s="9"/>
      <c r="B805" s="9"/>
      <c r="C805" s="44"/>
      <c r="D805" s="270" t="str">
        <f>Asset12</f>
        <v>premises</v>
      </c>
      <c r="E805" s="9"/>
      <c r="F805" s="9"/>
      <c r="G805" s="204">
        <f>'Adjustment for previous period'!G489</f>
        <v>0.63867493751028093</v>
      </c>
      <c r="H805" s="111">
        <f t="shared" ref="H805:Q805" si="158">H55*H$7</f>
        <v>-2.0736578235140576E-2</v>
      </c>
      <c r="I805" s="111">
        <f t="shared" si="158"/>
        <v>0.36697861075815064</v>
      </c>
      <c r="J805" s="111">
        <f t="shared" si="158"/>
        <v>8.7266827140717124E-2</v>
      </c>
      <c r="K805" s="111">
        <f t="shared" si="158"/>
        <v>1.1258557131816536</v>
      </c>
      <c r="L805" s="111">
        <f t="shared" si="158"/>
        <v>0.21960033105738203</v>
      </c>
      <c r="M805" s="111">
        <f t="shared" si="158"/>
        <v>0.22678843530426721</v>
      </c>
      <c r="N805" s="111">
        <f t="shared" si="158"/>
        <v>0</v>
      </c>
      <c r="O805" s="111">
        <f t="shared" si="158"/>
        <v>0</v>
      </c>
      <c r="P805" s="111">
        <f t="shared" si="158"/>
        <v>0</v>
      </c>
      <c r="Q805" s="111">
        <f t="shared" si="158"/>
        <v>0</v>
      </c>
      <c r="R805" s="29"/>
      <c r="S805" s="100"/>
      <c r="T805" s="100"/>
      <c r="U805" s="100"/>
      <c r="V805" s="100"/>
      <c r="W805" s="100"/>
      <c r="X805" s="100"/>
      <c r="Y805" s="100"/>
      <c r="Z805" s="100"/>
      <c r="AA805" s="228"/>
      <c r="AB805" s="228"/>
      <c r="AC805" s="228"/>
      <c r="AD805" s="228"/>
      <c r="AE805" s="228"/>
      <c r="AF805" s="228"/>
      <c r="AG805" s="228"/>
      <c r="AH805" s="228"/>
      <c r="AI805" s="228"/>
      <c r="AJ805" s="228"/>
      <c r="AK805" s="228"/>
      <c r="AL805" s="228"/>
      <c r="AM805" s="228"/>
      <c r="AN805" s="228"/>
      <c r="AO805" s="228"/>
      <c r="AP805" s="228"/>
      <c r="AQ805" s="228"/>
      <c r="AR805" s="228"/>
      <c r="AS805" s="228"/>
      <c r="AT805" s="228"/>
      <c r="AU805" s="228"/>
      <c r="AV805" s="228"/>
      <c r="AW805" s="228"/>
      <c r="AX805" s="228"/>
      <c r="AY805" s="228"/>
      <c r="AZ805" s="228"/>
      <c r="BA805" s="228"/>
      <c r="BB805" s="228"/>
      <c r="BC805" s="228"/>
      <c r="BD805" s="100"/>
      <c r="BE805" s="100"/>
      <c r="BF805" s="100"/>
      <c r="BG805" s="100"/>
      <c r="BH805" s="100"/>
      <c r="BI805" s="100"/>
      <c r="BJ805" s="100"/>
      <c r="BK805" s="12"/>
      <c r="BL805" s="12"/>
    </row>
    <row r="806" spans="1:64" hidden="1" outlineLevel="1">
      <c r="A806" s="9"/>
      <c r="B806" s="9"/>
      <c r="C806" s="44"/>
      <c r="D806" s="270" t="str">
        <f>Asset13</f>
        <v>Land</v>
      </c>
      <c r="E806" s="9"/>
      <c r="F806" s="9"/>
      <c r="G806" s="204">
        <f>'Adjustment for previous period'!G490</f>
        <v>0</v>
      </c>
      <c r="H806" s="111">
        <f t="shared" ref="H806:Q806" si="159">H56*H$7</f>
        <v>0</v>
      </c>
      <c r="I806" s="111">
        <f t="shared" si="159"/>
        <v>0.20036122410942422</v>
      </c>
      <c r="J806" s="111">
        <f t="shared" si="159"/>
        <v>-0.49676043083659671</v>
      </c>
      <c r="K806" s="111">
        <f t="shared" si="159"/>
        <v>-1.0166953401504202</v>
      </c>
      <c r="L806" s="111">
        <f t="shared" si="159"/>
        <v>0</v>
      </c>
      <c r="M806" s="111">
        <f t="shared" si="159"/>
        <v>0</v>
      </c>
      <c r="N806" s="111">
        <f t="shared" si="159"/>
        <v>0</v>
      </c>
      <c r="O806" s="111">
        <f t="shared" si="159"/>
        <v>0</v>
      </c>
      <c r="P806" s="111">
        <f t="shared" si="159"/>
        <v>0</v>
      </c>
      <c r="Q806" s="111">
        <f t="shared" si="159"/>
        <v>0</v>
      </c>
      <c r="R806" s="29"/>
      <c r="S806" s="100"/>
      <c r="T806" s="100"/>
      <c r="U806" s="100"/>
      <c r="V806" s="100"/>
      <c r="W806" s="100"/>
      <c r="X806" s="100"/>
      <c r="Y806" s="100"/>
      <c r="Z806" s="100"/>
      <c r="AA806" s="228"/>
      <c r="AB806" s="228"/>
      <c r="AC806" s="228"/>
      <c r="AD806" s="228"/>
      <c r="AE806" s="228"/>
      <c r="AF806" s="228"/>
      <c r="AG806" s="228"/>
      <c r="AH806" s="228"/>
      <c r="AI806" s="228"/>
      <c r="AJ806" s="228"/>
      <c r="AK806" s="228"/>
      <c r="AL806" s="228"/>
      <c r="AM806" s="228"/>
      <c r="AN806" s="228"/>
      <c r="AO806" s="228"/>
      <c r="AP806" s="228"/>
      <c r="AQ806" s="228"/>
      <c r="AR806" s="228"/>
      <c r="AS806" s="228"/>
      <c r="AT806" s="228"/>
      <c r="AU806" s="228"/>
      <c r="AV806" s="228"/>
      <c r="AW806" s="228"/>
      <c r="AX806" s="228"/>
      <c r="AY806" s="228"/>
      <c r="AZ806" s="228"/>
      <c r="BA806" s="228"/>
      <c r="BB806" s="228"/>
      <c r="BC806" s="228"/>
      <c r="BD806" s="100"/>
      <c r="BE806" s="100"/>
      <c r="BF806" s="100"/>
      <c r="BG806" s="100"/>
      <c r="BH806" s="100"/>
      <c r="BI806" s="100"/>
      <c r="BJ806" s="100"/>
      <c r="BK806" s="12"/>
      <c r="BL806" s="12"/>
    </row>
    <row r="807" spans="1:64" hidden="1" outlineLevel="1">
      <c r="A807" s="9"/>
      <c r="B807" s="9"/>
      <c r="C807" s="44"/>
      <c r="D807" s="270" t="str">
        <f>Asset14</f>
        <v>Easements</v>
      </c>
      <c r="E807" s="9"/>
      <c r="F807" s="9"/>
      <c r="G807" s="204">
        <f>'Adjustment for previous period'!G491</f>
        <v>0</v>
      </c>
      <c r="H807" s="111">
        <f t="shared" ref="H807:Q807" si="160">H57*H$7</f>
        <v>0</v>
      </c>
      <c r="I807" s="111">
        <f t="shared" si="160"/>
        <v>0</v>
      </c>
      <c r="J807" s="111">
        <f t="shared" si="160"/>
        <v>0</v>
      </c>
      <c r="K807" s="111">
        <f t="shared" si="160"/>
        <v>0</v>
      </c>
      <c r="L807" s="111">
        <f t="shared" si="160"/>
        <v>0</v>
      </c>
      <c r="M807" s="111">
        <f t="shared" si="160"/>
        <v>0</v>
      </c>
      <c r="N807" s="111">
        <f t="shared" si="160"/>
        <v>0</v>
      </c>
      <c r="O807" s="111">
        <f t="shared" si="160"/>
        <v>0</v>
      </c>
      <c r="P807" s="111">
        <f t="shared" si="160"/>
        <v>0</v>
      </c>
      <c r="Q807" s="111">
        <f t="shared" si="160"/>
        <v>0</v>
      </c>
      <c r="R807" s="29"/>
      <c r="S807" s="100"/>
      <c r="T807" s="100"/>
      <c r="U807" s="100"/>
      <c r="V807" s="100"/>
      <c r="W807" s="100"/>
      <c r="X807" s="100"/>
      <c r="Y807" s="100"/>
      <c r="Z807" s="100"/>
      <c r="AA807" s="228"/>
      <c r="AB807" s="228"/>
      <c r="AC807" s="228"/>
      <c r="AD807" s="228"/>
      <c r="AE807" s="228"/>
      <c r="AF807" s="228"/>
      <c r="AG807" s="228"/>
      <c r="AH807" s="228"/>
      <c r="AI807" s="228"/>
      <c r="AJ807" s="228"/>
      <c r="AK807" s="228"/>
      <c r="AL807" s="228"/>
      <c r="AM807" s="228"/>
      <c r="AN807" s="228"/>
      <c r="AO807" s="228"/>
      <c r="AP807" s="228"/>
      <c r="AQ807" s="228"/>
      <c r="AR807" s="228"/>
      <c r="AS807" s="228"/>
      <c r="AT807" s="228"/>
      <c r="AU807" s="228"/>
      <c r="AV807" s="228"/>
      <c r="AW807" s="228"/>
      <c r="AX807" s="228"/>
      <c r="AY807" s="228"/>
      <c r="AZ807" s="228"/>
      <c r="BA807" s="228"/>
      <c r="BB807" s="228"/>
      <c r="BC807" s="228"/>
      <c r="BD807" s="100"/>
      <c r="BE807" s="100"/>
      <c r="BF807" s="100"/>
      <c r="BG807" s="100"/>
      <c r="BH807" s="100"/>
      <c r="BI807" s="100"/>
      <c r="BJ807" s="100"/>
      <c r="BK807" s="12"/>
      <c r="BL807" s="12"/>
    </row>
    <row r="808" spans="1:64" hidden="1" outlineLevel="1">
      <c r="A808" s="9"/>
      <c r="B808" s="9"/>
      <c r="C808" s="44"/>
      <c r="D808" s="270">
        <f>Asset15</f>
        <v>0</v>
      </c>
      <c r="E808" s="9"/>
      <c r="F808" s="9"/>
      <c r="G808" s="204">
        <f>'Adjustment for previous period'!G492</f>
        <v>0</v>
      </c>
      <c r="H808" s="111">
        <f t="shared" ref="H808:Q808" si="161">H58*H$7</f>
        <v>0</v>
      </c>
      <c r="I808" s="111">
        <f t="shared" si="161"/>
        <v>0</v>
      </c>
      <c r="J808" s="111">
        <f t="shared" si="161"/>
        <v>0</v>
      </c>
      <c r="K808" s="111">
        <f t="shared" si="161"/>
        <v>0</v>
      </c>
      <c r="L808" s="111">
        <f t="shared" si="161"/>
        <v>0</v>
      </c>
      <c r="M808" s="111">
        <f t="shared" si="161"/>
        <v>0</v>
      </c>
      <c r="N808" s="111">
        <f t="shared" si="161"/>
        <v>0</v>
      </c>
      <c r="O808" s="111">
        <f t="shared" si="161"/>
        <v>0</v>
      </c>
      <c r="P808" s="111">
        <f t="shared" si="161"/>
        <v>0</v>
      </c>
      <c r="Q808" s="111">
        <f t="shared" si="161"/>
        <v>0</v>
      </c>
      <c r="R808" s="29"/>
      <c r="S808" s="100"/>
      <c r="T808" s="100"/>
      <c r="U808" s="100"/>
      <c r="V808" s="100"/>
      <c r="W808" s="100"/>
      <c r="X808" s="100"/>
      <c r="Y808" s="100"/>
      <c r="Z808" s="100"/>
      <c r="AA808" s="228"/>
      <c r="AB808" s="228"/>
      <c r="AC808" s="228"/>
      <c r="AD808" s="228"/>
      <c r="AE808" s="228"/>
      <c r="AF808" s="228"/>
      <c r="AG808" s="228"/>
      <c r="AH808" s="228"/>
      <c r="AI808" s="228"/>
      <c r="AJ808" s="228"/>
      <c r="AK808" s="228"/>
      <c r="AL808" s="228"/>
      <c r="AM808" s="228"/>
      <c r="AN808" s="228"/>
      <c r="AO808" s="228"/>
      <c r="AP808" s="228"/>
      <c r="AQ808" s="228"/>
      <c r="AR808" s="228"/>
      <c r="AS808" s="228"/>
      <c r="AT808" s="228"/>
      <c r="AU808" s="228"/>
      <c r="AV808" s="228"/>
      <c r="AW808" s="228"/>
      <c r="AX808" s="228"/>
      <c r="AY808" s="228"/>
      <c r="AZ808" s="228"/>
      <c r="BA808" s="228"/>
      <c r="BB808" s="228"/>
      <c r="BC808" s="228"/>
      <c r="BD808" s="100"/>
      <c r="BE808" s="100"/>
      <c r="BF808" s="100"/>
      <c r="BG808" s="100"/>
      <c r="BH808" s="100"/>
      <c r="BI808" s="100"/>
      <c r="BJ808" s="100"/>
      <c r="BK808" s="12"/>
      <c r="BL808" s="12"/>
    </row>
    <row r="809" spans="1:64" hidden="1" outlineLevel="1">
      <c r="A809" s="9"/>
      <c r="B809" s="9"/>
      <c r="C809" s="44"/>
      <c r="D809" s="270">
        <f>Asset16</f>
        <v>0</v>
      </c>
      <c r="E809" s="9"/>
      <c r="F809" s="9"/>
      <c r="G809" s="204">
        <f>'Adjustment for previous period'!G493</f>
        <v>0</v>
      </c>
      <c r="H809" s="111">
        <f t="shared" ref="H809:Q809" si="162">H59*H$7</f>
        <v>0</v>
      </c>
      <c r="I809" s="111">
        <f t="shared" si="162"/>
        <v>0</v>
      </c>
      <c r="J809" s="111">
        <f t="shared" si="162"/>
        <v>0</v>
      </c>
      <c r="K809" s="111">
        <f t="shared" si="162"/>
        <v>0</v>
      </c>
      <c r="L809" s="111">
        <f t="shared" si="162"/>
        <v>0</v>
      </c>
      <c r="M809" s="111">
        <f t="shared" si="162"/>
        <v>0</v>
      </c>
      <c r="N809" s="111">
        <f t="shared" si="162"/>
        <v>0</v>
      </c>
      <c r="O809" s="111">
        <f t="shared" si="162"/>
        <v>0</v>
      </c>
      <c r="P809" s="111">
        <f t="shared" si="162"/>
        <v>0</v>
      </c>
      <c r="Q809" s="111">
        <f t="shared" si="162"/>
        <v>0</v>
      </c>
      <c r="R809" s="29"/>
      <c r="S809" s="100"/>
      <c r="T809" s="100"/>
      <c r="U809" s="100"/>
      <c r="V809" s="100"/>
      <c r="W809" s="100"/>
      <c r="X809" s="100"/>
      <c r="Y809" s="100"/>
      <c r="Z809" s="100"/>
      <c r="AA809" s="228"/>
      <c r="AB809" s="228"/>
      <c r="AC809" s="228"/>
      <c r="AD809" s="228"/>
      <c r="AE809" s="228"/>
      <c r="AF809" s="228"/>
      <c r="AG809" s="228"/>
      <c r="AH809" s="228"/>
      <c r="AI809" s="228"/>
      <c r="AJ809" s="228"/>
      <c r="AK809" s="228"/>
      <c r="AL809" s="228"/>
      <c r="AM809" s="228"/>
      <c r="AN809" s="228"/>
      <c r="AO809" s="228"/>
      <c r="AP809" s="228"/>
      <c r="AQ809" s="228"/>
      <c r="AR809" s="228"/>
      <c r="AS809" s="228"/>
      <c r="AT809" s="228"/>
      <c r="AU809" s="228"/>
      <c r="AV809" s="228"/>
      <c r="AW809" s="228"/>
      <c r="AX809" s="228"/>
      <c r="AY809" s="228"/>
      <c r="AZ809" s="228"/>
      <c r="BA809" s="228"/>
      <c r="BB809" s="228"/>
      <c r="BC809" s="228"/>
      <c r="BD809" s="100"/>
      <c r="BE809" s="100"/>
      <c r="BF809" s="100"/>
      <c r="BG809" s="100"/>
      <c r="BH809" s="100"/>
      <c r="BI809" s="100"/>
      <c r="BJ809" s="100"/>
      <c r="BK809" s="12"/>
      <c r="BL809" s="12"/>
    </row>
    <row r="810" spans="1:64" hidden="1" outlineLevel="1">
      <c r="A810" s="9"/>
      <c r="B810" s="9"/>
      <c r="C810" s="44"/>
      <c r="D810" s="270">
        <f>Asset17</f>
        <v>0</v>
      </c>
      <c r="E810" s="9"/>
      <c r="F810" s="9"/>
      <c r="G810" s="204">
        <f>'Adjustment for previous period'!G494</f>
        <v>0</v>
      </c>
      <c r="H810" s="111">
        <f t="shared" ref="H810:Q810" si="163">H60*H$7</f>
        <v>0</v>
      </c>
      <c r="I810" s="111">
        <f t="shared" si="163"/>
        <v>0</v>
      </c>
      <c r="J810" s="111">
        <f t="shared" si="163"/>
        <v>0</v>
      </c>
      <c r="K810" s="111">
        <f t="shared" si="163"/>
        <v>0</v>
      </c>
      <c r="L810" s="111">
        <f t="shared" si="163"/>
        <v>0</v>
      </c>
      <c r="M810" s="111">
        <f t="shared" si="163"/>
        <v>0</v>
      </c>
      <c r="N810" s="111">
        <f t="shared" si="163"/>
        <v>0</v>
      </c>
      <c r="O810" s="111">
        <f t="shared" si="163"/>
        <v>0</v>
      </c>
      <c r="P810" s="111">
        <f t="shared" si="163"/>
        <v>0</v>
      </c>
      <c r="Q810" s="111">
        <f t="shared" si="163"/>
        <v>0</v>
      </c>
      <c r="R810" s="29"/>
      <c r="S810" s="100"/>
      <c r="T810" s="100"/>
      <c r="U810" s="100"/>
      <c r="V810" s="100"/>
      <c r="W810" s="100"/>
      <c r="X810" s="100"/>
      <c r="Y810" s="100"/>
      <c r="Z810" s="100"/>
      <c r="AA810" s="228"/>
      <c r="AB810" s="228"/>
      <c r="AC810" s="228"/>
      <c r="AD810" s="228"/>
      <c r="AE810" s="228"/>
      <c r="AF810" s="228"/>
      <c r="AG810" s="228"/>
      <c r="AH810" s="228"/>
      <c r="AI810" s="228"/>
      <c r="AJ810" s="228"/>
      <c r="AK810" s="228"/>
      <c r="AL810" s="228"/>
      <c r="AM810" s="228"/>
      <c r="AN810" s="228"/>
      <c r="AO810" s="228"/>
      <c r="AP810" s="228"/>
      <c r="AQ810" s="228"/>
      <c r="AR810" s="228"/>
      <c r="AS810" s="228"/>
      <c r="AT810" s="228"/>
      <c r="AU810" s="228"/>
      <c r="AV810" s="228"/>
      <c r="AW810" s="228"/>
      <c r="AX810" s="228"/>
      <c r="AY810" s="228"/>
      <c r="AZ810" s="228"/>
      <c r="BA810" s="228"/>
      <c r="BB810" s="228"/>
      <c r="BC810" s="228"/>
      <c r="BD810" s="100"/>
      <c r="BE810" s="100"/>
      <c r="BF810" s="100"/>
      <c r="BG810" s="100"/>
      <c r="BH810" s="100"/>
      <c r="BI810" s="100"/>
      <c r="BJ810" s="100"/>
      <c r="BK810" s="12"/>
      <c r="BL810" s="12"/>
    </row>
    <row r="811" spans="1:64" hidden="1" outlineLevel="1">
      <c r="A811" s="9"/>
      <c r="B811" s="9"/>
      <c r="C811" s="44"/>
      <c r="D811" s="270">
        <f>Asset18</f>
        <v>0</v>
      </c>
      <c r="E811" s="9"/>
      <c r="F811" s="9"/>
      <c r="G811" s="204">
        <f>'Adjustment for previous period'!G495</f>
        <v>0</v>
      </c>
      <c r="H811" s="111">
        <f t="shared" ref="H811:Q811" si="164">H61*H$7</f>
        <v>0</v>
      </c>
      <c r="I811" s="111">
        <f t="shared" si="164"/>
        <v>0</v>
      </c>
      <c r="J811" s="111">
        <f t="shared" si="164"/>
        <v>0</v>
      </c>
      <c r="K811" s="111">
        <f t="shared" si="164"/>
        <v>0</v>
      </c>
      <c r="L811" s="111">
        <f t="shared" si="164"/>
        <v>0</v>
      </c>
      <c r="M811" s="111">
        <f t="shared" si="164"/>
        <v>0</v>
      </c>
      <c r="N811" s="111">
        <f t="shared" si="164"/>
        <v>0</v>
      </c>
      <c r="O811" s="111">
        <f t="shared" si="164"/>
        <v>0</v>
      </c>
      <c r="P811" s="111">
        <f t="shared" si="164"/>
        <v>0</v>
      </c>
      <c r="Q811" s="111">
        <f t="shared" si="164"/>
        <v>0</v>
      </c>
      <c r="R811" s="29"/>
      <c r="S811" s="100"/>
      <c r="T811" s="100"/>
      <c r="U811" s="100"/>
      <c r="V811" s="100"/>
      <c r="W811" s="100"/>
      <c r="X811" s="100"/>
      <c r="Y811" s="100"/>
      <c r="Z811" s="100"/>
      <c r="AA811" s="228"/>
      <c r="AB811" s="228"/>
      <c r="AC811" s="228"/>
      <c r="AD811" s="228"/>
      <c r="AE811" s="228"/>
      <c r="AF811" s="228"/>
      <c r="AG811" s="228"/>
      <c r="AH811" s="228"/>
      <c r="AI811" s="228"/>
      <c r="AJ811" s="228"/>
      <c r="AK811" s="228"/>
      <c r="AL811" s="228"/>
      <c r="AM811" s="228"/>
      <c r="AN811" s="228"/>
      <c r="AO811" s="228"/>
      <c r="AP811" s="228"/>
      <c r="AQ811" s="228"/>
      <c r="AR811" s="228"/>
      <c r="AS811" s="228"/>
      <c r="AT811" s="228"/>
      <c r="AU811" s="228"/>
      <c r="AV811" s="228"/>
      <c r="AW811" s="228"/>
      <c r="AX811" s="228"/>
      <c r="AY811" s="228"/>
      <c r="AZ811" s="228"/>
      <c r="BA811" s="228"/>
      <c r="BB811" s="228"/>
      <c r="BC811" s="228"/>
      <c r="BD811" s="100"/>
      <c r="BE811" s="100"/>
      <c r="BF811" s="100"/>
      <c r="BG811" s="100"/>
      <c r="BH811" s="100"/>
      <c r="BI811" s="100"/>
      <c r="BJ811" s="100"/>
      <c r="BK811" s="12"/>
      <c r="BL811" s="12"/>
    </row>
    <row r="812" spans="1:64" hidden="1" outlineLevel="1">
      <c r="A812" s="9"/>
      <c r="B812" s="9"/>
      <c r="C812" s="44"/>
      <c r="D812" s="270">
        <f>Asset19</f>
        <v>0</v>
      </c>
      <c r="E812" s="9"/>
      <c r="F812" s="9"/>
      <c r="G812" s="204">
        <f>'Adjustment for previous period'!G496</f>
        <v>0</v>
      </c>
      <c r="H812" s="111">
        <f t="shared" ref="H812:Q812" si="165">H62*H$7</f>
        <v>0</v>
      </c>
      <c r="I812" s="111">
        <f t="shared" si="165"/>
        <v>0</v>
      </c>
      <c r="J812" s="111">
        <f t="shared" si="165"/>
        <v>0</v>
      </c>
      <c r="K812" s="111">
        <f t="shared" si="165"/>
        <v>0</v>
      </c>
      <c r="L812" s="111">
        <f t="shared" si="165"/>
        <v>0</v>
      </c>
      <c r="M812" s="111">
        <f t="shared" si="165"/>
        <v>0</v>
      </c>
      <c r="N812" s="111">
        <f t="shared" si="165"/>
        <v>0</v>
      </c>
      <c r="O812" s="111">
        <f t="shared" si="165"/>
        <v>0</v>
      </c>
      <c r="P812" s="111">
        <f t="shared" si="165"/>
        <v>0</v>
      </c>
      <c r="Q812" s="111">
        <f t="shared" si="165"/>
        <v>0</v>
      </c>
      <c r="R812" s="29"/>
      <c r="S812" s="100"/>
      <c r="T812" s="100"/>
      <c r="U812" s="100"/>
      <c r="V812" s="100"/>
      <c r="W812" s="100"/>
      <c r="X812" s="100"/>
      <c r="Y812" s="100"/>
      <c r="Z812" s="100"/>
      <c r="AA812" s="228"/>
      <c r="AB812" s="228"/>
      <c r="AC812" s="228"/>
      <c r="AD812" s="228"/>
      <c r="AE812" s="228"/>
      <c r="AF812" s="228"/>
      <c r="AG812" s="228"/>
      <c r="AH812" s="228"/>
      <c r="AI812" s="228"/>
      <c r="AJ812" s="228"/>
      <c r="AK812" s="228"/>
      <c r="AL812" s="228"/>
      <c r="AM812" s="228"/>
      <c r="AN812" s="228"/>
      <c r="AO812" s="228"/>
      <c r="AP812" s="228"/>
      <c r="AQ812" s="228"/>
      <c r="AR812" s="228"/>
      <c r="AS812" s="228"/>
      <c r="AT812" s="228"/>
      <c r="AU812" s="228"/>
      <c r="AV812" s="228"/>
      <c r="AW812" s="228"/>
      <c r="AX812" s="228"/>
      <c r="AY812" s="228"/>
      <c r="AZ812" s="228"/>
      <c r="BA812" s="228"/>
      <c r="BB812" s="228"/>
      <c r="BC812" s="228"/>
      <c r="BD812" s="100"/>
      <c r="BE812" s="100"/>
      <c r="BF812" s="100"/>
      <c r="BG812" s="100"/>
      <c r="BH812" s="100"/>
      <c r="BI812" s="100"/>
      <c r="BJ812" s="100"/>
      <c r="BK812" s="12"/>
      <c r="BL812" s="12"/>
    </row>
    <row r="813" spans="1:64" hidden="1" outlineLevel="1">
      <c r="A813" s="9"/>
      <c r="B813" s="9"/>
      <c r="C813" s="44"/>
      <c r="D813" s="270">
        <f>Asset20</f>
        <v>0</v>
      </c>
      <c r="E813" s="9"/>
      <c r="F813" s="9"/>
      <c r="G813" s="204">
        <f>'Adjustment for previous period'!G497</f>
        <v>0</v>
      </c>
      <c r="H813" s="111">
        <f t="shared" ref="H813:Q813" si="166">H63*H$7</f>
        <v>0</v>
      </c>
      <c r="I813" s="111">
        <f t="shared" si="166"/>
        <v>0</v>
      </c>
      <c r="J813" s="111">
        <f t="shared" si="166"/>
        <v>0</v>
      </c>
      <c r="K813" s="111">
        <f t="shared" si="166"/>
        <v>0</v>
      </c>
      <c r="L813" s="111">
        <f t="shared" si="166"/>
        <v>0</v>
      </c>
      <c r="M813" s="111">
        <f t="shared" si="166"/>
        <v>0</v>
      </c>
      <c r="N813" s="111">
        <f t="shared" si="166"/>
        <v>0</v>
      </c>
      <c r="O813" s="111">
        <f t="shared" si="166"/>
        <v>0</v>
      </c>
      <c r="P813" s="111">
        <f t="shared" si="166"/>
        <v>0</v>
      </c>
      <c r="Q813" s="111">
        <f t="shared" si="166"/>
        <v>0</v>
      </c>
      <c r="R813" s="29"/>
      <c r="S813" s="100"/>
      <c r="T813" s="100"/>
      <c r="U813" s="100"/>
      <c r="V813" s="100"/>
      <c r="W813" s="100"/>
      <c r="X813" s="100"/>
      <c r="Y813" s="100"/>
      <c r="Z813" s="100"/>
      <c r="AA813" s="228"/>
      <c r="AB813" s="228"/>
      <c r="AC813" s="228"/>
      <c r="AD813" s="228"/>
      <c r="AE813" s="228"/>
      <c r="AF813" s="228"/>
      <c r="AG813" s="228"/>
      <c r="AH813" s="228"/>
      <c r="AI813" s="228"/>
      <c r="AJ813" s="228"/>
      <c r="AK813" s="228"/>
      <c r="AL813" s="228"/>
      <c r="AM813" s="228"/>
      <c r="AN813" s="228"/>
      <c r="AO813" s="228"/>
      <c r="AP813" s="228"/>
      <c r="AQ813" s="228"/>
      <c r="AR813" s="228"/>
      <c r="AS813" s="228"/>
      <c r="AT813" s="228"/>
      <c r="AU813" s="228"/>
      <c r="AV813" s="228"/>
      <c r="AW813" s="228"/>
      <c r="AX813" s="228"/>
      <c r="AY813" s="228"/>
      <c r="AZ813" s="228"/>
      <c r="BA813" s="228"/>
      <c r="BB813" s="228"/>
      <c r="BC813" s="228"/>
      <c r="BD813" s="100"/>
      <c r="BE813" s="100"/>
      <c r="BF813" s="100"/>
      <c r="BG813" s="100"/>
      <c r="BH813" s="100"/>
      <c r="BI813" s="100"/>
      <c r="BJ813" s="100"/>
      <c r="BK813" s="12"/>
      <c r="BL813" s="12"/>
    </row>
    <row r="814" spans="1:64" hidden="1" outlineLevel="1">
      <c r="A814" s="9"/>
      <c r="B814" s="9"/>
      <c r="C814" s="44"/>
      <c r="D814" s="270">
        <f>Asset21</f>
        <v>0</v>
      </c>
      <c r="E814" s="9"/>
      <c r="F814" s="9"/>
      <c r="G814" s="204">
        <f>'Adjustment for previous period'!G498</f>
        <v>0</v>
      </c>
      <c r="H814" s="111">
        <f t="shared" ref="H814:Q814" si="167">H64*H$7</f>
        <v>0</v>
      </c>
      <c r="I814" s="111">
        <f t="shared" si="167"/>
        <v>0</v>
      </c>
      <c r="J814" s="111">
        <f t="shared" si="167"/>
        <v>0</v>
      </c>
      <c r="K814" s="111">
        <f t="shared" si="167"/>
        <v>0</v>
      </c>
      <c r="L814" s="111">
        <f t="shared" si="167"/>
        <v>0</v>
      </c>
      <c r="M814" s="111">
        <f t="shared" si="167"/>
        <v>0</v>
      </c>
      <c r="N814" s="111">
        <f t="shared" si="167"/>
        <v>0</v>
      </c>
      <c r="O814" s="111">
        <f t="shared" si="167"/>
        <v>0</v>
      </c>
      <c r="P814" s="111">
        <f t="shared" si="167"/>
        <v>0</v>
      </c>
      <c r="Q814" s="111">
        <f t="shared" si="167"/>
        <v>0</v>
      </c>
      <c r="R814" s="29"/>
      <c r="S814" s="100"/>
      <c r="T814" s="100"/>
      <c r="U814" s="100"/>
      <c r="V814" s="100"/>
      <c r="W814" s="100"/>
      <c r="X814" s="100"/>
      <c r="Y814" s="100"/>
      <c r="Z814" s="100"/>
      <c r="AA814" s="228"/>
      <c r="AB814" s="228"/>
      <c r="AC814" s="228"/>
      <c r="AD814" s="228"/>
      <c r="AE814" s="228"/>
      <c r="AF814" s="228"/>
      <c r="AG814" s="228"/>
      <c r="AH814" s="228"/>
      <c r="AI814" s="228"/>
      <c r="AJ814" s="228"/>
      <c r="AK814" s="228"/>
      <c r="AL814" s="228"/>
      <c r="AM814" s="228"/>
      <c r="AN814" s="228"/>
      <c r="AO814" s="228"/>
      <c r="AP814" s="228"/>
      <c r="AQ814" s="228"/>
      <c r="AR814" s="228"/>
      <c r="AS814" s="228"/>
      <c r="AT814" s="228"/>
      <c r="AU814" s="228"/>
      <c r="AV814" s="228"/>
      <c r="AW814" s="228"/>
      <c r="AX814" s="228"/>
      <c r="AY814" s="228"/>
      <c r="AZ814" s="228"/>
      <c r="BA814" s="228"/>
      <c r="BB814" s="228"/>
      <c r="BC814" s="228"/>
      <c r="BD814" s="100"/>
      <c r="BE814" s="100"/>
      <c r="BF814" s="100"/>
      <c r="BG814" s="100"/>
      <c r="BH814" s="100"/>
      <c r="BI814" s="100"/>
      <c r="BJ814" s="100"/>
      <c r="BK814" s="12"/>
      <c r="BL814" s="12"/>
    </row>
    <row r="815" spans="1:64" hidden="1" outlineLevel="1">
      <c r="A815" s="9"/>
      <c r="B815" s="9"/>
      <c r="C815" s="44"/>
      <c r="D815" s="270">
        <f>Asset22</f>
        <v>0</v>
      </c>
      <c r="E815" s="9"/>
      <c r="F815" s="9"/>
      <c r="G815" s="204">
        <f>'Adjustment for previous period'!G499</f>
        <v>0</v>
      </c>
      <c r="H815" s="111">
        <f t="shared" ref="H815:Q815" si="168">H65*H$7</f>
        <v>0</v>
      </c>
      <c r="I815" s="111">
        <f t="shared" si="168"/>
        <v>0</v>
      </c>
      <c r="J815" s="111">
        <f t="shared" si="168"/>
        <v>0</v>
      </c>
      <c r="K815" s="111">
        <f t="shared" si="168"/>
        <v>0</v>
      </c>
      <c r="L815" s="111">
        <f t="shared" si="168"/>
        <v>0</v>
      </c>
      <c r="M815" s="111">
        <f t="shared" si="168"/>
        <v>0</v>
      </c>
      <c r="N815" s="111">
        <f t="shared" si="168"/>
        <v>0</v>
      </c>
      <c r="O815" s="111">
        <f t="shared" si="168"/>
        <v>0</v>
      </c>
      <c r="P815" s="111">
        <f t="shared" si="168"/>
        <v>0</v>
      </c>
      <c r="Q815" s="111">
        <f t="shared" si="168"/>
        <v>0</v>
      </c>
      <c r="R815" s="29"/>
      <c r="S815" s="100"/>
      <c r="T815" s="100"/>
      <c r="U815" s="100"/>
      <c r="V815" s="100"/>
      <c r="W815" s="100"/>
      <c r="X815" s="100"/>
      <c r="Y815" s="100"/>
      <c r="Z815" s="100"/>
      <c r="AA815" s="228"/>
      <c r="AB815" s="228"/>
      <c r="AC815" s="228"/>
      <c r="AD815" s="228"/>
      <c r="AE815" s="228"/>
      <c r="AF815" s="228"/>
      <c r="AG815" s="228"/>
      <c r="AH815" s="228"/>
      <c r="AI815" s="228"/>
      <c r="AJ815" s="228"/>
      <c r="AK815" s="228"/>
      <c r="AL815" s="228"/>
      <c r="AM815" s="228"/>
      <c r="AN815" s="228"/>
      <c r="AO815" s="228"/>
      <c r="AP815" s="228"/>
      <c r="AQ815" s="228"/>
      <c r="AR815" s="228"/>
      <c r="AS815" s="228"/>
      <c r="AT815" s="228"/>
      <c r="AU815" s="228"/>
      <c r="AV815" s="228"/>
      <c r="AW815" s="228"/>
      <c r="AX815" s="228"/>
      <c r="AY815" s="228"/>
      <c r="AZ815" s="228"/>
      <c r="BA815" s="228"/>
      <c r="BB815" s="228"/>
      <c r="BC815" s="228"/>
      <c r="BD815" s="100"/>
      <c r="BE815" s="100"/>
      <c r="BF815" s="100"/>
      <c r="BG815" s="100"/>
      <c r="BH815" s="100"/>
      <c r="BI815" s="100"/>
      <c r="BJ815" s="100"/>
      <c r="BK815" s="12"/>
      <c r="BL815" s="12"/>
    </row>
    <row r="816" spans="1:64" hidden="1" outlineLevel="1">
      <c r="A816" s="9"/>
      <c r="B816" s="9"/>
      <c r="C816" s="44"/>
      <c r="D816" s="270">
        <f>Asset23</f>
        <v>0</v>
      </c>
      <c r="E816" s="9"/>
      <c r="F816" s="9"/>
      <c r="G816" s="204">
        <f>'Adjustment for previous period'!G500</f>
        <v>0</v>
      </c>
      <c r="H816" s="111">
        <f t="shared" ref="H816:Q816" si="169">H66*H$7</f>
        <v>0</v>
      </c>
      <c r="I816" s="111">
        <f t="shared" si="169"/>
        <v>0</v>
      </c>
      <c r="J816" s="111">
        <f t="shared" si="169"/>
        <v>0</v>
      </c>
      <c r="K816" s="111">
        <f t="shared" si="169"/>
        <v>0</v>
      </c>
      <c r="L816" s="111">
        <f t="shared" si="169"/>
        <v>0</v>
      </c>
      <c r="M816" s="111">
        <f t="shared" si="169"/>
        <v>0</v>
      </c>
      <c r="N816" s="111">
        <f t="shared" si="169"/>
        <v>0</v>
      </c>
      <c r="O816" s="111">
        <f t="shared" si="169"/>
        <v>0</v>
      </c>
      <c r="P816" s="111">
        <f t="shared" si="169"/>
        <v>0</v>
      </c>
      <c r="Q816" s="111">
        <f t="shared" si="169"/>
        <v>0</v>
      </c>
      <c r="R816" s="29"/>
      <c r="S816" s="100"/>
      <c r="T816" s="100"/>
      <c r="U816" s="100"/>
      <c r="V816" s="100"/>
      <c r="W816" s="100"/>
      <c r="X816" s="100"/>
      <c r="Y816" s="100"/>
      <c r="Z816" s="100"/>
      <c r="AA816" s="228"/>
      <c r="AB816" s="228"/>
      <c r="AC816" s="228"/>
      <c r="AD816" s="228"/>
      <c r="AE816" s="228"/>
      <c r="AF816" s="228"/>
      <c r="AG816" s="228"/>
      <c r="AH816" s="228"/>
      <c r="AI816" s="228"/>
      <c r="AJ816" s="228"/>
      <c r="AK816" s="228"/>
      <c r="AL816" s="228"/>
      <c r="AM816" s="228"/>
      <c r="AN816" s="228"/>
      <c r="AO816" s="228"/>
      <c r="AP816" s="228"/>
      <c r="AQ816" s="228"/>
      <c r="AR816" s="228"/>
      <c r="AS816" s="228"/>
      <c r="AT816" s="228"/>
      <c r="AU816" s="228"/>
      <c r="AV816" s="228"/>
      <c r="AW816" s="228"/>
      <c r="AX816" s="228"/>
      <c r="AY816" s="228"/>
      <c r="AZ816" s="228"/>
      <c r="BA816" s="228"/>
      <c r="BB816" s="228"/>
      <c r="BC816" s="228"/>
      <c r="BD816" s="100"/>
      <c r="BE816" s="100"/>
      <c r="BF816" s="100"/>
      <c r="BG816" s="100"/>
      <c r="BH816" s="100"/>
      <c r="BI816" s="100"/>
      <c r="BJ816" s="100"/>
      <c r="BK816" s="12"/>
      <c r="BL816" s="12"/>
    </row>
    <row r="817" spans="1:64" hidden="1" outlineLevel="1">
      <c r="A817" s="9"/>
      <c r="B817" s="9"/>
      <c r="C817" s="44"/>
      <c r="D817" s="270">
        <f>Asset24</f>
        <v>0</v>
      </c>
      <c r="E817" s="9"/>
      <c r="F817" s="9"/>
      <c r="G817" s="204">
        <f>'Adjustment for previous period'!G501</f>
        <v>0</v>
      </c>
      <c r="H817" s="111">
        <f t="shared" ref="H817:Q817" si="170">H67*H$7</f>
        <v>0</v>
      </c>
      <c r="I817" s="111">
        <f t="shared" si="170"/>
        <v>0</v>
      </c>
      <c r="J817" s="111">
        <f t="shared" si="170"/>
        <v>0</v>
      </c>
      <c r="K817" s="111">
        <f t="shared" si="170"/>
        <v>0</v>
      </c>
      <c r="L817" s="111">
        <f t="shared" si="170"/>
        <v>0</v>
      </c>
      <c r="M817" s="111">
        <f t="shared" si="170"/>
        <v>0</v>
      </c>
      <c r="N817" s="111">
        <f t="shared" si="170"/>
        <v>0</v>
      </c>
      <c r="O817" s="111">
        <f t="shared" si="170"/>
        <v>0</v>
      </c>
      <c r="P817" s="111">
        <f t="shared" si="170"/>
        <v>0</v>
      </c>
      <c r="Q817" s="111">
        <f t="shared" si="170"/>
        <v>0</v>
      </c>
      <c r="R817" s="29"/>
      <c r="S817" s="100"/>
      <c r="T817" s="100"/>
      <c r="U817" s="100"/>
      <c r="V817" s="100"/>
      <c r="W817" s="100"/>
      <c r="X817" s="100"/>
      <c r="Y817" s="100"/>
      <c r="Z817" s="100"/>
      <c r="AA817" s="228"/>
      <c r="AB817" s="228"/>
      <c r="AC817" s="228"/>
      <c r="AD817" s="228"/>
      <c r="AE817" s="228"/>
      <c r="AF817" s="228"/>
      <c r="AG817" s="228"/>
      <c r="AH817" s="228"/>
      <c r="AI817" s="228"/>
      <c r="AJ817" s="228"/>
      <c r="AK817" s="228"/>
      <c r="AL817" s="228"/>
      <c r="AM817" s="228"/>
      <c r="AN817" s="228"/>
      <c r="AO817" s="228"/>
      <c r="AP817" s="228"/>
      <c r="AQ817" s="228"/>
      <c r="AR817" s="228"/>
      <c r="AS817" s="228"/>
      <c r="AT817" s="228"/>
      <c r="AU817" s="228"/>
      <c r="AV817" s="228"/>
      <c r="AW817" s="228"/>
      <c r="AX817" s="228"/>
      <c r="AY817" s="228"/>
      <c r="AZ817" s="228"/>
      <c r="BA817" s="228"/>
      <c r="BB817" s="228"/>
      <c r="BC817" s="228"/>
      <c r="BD817" s="100"/>
      <c r="BE817" s="100"/>
      <c r="BF817" s="100"/>
      <c r="BG817" s="100"/>
      <c r="BH817" s="100"/>
      <c r="BI817" s="100"/>
      <c r="BJ817" s="100"/>
      <c r="BK817" s="12"/>
      <c r="BL817" s="12"/>
    </row>
    <row r="818" spans="1:64" hidden="1" outlineLevel="1">
      <c r="A818" s="9"/>
      <c r="B818" s="9"/>
      <c r="C818" s="44"/>
      <c r="D818" s="270">
        <f>Asset25</f>
        <v>0</v>
      </c>
      <c r="E818" s="9"/>
      <c r="F818" s="9"/>
      <c r="G818" s="204">
        <f>'Adjustment for previous period'!G502</f>
        <v>0</v>
      </c>
      <c r="H818" s="111">
        <f t="shared" ref="H818:Q818" si="171">H68*H$7</f>
        <v>0</v>
      </c>
      <c r="I818" s="111">
        <f t="shared" si="171"/>
        <v>0</v>
      </c>
      <c r="J818" s="111">
        <f t="shared" si="171"/>
        <v>0</v>
      </c>
      <c r="K818" s="111">
        <f t="shared" si="171"/>
        <v>0</v>
      </c>
      <c r="L818" s="111">
        <f t="shared" si="171"/>
        <v>0</v>
      </c>
      <c r="M818" s="111">
        <f t="shared" si="171"/>
        <v>0</v>
      </c>
      <c r="N818" s="111">
        <f t="shared" si="171"/>
        <v>0</v>
      </c>
      <c r="O818" s="111">
        <f t="shared" si="171"/>
        <v>0</v>
      </c>
      <c r="P818" s="111">
        <f t="shared" si="171"/>
        <v>0</v>
      </c>
      <c r="Q818" s="111">
        <f t="shared" si="171"/>
        <v>0</v>
      </c>
      <c r="R818" s="29"/>
      <c r="S818" s="100"/>
      <c r="T818" s="100"/>
      <c r="U818" s="100"/>
      <c r="V818" s="100"/>
      <c r="W818" s="100"/>
      <c r="X818" s="100"/>
      <c r="Y818" s="100"/>
      <c r="Z818" s="100"/>
      <c r="AA818" s="228"/>
      <c r="AB818" s="228"/>
      <c r="AC818" s="228"/>
      <c r="AD818" s="228"/>
      <c r="AE818" s="228"/>
      <c r="AF818" s="228"/>
      <c r="AG818" s="228"/>
      <c r="AH818" s="228"/>
      <c r="AI818" s="228"/>
      <c r="AJ818" s="228"/>
      <c r="AK818" s="228"/>
      <c r="AL818" s="228"/>
      <c r="AM818" s="228"/>
      <c r="AN818" s="228"/>
      <c r="AO818" s="228"/>
      <c r="AP818" s="228"/>
      <c r="AQ818" s="228"/>
      <c r="AR818" s="228"/>
      <c r="AS818" s="228"/>
      <c r="AT818" s="228"/>
      <c r="AU818" s="228"/>
      <c r="AV818" s="228"/>
      <c r="AW818" s="228"/>
      <c r="AX818" s="228"/>
      <c r="AY818" s="228"/>
      <c r="AZ818" s="228"/>
      <c r="BA818" s="228"/>
      <c r="BB818" s="228"/>
      <c r="BC818" s="228"/>
      <c r="BD818" s="100"/>
      <c r="BE818" s="100"/>
      <c r="BF818" s="100"/>
      <c r="BG818" s="100"/>
      <c r="BH818" s="100"/>
      <c r="BI818" s="100"/>
      <c r="BJ818" s="100"/>
      <c r="BK818" s="12"/>
      <c r="BL818" s="12"/>
    </row>
    <row r="819" spans="1:64" hidden="1" outlineLevel="1">
      <c r="A819" s="9"/>
      <c r="B819" s="9"/>
      <c r="C819" s="44"/>
      <c r="D819" s="270">
        <f>Asset26</f>
        <v>0</v>
      </c>
      <c r="E819" s="9"/>
      <c r="F819" s="9"/>
      <c r="G819" s="204">
        <f>'Adjustment for previous period'!G503</f>
        <v>0</v>
      </c>
      <c r="H819" s="111">
        <f t="shared" ref="H819:Q819" si="172">H69*H$7</f>
        <v>0</v>
      </c>
      <c r="I819" s="111">
        <f t="shared" si="172"/>
        <v>0</v>
      </c>
      <c r="J819" s="111">
        <f t="shared" si="172"/>
        <v>0</v>
      </c>
      <c r="K819" s="111">
        <f t="shared" si="172"/>
        <v>0</v>
      </c>
      <c r="L819" s="111">
        <f t="shared" si="172"/>
        <v>0</v>
      </c>
      <c r="M819" s="111">
        <f t="shared" si="172"/>
        <v>0</v>
      </c>
      <c r="N819" s="111">
        <f t="shared" si="172"/>
        <v>0</v>
      </c>
      <c r="O819" s="111">
        <f t="shared" si="172"/>
        <v>0</v>
      </c>
      <c r="P819" s="111">
        <f t="shared" si="172"/>
        <v>0</v>
      </c>
      <c r="Q819" s="111">
        <f t="shared" si="172"/>
        <v>0</v>
      </c>
      <c r="R819" s="29"/>
      <c r="S819" s="100"/>
      <c r="T819" s="100"/>
      <c r="U819" s="100"/>
      <c r="V819" s="100"/>
      <c r="W819" s="100"/>
      <c r="X819" s="100"/>
      <c r="Y819" s="100"/>
      <c r="Z819" s="100"/>
      <c r="AA819" s="228"/>
      <c r="AB819" s="228"/>
      <c r="AC819" s="228"/>
      <c r="AD819" s="228"/>
      <c r="AE819" s="228"/>
      <c r="AF819" s="228"/>
      <c r="AG819" s="228"/>
      <c r="AH819" s="228"/>
      <c r="AI819" s="228"/>
      <c r="AJ819" s="228"/>
      <c r="AK819" s="228"/>
      <c r="AL819" s="228"/>
      <c r="AM819" s="228"/>
      <c r="AN819" s="228"/>
      <c r="AO819" s="228"/>
      <c r="AP819" s="228"/>
      <c r="AQ819" s="228"/>
      <c r="AR819" s="228"/>
      <c r="AS819" s="228"/>
      <c r="AT819" s="228"/>
      <c r="AU819" s="228"/>
      <c r="AV819" s="228"/>
      <c r="AW819" s="228"/>
      <c r="AX819" s="228"/>
      <c r="AY819" s="228"/>
      <c r="AZ819" s="228"/>
      <c r="BA819" s="228"/>
      <c r="BB819" s="228"/>
      <c r="BC819" s="228"/>
      <c r="BD819" s="100"/>
      <c r="BE819" s="100"/>
      <c r="BF819" s="100"/>
      <c r="BG819" s="100"/>
      <c r="BH819" s="100"/>
      <c r="BI819" s="100"/>
      <c r="BJ819" s="100"/>
      <c r="BK819" s="12"/>
      <c r="BL819" s="12"/>
    </row>
    <row r="820" spans="1:64" hidden="1" outlineLevel="1">
      <c r="A820" s="9"/>
      <c r="B820" s="9"/>
      <c r="C820" s="44"/>
      <c r="D820" s="270">
        <f>Asset27</f>
        <v>0</v>
      </c>
      <c r="E820" s="9"/>
      <c r="F820" s="9"/>
      <c r="G820" s="204">
        <f>'Adjustment for previous period'!G504</f>
        <v>0</v>
      </c>
      <c r="H820" s="111">
        <f t="shared" ref="H820:Q820" si="173">H70*H$7</f>
        <v>0</v>
      </c>
      <c r="I820" s="111">
        <f t="shared" si="173"/>
        <v>0</v>
      </c>
      <c r="J820" s="111">
        <f t="shared" si="173"/>
        <v>0</v>
      </c>
      <c r="K820" s="111">
        <f t="shared" si="173"/>
        <v>0</v>
      </c>
      <c r="L820" s="111">
        <f t="shared" si="173"/>
        <v>0</v>
      </c>
      <c r="M820" s="111">
        <f t="shared" si="173"/>
        <v>0</v>
      </c>
      <c r="N820" s="111">
        <f t="shared" si="173"/>
        <v>0</v>
      </c>
      <c r="O820" s="111">
        <f t="shared" si="173"/>
        <v>0</v>
      </c>
      <c r="P820" s="111">
        <f t="shared" si="173"/>
        <v>0</v>
      </c>
      <c r="Q820" s="111">
        <f t="shared" si="173"/>
        <v>0</v>
      </c>
      <c r="R820" s="29"/>
      <c r="S820" s="100"/>
      <c r="T820" s="100"/>
      <c r="U820" s="100"/>
      <c r="V820" s="100"/>
      <c r="W820" s="100"/>
      <c r="X820" s="100"/>
      <c r="Y820" s="100"/>
      <c r="Z820" s="100"/>
      <c r="AA820" s="228"/>
      <c r="AB820" s="228"/>
      <c r="AC820" s="228"/>
      <c r="AD820" s="228"/>
      <c r="AE820" s="228"/>
      <c r="AF820" s="228"/>
      <c r="AG820" s="228"/>
      <c r="AH820" s="228"/>
      <c r="AI820" s="228"/>
      <c r="AJ820" s="228"/>
      <c r="AK820" s="228"/>
      <c r="AL820" s="228"/>
      <c r="AM820" s="228"/>
      <c r="AN820" s="228"/>
      <c r="AO820" s="228"/>
      <c r="AP820" s="228"/>
      <c r="AQ820" s="228"/>
      <c r="AR820" s="228"/>
      <c r="AS820" s="228"/>
      <c r="AT820" s="228"/>
      <c r="AU820" s="228"/>
      <c r="AV820" s="228"/>
      <c r="AW820" s="228"/>
      <c r="AX820" s="228"/>
      <c r="AY820" s="228"/>
      <c r="AZ820" s="228"/>
      <c r="BA820" s="228"/>
      <c r="BB820" s="228"/>
      <c r="BC820" s="228"/>
      <c r="BD820" s="100"/>
      <c r="BE820" s="100"/>
      <c r="BF820" s="100"/>
      <c r="BG820" s="100"/>
      <c r="BH820" s="100"/>
      <c r="BI820" s="100"/>
      <c r="BJ820" s="100"/>
      <c r="BK820" s="12"/>
      <c r="BL820" s="12"/>
    </row>
    <row r="821" spans="1:64" hidden="1" outlineLevel="1">
      <c r="A821" s="9"/>
      <c r="B821" s="9"/>
      <c r="C821" s="44"/>
      <c r="D821" s="270">
        <f>Asset28</f>
        <v>0</v>
      </c>
      <c r="E821" s="9"/>
      <c r="F821" s="9"/>
      <c r="G821" s="204">
        <f>'Adjustment for previous period'!G505</f>
        <v>0</v>
      </c>
      <c r="H821" s="111">
        <f t="shared" ref="H821:Q821" si="174">H71*H$7</f>
        <v>0</v>
      </c>
      <c r="I821" s="111">
        <f t="shared" si="174"/>
        <v>0</v>
      </c>
      <c r="J821" s="111">
        <f t="shared" si="174"/>
        <v>0</v>
      </c>
      <c r="K821" s="111">
        <f t="shared" si="174"/>
        <v>0</v>
      </c>
      <c r="L821" s="111">
        <f t="shared" si="174"/>
        <v>0</v>
      </c>
      <c r="M821" s="111">
        <f t="shared" si="174"/>
        <v>0</v>
      </c>
      <c r="N821" s="111">
        <f t="shared" si="174"/>
        <v>0</v>
      </c>
      <c r="O821" s="111">
        <f t="shared" si="174"/>
        <v>0</v>
      </c>
      <c r="P821" s="111">
        <f t="shared" si="174"/>
        <v>0</v>
      </c>
      <c r="Q821" s="111">
        <f t="shared" si="174"/>
        <v>0</v>
      </c>
      <c r="R821" s="29"/>
      <c r="S821" s="100"/>
      <c r="T821" s="100"/>
      <c r="U821" s="100"/>
      <c r="V821" s="100"/>
      <c r="W821" s="100"/>
      <c r="X821" s="100"/>
      <c r="Y821" s="100"/>
      <c r="Z821" s="100"/>
      <c r="AA821" s="228"/>
      <c r="AB821" s="228"/>
      <c r="AC821" s="228"/>
      <c r="AD821" s="228"/>
      <c r="AE821" s="228"/>
      <c r="AF821" s="228"/>
      <c r="AG821" s="228"/>
      <c r="AH821" s="228"/>
      <c r="AI821" s="228"/>
      <c r="AJ821" s="228"/>
      <c r="AK821" s="228"/>
      <c r="AL821" s="228"/>
      <c r="AM821" s="228"/>
      <c r="AN821" s="228"/>
      <c r="AO821" s="228"/>
      <c r="AP821" s="228"/>
      <c r="AQ821" s="228"/>
      <c r="AR821" s="228"/>
      <c r="AS821" s="228"/>
      <c r="AT821" s="228"/>
      <c r="AU821" s="228"/>
      <c r="AV821" s="228"/>
      <c r="AW821" s="228"/>
      <c r="AX821" s="228"/>
      <c r="AY821" s="228"/>
      <c r="AZ821" s="228"/>
      <c r="BA821" s="228"/>
      <c r="BB821" s="228"/>
      <c r="BC821" s="228"/>
      <c r="BD821" s="100"/>
      <c r="BE821" s="100"/>
      <c r="BF821" s="100"/>
      <c r="BG821" s="100"/>
      <c r="BH821" s="100"/>
      <c r="BI821" s="100"/>
      <c r="BJ821" s="100"/>
      <c r="BK821" s="12"/>
      <c r="BL821" s="12"/>
    </row>
    <row r="822" spans="1:64" hidden="1" outlineLevel="1">
      <c r="A822" s="9"/>
      <c r="B822" s="9"/>
      <c r="C822" s="44"/>
      <c r="D822" s="270">
        <f>Asset29</f>
        <v>0</v>
      </c>
      <c r="E822" s="9"/>
      <c r="F822" s="9"/>
      <c r="G822" s="204">
        <f>'Adjustment for previous period'!G506</f>
        <v>0</v>
      </c>
      <c r="H822" s="111">
        <f t="shared" ref="H822:Q822" si="175">H72*H$7</f>
        <v>0</v>
      </c>
      <c r="I822" s="111">
        <f t="shared" si="175"/>
        <v>0</v>
      </c>
      <c r="J822" s="111">
        <f t="shared" si="175"/>
        <v>0</v>
      </c>
      <c r="K822" s="111">
        <f t="shared" si="175"/>
        <v>0</v>
      </c>
      <c r="L822" s="111">
        <f t="shared" si="175"/>
        <v>0</v>
      </c>
      <c r="M822" s="111">
        <f t="shared" si="175"/>
        <v>0</v>
      </c>
      <c r="N822" s="111">
        <f t="shared" si="175"/>
        <v>0</v>
      </c>
      <c r="O822" s="111">
        <f t="shared" si="175"/>
        <v>0</v>
      </c>
      <c r="P822" s="111">
        <f t="shared" si="175"/>
        <v>0</v>
      </c>
      <c r="Q822" s="111">
        <f t="shared" si="175"/>
        <v>0</v>
      </c>
      <c r="R822" s="29"/>
      <c r="S822" s="100"/>
      <c r="T822" s="100"/>
      <c r="U822" s="100"/>
      <c r="V822" s="100"/>
      <c r="W822" s="100"/>
      <c r="X822" s="100"/>
      <c r="Y822" s="100"/>
      <c r="Z822" s="100"/>
      <c r="AA822" s="228"/>
      <c r="AB822" s="228"/>
      <c r="AC822" s="228"/>
      <c r="AD822" s="228"/>
      <c r="AE822" s="228"/>
      <c r="AF822" s="228"/>
      <c r="AG822" s="228"/>
      <c r="AH822" s="228"/>
      <c r="AI822" s="228"/>
      <c r="AJ822" s="228"/>
      <c r="AK822" s="228"/>
      <c r="AL822" s="228"/>
      <c r="AM822" s="228"/>
      <c r="AN822" s="228"/>
      <c r="AO822" s="228"/>
      <c r="AP822" s="228"/>
      <c r="AQ822" s="228"/>
      <c r="AR822" s="228"/>
      <c r="AS822" s="228"/>
      <c r="AT822" s="228"/>
      <c r="AU822" s="228"/>
      <c r="AV822" s="228"/>
      <c r="AW822" s="228"/>
      <c r="AX822" s="228"/>
      <c r="AY822" s="228"/>
      <c r="AZ822" s="228"/>
      <c r="BA822" s="228"/>
      <c r="BB822" s="228"/>
      <c r="BC822" s="228"/>
      <c r="BD822" s="100"/>
      <c r="BE822" s="100"/>
      <c r="BF822" s="100"/>
      <c r="BG822" s="100"/>
      <c r="BH822" s="100"/>
      <c r="BI822" s="100"/>
      <c r="BJ822" s="100"/>
      <c r="BK822" s="12"/>
      <c r="BL822" s="12"/>
    </row>
    <row r="823" spans="1:64" hidden="1" outlineLevel="1">
      <c r="A823" s="9"/>
      <c r="B823" s="9"/>
      <c r="C823" s="44"/>
      <c r="D823" s="270">
        <f>Asset30</f>
        <v>0</v>
      </c>
      <c r="E823" s="9"/>
      <c r="F823" s="9"/>
      <c r="G823" s="204">
        <f>'Adjustment for previous period'!G507</f>
        <v>0</v>
      </c>
      <c r="H823" s="111">
        <f t="shared" ref="H823:Q823" si="176">H73*H$7</f>
        <v>0</v>
      </c>
      <c r="I823" s="111">
        <f t="shared" si="176"/>
        <v>0</v>
      </c>
      <c r="J823" s="111">
        <f t="shared" si="176"/>
        <v>0</v>
      </c>
      <c r="K823" s="111">
        <f t="shared" si="176"/>
        <v>0</v>
      </c>
      <c r="L823" s="111">
        <f t="shared" si="176"/>
        <v>0</v>
      </c>
      <c r="M823" s="111">
        <f t="shared" si="176"/>
        <v>0</v>
      </c>
      <c r="N823" s="111">
        <f t="shared" si="176"/>
        <v>0</v>
      </c>
      <c r="O823" s="111">
        <f t="shared" si="176"/>
        <v>0</v>
      </c>
      <c r="P823" s="111">
        <f t="shared" si="176"/>
        <v>0</v>
      </c>
      <c r="Q823" s="111">
        <f t="shared" si="176"/>
        <v>0</v>
      </c>
      <c r="R823" s="29"/>
      <c r="S823" s="100"/>
      <c r="T823" s="100"/>
      <c r="U823" s="100"/>
      <c r="V823" s="100"/>
      <c r="W823" s="100"/>
      <c r="X823" s="100"/>
      <c r="Y823" s="100"/>
      <c r="Z823" s="100"/>
      <c r="AA823" s="228"/>
      <c r="AB823" s="228"/>
      <c r="AC823" s="228"/>
      <c r="AD823" s="228"/>
      <c r="AE823" s="228"/>
      <c r="AF823" s="228"/>
      <c r="AG823" s="228"/>
      <c r="AH823" s="228"/>
      <c r="AI823" s="228"/>
      <c r="AJ823" s="228"/>
      <c r="AK823" s="228"/>
      <c r="AL823" s="228"/>
      <c r="AM823" s="228"/>
      <c r="AN823" s="228"/>
      <c r="AO823" s="228"/>
      <c r="AP823" s="228"/>
      <c r="AQ823" s="228"/>
      <c r="AR823" s="228"/>
      <c r="AS823" s="228"/>
      <c r="AT823" s="228"/>
      <c r="AU823" s="228"/>
      <c r="AV823" s="228"/>
      <c r="AW823" s="228"/>
      <c r="AX823" s="228"/>
      <c r="AY823" s="228"/>
      <c r="AZ823" s="228"/>
      <c r="BA823" s="228"/>
      <c r="BB823" s="228"/>
      <c r="BC823" s="228"/>
      <c r="BD823" s="100"/>
      <c r="BE823" s="100"/>
      <c r="BF823" s="100"/>
      <c r="BG823" s="100"/>
      <c r="BH823" s="100"/>
      <c r="BI823" s="100"/>
      <c r="BJ823" s="100"/>
      <c r="BK823" s="12"/>
      <c r="BL823" s="12"/>
    </row>
    <row r="824" spans="1:64" collapsed="1">
      <c r="A824" s="9"/>
      <c r="B824" s="9"/>
      <c r="C824" s="44"/>
      <c r="D824" s="113"/>
      <c r="E824" s="9"/>
      <c r="F824" s="9"/>
      <c r="G824" s="281"/>
      <c r="H824" s="35"/>
      <c r="I824" s="35"/>
      <c r="J824" s="35"/>
      <c r="K824" s="35"/>
      <c r="L824" s="35"/>
      <c r="M824" s="35"/>
      <c r="N824" s="29"/>
      <c r="O824" s="29"/>
      <c r="P824" s="29"/>
      <c r="Q824" s="29"/>
      <c r="R824" s="29"/>
      <c r="S824" s="100"/>
      <c r="T824" s="100"/>
      <c r="U824" s="100"/>
      <c r="V824" s="100"/>
      <c r="W824" s="100"/>
      <c r="X824" s="100"/>
      <c r="Y824" s="100"/>
      <c r="Z824" s="100"/>
      <c r="AA824" s="228"/>
      <c r="AB824" s="228"/>
      <c r="AC824" s="228"/>
      <c r="AD824" s="228"/>
      <c r="AE824" s="228"/>
      <c r="AF824" s="228"/>
      <c r="AG824" s="228"/>
      <c r="AH824" s="228"/>
      <c r="AI824" s="228"/>
      <c r="AJ824" s="228"/>
      <c r="AK824" s="228"/>
      <c r="AL824" s="228"/>
      <c r="AM824" s="228"/>
      <c r="AN824" s="228"/>
      <c r="AO824" s="228"/>
      <c r="AP824" s="228"/>
      <c r="AQ824" s="228"/>
      <c r="AR824" s="228"/>
      <c r="AS824" s="228"/>
      <c r="AT824" s="228"/>
      <c r="AU824" s="228"/>
      <c r="AV824" s="228"/>
      <c r="AW824" s="228"/>
      <c r="AX824" s="228"/>
      <c r="AY824" s="228"/>
      <c r="AZ824" s="228"/>
      <c r="BA824" s="228"/>
      <c r="BB824" s="228"/>
      <c r="BC824" s="228"/>
      <c r="BD824" s="100"/>
      <c r="BE824" s="100"/>
      <c r="BF824" s="100"/>
      <c r="BG824" s="100"/>
      <c r="BH824" s="100"/>
      <c r="BI824" s="100"/>
      <c r="BJ824" s="100"/>
      <c r="BK824" s="12"/>
      <c r="BL824" s="12"/>
    </row>
    <row r="825" spans="1:64">
      <c r="A825" s="9"/>
      <c r="B825" s="9"/>
      <c r="C825" s="90" t="s">
        <v>72</v>
      </c>
      <c r="D825" s="12"/>
      <c r="E825" s="9"/>
      <c r="F825" s="9"/>
      <c r="G825" s="202">
        <f>SUM(G826:G855)</f>
        <v>-45.523352281960584</v>
      </c>
      <c r="H825" s="35">
        <f>SUM(H826:H855)</f>
        <v>-26.892657954596011</v>
      </c>
      <c r="I825" s="35">
        <f t="shared" ref="I825:P825" si="177">SUM(I826:I855)</f>
        <v>-66.619872221754633</v>
      </c>
      <c r="J825" s="35">
        <f t="shared" si="177"/>
        <v>-60.180554471168421</v>
      </c>
      <c r="K825" s="35">
        <f t="shared" si="177"/>
        <v>-53.55983712831781</v>
      </c>
      <c r="L825" s="35">
        <f t="shared" si="177"/>
        <v>-78.187290539950766</v>
      </c>
      <c r="M825" s="35">
        <f t="shared" si="177"/>
        <v>-69.25373500820821</v>
      </c>
      <c r="N825" s="35">
        <f t="shared" si="177"/>
        <v>0</v>
      </c>
      <c r="O825" s="35">
        <f t="shared" si="177"/>
        <v>0</v>
      </c>
      <c r="P825" s="35">
        <f t="shared" si="177"/>
        <v>0</v>
      </c>
      <c r="Q825" s="35">
        <f>SUM(Q826:Q855)</f>
        <v>0</v>
      </c>
      <c r="R825" s="29"/>
      <c r="S825" s="100"/>
      <c r="T825" s="100"/>
      <c r="U825" s="100"/>
      <c r="V825" s="100"/>
      <c r="W825" s="100"/>
      <c r="X825" s="100"/>
      <c r="Y825" s="100"/>
      <c r="Z825" s="100"/>
      <c r="AA825" s="228"/>
      <c r="AB825" s="228"/>
      <c r="AC825" s="228"/>
      <c r="AD825" s="228"/>
      <c r="AE825" s="228"/>
      <c r="AF825" s="228"/>
      <c r="AG825" s="228"/>
      <c r="AH825" s="228"/>
      <c r="AI825" s="228"/>
      <c r="AJ825" s="228"/>
      <c r="AK825" s="228"/>
      <c r="AL825" s="228"/>
      <c r="AM825" s="228"/>
      <c r="AN825" s="228"/>
      <c r="AO825" s="228"/>
      <c r="AP825" s="228"/>
      <c r="AQ825" s="228"/>
      <c r="AR825" s="228"/>
      <c r="AS825" s="228"/>
      <c r="AT825" s="228"/>
      <c r="AU825" s="228"/>
      <c r="AV825" s="228"/>
      <c r="AW825" s="228"/>
      <c r="AX825" s="228"/>
      <c r="AY825" s="228"/>
      <c r="AZ825" s="228"/>
      <c r="BA825" s="228"/>
      <c r="BB825" s="228"/>
      <c r="BC825" s="228"/>
      <c r="BD825" s="100"/>
      <c r="BE825" s="100"/>
      <c r="BF825" s="100"/>
      <c r="BG825" s="100"/>
      <c r="BH825" s="100"/>
      <c r="BI825" s="100"/>
      <c r="BJ825" s="100"/>
      <c r="BK825" s="12"/>
      <c r="BL825" s="12"/>
    </row>
    <row r="826" spans="1:64" ht="12.75" hidden="1" customHeight="1" outlineLevel="1">
      <c r="A826" s="9"/>
      <c r="B826" s="9"/>
      <c r="C826" s="44"/>
      <c r="D826" s="270" t="str">
        <f>Asset1</f>
        <v>Secondary</v>
      </c>
      <c r="E826" s="9"/>
      <c r="F826" s="9"/>
      <c r="G826" s="204">
        <f>'Adjustment for previous period'!G510</f>
        <v>-5.009896309442194</v>
      </c>
      <c r="H826" s="111">
        <f>H956+H988</f>
        <v>-13.330150232018052</v>
      </c>
      <c r="I826" s="111">
        <f t="shared" ref="I826:Q826" si="178">I956+I988</f>
        <v>-16.905318252421011</v>
      </c>
      <c r="J826" s="111">
        <f t="shared" si="178"/>
        <v>-17.152426165469869</v>
      </c>
      <c r="K826" s="111">
        <f t="shared" si="178"/>
        <v>-18.092050071137745</v>
      </c>
      <c r="L826" s="111">
        <f t="shared" si="178"/>
        <v>-17.542500158328981</v>
      </c>
      <c r="M826" s="111">
        <f t="shared" si="178"/>
        <v>-9.4390228145012109</v>
      </c>
      <c r="N826" s="111">
        <f t="shared" si="178"/>
        <v>0</v>
      </c>
      <c r="O826" s="111">
        <f t="shared" si="178"/>
        <v>0</v>
      </c>
      <c r="P826" s="111">
        <f t="shared" si="178"/>
        <v>0</v>
      </c>
      <c r="Q826" s="111">
        <f t="shared" si="178"/>
        <v>0</v>
      </c>
      <c r="R826" s="29"/>
      <c r="S826" s="100"/>
      <c r="T826" s="100"/>
      <c r="U826" s="100"/>
      <c r="V826" s="100"/>
      <c r="W826" s="100"/>
      <c r="X826" s="100"/>
      <c r="Y826" s="100"/>
      <c r="Z826" s="100"/>
      <c r="AA826" s="228"/>
      <c r="AB826" s="228"/>
      <c r="AC826" s="228"/>
      <c r="AD826" s="228"/>
      <c r="AE826" s="228"/>
      <c r="AF826" s="228"/>
      <c r="AG826" s="228"/>
      <c r="AH826" s="228"/>
      <c r="AI826" s="228"/>
      <c r="AJ826" s="228"/>
      <c r="AK826" s="228"/>
      <c r="AL826" s="228"/>
      <c r="AM826" s="228"/>
      <c r="AN826" s="228"/>
      <c r="AO826" s="228"/>
      <c r="AP826" s="228"/>
      <c r="AQ826" s="228"/>
      <c r="AR826" s="228"/>
      <c r="AS826" s="228"/>
      <c r="AT826" s="228"/>
      <c r="AU826" s="228"/>
      <c r="AV826" s="228"/>
      <c r="AW826" s="228"/>
      <c r="AX826" s="228"/>
      <c r="AY826" s="228"/>
      <c r="AZ826" s="228"/>
      <c r="BA826" s="228"/>
      <c r="BB826" s="228"/>
      <c r="BC826" s="228"/>
      <c r="BD826" s="100"/>
      <c r="BE826" s="100"/>
      <c r="BF826" s="100"/>
      <c r="BG826" s="100"/>
      <c r="BH826" s="100"/>
      <c r="BI826" s="100"/>
      <c r="BJ826" s="100"/>
      <c r="BK826" s="12"/>
      <c r="BL826" s="12"/>
    </row>
    <row r="827" spans="1:64" ht="12.75" hidden="1" customHeight="1" outlineLevel="1">
      <c r="A827" s="9"/>
      <c r="B827" s="9"/>
      <c r="C827" s="44"/>
      <c r="D827" s="270" t="str">
        <f>Asset2</f>
        <v>Switchgear</v>
      </c>
      <c r="E827" s="9"/>
      <c r="F827" s="9"/>
      <c r="G827" s="204">
        <f>'Adjustment for previous period'!G511</f>
        <v>-9.9700462083033674</v>
      </c>
      <c r="H827" s="111">
        <f t="shared" ref="H827:Q827" si="179">H957+H989</f>
        <v>-5.3097951967005965</v>
      </c>
      <c r="I827" s="111">
        <f t="shared" si="179"/>
        <v>-11.625074499778215</v>
      </c>
      <c r="J827" s="111">
        <f t="shared" si="179"/>
        <v>-10.314485838693257</v>
      </c>
      <c r="K827" s="111">
        <f t="shared" si="179"/>
        <v>-9.0969085014589002</v>
      </c>
      <c r="L827" s="111">
        <f t="shared" si="179"/>
        <v>-13.66792917832902</v>
      </c>
      <c r="M827" s="111">
        <f t="shared" si="179"/>
        <v>-13.1777310557032</v>
      </c>
      <c r="N827" s="111">
        <f t="shared" si="179"/>
        <v>0</v>
      </c>
      <c r="O827" s="111">
        <f t="shared" si="179"/>
        <v>0</v>
      </c>
      <c r="P827" s="111">
        <f t="shared" si="179"/>
        <v>0</v>
      </c>
      <c r="Q827" s="111">
        <f t="shared" si="179"/>
        <v>0</v>
      </c>
      <c r="R827" s="29"/>
      <c r="S827" s="100"/>
      <c r="T827" s="100"/>
      <c r="U827" s="100"/>
      <c r="V827" s="100"/>
      <c r="W827" s="100"/>
      <c r="X827" s="100"/>
      <c r="Y827" s="100"/>
      <c r="Z827" s="100"/>
      <c r="AA827" s="228"/>
      <c r="AB827" s="228"/>
      <c r="AC827" s="228"/>
      <c r="AD827" s="228"/>
      <c r="AE827" s="228"/>
      <c r="AF827" s="228"/>
      <c r="AG827" s="228"/>
      <c r="AH827" s="228"/>
      <c r="AI827" s="228"/>
      <c r="AJ827" s="228"/>
      <c r="AK827" s="228"/>
      <c r="AL827" s="228"/>
      <c r="AM827" s="228"/>
      <c r="AN827" s="228"/>
      <c r="AO827" s="228"/>
      <c r="AP827" s="228"/>
      <c r="AQ827" s="228"/>
      <c r="AR827" s="228"/>
      <c r="AS827" s="228"/>
      <c r="AT827" s="228"/>
      <c r="AU827" s="228"/>
      <c r="AV827" s="228"/>
      <c r="AW827" s="228"/>
      <c r="AX827" s="228"/>
      <c r="AY827" s="228"/>
      <c r="AZ827" s="228"/>
      <c r="BA827" s="228"/>
      <c r="BB827" s="228"/>
      <c r="BC827" s="228"/>
      <c r="BD827" s="100"/>
      <c r="BE827" s="100"/>
      <c r="BF827" s="100"/>
      <c r="BG827" s="100"/>
      <c r="BH827" s="100"/>
      <c r="BI827" s="100"/>
      <c r="BJ827" s="100"/>
      <c r="BK827" s="12"/>
      <c r="BL827" s="12"/>
    </row>
    <row r="828" spans="1:64" ht="12.75" hidden="1" customHeight="1" outlineLevel="1">
      <c r="A828" s="9"/>
      <c r="B828" s="9"/>
      <c r="C828" s="44"/>
      <c r="D828" s="270" t="str">
        <f>Asset3</f>
        <v>Transformers</v>
      </c>
      <c r="E828" s="9"/>
      <c r="F828" s="9"/>
      <c r="G828" s="204">
        <f>'Adjustment for previous period'!G512</f>
        <v>-9.0020269407922626</v>
      </c>
      <c r="H828" s="111">
        <f t="shared" ref="H828:Q828" si="180">H958+H990</f>
        <v>-6.8057868495363012</v>
      </c>
      <c r="I828" s="111">
        <f t="shared" si="180"/>
        <v>-10.070488118492914</v>
      </c>
      <c r="J828" s="111">
        <f t="shared" si="180"/>
        <v>-9.6971444221620864</v>
      </c>
      <c r="K828" s="111">
        <f t="shared" si="180"/>
        <v>-9.5512238436731529</v>
      </c>
      <c r="L828" s="111">
        <f t="shared" si="180"/>
        <v>-11.689753377834174</v>
      </c>
      <c r="M828" s="111">
        <f t="shared" si="180"/>
        <v>-11.780572590527891</v>
      </c>
      <c r="N828" s="111">
        <f t="shared" si="180"/>
        <v>0</v>
      </c>
      <c r="O828" s="111">
        <f t="shared" si="180"/>
        <v>0</v>
      </c>
      <c r="P828" s="111">
        <f t="shared" si="180"/>
        <v>0</v>
      </c>
      <c r="Q828" s="111">
        <f t="shared" si="180"/>
        <v>0</v>
      </c>
      <c r="R828" s="29"/>
      <c r="S828" s="100"/>
      <c r="T828" s="100"/>
      <c r="U828" s="100"/>
      <c r="V828" s="100"/>
      <c r="W828" s="100"/>
      <c r="X828" s="100"/>
      <c r="Y828" s="100"/>
      <c r="Z828" s="100"/>
      <c r="AA828" s="228"/>
      <c r="AB828" s="228"/>
      <c r="AC828" s="228"/>
      <c r="AD828" s="228"/>
      <c r="AE828" s="228"/>
      <c r="AF828" s="228"/>
      <c r="AG828" s="228"/>
      <c r="AH828" s="228"/>
      <c r="AI828" s="228"/>
      <c r="AJ828" s="228"/>
      <c r="AK828" s="228"/>
      <c r="AL828" s="228"/>
      <c r="AM828" s="228"/>
      <c r="AN828" s="228"/>
      <c r="AO828" s="228"/>
      <c r="AP828" s="228"/>
      <c r="AQ828" s="228"/>
      <c r="AR828" s="228"/>
      <c r="AS828" s="228"/>
      <c r="AT828" s="228"/>
      <c r="AU828" s="228"/>
      <c r="AV828" s="228"/>
      <c r="AW828" s="228"/>
      <c r="AX828" s="228"/>
      <c r="AY828" s="228"/>
      <c r="AZ828" s="228"/>
      <c r="BA828" s="228"/>
      <c r="BB828" s="228"/>
      <c r="BC828" s="228"/>
      <c r="BD828" s="100"/>
      <c r="BE828" s="100"/>
      <c r="BF828" s="100"/>
      <c r="BG828" s="100"/>
      <c r="BH828" s="100"/>
      <c r="BI828" s="100"/>
      <c r="BJ828" s="100"/>
      <c r="BK828" s="12"/>
      <c r="BL828" s="12"/>
    </row>
    <row r="829" spans="1:64" ht="12.75" hidden="1" customHeight="1" outlineLevel="1">
      <c r="A829" s="9"/>
      <c r="B829" s="9"/>
      <c r="C829" s="44"/>
      <c r="D829" s="270" t="str">
        <f>Asset4</f>
        <v>Reactive</v>
      </c>
      <c r="E829" s="9"/>
      <c r="F829" s="9"/>
      <c r="G829" s="204">
        <f>'Adjustment for previous period'!G513</f>
        <v>-1.9565416146037446</v>
      </c>
      <c r="H829" s="111">
        <f t="shared" ref="H829:Q829" si="181">H959+H991</f>
        <v>-1.2070748712638504</v>
      </c>
      <c r="I829" s="111">
        <f t="shared" si="181"/>
        <v>-2.7785860492775516</v>
      </c>
      <c r="J829" s="111">
        <f t="shared" si="181"/>
        <v>-2.4759929911688445</v>
      </c>
      <c r="K829" s="111">
        <f t="shared" si="181"/>
        <v>-2.2979517768797524</v>
      </c>
      <c r="L829" s="111">
        <f t="shared" si="181"/>
        <v>-3.2411201978028608</v>
      </c>
      <c r="M829" s="111">
        <f t="shared" si="181"/>
        <v>-3.1952885964823894</v>
      </c>
      <c r="N829" s="111">
        <f t="shared" si="181"/>
        <v>0</v>
      </c>
      <c r="O829" s="111">
        <f t="shared" si="181"/>
        <v>0</v>
      </c>
      <c r="P829" s="111">
        <f t="shared" si="181"/>
        <v>0</v>
      </c>
      <c r="Q829" s="111">
        <f t="shared" si="181"/>
        <v>0</v>
      </c>
      <c r="R829" s="29"/>
      <c r="S829" s="100"/>
      <c r="T829" s="100"/>
      <c r="U829" s="100"/>
      <c r="V829" s="100"/>
      <c r="W829" s="100"/>
      <c r="X829" s="100"/>
      <c r="Y829" s="100"/>
      <c r="Z829" s="100"/>
      <c r="AA829" s="228"/>
      <c r="AB829" s="228"/>
      <c r="AC829" s="228"/>
      <c r="AD829" s="228"/>
      <c r="AE829" s="228"/>
      <c r="AF829" s="228"/>
      <c r="AG829" s="228"/>
      <c r="AH829" s="228"/>
      <c r="AI829" s="228"/>
      <c r="AJ829" s="228"/>
      <c r="AK829" s="228"/>
      <c r="AL829" s="228"/>
      <c r="AM829" s="228"/>
      <c r="AN829" s="228"/>
      <c r="AO829" s="228"/>
      <c r="AP829" s="228"/>
      <c r="AQ829" s="228"/>
      <c r="AR829" s="228"/>
      <c r="AS829" s="228"/>
      <c r="AT829" s="228"/>
      <c r="AU829" s="228"/>
      <c r="AV829" s="228"/>
      <c r="AW829" s="228"/>
      <c r="AX829" s="228"/>
      <c r="AY829" s="228"/>
      <c r="AZ829" s="228"/>
      <c r="BA829" s="228"/>
      <c r="BB829" s="228"/>
      <c r="BC829" s="228"/>
      <c r="BD829" s="100"/>
      <c r="BE829" s="100"/>
      <c r="BF829" s="100"/>
      <c r="BG829" s="100"/>
      <c r="BH829" s="100"/>
      <c r="BI829" s="100"/>
      <c r="BJ829" s="100"/>
      <c r="BK829" s="12"/>
      <c r="BL829" s="12"/>
    </row>
    <row r="830" spans="1:64" ht="12.75" hidden="1" customHeight="1" outlineLevel="1">
      <c r="A830" s="9"/>
      <c r="B830" s="9"/>
      <c r="C830" s="44"/>
      <c r="D830" s="270" t="str">
        <f>Asset5</f>
        <v>Towers and Conductor</v>
      </c>
      <c r="E830" s="9"/>
      <c r="F830" s="9"/>
      <c r="G830" s="204">
        <f>'Adjustment for previous period'!G514</f>
        <v>-9.3974643039723151</v>
      </c>
      <c r="H830" s="111">
        <f t="shared" ref="H830:Q830" si="182">H960+H992</f>
        <v>1.1469086327215052</v>
      </c>
      <c r="I830" s="111">
        <f t="shared" si="182"/>
        <v>-16.580524940526654</v>
      </c>
      <c r="J830" s="111">
        <f t="shared" si="182"/>
        <v>-11.928359081798185</v>
      </c>
      <c r="K830" s="111">
        <f t="shared" si="182"/>
        <v>-8.5111387968326113</v>
      </c>
      <c r="L830" s="111">
        <f t="shared" si="182"/>
        <v>-19.18437655190775</v>
      </c>
      <c r="M830" s="111">
        <f t="shared" si="182"/>
        <v>-17.218703579304055</v>
      </c>
      <c r="N830" s="111">
        <f t="shared" si="182"/>
        <v>0</v>
      </c>
      <c r="O830" s="111">
        <f t="shared" si="182"/>
        <v>0</v>
      </c>
      <c r="P830" s="111">
        <f t="shared" si="182"/>
        <v>0</v>
      </c>
      <c r="Q830" s="111">
        <f t="shared" si="182"/>
        <v>0</v>
      </c>
      <c r="R830" s="29"/>
      <c r="S830" s="100"/>
      <c r="T830" s="100"/>
      <c r="U830" s="100"/>
      <c r="V830" s="100"/>
      <c r="W830" s="100"/>
      <c r="X830" s="100"/>
      <c r="Y830" s="100"/>
      <c r="Z830" s="100"/>
      <c r="AA830" s="228"/>
      <c r="AB830" s="228"/>
      <c r="AC830" s="228"/>
      <c r="AD830" s="228"/>
      <c r="AE830" s="228"/>
      <c r="AF830" s="228"/>
      <c r="AG830" s="228"/>
      <c r="AH830" s="228"/>
      <c r="AI830" s="228"/>
      <c r="AJ830" s="228"/>
      <c r="AK830" s="228"/>
      <c r="AL830" s="228"/>
      <c r="AM830" s="228"/>
      <c r="AN830" s="228"/>
      <c r="AO830" s="228"/>
      <c r="AP830" s="228"/>
      <c r="AQ830" s="228"/>
      <c r="AR830" s="228"/>
      <c r="AS830" s="228"/>
      <c r="AT830" s="228"/>
      <c r="AU830" s="228"/>
      <c r="AV830" s="228"/>
      <c r="AW830" s="228"/>
      <c r="AX830" s="228"/>
      <c r="AY830" s="228"/>
      <c r="AZ830" s="228"/>
      <c r="BA830" s="228"/>
      <c r="BB830" s="228"/>
      <c r="BC830" s="228"/>
      <c r="BD830" s="100"/>
      <c r="BE830" s="100"/>
      <c r="BF830" s="100"/>
      <c r="BG830" s="100"/>
      <c r="BH830" s="100"/>
      <c r="BI830" s="100"/>
      <c r="BJ830" s="100"/>
      <c r="BK830" s="12"/>
      <c r="BL830" s="12"/>
    </row>
    <row r="831" spans="1:64" ht="12.75" hidden="1" customHeight="1" outlineLevel="1">
      <c r="A831" s="9"/>
      <c r="B831" s="9"/>
      <c r="C831" s="44"/>
      <c r="D831" s="270" t="str">
        <f>Asset6</f>
        <v>Establishment</v>
      </c>
      <c r="E831" s="9"/>
      <c r="F831" s="9"/>
      <c r="G831" s="204">
        <f>'Adjustment for previous period'!G515</f>
        <v>-1.9292989819905269</v>
      </c>
      <c r="H831" s="111">
        <f t="shared" ref="H831:Q831" si="183">H961+H993</f>
        <v>-0.24357216393564984</v>
      </c>
      <c r="I831" s="111">
        <f t="shared" si="183"/>
        <v>-1.9912473375708166</v>
      </c>
      <c r="J831" s="111">
        <f t="shared" si="183"/>
        <v>-1.4788785331357421</v>
      </c>
      <c r="K831" s="111">
        <f t="shared" si="183"/>
        <v>-1.0459767917803755</v>
      </c>
      <c r="L831" s="111">
        <f t="shared" si="183"/>
        <v>-2.374127301256368</v>
      </c>
      <c r="M831" s="111">
        <f t="shared" si="183"/>
        <v>-2.1429189335012659</v>
      </c>
      <c r="N831" s="111">
        <f t="shared" si="183"/>
        <v>0</v>
      </c>
      <c r="O831" s="111">
        <f t="shared" si="183"/>
        <v>0</v>
      </c>
      <c r="P831" s="111">
        <f t="shared" si="183"/>
        <v>0</v>
      </c>
      <c r="Q831" s="111">
        <f t="shared" si="183"/>
        <v>0</v>
      </c>
      <c r="R831" s="29"/>
      <c r="S831" s="100"/>
      <c r="T831" s="100"/>
      <c r="U831" s="100"/>
      <c r="V831" s="100"/>
      <c r="W831" s="100"/>
      <c r="X831" s="100"/>
      <c r="Y831" s="100"/>
      <c r="Z831" s="100"/>
      <c r="AA831" s="228"/>
      <c r="AB831" s="228"/>
      <c r="AC831" s="228"/>
      <c r="AD831" s="228"/>
      <c r="AE831" s="228"/>
      <c r="AF831" s="228"/>
      <c r="AG831" s="228"/>
      <c r="AH831" s="228"/>
      <c r="AI831" s="228"/>
      <c r="AJ831" s="228"/>
      <c r="AK831" s="228"/>
      <c r="AL831" s="228"/>
      <c r="AM831" s="228"/>
      <c r="AN831" s="228"/>
      <c r="AO831" s="228"/>
      <c r="AP831" s="228"/>
      <c r="AQ831" s="228"/>
      <c r="AR831" s="228"/>
      <c r="AS831" s="228"/>
      <c r="AT831" s="228"/>
      <c r="AU831" s="228"/>
      <c r="AV831" s="228"/>
      <c r="AW831" s="228"/>
      <c r="AX831" s="228"/>
      <c r="AY831" s="228"/>
      <c r="AZ831" s="228"/>
      <c r="BA831" s="228"/>
      <c r="BB831" s="228"/>
      <c r="BC831" s="228"/>
      <c r="BD831" s="100"/>
      <c r="BE831" s="100"/>
      <c r="BF831" s="100"/>
      <c r="BG831" s="100"/>
      <c r="BH831" s="100"/>
      <c r="BI831" s="100"/>
      <c r="BJ831" s="100"/>
      <c r="BK831" s="12"/>
      <c r="BL831" s="12"/>
    </row>
    <row r="832" spans="1:64" ht="12.75" hidden="1" customHeight="1" outlineLevel="1">
      <c r="A832" s="9"/>
      <c r="B832" s="9"/>
      <c r="C832" s="44"/>
      <c r="D832" s="270" t="str">
        <f>Asset7</f>
        <v>Communications</v>
      </c>
      <c r="E832" s="9"/>
      <c r="F832" s="9"/>
      <c r="G832" s="204">
        <f>'Adjustment for previous period'!G516</f>
        <v>-6.3024287901060712</v>
      </c>
      <c r="H832" s="111">
        <f t="shared" ref="H832:Q832" si="184">H962+H994</f>
        <v>-1.5522779076418818</v>
      </c>
      <c r="I832" s="111">
        <f t="shared" si="184"/>
        <v>-1.7768346073630576</v>
      </c>
      <c r="J832" s="111">
        <f t="shared" si="184"/>
        <v>-1.9233887787502715</v>
      </c>
      <c r="K832" s="111">
        <f t="shared" si="184"/>
        <v>-2.4714150510968524</v>
      </c>
      <c r="L832" s="111">
        <f t="shared" si="184"/>
        <v>-2.9488530454245567</v>
      </c>
      <c r="M832" s="111">
        <f t="shared" si="184"/>
        <v>-2.8059264498065115</v>
      </c>
      <c r="N832" s="111">
        <f t="shared" si="184"/>
        <v>0</v>
      </c>
      <c r="O832" s="111">
        <f t="shared" si="184"/>
        <v>0</v>
      </c>
      <c r="P832" s="111">
        <f t="shared" si="184"/>
        <v>0</v>
      </c>
      <c r="Q832" s="111">
        <f t="shared" si="184"/>
        <v>0</v>
      </c>
      <c r="R832" s="29"/>
      <c r="S832" s="100"/>
      <c r="T832" s="100"/>
      <c r="U832" s="100"/>
      <c r="V832" s="100"/>
      <c r="W832" s="100"/>
      <c r="X832" s="100"/>
      <c r="Y832" s="100"/>
      <c r="Z832" s="100"/>
      <c r="AA832" s="228"/>
      <c r="AB832" s="228"/>
      <c r="AC832" s="228"/>
      <c r="AD832" s="228"/>
      <c r="AE832" s="228"/>
      <c r="AF832" s="228"/>
      <c r="AG832" s="228"/>
      <c r="AH832" s="228"/>
      <c r="AI832" s="228"/>
      <c r="AJ832" s="228"/>
      <c r="AK832" s="228"/>
      <c r="AL832" s="228"/>
      <c r="AM832" s="228"/>
      <c r="AN832" s="228"/>
      <c r="AO832" s="228"/>
      <c r="AP832" s="228"/>
      <c r="AQ832" s="228"/>
      <c r="AR832" s="228"/>
      <c r="AS832" s="228"/>
      <c r="AT832" s="228"/>
      <c r="AU832" s="228"/>
      <c r="AV832" s="228"/>
      <c r="AW832" s="228"/>
      <c r="AX832" s="228"/>
      <c r="AY832" s="228"/>
      <c r="AZ832" s="228"/>
      <c r="BA832" s="228"/>
      <c r="BB832" s="228"/>
      <c r="BC832" s="228"/>
      <c r="BD832" s="100"/>
      <c r="BE832" s="100"/>
      <c r="BF832" s="100"/>
      <c r="BG832" s="100"/>
      <c r="BH832" s="100"/>
      <c r="BI832" s="100"/>
      <c r="BJ832" s="100"/>
      <c r="BK832" s="12"/>
      <c r="BL832" s="12"/>
    </row>
    <row r="833" spans="1:64" ht="12.75" hidden="1" customHeight="1" outlineLevel="1">
      <c r="A833" s="9"/>
      <c r="B833" s="9"/>
      <c r="C833" s="44"/>
      <c r="D833" s="270" t="str">
        <f>Asset8</f>
        <v>Inventory</v>
      </c>
      <c r="E833" s="9"/>
      <c r="F833" s="9"/>
      <c r="G833" s="204">
        <f>'Adjustment for previous period'!G517</f>
        <v>0.1190149191478946</v>
      </c>
      <c r="H833" s="111">
        <f t="shared" ref="H833:Q833" si="185">H963+H995</f>
        <v>0.27048186622619236</v>
      </c>
      <c r="I833" s="111">
        <f t="shared" si="185"/>
        <v>0.16045534437147022</v>
      </c>
      <c r="J833" s="111">
        <f t="shared" si="185"/>
        <v>0.2062997284776045</v>
      </c>
      <c r="K833" s="111">
        <f t="shared" si="185"/>
        <v>0.24755967417312463</v>
      </c>
      <c r="L833" s="111">
        <f t="shared" si="185"/>
        <v>0.18130121762534249</v>
      </c>
      <c r="M833" s="111">
        <f t="shared" si="185"/>
        <v>0.21014459315664574</v>
      </c>
      <c r="N833" s="111">
        <f t="shared" si="185"/>
        <v>0</v>
      </c>
      <c r="O833" s="111">
        <f t="shared" si="185"/>
        <v>0</v>
      </c>
      <c r="P833" s="111">
        <f t="shared" si="185"/>
        <v>0</v>
      </c>
      <c r="Q833" s="111">
        <f t="shared" si="185"/>
        <v>0</v>
      </c>
      <c r="R833" s="29"/>
      <c r="S833" s="100"/>
      <c r="T833" s="100"/>
      <c r="U833" s="100"/>
      <c r="V833" s="100"/>
      <c r="W833" s="100"/>
      <c r="X833" s="100"/>
      <c r="Y833" s="100"/>
      <c r="Z833" s="100"/>
      <c r="AA833" s="228"/>
      <c r="AB833" s="228"/>
      <c r="AC833" s="228"/>
      <c r="AD833" s="228"/>
      <c r="AE833" s="228"/>
      <c r="AF833" s="228"/>
      <c r="AG833" s="228"/>
      <c r="AH833" s="228"/>
      <c r="AI833" s="228"/>
      <c r="AJ833" s="228"/>
      <c r="AK833" s="228"/>
      <c r="AL833" s="228"/>
      <c r="AM833" s="228"/>
      <c r="AN833" s="228"/>
      <c r="AO833" s="228"/>
      <c r="AP833" s="228"/>
      <c r="AQ833" s="228"/>
      <c r="AR833" s="228"/>
      <c r="AS833" s="228"/>
      <c r="AT833" s="228"/>
      <c r="AU833" s="228"/>
      <c r="AV833" s="228"/>
      <c r="AW833" s="228"/>
      <c r="AX833" s="228"/>
      <c r="AY833" s="228"/>
      <c r="AZ833" s="228"/>
      <c r="BA833" s="228"/>
      <c r="BB833" s="228"/>
      <c r="BC833" s="228"/>
      <c r="BD833" s="100"/>
      <c r="BE833" s="100"/>
      <c r="BF833" s="100"/>
      <c r="BG833" s="100"/>
      <c r="BH833" s="100"/>
      <c r="BI833" s="100"/>
      <c r="BJ833" s="100"/>
      <c r="BK833" s="12"/>
      <c r="BL833" s="12"/>
    </row>
    <row r="834" spans="1:64" ht="12.75" hidden="1" customHeight="1" outlineLevel="1">
      <c r="A834" s="9"/>
      <c r="B834" s="9"/>
      <c r="C834" s="44"/>
      <c r="D834" s="270" t="str">
        <f>Asset9</f>
        <v>IT</v>
      </c>
      <c r="E834" s="9"/>
      <c r="F834" s="9"/>
      <c r="G834" s="204">
        <f>'Adjustment for previous period'!G518</f>
        <v>-3.9008862920846168</v>
      </c>
      <c r="H834" s="111">
        <f t="shared" ref="H834:Q834" si="186">H964+H996</f>
        <v>-4.2967693946026442</v>
      </c>
      <c r="I834" s="111">
        <f t="shared" si="186"/>
        <v>-5.7828117421501304</v>
      </c>
      <c r="J834" s="111">
        <f t="shared" si="186"/>
        <v>-7.5931020198366266</v>
      </c>
      <c r="K834" s="111">
        <f t="shared" si="186"/>
        <v>-7.1216676532698289</v>
      </c>
      <c r="L834" s="111">
        <f t="shared" si="186"/>
        <v>-9.4945889305442144</v>
      </c>
      <c r="M834" s="111">
        <f t="shared" si="186"/>
        <v>-11.919331085738401</v>
      </c>
      <c r="N834" s="111">
        <f t="shared" si="186"/>
        <v>0</v>
      </c>
      <c r="O834" s="111">
        <f t="shared" si="186"/>
        <v>0</v>
      </c>
      <c r="P834" s="111">
        <f t="shared" si="186"/>
        <v>0</v>
      </c>
      <c r="Q834" s="111">
        <f t="shared" si="186"/>
        <v>0</v>
      </c>
      <c r="R834" s="29"/>
      <c r="S834" s="100"/>
      <c r="T834" s="100"/>
      <c r="U834" s="100"/>
      <c r="V834" s="100"/>
      <c r="W834" s="100"/>
      <c r="X834" s="100"/>
      <c r="Y834" s="100"/>
      <c r="Z834" s="100"/>
      <c r="AA834" s="228"/>
      <c r="AB834" s="228"/>
      <c r="AC834" s="228"/>
      <c r="AD834" s="228"/>
      <c r="AE834" s="228"/>
      <c r="AF834" s="228"/>
      <c r="AG834" s="228"/>
      <c r="AH834" s="228"/>
      <c r="AI834" s="228"/>
      <c r="AJ834" s="228"/>
      <c r="AK834" s="228"/>
      <c r="AL834" s="228"/>
      <c r="AM834" s="228"/>
      <c r="AN834" s="228"/>
      <c r="AO834" s="228"/>
      <c r="AP834" s="228"/>
      <c r="AQ834" s="228"/>
      <c r="AR834" s="228"/>
      <c r="AS834" s="228"/>
      <c r="AT834" s="228"/>
      <c r="AU834" s="228"/>
      <c r="AV834" s="228"/>
      <c r="AW834" s="228"/>
      <c r="AX834" s="228"/>
      <c r="AY834" s="228"/>
      <c r="AZ834" s="228"/>
      <c r="BA834" s="228"/>
      <c r="BB834" s="228"/>
      <c r="BC834" s="228"/>
      <c r="BD834" s="100"/>
      <c r="BE834" s="100"/>
      <c r="BF834" s="100"/>
      <c r="BG834" s="100"/>
      <c r="BH834" s="100"/>
      <c r="BI834" s="100"/>
      <c r="BJ834" s="100"/>
      <c r="BK834" s="12"/>
      <c r="BL834" s="12"/>
    </row>
    <row r="835" spans="1:64" ht="12.75" hidden="1" customHeight="1" outlineLevel="1">
      <c r="A835" s="9"/>
      <c r="B835" s="9"/>
      <c r="C835" s="44"/>
      <c r="D835" s="270" t="str">
        <f>Asset10</f>
        <v>Vehicles</v>
      </c>
      <c r="E835" s="9"/>
      <c r="F835" s="9"/>
      <c r="G835" s="204">
        <f>'Adjustment for previous period'!G519</f>
        <v>-0.14566511533793916</v>
      </c>
      <c r="H835" s="111">
        <f t="shared" ref="H835:Q835" si="187">H965+H997</f>
        <v>-0.7914140701330683</v>
      </c>
      <c r="I835" s="111">
        <f t="shared" si="187"/>
        <v>-0.90269135558262092</v>
      </c>
      <c r="J835" s="111">
        <f t="shared" si="187"/>
        <v>-0.80097959092384974</v>
      </c>
      <c r="K835" s="111">
        <f t="shared" si="187"/>
        <v>-0.23278012210691693</v>
      </c>
      <c r="L835" s="111">
        <f t="shared" si="187"/>
        <v>-0.28840838604877828</v>
      </c>
      <c r="M835" s="111">
        <f t="shared" si="187"/>
        <v>-0.54374986105743095</v>
      </c>
      <c r="N835" s="111">
        <f t="shared" si="187"/>
        <v>0</v>
      </c>
      <c r="O835" s="111">
        <f t="shared" si="187"/>
        <v>0</v>
      </c>
      <c r="P835" s="111">
        <f t="shared" si="187"/>
        <v>0</v>
      </c>
      <c r="Q835" s="111">
        <f t="shared" si="187"/>
        <v>0</v>
      </c>
      <c r="R835" s="29"/>
      <c r="S835" s="100"/>
      <c r="T835" s="100"/>
      <c r="U835" s="100"/>
      <c r="V835" s="100"/>
      <c r="W835" s="100"/>
      <c r="X835" s="100"/>
      <c r="Y835" s="100"/>
      <c r="Z835" s="100"/>
      <c r="AA835" s="228"/>
      <c r="AB835" s="228"/>
      <c r="AC835" s="228"/>
      <c r="AD835" s="228"/>
      <c r="AE835" s="228"/>
      <c r="AF835" s="228"/>
      <c r="AG835" s="228"/>
      <c r="AH835" s="228"/>
      <c r="AI835" s="228"/>
      <c r="AJ835" s="228"/>
      <c r="AK835" s="228"/>
      <c r="AL835" s="228"/>
      <c r="AM835" s="228"/>
      <c r="AN835" s="228"/>
      <c r="AO835" s="228"/>
      <c r="AP835" s="228"/>
      <c r="AQ835" s="228"/>
      <c r="AR835" s="228"/>
      <c r="AS835" s="228"/>
      <c r="AT835" s="228"/>
      <c r="AU835" s="228"/>
      <c r="AV835" s="228"/>
      <c r="AW835" s="228"/>
      <c r="AX835" s="228"/>
      <c r="AY835" s="228"/>
      <c r="AZ835" s="228"/>
      <c r="BA835" s="228"/>
      <c r="BB835" s="228"/>
      <c r="BC835" s="228"/>
      <c r="BD835" s="100"/>
      <c r="BE835" s="100"/>
      <c r="BF835" s="100"/>
      <c r="BG835" s="100"/>
      <c r="BH835" s="100"/>
      <c r="BI835" s="100"/>
      <c r="BJ835" s="100"/>
      <c r="BK835" s="12"/>
      <c r="BL835" s="12"/>
    </row>
    <row r="836" spans="1:64" ht="12.75" hidden="1" customHeight="1" outlineLevel="1">
      <c r="A836" s="9"/>
      <c r="B836" s="9"/>
      <c r="C836" s="44"/>
      <c r="D836" s="270" t="str">
        <f>Asset11</f>
        <v>other</v>
      </c>
      <c r="E836" s="9"/>
      <c r="F836" s="9"/>
      <c r="G836" s="204">
        <f>'Adjustment for previous period'!G520</f>
        <v>-1.5380787381567749</v>
      </c>
      <c r="H836" s="111">
        <f t="shared" ref="H836:Q836" si="188">H966+H998</f>
        <v>-1.2056800386254016</v>
      </c>
      <c r="I836" s="111">
        <f t="shared" si="188"/>
        <v>-1.5234584289047286</v>
      </c>
      <c r="J836" s="111">
        <f t="shared" si="188"/>
        <v>-1.5301433813513852</v>
      </c>
      <c r="K836" s="111">
        <f t="shared" si="188"/>
        <v>-1.3508887889400207</v>
      </c>
      <c r="L836" s="111">
        <f t="shared" si="188"/>
        <v>-1.8415494307934774</v>
      </c>
      <c r="M836" s="111">
        <f t="shared" si="188"/>
        <v>-1.9807205460211164</v>
      </c>
      <c r="N836" s="111">
        <f t="shared" si="188"/>
        <v>0</v>
      </c>
      <c r="O836" s="111">
        <f t="shared" si="188"/>
        <v>0</v>
      </c>
      <c r="P836" s="111">
        <f t="shared" si="188"/>
        <v>0</v>
      </c>
      <c r="Q836" s="111">
        <f t="shared" si="188"/>
        <v>0</v>
      </c>
      <c r="R836" s="29"/>
      <c r="S836" s="100"/>
      <c r="T836" s="100"/>
      <c r="U836" s="100"/>
      <c r="V836" s="100"/>
      <c r="W836" s="100"/>
      <c r="X836" s="100"/>
      <c r="Y836" s="100"/>
      <c r="Z836" s="100"/>
      <c r="AA836" s="228"/>
      <c r="AB836" s="228"/>
      <c r="AC836" s="228"/>
      <c r="AD836" s="228"/>
      <c r="AE836" s="228"/>
      <c r="AF836" s="228"/>
      <c r="AG836" s="228"/>
      <c r="AH836" s="228"/>
      <c r="AI836" s="228"/>
      <c r="AJ836" s="228"/>
      <c r="AK836" s="228"/>
      <c r="AL836" s="228"/>
      <c r="AM836" s="228"/>
      <c r="AN836" s="228"/>
      <c r="AO836" s="228"/>
      <c r="AP836" s="228"/>
      <c r="AQ836" s="228"/>
      <c r="AR836" s="228"/>
      <c r="AS836" s="228"/>
      <c r="AT836" s="228"/>
      <c r="AU836" s="228"/>
      <c r="AV836" s="228"/>
      <c r="AW836" s="228"/>
      <c r="AX836" s="228"/>
      <c r="AY836" s="228"/>
      <c r="AZ836" s="228"/>
      <c r="BA836" s="228"/>
      <c r="BB836" s="228"/>
      <c r="BC836" s="228"/>
      <c r="BD836" s="100"/>
      <c r="BE836" s="100"/>
      <c r="BF836" s="100"/>
      <c r="BG836" s="100"/>
      <c r="BH836" s="100"/>
      <c r="BI836" s="100"/>
      <c r="BJ836" s="100"/>
      <c r="BK836" s="12"/>
      <c r="BL836" s="12"/>
    </row>
    <row r="837" spans="1:64" ht="12.75" hidden="1" customHeight="1" outlineLevel="1">
      <c r="A837" s="9"/>
      <c r="B837" s="9"/>
      <c r="C837" s="44"/>
      <c r="D837" s="270" t="str">
        <f>Asset12</f>
        <v>premises</v>
      </c>
      <c r="E837" s="9"/>
      <c r="F837" s="9"/>
      <c r="G837" s="204">
        <f>'Adjustment for previous period'!G521</f>
        <v>-1.7554403275244403</v>
      </c>
      <c r="H837" s="111">
        <f t="shared" ref="H837:Q837" si="189">H967+H999</f>
        <v>-1.1122512838661884</v>
      </c>
      <c r="I837" s="111">
        <f t="shared" si="189"/>
        <v>-1.3189756987583601</v>
      </c>
      <c r="J837" s="111">
        <f t="shared" si="189"/>
        <v>-1.2517228897897112</v>
      </c>
      <c r="K837" s="111">
        <f t="shared" si="189"/>
        <v>-0.93170209440937446</v>
      </c>
      <c r="L837" s="111">
        <f t="shared" si="189"/>
        <v>-1.1235080810154616</v>
      </c>
      <c r="M837" s="111">
        <f t="shared" si="189"/>
        <v>-1.0879656107028264</v>
      </c>
      <c r="N837" s="111">
        <f t="shared" si="189"/>
        <v>0</v>
      </c>
      <c r="O837" s="111">
        <f t="shared" si="189"/>
        <v>0</v>
      </c>
      <c r="P837" s="111">
        <f t="shared" si="189"/>
        <v>0</v>
      </c>
      <c r="Q837" s="111">
        <f t="shared" si="189"/>
        <v>0</v>
      </c>
      <c r="R837" s="29"/>
      <c r="S837" s="100"/>
      <c r="T837" s="100"/>
      <c r="U837" s="100"/>
      <c r="V837" s="100"/>
      <c r="W837" s="100"/>
      <c r="X837" s="100"/>
      <c r="Y837" s="100"/>
      <c r="Z837" s="100"/>
      <c r="AA837" s="228"/>
      <c r="AB837" s="228"/>
      <c r="AC837" s="228"/>
      <c r="AD837" s="228"/>
      <c r="AE837" s="228"/>
      <c r="AF837" s="228"/>
      <c r="AG837" s="228"/>
      <c r="AH837" s="228"/>
      <c r="AI837" s="228"/>
      <c r="AJ837" s="228"/>
      <c r="AK837" s="228"/>
      <c r="AL837" s="228"/>
      <c r="AM837" s="228"/>
      <c r="AN837" s="228"/>
      <c r="AO837" s="228"/>
      <c r="AP837" s="228"/>
      <c r="AQ837" s="228"/>
      <c r="AR837" s="228"/>
      <c r="AS837" s="228"/>
      <c r="AT837" s="228"/>
      <c r="AU837" s="228"/>
      <c r="AV837" s="228"/>
      <c r="AW837" s="228"/>
      <c r="AX837" s="228"/>
      <c r="AY837" s="228"/>
      <c r="AZ837" s="228"/>
      <c r="BA837" s="228"/>
      <c r="BB837" s="228"/>
      <c r="BC837" s="228"/>
      <c r="BD837" s="100"/>
      <c r="BE837" s="100"/>
      <c r="BF837" s="100"/>
      <c r="BG837" s="100"/>
      <c r="BH837" s="100"/>
      <c r="BI837" s="100"/>
      <c r="BJ837" s="100"/>
      <c r="BK837" s="12"/>
      <c r="BL837" s="12"/>
    </row>
    <row r="838" spans="1:64" ht="12.75" hidden="1" customHeight="1" outlineLevel="1">
      <c r="A838" s="9"/>
      <c r="B838" s="9"/>
      <c r="C838" s="44"/>
      <c r="D838" s="270" t="str">
        <f>Asset13</f>
        <v>Land</v>
      </c>
      <c r="E838" s="9"/>
      <c r="F838" s="9"/>
      <c r="G838" s="204">
        <f>'Adjustment for previous period'!G522</f>
        <v>2.5060166229602889</v>
      </c>
      <c r="H838" s="111">
        <f t="shared" ref="H838:Q838" si="190">H968+H1000</f>
        <v>3.528825378559989</v>
      </c>
      <c r="I838" s="111">
        <f t="shared" si="190"/>
        <v>2.0933709872813515</v>
      </c>
      <c r="J838" s="111">
        <f t="shared" si="190"/>
        <v>2.6967963081813298</v>
      </c>
      <c r="K838" s="111">
        <f t="shared" si="190"/>
        <v>3.2207388667916224</v>
      </c>
      <c r="L838" s="111">
        <f t="shared" si="190"/>
        <v>2.3363075694061086</v>
      </c>
      <c r="M838" s="111">
        <f t="shared" si="190"/>
        <v>2.7079928645388827</v>
      </c>
      <c r="N838" s="111">
        <f t="shared" si="190"/>
        <v>0</v>
      </c>
      <c r="O838" s="111">
        <f t="shared" si="190"/>
        <v>0</v>
      </c>
      <c r="P838" s="111">
        <f t="shared" si="190"/>
        <v>0</v>
      </c>
      <c r="Q838" s="111">
        <f t="shared" si="190"/>
        <v>0</v>
      </c>
      <c r="R838" s="29"/>
      <c r="S838" s="100"/>
      <c r="T838" s="100"/>
      <c r="U838" s="100"/>
      <c r="V838" s="100"/>
      <c r="W838" s="100"/>
      <c r="X838" s="100"/>
      <c r="Y838" s="100"/>
      <c r="Z838" s="100"/>
      <c r="AA838" s="228"/>
      <c r="AB838" s="228"/>
      <c r="AC838" s="228"/>
      <c r="AD838" s="228"/>
      <c r="AE838" s="228"/>
      <c r="AF838" s="228"/>
      <c r="AG838" s="228"/>
      <c r="AH838" s="228"/>
      <c r="AI838" s="228"/>
      <c r="AJ838" s="228"/>
      <c r="AK838" s="228"/>
      <c r="AL838" s="228"/>
      <c r="AM838" s="228"/>
      <c r="AN838" s="228"/>
      <c r="AO838" s="228"/>
      <c r="AP838" s="228"/>
      <c r="AQ838" s="228"/>
      <c r="AR838" s="228"/>
      <c r="AS838" s="228"/>
      <c r="AT838" s="228"/>
      <c r="AU838" s="228"/>
      <c r="AV838" s="228"/>
      <c r="AW838" s="228"/>
      <c r="AX838" s="228"/>
      <c r="AY838" s="228"/>
      <c r="AZ838" s="228"/>
      <c r="BA838" s="228"/>
      <c r="BB838" s="228"/>
      <c r="BC838" s="228"/>
      <c r="BD838" s="100"/>
      <c r="BE838" s="100"/>
      <c r="BF838" s="100"/>
      <c r="BG838" s="100"/>
      <c r="BH838" s="100"/>
      <c r="BI838" s="100"/>
      <c r="BJ838" s="100"/>
      <c r="BK838" s="12"/>
      <c r="BL838" s="12"/>
    </row>
    <row r="839" spans="1:64" ht="12.75" hidden="1" customHeight="1" outlineLevel="1">
      <c r="A839" s="9"/>
      <c r="B839" s="9"/>
      <c r="C839" s="44"/>
      <c r="D839" s="270" t="str">
        <f>Asset14</f>
        <v>Easements</v>
      </c>
      <c r="E839" s="9"/>
      <c r="F839" s="9"/>
      <c r="G839" s="204">
        <f>'Adjustment for previous period'!G523</f>
        <v>2.7593897982454862</v>
      </c>
      <c r="H839" s="111">
        <f t="shared" ref="H839:Q839" si="191">H969+H1001</f>
        <v>4.0158981762199319</v>
      </c>
      <c r="I839" s="111">
        <f t="shared" si="191"/>
        <v>2.3823124774186062</v>
      </c>
      <c r="J839" s="111">
        <f t="shared" si="191"/>
        <v>3.0629731852524928</v>
      </c>
      <c r="K839" s="111">
        <f t="shared" si="191"/>
        <v>3.6755678223029795</v>
      </c>
      <c r="L839" s="111">
        <f t="shared" si="191"/>
        <v>2.691815312303405</v>
      </c>
      <c r="M839" s="111">
        <f t="shared" si="191"/>
        <v>3.1200586574425646</v>
      </c>
      <c r="N839" s="111">
        <f t="shared" si="191"/>
        <v>0</v>
      </c>
      <c r="O839" s="111">
        <f t="shared" si="191"/>
        <v>0</v>
      </c>
      <c r="P839" s="111">
        <f t="shared" si="191"/>
        <v>0</v>
      </c>
      <c r="Q839" s="111">
        <f t="shared" si="191"/>
        <v>0</v>
      </c>
      <c r="R839" s="29"/>
      <c r="S839" s="100"/>
      <c r="T839" s="100"/>
      <c r="U839" s="100"/>
      <c r="V839" s="100"/>
      <c r="W839" s="100"/>
      <c r="X839" s="100"/>
      <c r="Y839" s="100"/>
      <c r="Z839" s="100"/>
      <c r="AA839" s="228"/>
      <c r="AB839" s="228"/>
      <c r="AC839" s="228"/>
      <c r="AD839" s="228"/>
      <c r="AE839" s="228"/>
      <c r="AF839" s="228"/>
      <c r="AG839" s="228"/>
      <c r="AH839" s="228"/>
      <c r="AI839" s="228"/>
      <c r="AJ839" s="228"/>
      <c r="AK839" s="228"/>
      <c r="AL839" s="228"/>
      <c r="AM839" s="228"/>
      <c r="AN839" s="228"/>
      <c r="AO839" s="228"/>
      <c r="AP839" s="228"/>
      <c r="AQ839" s="228"/>
      <c r="AR839" s="228"/>
      <c r="AS839" s="228"/>
      <c r="AT839" s="228"/>
      <c r="AU839" s="228"/>
      <c r="AV839" s="228"/>
      <c r="AW839" s="228"/>
      <c r="AX839" s="228"/>
      <c r="AY839" s="228"/>
      <c r="AZ839" s="228"/>
      <c r="BA839" s="228"/>
      <c r="BB839" s="228"/>
      <c r="BC839" s="228"/>
      <c r="BD839" s="100"/>
      <c r="BE839" s="100"/>
      <c r="BF839" s="100"/>
      <c r="BG839" s="100"/>
      <c r="BH839" s="100"/>
      <c r="BI839" s="100"/>
      <c r="BJ839" s="100"/>
      <c r="BK839" s="12"/>
      <c r="BL839" s="12"/>
    </row>
    <row r="840" spans="1:64" ht="12.75" hidden="1" customHeight="1" outlineLevel="1">
      <c r="A840" s="9"/>
      <c r="B840" s="9"/>
      <c r="C840" s="44"/>
      <c r="D840" s="270">
        <f>Asset15</f>
        <v>0</v>
      </c>
      <c r="E840" s="9"/>
      <c r="F840" s="9"/>
      <c r="G840" s="204">
        <f>'Adjustment for previous period'!G524</f>
        <v>0</v>
      </c>
      <c r="H840" s="111">
        <f t="shared" ref="H840:Q840" si="192">H970+H1002</f>
        <v>0</v>
      </c>
      <c r="I840" s="111">
        <f t="shared" si="192"/>
        <v>0</v>
      </c>
      <c r="J840" s="111">
        <f t="shared" si="192"/>
        <v>0</v>
      </c>
      <c r="K840" s="111">
        <f t="shared" si="192"/>
        <v>0</v>
      </c>
      <c r="L840" s="111">
        <f t="shared" si="192"/>
        <v>0</v>
      </c>
      <c r="M840" s="111">
        <f t="shared" si="192"/>
        <v>0</v>
      </c>
      <c r="N840" s="111">
        <f t="shared" si="192"/>
        <v>0</v>
      </c>
      <c r="O840" s="111">
        <f t="shared" si="192"/>
        <v>0</v>
      </c>
      <c r="P840" s="111">
        <f t="shared" si="192"/>
        <v>0</v>
      </c>
      <c r="Q840" s="111">
        <f t="shared" si="192"/>
        <v>0</v>
      </c>
      <c r="R840" s="29"/>
      <c r="S840" s="100"/>
      <c r="T840" s="100"/>
      <c r="U840" s="100"/>
      <c r="V840" s="100"/>
      <c r="W840" s="100"/>
      <c r="X840" s="100"/>
      <c r="Y840" s="100"/>
      <c r="Z840" s="100"/>
      <c r="AA840" s="228"/>
      <c r="AB840" s="228"/>
      <c r="AC840" s="228"/>
      <c r="AD840" s="228"/>
      <c r="AE840" s="228"/>
      <c r="AF840" s="228"/>
      <c r="AG840" s="228"/>
      <c r="AH840" s="228"/>
      <c r="AI840" s="228"/>
      <c r="AJ840" s="228"/>
      <c r="AK840" s="228"/>
      <c r="AL840" s="228"/>
      <c r="AM840" s="228"/>
      <c r="AN840" s="228"/>
      <c r="AO840" s="228"/>
      <c r="AP840" s="228"/>
      <c r="AQ840" s="228"/>
      <c r="AR840" s="228"/>
      <c r="AS840" s="228"/>
      <c r="AT840" s="228"/>
      <c r="AU840" s="228"/>
      <c r="AV840" s="228"/>
      <c r="AW840" s="228"/>
      <c r="AX840" s="228"/>
      <c r="AY840" s="228"/>
      <c r="AZ840" s="228"/>
      <c r="BA840" s="228"/>
      <c r="BB840" s="228"/>
      <c r="BC840" s="228"/>
      <c r="BD840" s="100"/>
      <c r="BE840" s="100"/>
      <c r="BF840" s="100"/>
      <c r="BG840" s="100"/>
      <c r="BH840" s="100"/>
      <c r="BI840" s="100"/>
      <c r="BJ840" s="100"/>
      <c r="BK840" s="12"/>
      <c r="BL840" s="12"/>
    </row>
    <row r="841" spans="1:64" ht="12.75" hidden="1" customHeight="1" outlineLevel="1">
      <c r="A841" s="9"/>
      <c r="B841" s="9"/>
      <c r="C841" s="44"/>
      <c r="D841" s="270">
        <f>Asset16</f>
        <v>0</v>
      </c>
      <c r="E841" s="9"/>
      <c r="F841" s="9"/>
      <c r="G841" s="204">
        <f>'Adjustment for previous period'!G525</f>
        <v>0</v>
      </c>
      <c r="H841" s="111">
        <f t="shared" ref="H841:Q841" si="193">H971+H1003</f>
        <v>0</v>
      </c>
      <c r="I841" s="111">
        <f t="shared" si="193"/>
        <v>0</v>
      </c>
      <c r="J841" s="111">
        <f t="shared" si="193"/>
        <v>0</v>
      </c>
      <c r="K841" s="111">
        <f t="shared" si="193"/>
        <v>0</v>
      </c>
      <c r="L841" s="111">
        <f t="shared" si="193"/>
        <v>0</v>
      </c>
      <c r="M841" s="111">
        <f t="shared" si="193"/>
        <v>0</v>
      </c>
      <c r="N841" s="111">
        <f t="shared" si="193"/>
        <v>0</v>
      </c>
      <c r="O841" s="111">
        <f t="shared" si="193"/>
        <v>0</v>
      </c>
      <c r="P841" s="111">
        <f t="shared" si="193"/>
        <v>0</v>
      </c>
      <c r="Q841" s="111">
        <f t="shared" si="193"/>
        <v>0</v>
      </c>
      <c r="R841" s="29"/>
      <c r="S841" s="100"/>
      <c r="T841" s="100"/>
      <c r="U841" s="100"/>
      <c r="V841" s="100"/>
      <c r="W841" s="100"/>
      <c r="X841" s="100"/>
      <c r="Y841" s="100"/>
      <c r="Z841" s="100"/>
      <c r="AA841" s="228"/>
      <c r="AB841" s="228"/>
      <c r="AC841" s="228"/>
      <c r="AD841" s="228"/>
      <c r="AE841" s="228"/>
      <c r="AF841" s="228"/>
      <c r="AG841" s="228"/>
      <c r="AH841" s="228"/>
      <c r="AI841" s="228"/>
      <c r="AJ841" s="228"/>
      <c r="AK841" s="228"/>
      <c r="AL841" s="228"/>
      <c r="AM841" s="228"/>
      <c r="AN841" s="228"/>
      <c r="AO841" s="228"/>
      <c r="AP841" s="228"/>
      <c r="AQ841" s="228"/>
      <c r="AR841" s="228"/>
      <c r="AS841" s="228"/>
      <c r="AT841" s="228"/>
      <c r="AU841" s="228"/>
      <c r="AV841" s="228"/>
      <c r="AW841" s="228"/>
      <c r="AX841" s="228"/>
      <c r="AY841" s="228"/>
      <c r="AZ841" s="228"/>
      <c r="BA841" s="228"/>
      <c r="BB841" s="228"/>
      <c r="BC841" s="228"/>
      <c r="BD841" s="100"/>
      <c r="BE841" s="100"/>
      <c r="BF841" s="100"/>
      <c r="BG841" s="100"/>
      <c r="BH841" s="100"/>
      <c r="BI841" s="100"/>
      <c r="BJ841" s="100"/>
      <c r="BK841" s="12"/>
      <c r="BL841" s="12"/>
    </row>
    <row r="842" spans="1:64" ht="12.75" hidden="1" customHeight="1" outlineLevel="1">
      <c r="A842" s="9"/>
      <c r="B842" s="9"/>
      <c r="C842" s="44"/>
      <c r="D842" s="270">
        <f>Asset17</f>
        <v>0</v>
      </c>
      <c r="E842" s="9"/>
      <c r="F842" s="9"/>
      <c r="G842" s="204">
        <f>'Adjustment for previous period'!G526</f>
        <v>0</v>
      </c>
      <c r="H842" s="111">
        <f t="shared" ref="H842:Q842" si="194">H972+H1004</f>
        <v>0</v>
      </c>
      <c r="I842" s="111">
        <f t="shared" si="194"/>
        <v>0</v>
      </c>
      <c r="J842" s="111">
        <f t="shared" si="194"/>
        <v>0</v>
      </c>
      <c r="K842" s="111">
        <f t="shared" si="194"/>
        <v>0</v>
      </c>
      <c r="L842" s="111">
        <f t="shared" si="194"/>
        <v>0</v>
      </c>
      <c r="M842" s="111">
        <f t="shared" si="194"/>
        <v>0</v>
      </c>
      <c r="N842" s="111">
        <f t="shared" si="194"/>
        <v>0</v>
      </c>
      <c r="O842" s="111">
        <f t="shared" si="194"/>
        <v>0</v>
      </c>
      <c r="P842" s="111">
        <f t="shared" si="194"/>
        <v>0</v>
      </c>
      <c r="Q842" s="111">
        <f t="shared" si="194"/>
        <v>0</v>
      </c>
      <c r="R842" s="29"/>
      <c r="S842" s="100"/>
      <c r="T842" s="100"/>
      <c r="U842" s="100"/>
      <c r="V842" s="100"/>
      <c r="W842" s="100"/>
      <c r="X842" s="100"/>
      <c r="Y842" s="100"/>
      <c r="Z842" s="100"/>
      <c r="AA842" s="228"/>
      <c r="AB842" s="228"/>
      <c r="AC842" s="228"/>
      <c r="AD842" s="228"/>
      <c r="AE842" s="228"/>
      <c r="AF842" s="228"/>
      <c r="AG842" s="228"/>
      <c r="AH842" s="228"/>
      <c r="AI842" s="228"/>
      <c r="AJ842" s="228"/>
      <c r="AK842" s="228"/>
      <c r="AL842" s="228"/>
      <c r="AM842" s="228"/>
      <c r="AN842" s="228"/>
      <c r="AO842" s="228"/>
      <c r="AP842" s="228"/>
      <c r="AQ842" s="228"/>
      <c r="AR842" s="228"/>
      <c r="AS842" s="228"/>
      <c r="AT842" s="228"/>
      <c r="AU842" s="228"/>
      <c r="AV842" s="228"/>
      <c r="AW842" s="228"/>
      <c r="AX842" s="228"/>
      <c r="AY842" s="228"/>
      <c r="AZ842" s="228"/>
      <c r="BA842" s="228"/>
      <c r="BB842" s="228"/>
      <c r="BC842" s="228"/>
      <c r="BD842" s="100"/>
      <c r="BE842" s="100"/>
      <c r="BF842" s="100"/>
      <c r="BG842" s="100"/>
      <c r="BH842" s="100"/>
      <c r="BI842" s="100"/>
      <c r="BJ842" s="100"/>
      <c r="BK842" s="12"/>
      <c r="BL842" s="12"/>
    </row>
    <row r="843" spans="1:64" ht="12.75" hidden="1" customHeight="1" outlineLevel="1">
      <c r="A843" s="9"/>
      <c r="B843" s="9"/>
      <c r="C843" s="44"/>
      <c r="D843" s="270">
        <f>Asset18</f>
        <v>0</v>
      </c>
      <c r="E843" s="9"/>
      <c r="F843" s="9"/>
      <c r="G843" s="204">
        <f>'Adjustment for previous period'!G527</f>
        <v>0</v>
      </c>
      <c r="H843" s="111">
        <f t="shared" ref="H843:Q843" si="195">H973+H1005</f>
        <v>0</v>
      </c>
      <c r="I843" s="111">
        <f t="shared" si="195"/>
        <v>0</v>
      </c>
      <c r="J843" s="111">
        <f t="shared" si="195"/>
        <v>0</v>
      </c>
      <c r="K843" s="111">
        <f t="shared" si="195"/>
        <v>0</v>
      </c>
      <c r="L843" s="111">
        <f t="shared" si="195"/>
        <v>0</v>
      </c>
      <c r="M843" s="111">
        <f t="shared" si="195"/>
        <v>0</v>
      </c>
      <c r="N843" s="111">
        <f t="shared" si="195"/>
        <v>0</v>
      </c>
      <c r="O843" s="111">
        <f t="shared" si="195"/>
        <v>0</v>
      </c>
      <c r="P843" s="111">
        <f t="shared" si="195"/>
        <v>0</v>
      </c>
      <c r="Q843" s="111">
        <f t="shared" si="195"/>
        <v>0</v>
      </c>
      <c r="R843" s="29"/>
      <c r="S843" s="100"/>
      <c r="T843" s="100"/>
      <c r="U843" s="100"/>
      <c r="V843" s="100"/>
      <c r="W843" s="100"/>
      <c r="X843" s="100"/>
      <c r="Y843" s="100"/>
      <c r="Z843" s="100"/>
      <c r="AA843" s="228"/>
      <c r="AB843" s="228"/>
      <c r="AC843" s="228"/>
      <c r="AD843" s="228"/>
      <c r="AE843" s="228"/>
      <c r="AF843" s="228"/>
      <c r="AG843" s="228"/>
      <c r="AH843" s="228"/>
      <c r="AI843" s="228"/>
      <c r="AJ843" s="228"/>
      <c r="AK843" s="228"/>
      <c r="AL843" s="228"/>
      <c r="AM843" s="228"/>
      <c r="AN843" s="228"/>
      <c r="AO843" s="228"/>
      <c r="AP843" s="228"/>
      <c r="AQ843" s="228"/>
      <c r="AR843" s="228"/>
      <c r="AS843" s="228"/>
      <c r="AT843" s="228"/>
      <c r="AU843" s="228"/>
      <c r="AV843" s="228"/>
      <c r="AW843" s="228"/>
      <c r="AX843" s="228"/>
      <c r="AY843" s="228"/>
      <c r="AZ843" s="228"/>
      <c r="BA843" s="228"/>
      <c r="BB843" s="228"/>
      <c r="BC843" s="228"/>
      <c r="BD843" s="100"/>
      <c r="BE843" s="100"/>
      <c r="BF843" s="100"/>
      <c r="BG843" s="100"/>
      <c r="BH843" s="100"/>
      <c r="BI843" s="100"/>
      <c r="BJ843" s="100"/>
      <c r="BK843" s="12"/>
      <c r="BL843" s="12"/>
    </row>
    <row r="844" spans="1:64" ht="12.75" hidden="1" customHeight="1" outlineLevel="1">
      <c r="A844" s="9"/>
      <c r="B844" s="9"/>
      <c r="C844" s="44"/>
      <c r="D844" s="270">
        <f>Asset19</f>
        <v>0</v>
      </c>
      <c r="E844" s="9"/>
      <c r="F844" s="9"/>
      <c r="G844" s="204">
        <f>'Adjustment for previous period'!G528</f>
        <v>0</v>
      </c>
      <c r="H844" s="111">
        <f t="shared" ref="H844:Q844" si="196">H974+H1006</f>
        <v>0</v>
      </c>
      <c r="I844" s="111">
        <f t="shared" si="196"/>
        <v>0</v>
      </c>
      <c r="J844" s="111">
        <f t="shared" si="196"/>
        <v>0</v>
      </c>
      <c r="K844" s="111">
        <f t="shared" si="196"/>
        <v>0</v>
      </c>
      <c r="L844" s="111">
        <f t="shared" si="196"/>
        <v>0</v>
      </c>
      <c r="M844" s="111">
        <f t="shared" si="196"/>
        <v>0</v>
      </c>
      <c r="N844" s="111">
        <f t="shared" si="196"/>
        <v>0</v>
      </c>
      <c r="O844" s="111">
        <f t="shared" si="196"/>
        <v>0</v>
      </c>
      <c r="P844" s="111">
        <f t="shared" si="196"/>
        <v>0</v>
      </c>
      <c r="Q844" s="111">
        <f t="shared" si="196"/>
        <v>0</v>
      </c>
      <c r="R844" s="29"/>
      <c r="S844" s="100"/>
      <c r="T844" s="100"/>
      <c r="U844" s="100"/>
      <c r="V844" s="100"/>
      <c r="W844" s="100"/>
      <c r="X844" s="100"/>
      <c r="Y844" s="100"/>
      <c r="Z844" s="100"/>
      <c r="AA844" s="228"/>
      <c r="AB844" s="228"/>
      <c r="AC844" s="228"/>
      <c r="AD844" s="228"/>
      <c r="AE844" s="228"/>
      <c r="AF844" s="228"/>
      <c r="AG844" s="228"/>
      <c r="AH844" s="228"/>
      <c r="AI844" s="228"/>
      <c r="AJ844" s="228"/>
      <c r="AK844" s="228"/>
      <c r="AL844" s="228"/>
      <c r="AM844" s="228"/>
      <c r="AN844" s="228"/>
      <c r="AO844" s="228"/>
      <c r="AP844" s="228"/>
      <c r="AQ844" s="228"/>
      <c r="AR844" s="228"/>
      <c r="AS844" s="228"/>
      <c r="AT844" s="228"/>
      <c r="AU844" s="228"/>
      <c r="AV844" s="228"/>
      <c r="AW844" s="228"/>
      <c r="AX844" s="228"/>
      <c r="AY844" s="228"/>
      <c r="AZ844" s="228"/>
      <c r="BA844" s="228"/>
      <c r="BB844" s="228"/>
      <c r="BC844" s="228"/>
      <c r="BD844" s="100"/>
      <c r="BE844" s="100"/>
      <c r="BF844" s="100"/>
      <c r="BG844" s="100"/>
      <c r="BH844" s="100"/>
      <c r="BI844" s="100"/>
      <c r="BJ844" s="100"/>
      <c r="BK844" s="12"/>
      <c r="BL844" s="12"/>
    </row>
    <row r="845" spans="1:64" ht="12.75" hidden="1" customHeight="1" outlineLevel="1">
      <c r="A845" s="9"/>
      <c r="B845" s="9"/>
      <c r="C845" s="44"/>
      <c r="D845" s="270">
        <f>Asset20</f>
        <v>0</v>
      </c>
      <c r="E845" s="9"/>
      <c r="F845" s="9"/>
      <c r="G845" s="204">
        <f>'Adjustment for previous period'!G529</f>
        <v>0</v>
      </c>
      <c r="H845" s="111">
        <f t="shared" ref="H845:Q845" si="197">H975+H1007</f>
        <v>0</v>
      </c>
      <c r="I845" s="111">
        <f t="shared" si="197"/>
        <v>0</v>
      </c>
      <c r="J845" s="111">
        <f t="shared" si="197"/>
        <v>0</v>
      </c>
      <c r="K845" s="111">
        <f t="shared" si="197"/>
        <v>0</v>
      </c>
      <c r="L845" s="111">
        <f t="shared" si="197"/>
        <v>0</v>
      </c>
      <c r="M845" s="111">
        <f t="shared" si="197"/>
        <v>0</v>
      </c>
      <c r="N845" s="111">
        <f t="shared" si="197"/>
        <v>0</v>
      </c>
      <c r="O845" s="111">
        <f t="shared" si="197"/>
        <v>0</v>
      </c>
      <c r="P845" s="111">
        <f t="shared" si="197"/>
        <v>0</v>
      </c>
      <c r="Q845" s="111">
        <f t="shared" si="197"/>
        <v>0</v>
      </c>
      <c r="R845" s="29"/>
      <c r="S845" s="100"/>
      <c r="T845" s="100"/>
      <c r="U845" s="100"/>
      <c r="V845" s="100"/>
      <c r="W845" s="100"/>
      <c r="X845" s="100"/>
      <c r="Y845" s="100"/>
      <c r="Z845" s="100"/>
      <c r="AA845" s="228"/>
      <c r="AB845" s="228"/>
      <c r="AC845" s="228"/>
      <c r="AD845" s="228"/>
      <c r="AE845" s="228"/>
      <c r="AF845" s="228"/>
      <c r="AG845" s="228"/>
      <c r="AH845" s="228"/>
      <c r="AI845" s="228"/>
      <c r="AJ845" s="228"/>
      <c r="AK845" s="228"/>
      <c r="AL845" s="228"/>
      <c r="AM845" s="228"/>
      <c r="AN845" s="228"/>
      <c r="AO845" s="228"/>
      <c r="AP845" s="228"/>
      <c r="AQ845" s="228"/>
      <c r="AR845" s="228"/>
      <c r="AS845" s="228"/>
      <c r="AT845" s="228"/>
      <c r="AU845" s="228"/>
      <c r="AV845" s="228"/>
      <c r="AW845" s="228"/>
      <c r="AX845" s="228"/>
      <c r="AY845" s="228"/>
      <c r="AZ845" s="228"/>
      <c r="BA845" s="228"/>
      <c r="BB845" s="228"/>
      <c r="BC845" s="228"/>
      <c r="BD845" s="100"/>
      <c r="BE845" s="100"/>
      <c r="BF845" s="100"/>
      <c r="BG845" s="100"/>
      <c r="BH845" s="100"/>
      <c r="BI845" s="100"/>
      <c r="BJ845" s="100"/>
      <c r="BK845" s="12"/>
      <c r="BL845" s="12"/>
    </row>
    <row r="846" spans="1:64" ht="12.75" hidden="1" customHeight="1" outlineLevel="1">
      <c r="A846" s="9"/>
      <c r="B846" s="9"/>
      <c r="C846" s="44"/>
      <c r="D846" s="270">
        <f>Asset21</f>
        <v>0</v>
      </c>
      <c r="E846" s="9"/>
      <c r="F846" s="9"/>
      <c r="G846" s="204">
        <f>'Adjustment for previous period'!G530</f>
        <v>0</v>
      </c>
      <c r="H846" s="111">
        <f>H976+H1008</f>
        <v>0</v>
      </c>
      <c r="I846" s="111">
        <f t="shared" ref="I846:Q846" si="198">I976+I1008</f>
        <v>0</v>
      </c>
      <c r="J846" s="111">
        <f t="shared" si="198"/>
        <v>0</v>
      </c>
      <c r="K846" s="111">
        <f t="shared" si="198"/>
        <v>0</v>
      </c>
      <c r="L846" s="111">
        <f t="shared" si="198"/>
        <v>0</v>
      </c>
      <c r="M846" s="111">
        <f t="shared" si="198"/>
        <v>0</v>
      </c>
      <c r="N846" s="111">
        <f t="shared" si="198"/>
        <v>0</v>
      </c>
      <c r="O846" s="111">
        <f t="shared" si="198"/>
        <v>0</v>
      </c>
      <c r="P846" s="111">
        <f t="shared" si="198"/>
        <v>0</v>
      </c>
      <c r="Q846" s="111">
        <f t="shared" si="198"/>
        <v>0</v>
      </c>
      <c r="R846" s="29"/>
      <c r="S846" s="100"/>
      <c r="T846" s="100"/>
      <c r="U846" s="100"/>
      <c r="V846" s="100"/>
      <c r="W846" s="100"/>
      <c r="X846" s="100"/>
      <c r="Y846" s="100"/>
      <c r="Z846" s="100"/>
      <c r="AA846" s="228"/>
      <c r="AB846" s="228"/>
      <c r="AC846" s="228"/>
      <c r="AD846" s="228"/>
      <c r="AE846" s="228"/>
      <c r="AF846" s="228"/>
      <c r="AG846" s="228"/>
      <c r="AH846" s="228"/>
      <c r="AI846" s="228"/>
      <c r="AJ846" s="228"/>
      <c r="AK846" s="228"/>
      <c r="AL846" s="228"/>
      <c r="AM846" s="228"/>
      <c r="AN846" s="228"/>
      <c r="AO846" s="228"/>
      <c r="AP846" s="228"/>
      <c r="AQ846" s="228"/>
      <c r="AR846" s="228"/>
      <c r="AS846" s="228"/>
      <c r="AT846" s="228"/>
      <c r="AU846" s="228"/>
      <c r="AV846" s="228"/>
      <c r="AW846" s="228"/>
      <c r="AX846" s="228"/>
      <c r="AY846" s="228"/>
      <c r="AZ846" s="228"/>
      <c r="BA846" s="228"/>
      <c r="BB846" s="228"/>
      <c r="BC846" s="228"/>
      <c r="BD846" s="100"/>
      <c r="BE846" s="100"/>
      <c r="BF846" s="100"/>
      <c r="BG846" s="100"/>
      <c r="BH846" s="100"/>
      <c r="BI846" s="100"/>
      <c r="BJ846" s="100"/>
      <c r="BK846" s="12"/>
      <c r="BL846" s="12"/>
    </row>
    <row r="847" spans="1:64" ht="12.75" hidden="1" customHeight="1" outlineLevel="1">
      <c r="A847" s="9"/>
      <c r="B847" s="9"/>
      <c r="C847" s="44"/>
      <c r="D847" s="270">
        <f>Asset22</f>
        <v>0</v>
      </c>
      <c r="E847" s="9"/>
      <c r="F847" s="9"/>
      <c r="G847" s="204">
        <f>'Adjustment for previous period'!G531</f>
        <v>0</v>
      </c>
      <c r="H847" s="111">
        <f t="shared" ref="H847:Q847" si="199">H977+H1009</f>
        <v>0</v>
      </c>
      <c r="I847" s="111">
        <f t="shared" si="199"/>
        <v>0</v>
      </c>
      <c r="J847" s="111">
        <f t="shared" si="199"/>
        <v>0</v>
      </c>
      <c r="K847" s="111">
        <f t="shared" si="199"/>
        <v>0</v>
      </c>
      <c r="L847" s="111">
        <f t="shared" si="199"/>
        <v>0</v>
      </c>
      <c r="M847" s="111">
        <f t="shared" si="199"/>
        <v>0</v>
      </c>
      <c r="N847" s="111">
        <f t="shared" si="199"/>
        <v>0</v>
      </c>
      <c r="O847" s="111">
        <f t="shared" si="199"/>
        <v>0</v>
      </c>
      <c r="P847" s="111">
        <f t="shared" si="199"/>
        <v>0</v>
      </c>
      <c r="Q847" s="111">
        <f t="shared" si="199"/>
        <v>0</v>
      </c>
      <c r="R847" s="29"/>
      <c r="S847" s="100"/>
      <c r="T847" s="100"/>
      <c r="U847" s="100"/>
      <c r="V847" s="100"/>
      <c r="W847" s="100"/>
      <c r="X847" s="100"/>
      <c r="Y847" s="100"/>
      <c r="Z847" s="100"/>
      <c r="AA847" s="228"/>
      <c r="AB847" s="228"/>
      <c r="AC847" s="228"/>
      <c r="AD847" s="228"/>
      <c r="AE847" s="228"/>
      <c r="AF847" s="228"/>
      <c r="AG847" s="228"/>
      <c r="AH847" s="228"/>
      <c r="AI847" s="228"/>
      <c r="AJ847" s="228"/>
      <c r="AK847" s="228"/>
      <c r="AL847" s="228"/>
      <c r="AM847" s="228"/>
      <c r="AN847" s="228"/>
      <c r="AO847" s="228"/>
      <c r="AP847" s="228"/>
      <c r="AQ847" s="228"/>
      <c r="AR847" s="228"/>
      <c r="AS847" s="228"/>
      <c r="AT847" s="228"/>
      <c r="AU847" s="228"/>
      <c r="AV847" s="228"/>
      <c r="AW847" s="228"/>
      <c r="AX847" s="228"/>
      <c r="AY847" s="228"/>
      <c r="AZ847" s="228"/>
      <c r="BA847" s="228"/>
      <c r="BB847" s="228"/>
      <c r="BC847" s="228"/>
      <c r="BD847" s="100"/>
      <c r="BE847" s="100"/>
      <c r="BF847" s="100"/>
      <c r="BG847" s="100"/>
      <c r="BH847" s="100"/>
      <c r="BI847" s="100"/>
      <c r="BJ847" s="100"/>
      <c r="BK847" s="12"/>
      <c r="BL847" s="12"/>
    </row>
    <row r="848" spans="1:64" ht="12.75" hidden="1" customHeight="1" outlineLevel="1">
      <c r="A848" s="9"/>
      <c r="B848" s="9"/>
      <c r="C848" s="44"/>
      <c r="D848" s="270">
        <f>Asset23</f>
        <v>0</v>
      </c>
      <c r="E848" s="9"/>
      <c r="F848" s="9"/>
      <c r="G848" s="204">
        <f>'Adjustment for previous period'!G532</f>
        <v>0</v>
      </c>
      <c r="H848" s="111">
        <f t="shared" ref="H848:Q848" si="200">H978+H1010</f>
        <v>0</v>
      </c>
      <c r="I848" s="111">
        <f t="shared" si="200"/>
        <v>0</v>
      </c>
      <c r="J848" s="111">
        <f t="shared" si="200"/>
        <v>0</v>
      </c>
      <c r="K848" s="111">
        <f t="shared" si="200"/>
        <v>0</v>
      </c>
      <c r="L848" s="111">
        <f t="shared" si="200"/>
        <v>0</v>
      </c>
      <c r="M848" s="111">
        <f t="shared" si="200"/>
        <v>0</v>
      </c>
      <c r="N848" s="111">
        <f t="shared" si="200"/>
        <v>0</v>
      </c>
      <c r="O848" s="111">
        <f t="shared" si="200"/>
        <v>0</v>
      </c>
      <c r="P848" s="111">
        <f t="shared" si="200"/>
        <v>0</v>
      </c>
      <c r="Q848" s="111">
        <f t="shared" si="200"/>
        <v>0</v>
      </c>
      <c r="R848" s="29"/>
      <c r="S848" s="100"/>
      <c r="T848" s="100"/>
      <c r="U848" s="100"/>
      <c r="V848" s="100"/>
      <c r="W848" s="100"/>
      <c r="X848" s="100"/>
      <c r="Y848" s="100"/>
      <c r="Z848" s="100"/>
      <c r="AA848" s="228"/>
      <c r="AB848" s="228"/>
      <c r="AC848" s="228"/>
      <c r="AD848" s="228"/>
      <c r="AE848" s="228"/>
      <c r="AF848" s="228"/>
      <c r="AG848" s="228"/>
      <c r="AH848" s="228"/>
      <c r="AI848" s="228"/>
      <c r="AJ848" s="228"/>
      <c r="AK848" s="228"/>
      <c r="AL848" s="228"/>
      <c r="AM848" s="228"/>
      <c r="AN848" s="228"/>
      <c r="AO848" s="228"/>
      <c r="AP848" s="228"/>
      <c r="AQ848" s="228"/>
      <c r="AR848" s="228"/>
      <c r="AS848" s="228"/>
      <c r="AT848" s="228"/>
      <c r="AU848" s="228"/>
      <c r="AV848" s="228"/>
      <c r="AW848" s="228"/>
      <c r="AX848" s="228"/>
      <c r="AY848" s="228"/>
      <c r="AZ848" s="228"/>
      <c r="BA848" s="228"/>
      <c r="BB848" s="228"/>
      <c r="BC848" s="228"/>
      <c r="BD848" s="100"/>
      <c r="BE848" s="100"/>
      <c r="BF848" s="100"/>
      <c r="BG848" s="100"/>
      <c r="BH848" s="100"/>
      <c r="BI848" s="100"/>
      <c r="BJ848" s="100"/>
      <c r="BK848" s="12"/>
      <c r="BL848" s="12"/>
    </row>
    <row r="849" spans="1:64" ht="12.75" hidden="1" customHeight="1" outlineLevel="1">
      <c r="A849" s="9"/>
      <c r="B849" s="9"/>
      <c r="C849" s="44"/>
      <c r="D849" s="270">
        <f>Asset24</f>
        <v>0</v>
      </c>
      <c r="E849" s="9"/>
      <c r="F849" s="9"/>
      <c r="G849" s="204">
        <f>'Adjustment for previous period'!G533</f>
        <v>0</v>
      </c>
      <c r="H849" s="111">
        <f t="shared" ref="H849:Q849" si="201">H979+H1011</f>
        <v>0</v>
      </c>
      <c r="I849" s="111">
        <f t="shared" si="201"/>
        <v>0</v>
      </c>
      <c r="J849" s="111">
        <f t="shared" si="201"/>
        <v>0</v>
      </c>
      <c r="K849" s="111">
        <f t="shared" si="201"/>
        <v>0</v>
      </c>
      <c r="L849" s="111">
        <f t="shared" si="201"/>
        <v>0</v>
      </c>
      <c r="M849" s="111">
        <f t="shared" si="201"/>
        <v>0</v>
      </c>
      <c r="N849" s="111">
        <f t="shared" si="201"/>
        <v>0</v>
      </c>
      <c r="O849" s="111">
        <f t="shared" si="201"/>
        <v>0</v>
      </c>
      <c r="P849" s="111">
        <f t="shared" si="201"/>
        <v>0</v>
      </c>
      <c r="Q849" s="111">
        <f t="shared" si="201"/>
        <v>0</v>
      </c>
      <c r="R849" s="29"/>
      <c r="S849" s="100"/>
      <c r="T849" s="100"/>
      <c r="U849" s="100"/>
      <c r="V849" s="100"/>
      <c r="W849" s="100"/>
      <c r="X849" s="100"/>
      <c r="Y849" s="100"/>
      <c r="Z849" s="100"/>
      <c r="AA849" s="228"/>
      <c r="AB849" s="228"/>
      <c r="AC849" s="228"/>
      <c r="AD849" s="228"/>
      <c r="AE849" s="228"/>
      <c r="AF849" s="228"/>
      <c r="AG849" s="228"/>
      <c r="AH849" s="228"/>
      <c r="AI849" s="228"/>
      <c r="AJ849" s="228"/>
      <c r="AK849" s="228"/>
      <c r="AL849" s="228"/>
      <c r="AM849" s="228"/>
      <c r="AN849" s="228"/>
      <c r="AO849" s="228"/>
      <c r="AP849" s="228"/>
      <c r="AQ849" s="228"/>
      <c r="AR849" s="228"/>
      <c r="AS849" s="228"/>
      <c r="AT849" s="228"/>
      <c r="AU849" s="228"/>
      <c r="AV849" s="228"/>
      <c r="AW849" s="228"/>
      <c r="AX849" s="228"/>
      <c r="AY849" s="228"/>
      <c r="AZ849" s="228"/>
      <c r="BA849" s="228"/>
      <c r="BB849" s="228"/>
      <c r="BC849" s="228"/>
      <c r="BD849" s="100"/>
      <c r="BE849" s="100"/>
      <c r="BF849" s="100"/>
      <c r="BG849" s="100"/>
      <c r="BH849" s="100"/>
      <c r="BI849" s="100"/>
      <c r="BJ849" s="100"/>
      <c r="BK849" s="12"/>
      <c r="BL849" s="12"/>
    </row>
    <row r="850" spans="1:64" ht="12.75" hidden="1" customHeight="1" outlineLevel="1">
      <c r="A850" s="9"/>
      <c r="B850" s="9"/>
      <c r="C850" s="44"/>
      <c r="D850" s="270">
        <f>Asset25</f>
        <v>0</v>
      </c>
      <c r="E850" s="9"/>
      <c r="F850" s="9"/>
      <c r="G850" s="204">
        <f>'Adjustment for previous period'!G534</f>
        <v>0</v>
      </c>
      <c r="H850" s="111">
        <f t="shared" ref="H850:Q850" si="202">H980+H1012</f>
        <v>0</v>
      </c>
      <c r="I850" s="111">
        <f t="shared" si="202"/>
        <v>0</v>
      </c>
      <c r="J850" s="111">
        <f t="shared" si="202"/>
        <v>0</v>
      </c>
      <c r="K850" s="111">
        <f t="shared" si="202"/>
        <v>0</v>
      </c>
      <c r="L850" s="111">
        <f t="shared" si="202"/>
        <v>0</v>
      </c>
      <c r="M850" s="111">
        <f t="shared" si="202"/>
        <v>0</v>
      </c>
      <c r="N850" s="111">
        <f t="shared" si="202"/>
        <v>0</v>
      </c>
      <c r="O850" s="111">
        <f t="shared" si="202"/>
        <v>0</v>
      </c>
      <c r="P850" s="111">
        <f t="shared" si="202"/>
        <v>0</v>
      </c>
      <c r="Q850" s="111">
        <f t="shared" si="202"/>
        <v>0</v>
      </c>
      <c r="R850" s="29"/>
      <c r="S850" s="100"/>
      <c r="T850" s="100"/>
      <c r="U850" s="100"/>
      <c r="V850" s="100"/>
      <c r="W850" s="100"/>
      <c r="X850" s="100"/>
      <c r="Y850" s="100"/>
      <c r="Z850" s="100"/>
      <c r="AA850" s="228"/>
      <c r="AB850" s="228"/>
      <c r="AC850" s="228"/>
      <c r="AD850" s="228"/>
      <c r="AE850" s="228"/>
      <c r="AF850" s="228"/>
      <c r="AG850" s="228"/>
      <c r="AH850" s="228"/>
      <c r="AI850" s="228"/>
      <c r="AJ850" s="228"/>
      <c r="AK850" s="228"/>
      <c r="AL850" s="228"/>
      <c r="AM850" s="228"/>
      <c r="AN850" s="228"/>
      <c r="AO850" s="228"/>
      <c r="AP850" s="228"/>
      <c r="AQ850" s="228"/>
      <c r="AR850" s="228"/>
      <c r="AS850" s="228"/>
      <c r="AT850" s="228"/>
      <c r="AU850" s="228"/>
      <c r="AV850" s="228"/>
      <c r="AW850" s="228"/>
      <c r="AX850" s="228"/>
      <c r="AY850" s="228"/>
      <c r="AZ850" s="228"/>
      <c r="BA850" s="228"/>
      <c r="BB850" s="228"/>
      <c r="BC850" s="228"/>
      <c r="BD850" s="100"/>
      <c r="BE850" s="100"/>
      <c r="BF850" s="100"/>
      <c r="BG850" s="100"/>
      <c r="BH850" s="100"/>
      <c r="BI850" s="100"/>
      <c r="BJ850" s="100"/>
      <c r="BK850" s="12"/>
      <c r="BL850" s="12"/>
    </row>
    <row r="851" spans="1:64" ht="12.75" hidden="1" customHeight="1" outlineLevel="1">
      <c r="A851" s="9"/>
      <c r="B851" s="9"/>
      <c r="C851" s="44"/>
      <c r="D851" s="270">
        <f>Asset26</f>
        <v>0</v>
      </c>
      <c r="E851" s="9"/>
      <c r="F851" s="9"/>
      <c r="G851" s="204">
        <f>'Adjustment for previous period'!G535</f>
        <v>0</v>
      </c>
      <c r="H851" s="111">
        <f t="shared" ref="H851:Q851" si="203">H981+H1013</f>
        <v>0</v>
      </c>
      <c r="I851" s="111">
        <f t="shared" si="203"/>
        <v>0</v>
      </c>
      <c r="J851" s="111">
        <f t="shared" si="203"/>
        <v>0</v>
      </c>
      <c r="K851" s="111">
        <f t="shared" si="203"/>
        <v>0</v>
      </c>
      <c r="L851" s="111">
        <f t="shared" si="203"/>
        <v>0</v>
      </c>
      <c r="M851" s="111">
        <f t="shared" si="203"/>
        <v>0</v>
      </c>
      <c r="N851" s="111">
        <f t="shared" si="203"/>
        <v>0</v>
      </c>
      <c r="O851" s="111">
        <f t="shared" si="203"/>
        <v>0</v>
      </c>
      <c r="P851" s="111">
        <f t="shared" si="203"/>
        <v>0</v>
      </c>
      <c r="Q851" s="111">
        <f t="shared" si="203"/>
        <v>0</v>
      </c>
      <c r="R851" s="29"/>
      <c r="S851" s="100"/>
      <c r="T851" s="100"/>
      <c r="U851" s="100"/>
      <c r="V851" s="100"/>
      <c r="W851" s="100"/>
      <c r="X851" s="100"/>
      <c r="Y851" s="100"/>
      <c r="Z851" s="100"/>
      <c r="AA851" s="228"/>
      <c r="AB851" s="228"/>
      <c r="AC851" s="228"/>
      <c r="AD851" s="228"/>
      <c r="AE851" s="228"/>
      <c r="AF851" s="228"/>
      <c r="AG851" s="228"/>
      <c r="AH851" s="228"/>
      <c r="AI851" s="228"/>
      <c r="AJ851" s="228"/>
      <c r="AK851" s="228"/>
      <c r="AL851" s="228"/>
      <c r="AM851" s="228"/>
      <c r="AN851" s="228"/>
      <c r="AO851" s="228"/>
      <c r="AP851" s="228"/>
      <c r="AQ851" s="228"/>
      <c r="AR851" s="228"/>
      <c r="AS851" s="228"/>
      <c r="AT851" s="228"/>
      <c r="AU851" s="228"/>
      <c r="AV851" s="228"/>
      <c r="AW851" s="228"/>
      <c r="AX851" s="228"/>
      <c r="AY851" s="228"/>
      <c r="AZ851" s="228"/>
      <c r="BA851" s="228"/>
      <c r="BB851" s="228"/>
      <c r="BC851" s="228"/>
      <c r="BD851" s="100"/>
      <c r="BE851" s="100"/>
      <c r="BF851" s="100"/>
      <c r="BG851" s="100"/>
      <c r="BH851" s="100"/>
      <c r="BI851" s="100"/>
      <c r="BJ851" s="100"/>
      <c r="BK851" s="12"/>
      <c r="BL851" s="12"/>
    </row>
    <row r="852" spans="1:64" ht="12.75" hidden="1" customHeight="1" outlineLevel="1">
      <c r="A852" s="9"/>
      <c r="B852" s="9"/>
      <c r="C852" s="44"/>
      <c r="D852" s="270">
        <f>Asset27</f>
        <v>0</v>
      </c>
      <c r="E852" s="9"/>
      <c r="F852" s="9"/>
      <c r="G852" s="204">
        <f>'Adjustment for previous period'!G536</f>
        <v>0</v>
      </c>
      <c r="H852" s="111">
        <f t="shared" ref="H852:Q852" si="204">H982+H1014</f>
        <v>0</v>
      </c>
      <c r="I852" s="111">
        <f t="shared" si="204"/>
        <v>0</v>
      </c>
      <c r="J852" s="111">
        <f t="shared" si="204"/>
        <v>0</v>
      </c>
      <c r="K852" s="111">
        <f t="shared" si="204"/>
        <v>0</v>
      </c>
      <c r="L852" s="111">
        <f t="shared" si="204"/>
        <v>0</v>
      </c>
      <c r="M852" s="111">
        <f t="shared" si="204"/>
        <v>0</v>
      </c>
      <c r="N852" s="111">
        <f t="shared" si="204"/>
        <v>0</v>
      </c>
      <c r="O852" s="111">
        <f t="shared" si="204"/>
        <v>0</v>
      </c>
      <c r="P852" s="111">
        <f t="shared" si="204"/>
        <v>0</v>
      </c>
      <c r="Q852" s="111">
        <f t="shared" si="204"/>
        <v>0</v>
      </c>
      <c r="R852" s="29"/>
      <c r="S852" s="100"/>
      <c r="T852" s="100"/>
      <c r="U852" s="100"/>
      <c r="V852" s="100"/>
      <c r="W852" s="100"/>
      <c r="X852" s="100"/>
      <c r="Y852" s="100"/>
      <c r="Z852" s="100"/>
      <c r="AA852" s="228"/>
      <c r="AB852" s="228"/>
      <c r="AC852" s="228"/>
      <c r="AD852" s="228"/>
      <c r="AE852" s="228"/>
      <c r="AF852" s="228"/>
      <c r="AG852" s="228"/>
      <c r="AH852" s="228"/>
      <c r="AI852" s="228"/>
      <c r="AJ852" s="228"/>
      <c r="AK852" s="228"/>
      <c r="AL852" s="228"/>
      <c r="AM852" s="228"/>
      <c r="AN852" s="228"/>
      <c r="AO852" s="228"/>
      <c r="AP852" s="228"/>
      <c r="AQ852" s="228"/>
      <c r="AR852" s="228"/>
      <c r="AS852" s="228"/>
      <c r="AT852" s="228"/>
      <c r="AU852" s="228"/>
      <c r="AV852" s="228"/>
      <c r="AW852" s="228"/>
      <c r="AX852" s="228"/>
      <c r="AY852" s="228"/>
      <c r="AZ852" s="228"/>
      <c r="BA852" s="228"/>
      <c r="BB852" s="228"/>
      <c r="BC852" s="228"/>
      <c r="BD852" s="100"/>
      <c r="BE852" s="100"/>
      <c r="BF852" s="100"/>
      <c r="BG852" s="100"/>
      <c r="BH852" s="100"/>
      <c r="BI852" s="100"/>
      <c r="BJ852" s="100"/>
      <c r="BK852" s="12"/>
      <c r="BL852" s="12"/>
    </row>
    <row r="853" spans="1:64" ht="12.75" hidden="1" customHeight="1" outlineLevel="1">
      <c r="A853" s="9"/>
      <c r="B853" s="9"/>
      <c r="C853" s="44"/>
      <c r="D853" s="270">
        <f>Asset28</f>
        <v>0</v>
      </c>
      <c r="E853" s="9"/>
      <c r="F853" s="9"/>
      <c r="G853" s="204">
        <f>'Adjustment for previous period'!G537</f>
        <v>0</v>
      </c>
      <c r="H853" s="111">
        <f t="shared" ref="H853:Q853" si="205">H983+H1015</f>
        <v>0</v>
      </c>
      <c r="I853" s="111">
        <f t="shared" si="205"/>
        <v>0</v>
      </c>
      <c r="J853" s="111">
        <f t="shared" si="205"/>
        <v>0</v>
      </c>
      <c r="K853" s="111">
        <f t="shared" si="205"/>
        <v>0</v>
      </c>
      <c r="L853" s="111">
        <f t="shared" si="205"/>
        <v>0</v>
      </c>
      <c r="M853" s="111">
        <f t="shared" si="205"/>
        <v>0</v>
      </c>
      <c r="N853" s="111">
        <f t="shared" si="205"/>
        <v>0</v>
      </c>
      <c r="O853" s="111">
        <f t="shared" si="205"/>
        <v>0</v>
      </c>
      <c r="P853" s="111">
        <f t="shared" si="205"/>
        <v>0</v>
      </c>
      <c r="Q853" s="111">
        <f t="shared" si="205"/>
        <v>0</v>
      </c>
      <c r="R853" s="29"/>
      <c r="S853" s="100"/>
      <c r="T853" s="100"/>
      <c r="U853" s="100"/>
      <c r="V853" s="100"/>
      <c r="W853" s="100"/>
      <c r="X853" s="100"/>
      <c r="Y853" s="100"/>
      <c r="Z853" s="100"/>
      <c r="AA853" s="228"/>
      <c r="AB853" s="228"/>
      <c r="AC853" s="228"/>
      <c r="AD853" s="228"/>
      <c r="AE853" s="228"/>
      <c r="AF853" s="228"/>
      <c r="AG853" s="228"/>
      <c r="AH853" s="228"/>
      <c r="AI853" s="228"/>
      <c r="AJ853" s="228"/>
      <c r="AK853" s="228"/>
      <c r="AL853" s="228"/>
      <c r="AM853" s="228"/>
      <c r="AN853" s="228"/>
      <c r="AO853" s="228"/>
      <c r="AP853" s="228"/>
      <c r="AQ853" s="228"/>
      <c r="AR853" s="228"/>
      <c r="AS853" s="228"/>
      <c r="AT853" s="228"/>
      <c r="AU853" s="228"/>
      <c r="AV853" s="228"/>
      <c r="AW853" s="228"/>
      <c r="AX853" s="228"/>
      <c r="AY853" s="228"/>
      <c r="AZ853" s="228"/>
      <c r="BA853" s="228"/>
      <c r="BB853" s="228"/>
      <c r="BC853" s="228"/>
      <c r="BD853" s="100"/>
      <c r="BE853" s="100"/>
      <c r="BF853" s="100"/>
      <c r="BG853" s="100"/>
      <c r="BH853" s="100"/>
      <c r="BI853" s="100"/>
      <c r="BJ853" s="100"/>
      <c r="BK853" s="12"/>
      <c r="BL853" s="12"/>
    </row>
    <row r="854" spans="1:64" ht="12.75" hidden="1" customHeight="1" outlineLevel="1">
      <c r="A854" s="9"/>
      <c r="B854" s="9"/>
      <c r="C854" s="44"/>
      <c r="D854" s="270">
        <f>Asset29</f>
        <v>0</v>
      </c>
      <c r="E854" s="9"/>
      <c r="F854" s="9"/>
      <c r="G854" s="204">
        <f>'Adjustment for previous period'!G538</f>
        <v>0</v>
      </c>
      <c r="H854" s="111">
        <f t="shared" ref="H854:Q854" si="206">H984+H1016</f>
        <v>0</v>
      </c>
      <c r="I854" s="111">
        <f t="shared" si="206"/>
        <v>0</v>
      </c>
      <c r="J854" s="111">
        <f t="shared" si="206"/>
        <v>0</v>
      </c>
      <c r="K854" s="111">
        <f t="shared" si="206"/>
        <v>0</v>
      </c>
      <c r="L854" s="111">
        <f t="shared" si="206"/>
        <v>0</v>
      </c>
      <c r="M854" s="111">
        <f t="shared" si="206"/>
        <v>0</v>
      </c>
      <c r="N854" s="111">
        <f t="shared" si="206"/>
        <v>0</v>
      </c>
      <c r="O854" s="111">
        <f t="shared" si="206"/>
        <v>0</v>
      </c>
      <c r="P854" s="111">
        <f t="shared" si="206"/>
        <v>0</v>
      </c>
      <c r="Q854" s="111">
        <f t="shared" si="206"/>
        <v>0</v>
      </c>
      <c r="R854" s="29"/>
      <c r="S854" s="100"/>
      <c r="T854" s="100"/>
      <c r="U854" s="100"/>
      <c r="V854" s="100"/>
      <c r="W854" s="100"/>
      <c r="X854" s="100"/>
      <c r="Y854" s="100"/>
      <c r="Z854" s="100"/>
      <c r="AA854" s="228"/>
      <c r="AB854" s="228"/>
      <c r="AC854" s="228"/>
      <c r="AD854" s="228"/>
      <c r="AE854" s="228"/>
      <c r="AF854" s="228"/>
      <c r="AG854" s="228"/>
      <c r="AH854" s="228"/>
      <c r="AI854" s="228"/>
      <c r="AJ854" s="228"/>
      <c r="AK854" s="228"/>
      <c r="AL854" s="228"/>
      <c r="AM854" s="228"/>
      <c r="AN854" s="228"/>
      <c r="AO854" s="228"/>
      <c r="AP854" s="228"/>
      <c r="AQ854" s="228"/>
      <c r="AR854" s="228"/>
      <c r="AS854" s="228"/>
      <c r="AT854" s="228"/>
      <c r="AU854" s="228"/>
      <c r="AV854" s="228"/>
      <c r="AW854" s="228"/>
      <c r="AX854" s="228"/>
      <c r="AY854" s="228"/>
      <c r="AZ854" s="228"/>
      <c r="BA854" s="228"/>
      <c r="BB854" s="228"/>
      <c r="BC854" s="228"/>
      <c r="BD854" s="100"/>
      <c r="BE854" s="100"/>
      <c r="BF854" s="100"/>
      <c r="BG854" s="100"/>
      <c r="BH854" s="100"/>
      <c r="BI854" s="100"/>
      <c r="BJ854" s="100"/>
      <c r="BK854" s="12"/>
      <c r="BL854" s="12"/>
    </row>
    <row r="855" spans="1:64" ht="12.75" hidden="1" customHeight="1" outlineLevel="1">
      <c r="A855" s="9"/>
      <c r="B855" s="9"/>
      <c r="C855" s="44"/>
      <c r="D855" s="270">
        <f>Asset30</f>
        <v>0</v>
      </c>
      <c r="E855" s="9"/>
      <c r="F855" s="9"/>
      <c r="G855" s="204">
        <f>'Adjustment for previous period'!G539</f>
        <v>0</v>
      </c>
      <c r="H855" s="111">
        <f>H985+H1017</f>
        <v>0</v>
      </c>
      <c r="I855" s="111">
        <f t="shared" ref="I855:P855" si="207">I985+I1017</f>
        <v>0</v>
      </c>
      <c r="J855" s="111">
        <f t="shared" si="207"/>
        <v>0</v>
      </c>
      <c r="K855" s="111">
        <f t="shared" si="207"/>
        <v>0</v>
      </c>
      <c r="L855" s="111">
        <f t="shared" si="207"/>
        <v>0</v>
      </c>
      <c r="M855" s="111">
        <f t="shared" si="207"/>
        <v>0</v>
      </c>
      <c r="N855" s="111">
        <f t="shared" si="207"/>
        <v>0</v>
      </c>
      <c r="O855" s="111">
        <f t="shared" si="207"/>
        <v>0</v>
      </c>
      <c r="P855" s="111">
        <f t="shared" si="207"/>
        <v>0</v>
      </c>
      <c r="Q855" s="111">
        <f>Q985+Q1017</f>
        <v>0</v>
      </c>
      <c r="R855" s="29"/>
      <c r="S855" s="100"/>
      <c r="T855" s="100"/>
      <c r="U855" s="100"/>
      <c r="V855" s="100"/>
      <c r="W855" s="100"/>
      <c r="X855" s="100"/>
      <c r="Y855" s="100"/>
      <c r="Z855" s="100"/>
      <c r="AA855" s="228"/>
      <c r="AB855" s="228"/>
      <c r="AC855" s="228"/>
      <c r="AD855" s="228"/>
      <c r="AE855" s="228"/>
      <c r="AF855" s="228"/>
      <c r="AG855" s="228"/>
      <c r="AH855" s="228"/>
      <c r="AI855" s="228"/>
      <c r="AJ855" s="228"/>
      <c r="AK855" s="228"/>
      <c r="AL855" s="228"/>
      <c r="AM855" s="228"/>
      <c r="AN855" s="228"/>
      <c r="AO855" s="228"/>
      <c r="AP855" s="228"/>
      <c r="AQ855" s="228"/>
      <c r="AR855" s="228"/>
      <c r="AS855" s="228"/>
      <c r="AT855" s="228"/>
      <c r="AU855" s="228"/>
      <c r="AV855" s="228"/>
      <c r="AW855" s="228"/>
      <c r="AX855" s="228"/>
      <c r="AY855" s="228"/>
      <c r="AZ855" s="228"/>
      <c r="BA855" s="228"/>
      <c r="BB855" s="228"/>
      <c r="BC855" s="228"/>
      <c r="BD855" s="100"/>
      <c r="BE855" s="100"/>
      <c r="BF855" s="100"/>
      <c r="BG855" s="100"/>
      <c r="BH855" s="100"/>
      <c r="BI855" s="100"/>
      <c r="BJ855" s="100"/>
      <c r="BK855" s="12"/>
      <c r="BL855" s="12"/>
    </row>
    <row r="856" spans="1:64" collapsed="1">
      <c r="A856" s="9"/>
      <c r="B856" s="9"/>
      <c r="C856" s="44"/>
      <c r="D856" s="127"/>
      <c r="E856" s="9"/>
      <c r="F856" s="9"/>
      <c r="G856" s="281"/>
      <c r="H856" s="111"/>
      <c r="I856" s="111"/>
      <c r="J856" s="111"/>
      <c r="K856" s="111"/>
      <c r="L856" s="111"/>
      <c r="M856" s="111"/>
      <c r="N856" s="29"/>
      <c r="O856" s="29"/>
      <c r="P856" s="29"/>
      <c r="Q856" s="29"/>
      <c r="R856" s="29"/>
      <c r="S856" s="100"/>
      <c r="T856" s="100"/>
      <c r="U856" s="100"/>
      <c r="V856" s="100"/>
      <c r="W856" s="100"/>
      <c r="X856" s="100"/>
      <c r="Y856" s="100"/>
      <c r="Z856" s="100"/>
      <c r="AA856" s="228"/>
      <c r="AB856" s="228"/>
      <c r="AC856" s="228"/>
      <c r="AD856" s="228"/>
      <c r="AE856" s="228"/>
      <c r="AF856" s="228"/>
      <c r="AG856" s="228"/>
      <c r="AH856" s="228"/>
      <c r="AI856" s="228"/>
      <c r="AJ856" s="228"/>
      <c r="AK856" s="228"/>
      <c r="AL856" s="228"/>
      <c r="AM856" s="228"/>
      <c r="AN856" s="228"/>
      <c r="AO856" s="228"/>
      <c r="AP856" s="228"/>
      <c r="AQ856" s="228"/>
      <c r="AR856" s="228"/>
      <c r="AS856" s="228"/>
      <c r="AT856" s="228"/>
      <c r="AU856" s="228"/>
      <c r="AV856" s="228"/>
      <c r="AW856" s="228"/>
      <c r="AX856" s="228"/>
      <c r="AY856" s="228"/>
      <c r="AZ856" s="228"/>
      <c r="BA856" s="228"/>
      <c r="BB856" s="228"/>
      <c r="BC856" s="228"/>
      <c r="BD856" s="100"/>
      <c r="BE856" s="100"/>
      <c r="BF856" s="100"/>
      <c r="BG856" s="100"/>
      <c r="BH856" s="100"/>
      <c r="BI856" s="100"/>
      <c r="BJ856" s="100"/>
      <c r="BK856" s="12"/>
      <c r="BL856" s="12"/>
    </row>
    <row r="857" spans="1:64">
      <c r="A857" s="9"/>
      <c r="B857" s="9"/>
      <c r="C857" s="44" t="s">
        <v>49</v>
      </c>
      <c r="D857" s="113"/>
      <c r="E857" s="9"/>
      <c r="F857" s="9"/>
      <c r="G857" s="312">
        <f>SUM(G858:G887)</f>
        <v>81.395520835936082</v>
      </c>
      <c r="H857" s="35"/>
      <c r="I857" s="35"/>
      <c r="J857" s="35"/>
      <c r="K857" s="35"/>
      <c r="L857" s="35"/>
      <c r="M857" s="35"/>
      <c r="N857" s="29"/>
      <c r="O857" s="29"/>
      <c r="P857" s="29"/>
      <c r="Q857" s="29"/>
      <c r="R857" s="29"/>
      <c r="S857" s="100"/>
      <c r="T857" s="100"/>
      <c r="U857" s="100"/>
      <c r="V857" s="100"/>
      <c r="W857" s="100"/>
      <c r="X857" s="100"/>
      <c r="Y857" s="100"/>
      <c r="Z857" s="100"/>
      <c r="AA857" s="228"/>
      <c r="AB857" s="228"/>
      <c r="AC857" s="228"/>
      <c r="AD857" s="228"/>
      <c r="AE857" s="228"/>
      <c r="AF857" s="228"/>
      <c r="AG857" s="228"/>
      <c r="AH857" s="228"/>
      <c r="AI857" s="228"/>
      <c r="AJ857" s="228"/>
      <c r="AK857" s="228"/>
      <c r="AL857" s="228"/>
      <c r="AM857" s="228"/>
      <c r="AN857" s="228"/>
      <c r="AO857" s="228"/>
      <c r="AP857" s="228"/>
      <c r="AQ857" s="228"/>
      <c r="AR857" s="228"/>
      <c r="AS857" s="228"/>
      <c r="AT857" s="228"/>
      <c r="AU857" s="228"/>
      <c r="AV857" s="228"/>
      <c r="AW857" s="228"/>
      <c r="AX857" s="228"/>
      <c r="AY857" s="228"/>
      <c r="AZ857" s="228"/>
      <c r="BA857" s="228"/>
      <c r="BB857" s="228"/>
      <c r="BC857" s="228"/>
      <c r="BD857" s="100"/>
      <c r="BE857" s="100"/>
      <c r="BF857" s="100"/>
      <c r="BG857" s="100"/>
      <c r="BH857" s="100"/>
      <c r="BI857" s="100"/>
      <c r="BJ857" s="100"/>
      <c r="BK857" s="12"/>
      <c r="BL857" s="12"/>
    </row>
    <row r="858" spans="1:64" hidden="1" outlineLevel="1">
      <c r="A858" s="9"/>
      <c r="B858" s="9"/>
      <c r="C858" s="9"/>
      <c r="D858" s="270" t="str">
        <f>Asset1</f>
        <v>Secondary</v>
      </c>
      <c r="E858" s="9"/>
      <c r="F858" s="9"/>
      <c r="G858" s="204">
        <f>'Adjustment for previous period'!G542</f>
        <v>-4.1510932628817514</v>
      </c>
      <c r="H858" s="35"/>
      <c r="I858" s="35"/>
      <c r="J858" s="35"/>
      <c r="K858" s="35"/>
      <c r="L858" s="35"/>
      <c r="M858" s="35"/>
      <c r="N858" s="29"/>
      <c r="O858" s="29"/>
      <c r="P858" s="29"/>
      <c r="Q858" s="29"/>
      <c r="R858" s="29"/>
      <c r="S858" s="100"/>
      <c r="T858" s="100"/>
      <c r="U858" s="100"/>
      <c r="V858" s="100"/>
      <c r="W858" s="100"/>
      <c r="X858" s="100"/>
      <c r="Y858" s="100"/>
      <c r="Z858" s="100"/>
      <c r="AA858" s="228"/>
      <c r="AB858" s="228"/>
      <c r="AC858" s="228"/>
      <c r="AD858" s="228"/>
      <c r="AE858" s="228"/>
      <c r="AF858" s="228"/>
      <c r="AG858" s="228"/>
      <c r="AH858" s="228"/>
      <c r="AI858" s="228"/>
      <c r="AJ858" s="228"/>
      <c r="AK858" s="228"/>
      <c r="AL858" s="228"/>
      <c r="AM858" s="228"/>
      <c r="AN858" s="228"/>
      <c r="AO858" s="228"/>
      <c r="AP858" s="228"/>
      <c r="AQ858" s="228"/>
      <c r="AR858" s="228"/>
      <c r="AS858" s="228"/>
      <c r="AT858" s="228"/>
      <c r="AU858" s="228"/>
      <c r="AV858" s="228"/>
      <c r="AW858" s="228"/>
      <c r="AX858" s="228"/>
      <c r="AY858" s="228"/>
      <c r="AZ858" s="228"/>
      <c r="BA858" s="228"/>
      <c r="BB858" s="228"/>
      <c r="BC858" s="228"/>
      <c r="BD858" s="100"/>
      <c r="BE858" s="100"/>
      <c r="BF858" s="100"/>
      <c r="BG858" s="100"/>
      <c r="BH858" s="100"/>
      <c r="BI858" s="100"/>
      <c r="BJ858" s="100"/>
      <c r="BK858" s="12"/>
      <c r="BL858" s="12"/>
    </row>
    <row r="859" spans="1:64" hidden="1" outlineLevel="1">
      <c r="A859" s="9"/>
      <c r="B859" s="9"/>
      <c r="C859" s="44"/>
      <c r="D859" s="270" t="str">
        <f>Asset2</f>
        <v>Switchgear</v>
      </c>
      <c r="E859" s="9"/>
      <c r="F859" s="9"/>
      <c r="G859" s="204">
        <f>'Adjustment for previous period'!G543</f>
        <v>13.423609217639783</v>
      </c>
      <c r="H859" s="35"/>
      <c r="I859" s="35"/>
      <c r="J859" s="35"/>
      <c r="K859" s="35"/>
      <c r="L859" s="35"/>
      <c r="M859" s="35"/>
      <c r="N859" s="29"/>
      <c r="O859" s="29"/>
      <c r="P859" s="29"/>
      <c r="Q859" s="29"/>
      <c r="R859" s="29"/>
      <c r="S859" s="100"/>
      <c r="T859" s="100"/>
      <c r="U859" s="100"/>
      <c r="V859" s="100"/>
      <c r="W859" s="100"/>
      <c r="X859" s="100"/>
      <c r="Y859" s="100"/>
      <c r="Z859" s="100"/>
      <c r="AA859" s="228"/>
      <c r="AB859" s="228"/>
      <c r="AC859" s="228"/>
      <c r="AD859" s="228"/>
      <c r="AE859" s="228"/>
      <c r="AF859" s="228"/>
      <c r="AG859" s="228"/>
      <c r="AH859" s="228"/>
      <c r="AI859" s="228"/>
      <c r="AJ859" s="228"/>
      <c r="AK859" s="228"/>
      <c r="AL859" s="228"/>
      <c r="AM859" s="228"/>
      <c r="AN859" s="228"/>
      <c r="AO859" s="228"/>
      <c r="AP859" s="228"/>
      <c r="AQ859" s="228"/>
      <c r="AR859" s="228"/>
      <c r="AS859" s="228"/>
      <c r="AT859" s="228"/>
      <c r="AU859" s="228"/>
      <c r="AV859" s="228"/>
      <c r="AW859" s="228"/>
      <c r="AX859" s="228"/>
      <c r="AY859" s="228"/>
      <c r="AZ859" s="228"/>
      <c r="BA859" s="228"/>
      <c r="BB859" s="228"/>
      <c r="BC859" s="228"/>
      <c r="BD859" s="100"/>
      <c r="BE859" s="100"/>
      <c r="BF859" s="100"/>
      <c r="BG859" s="100"/>
      <c r="BH859" s="100"/>
      <c r="BI859" s="100"/>
      <c r="BJ859" s="100"/>
      <c r="BK859" s="12"/>
      <c r="BL859" s="12"/>
    </row>
    <row r="860" spans="1:64" hidden="1" outlineLevel="1">
      <c r="A860" s="9"/>
      <c r="B860" s="9"/>
      <c r="C860" s="44"/>
      <c r="D860" s="270" t="str">
        <f>Asset3</f>
        <v>Transformers</v>
      </c>
      <c r="E860" s="9"/>
      <c r="F860" s="9"/>
      <c r="G860" s="204">
        <f>'Adjustment for previous period'!G544</f>
        <v>4.4844492725845431</v>
      </c>
      <c r="H860" s="35"/>
      <c r="I860" s="35"/>
      <c r="J860" s="35"/>
      <c r="K860" s="35"/>
      <c r="L860" s="35"/>
      <c r="M860" s="35"/>
      <c r="N860" s="29"/>
      <c r="O860" s="29"/>
      <c r="P860" s="29"/>
      <c r="Q860" s="29"/>
      <c r="R860" s="29"/>
      <c r="S860" s="100"/>
      <c r="T860" s="100"/>
      <c r="U860" s="100"/>
      <c r="V860" s="100"/>
      <c r="W860" s="100"/>
      <c r="X860" s="100"/>
      <c r="Y860" s="100"/>
      <c r="Z860" s="100"/>
      <c r="AA860" s="228"/>
      <c r="AB860" s="228"/>
      <c r="AC860" s="228"/>
      <c r="AD860" s="228"/>
      <c r="AE860" s="228"/>
      <c r="AF860" s="228"/>
      <c r="AG860" s="228"/>
      <c r="AH860" s="228"/>
      <c r="AI860" s="228"/>
      <c r="AJ860" s="228"/>
      <c r="AK860" s="228"/>
      <c r="AL860" s="228"/>
      <c r="AM860" s="228"/>
      <c r="AN860" s="228"/>
      <c r="AO860" s="228"/>
      <c r="AP860" s="228"/>
      <c r="AQ860" s="228"/>
      <c r="AR860" s="228"/>
      <c r="AS860" s="228"/>
      <c r="AT860" s="228"/>
      <c r="AU860" s="228"/>
      <c r="AV860" s="228"/>
      <c r="AW860" s="228"/>
      <c r="AX860" s="228"/>
      <c r="AY860" s="228"/>
      <c r="AZ860" s="228"/>
      <c r="BA860" s="228"/>
      <c r="BB860" s="228"/>
      <c r="BC860" s="228"/>
      <c r="BD860" s="100"/>
      <c r="BE860" s="100"/>
      <c r="BF860" s="100"/>
      <c r="BG860" s="100"/>
      <c r="BH860" s="100"/>
      <c r="BI860" s="100"/>
      <c r="BJ860" s="100"/>
      <c r="BK860" s="12"/>
      <c r="BL860" s="12"/>
    </row>
    <row r="861" spans="1:64" hidden="1" outlineLevel="1">
      <c r="A861" s="9"/>
      <c r="B861" s="9"/>
      <c r="C861" s="44"/>
      <c r="D861" s="270" t="str">
        <f>Asset4</f>
        <v>Reactive</v>
      </c>
      <c r="E861" s="9"/>
      <c r="F861" s="9"/>
      <c r="G861" s="204">
        <f>'Adjustment for previous period'!G545</f>
        <v>-5.2786908582716139</v>
      </c>
      <c r="H861" s="35"/>
      <c r="I861" s="35"/>
      <c r="J861" s="35"/>
      <c r="K861" s="35"/>
      <c r="L861" s="35"/>
      <c r="M861" s="35"/>
      <c r="N861" s="29"/>
      <c r="O861" s="29"/>
      <c r="P861" s="29"/>
      <c r="Q861" s="29"/>
      <c r="R861" s="29"/>
      <c r="S861" s="100"/>
      <c r="T861" s="100"/>
      <c r="U861" s="100"/>
      <c r="V861" s="100"/>
      <c r="W861" s="100"/>
      <c r="X861" s="100"/>
      <c r="Y861" s="100"/>
      <c r="Z861" s="100"/>
      <c r="AA861" s="228"/>
      <c r="AB861" s="228"/>
      <c r="AC861" s="228"/>
      <c r="AD861" s="228"/>
      <c r="AE861" s="228"/>
      <c r="AF861" s="228"/>
      <c r="AG861" s="228"/>
      <c r="AH861" s="228"/>
      <c r="AI861" s="228"/>
      <c r="AJ861" s="228"/>
      <c r="AK861" s="228"/>
      <c r="AL861" s="228"/>
      <c r="AM861" s="228"/>
      <c r="AN861" s="228"/>
      <c r="AO861" s="228"/>
      <c r="AP861" s="228"/>
      <c r="AQ861" s="228"/>
      <c r="AR861" s="228"/>
      <c r="AS861" s="228"/>
      <c r="AT861" s="228"/>
      <c r="AU861" s="228"/>
      <c r="AV861" s="228"/>
      <c r="AW861" s="228"/>
      <c r="AX861" s="228"/>
      <c r="AY861" s="228"/>
      <c r="AZ861" s="228"/>
      <c r="BA861" s="228"/>
      <c r="BB861" s="228"/>
      <c r="BC861" s="228"/>
      <c r="BD861" s="100"/>
      <c r="BE861" s="100"/>
      <c r="BF861" s="100"/>
      <c r="BG861" s="100"/>
      <c r="BH861" s="100"/>
      <c r="BI861" s="100"/>
      <c r="BJ861" s="100"/>
      <c r="BK861" s="12"/>
      <c r="BL861" s="12"/>
    </row>
    <row r="862" spans="1:64" hidden="1" outlineLevel="1">
      <c r="A862" s="9"/>
      <c r="B862" s="9"/>
      <c r="C862" s="44"/>
      <c r="D862" s="270" t="str">
        <f>Asset5</f>
        <v>Towers and Conductor</v>
      </c>
      <c r="E862" s="9"/>
      <c r="F862" s="9"/>
      <c r="G862" s="204">
        <f>'Adjustment for previous period'!G546</f>
        <v>43.78033030015623</v>
      </c>
      <c r="H862" s="35"/>
      <c r="I862" s="35"/>
      <c r="J862" s="35"/>
      <c r="K862" s="35"/>
      <c r="L862" s="35"/>
      <c r="M862" s="35"/>
      <c r="N862" s="29"/>
      <c r="O862" s="29"/>
      <c r="P862" s="29"/>
      <c r="Q862" s="29"/>
      <c r="R862" s="29"/>
      <c r="S862" s="100"/>
      <c r="T862" s="100"/>
      <c r="U862" s="100"/>
      <c r="V862" s="100"/>
      <c r="W862" s="100"/>
      <c r="X862" s="100"/>
      <c r="Y862" s="100"/>
      <c r="Z862" s="100"/>
      <c r="AA862" s="228"/>
      <c r="AB862" s="228"/>
      <c r="AC862" s="228"/>
      <c r="AD862" s="228"/>
      <c r="AE862" s="228"/>
      <c r="AF862" s="228"/>
      <c r="AG862" s="228"/>
      <c r="AH862" s="228"/>
      <c r="AI862" s="228"/>
      <c r="AJ862" s="228"/>
      <c r="AK862" s="228"/>
      <c r="AL862" s="228"/>
      <c r="AM862" s="228"/>
      <c r="AN862" s="228"/>
      <c r="AO862" s="228"/>
      <c r="AP862" s="228"/>
      <c r="AQ862" s="228"/>
      <c r="AR862" s="228"/>
      <c r="AS862" s="228"/>
      <c r="AT862" s="228"/>
      <c r="AU862" s="228"/>
      <c r="AV862" s="228"/>
      <c r="AW862" s="228"/>
      <c r="AX862" s="228"/>
      <c r="AY862" s="228"/>
      <c r="AZ862" s="228"/>
      <c r="BA862" s="228"/>
      <c r="BB862" s="228"/>
      <c r="BC862" s="228"/>
      <c r="BD862" s="100"/>
      <c r="BE862" s="100"/>
      <c r="BF862" s="100"/>
      <c r="BG862" s="100"/>
      <c r="BH862" s="100"/>
      <c r="BI862" s="100"/>
      <c r="BJ862" s="100"/>
      <c r="BK862" s="12"/>
      <c r="BL862" s="12"/>
    </row>
    <row r="863" spans="1:64" hidden="1" outlineLevel="1">
      <c r="A863" s="9"/>
      <c r="B863" s="9"/>
      <c r="C863" s="44"/>
      <c r="D863" s="270" t="str">
        <f>Asset6</f>
        <v>Establishment</v>
      </c>
      <c r="E863" s="9"/>
      <c r="F863" s="9"/>
      <c r="G863" s="204">
        <f>'Adjustment for previous period'!G547</f>
        <v>8.3654138145799326</v>
      </c>
      <c r="H863" s="35"/>
      <c r="I863" s="35"/>
      <c r="J863" s="35"/>
      <c r="K863" s="35"/>
      <c r="L863" s="35"/>
      <c r="M863" s="35"/>
      <c r="N863" s="29"/>
      <c r="O863" s="29"/>
      <c r="P863" s="29"/>
      <c r="Q863" s="29"/>
      <c r="R863" s="29"/>
      <c r="S863" s="100"/>
      <c r="T863" s="100"/>
      <c r="U863" s="100"/>
      <c r="V863" s="100"/>
      <c r="W863" s="100"/>
      <c r="X863" s="100"/>
      <c r="Y863" s="100"/>
      <c r="Z863" s="100"/>
      <c r="AA863" s="228"/>
      <c r="AB863" s="228"/>
      <c r="AC863" s="228"/>
      <c r="AD863" s="228"/>
      <c r="AE863" s="228"/>
      <c r="AF863" s="228"/>
      <c r="AG863" s="228"/>
      <c r="AH863" s="228"/>
      <c r="AI863" s="228"/>
      <c r="AJ863" s="228"/>
      <c r="AK863" s="228"/>
      <c r="AL863" s="228"/>
      <c r="AM863" s="228"/>
      <c r="AN863" s="228"/>
      <c r="AO863" s="228"/>
      <c r="AP863" s="228"/>
      <c r="AQ863" s="228"/>
      <c r="AR863" s="228"/>
      <c r="AS863" s="228"/>
      <c r="AT863" s="228"/>
      <c r="AU863" s="228"/>
      <c r="AV863" s="228"/>
      <c r="AW863" s="228"/>
      <c r="AX863" s="228"/>
      <c r="AY863" s="228"/>
      <c r="AZ863" s="228"/>
      <c r="BA863" s="228"/>
      <c r="BB863" s="228"/>
      <c r="BC863" s="228"/>
      <c r="BD863" s="100"/>
      <c r="BE863" s="100"/>
      <c r="BF863" s="100"/>
      <c r="BG863" s="100"/>
      <c r="BH863" s="100"/>
      <c r="BI863" s="100"/>
      <c r="BJ863" s="100"/>
      <c r="BK863" s="12"/>
      <c r="BL863" s="12"/>
    </row>
    <row r="864" spans="1:64" hidden="1" outlineLevel="1">
      <c r="A864" s="9"/>
      <c r="B864" s="9"/>
      <c r="C864" s="44"/>
      <c r="D864" s="270" t="str">
        <f>Asset7</f>
        <v>Communications</v>
      </c>
      <c r="E864" s="9"/>
      <c r="F864" s="9"/>
      <c r="G864" s="204">
        <f>'Adjustment for previous period'!G548</f>
        <v>-15.18343373681337</v>
      </c>
      <c r="H864" s="35"/>
      <c r="I864" s="35"/>
      <c r="J864" s="35"/>
      <c r="K864" s="35"/>
      <c r="L864" s="35"/>
      <c r="M864" s="35"/>
      <c r="N864" s="29"/>
      <c r="O864" s="29"/>
      <c r="P864" s="29"/>
      <c r="Q864" s="29"/>
      <c r="R864" s="29"/>
      <c r="S864" s="100"/>
      <c r="T864" s="100"/>
      <c r="U864" s="100"/>
      <c r="V864" s="100"/>
      <c r="W864" s="100"/>
      <c r="X864" s="100"/>
      <c r="Y864" s="100"/>
      <c r="Z864" s="100"/>
      <c r="AA864" s="228"/>
      <c r="AB864" s="228"/>
      <c r="AC864" s="228"/>
      <c r="AD864" s="228"/>
      <c r="AE864" s="228"/>
      <c r="AF864" s="228"/>
      <c r="AG864" s="228"/>
      <c r="AH864" s="228"/>
      <c r="AI864" s="228"/>
      <c r="AJ864" s="228"/>
      <c r="AK864" s="228"/>
      <c r="AL864" s="228"/>
      <c r="AM864" s="228"/>
      <c r="AN864" s="228"/>
      <c r="AO864" s="228"/>
      <c r="AP864" s="228"/>
      <c r="AQ864" s="228"/>
      <c r="AR864" s="228"/>
      <c r="AS864" s="228"/>
      <c r="AT864" s="228"/>
      <c r="AU864" s="228"/>
      <c r="AV864" s="228"/>
      <c r="AW864" s="228"/>
      <c r="AX864" s="228"/>
      <c r="AY864" s="228"/>
      <c r="AZ864" s="228"/>
      <c r="BA864" s="228"/>
      <c r="BB864" s="228"/>
      <c r="BC864" s="228"/>
      <c r="BD864" s="100"/>
      <c r="BE864" s="100"/>
      <c r="BF864" s="100"/>
      <c r="BG864" s="100"/>
      <c r="BH864" s="100"/>
      <c r="BI864" s="100"/>
      <c r="BJ864" s="100"/>
      <c r="BK864" s="12"/>
      <c r="BL864" s="12"/>
    </row>
    <row r="865" spans="1:64" hidden="1" outlineLevel="1">
      <c r="A865" s="9"/>
      <c r="B865" s="9"/>
      <c r="C865" s="44"/>
      <c r="D865" s="270" t="str">
        <f>Asset8</f>
        <v>Inventory</v>
      </c>
      <c r="E865" s="9"/>
      <c r="F865" s="9"/>
      <c r="G865" s="204">
        <f>'Adjustment for previous period'!G549</f>
        <v>1.5261711059192087</v>
      </c>
      <c r="H865" s="35"/>
      <c r="I865" s="35"/>
      <c r="J865" s="35"/>
      <c r="K865" s="35"/>
      <c r="L865" s="35"/>
      <c r="M865" s="35"/>
      <c r="N865" s="29"/>
      <c r="O865" s="29"/>
      <c r="P865" s="29"/>
      <c r="Q865" s="29"/>
      <c r="R865" s="29"/>
      <c r="S865" s="100"/>
      <c r="T865" s="100"/>
      <c r="U865" s="100"/>
      <c r="V865" s="100"/>
      <c r="W865" s="100"/>
      <c r="X865" s="100"/>
      <c r="Y865" s="100"/>
      <c r="Z865" s="100"/>
      <c r="AA865" s="228"/>
      <c r="AB865" s="228"/>
      <c r="AC865" s="228"/>
      <c r="AD865" s="228"/>
      <c r="AE865" s="228"/>
      <c r="AF865" s="228"/>
      <c r="AG865" s="228"/>
      <c r="AH865" s="228"/>
      <c r="AI865" s="228"/>
      <c r="AJ865" s="228"/>
      <c r="AK865" s="228"/>
      <c r="AL865" s="228"/>
      <c r="AM865" s="228"/>
      <c r="AN865" s="228"/>
      <c r="AO865" s="228"/>
      <c r="AP865" s="228"/>
      <c r="AQ865" s="228"/>
      <c r="AR865" s="228"/>
      <c r="AS865" s="228"/>
      <c r="AT865" s="228"/>
      <c r="AU865" s="228"/>
      <c r="AV865" s="228"/>
      <c r="AW865" s="228"/>
      <c r="AX865" s="228"/>
      <c r="AY865" s="228"/>
      <c r="AZ865" s="228"/>
      <c r="BA865" s="228"/>
      <c r="BB865" s="228"/>
      <c r="BC865" s="228"/>
      <c r="BD865" s="100"/>
      <c r="BE865" s="100"/>
      <c r="BF865" s="100"/>
      <c r="BG865" s="100"/>
      <c r="BH865" s="100"/>
      <c r="BI865" s="100"/>
      <c r="BJ865" s="100"/>
      <c r="BK865" s="12"/>
      <c r="BL865" s="12"/>
    </row>
    <row r="866" spans="1:64" hidden="1" outlineLevel="1">
      <c r="A866" s="9"/>
      <c r="B866" s="9"/>
      <c r="C866" s="44"/>
      <c r="D866" s="270" t="str">
        <f>Asset9</f>
        <v>IT</v>
      </c>
      <c r="E866" s="9"/>
      <c r="F866" s="9"/>
      <c r="G866" s="204">
        <f>'Adjustment for previous period'!G550</f>
        <v>24.968912459906932</v>
      </c>
      <c r="H866" s="35"/>
      <c r="I866" s="35"/>
      <c r="J866" s="35"/>
      <c r="K866" s="35"/>
      <c r="L866" s="35"/>
      <c r="M866" s="35"/>
      <c r="N866" s="29"/>
      <c r="O866" s="29"/>
      <c r="P866" s="29"/>
      <c r="Q866" s="29"/>
      <c r="R866" s="29"/>
      <c r="S866" s="100"/>
      <c r="T866" s="100"/>
      <c r="U866" s="100"/>
      <c r="V866" s="100"/>
      <c r="W866" s="100"/>
      <c r="X866" s="100"/>
      <c r="Y866" s="100"/>
      <c r="Z866" s="100"/>
      <c r="AA866" s="228"/>
      <c r="AB866" s="228"/>
      <c r="AC866" s="228"/>
      <c r="AD866" s="228"/>
      <c r="AE866" s="228"/>
      <c r="AF866" s="228"/>
      <c r="AG866" s="228"/>
      <c r="AH866" s="228"/>
      <c r="AI866" s="228"/>
      <c r="AJ866" s="228"/>
      <c r="AK866" s="228"/>
      <c r="AL866" s="228"/>
      <c r="AM866" s="228"/>
      <c r="AN866" s="228"/>
      <c r="AO866" s="228"/>
      <c r="AP866" s="228"/>
      <c r="AQ866" s="228"/>
      <c r="AR866" s="228"/>
      <c r="AS866" s="228"/>
      <c r="AT866" s="228"/>
      <c r="AU866" s="228"/>
      <c r="AV866" s="228"/>
      <c r="AW866" s="228"/>
      <c r="AX866" s="228"/>
      <c r="AY866" s="228"/>
      <c r="AZ866" s="228"/>
      <c r="BA866" s="228"/>
      <c r="BB866" s="228"/>
      <c r="BC866" s="228"/>
      <c r="BD866" s="100"/>
      <c r="BE866" s="100"/>
      <c r="BF866" s="100"/>
      <c r="BG866" s="100"/>
      <c r="BH866" s="100"/>
      <c r="BI866" s="100"/>
      <c r="BJ866" s="100"/>
      <c r="BK866" s="12"/>
      <c r="BL866" s="12"/>
    </row>
    <row r="867" spans="1:64" hidden="1" outlineLevel="1">
      <c r="A867" s="9"/>
      <c r="B867" s="9"/>
      <c r="C867" s="44"/>
      <c r="D867" s="270" t="str">
        <f>Asset10</f>
        <v>Vehicles</v>
      </c>
      <c r="E867" s="9"/>
      <c r="F867" s="9"/>
      <c r="G867" s="204">
        <f>'Adjustment for previous period'!G551</f>
        <v>0.47844527194667513</v>
      </c>
      <c r="H867" s="35"/>
      <c r="I867" s="35"/>
      <c r="J867" s="35"/>
      <c r="K867" s="35"/>
      <c r="L867" s="35"/>
      <c r="M867" s="35"/>
      <c r="N867" s="29"/>
      <c r="O867" s="29"/>
      <c r="P867" s="29"/>
      <c r="Q867" s="29"/>
      <c r="R867" s="29"/>
      <c r="S867" s="100"/>
      <c r="T867" s="100"/>
      <c r="U867" s="100"/>
      <c r="V867" s="100"/>
      <c r="W867" s="100"/>
      <c r="X867" s="100"/>
      <c r="Y867" s="100"/>
      <c r="Z867" s="100"/>
      <c r="AA867" s="228"/>
      <c r="AB867" s="228"/>
      <c r="AC867" s="228"/>
      <c r="AD867" s="228"/>
      <c r="AE867" s="228"/>
      <c r="AF867" s="228"/>
      <c r="AG867" s="228"/>
      <c r="AH867" s="228"/>
      <c r="AI867" s="228"/>
      <c r="AJ867" s="228"/>
      <c r="AK867" s="228"/>
      <c r="AL867" s="228"/>
      <c r="AM867" s="228"/>
      <c r="AN867" s="228"/>
      <c r="AO867" s="228"/>
      <c r="AP867" s="228"/>
      <c r="AQ867" s="228"/>
      <c r="AR867" s="228"/>
      <c r="AS867" s="228"/>
      <c r="AT867" s="228"/>
      <c r="AU867" s="228"/>
      <c r="AV867" s="228"/>
      <c r="AW867" s="228"/>
      <c r="AX867" s="228"/>
      <c r="AY867" s="228"/>
      <c r="AZ867" s="228"/>
      <c r="BA867" s="228"/>
      <c r="BB867" s="228"/>
      <c r="BC867" s="228"/>
      <c r="BD867" s="100"/>
      <c r="BE867" s="100"/>
      <c r="BF867" s="100"/>
      <c r="BG867" s="100"/>
      <c r="BH867" s="100"/>
      <c r="BI867" s="100"/>
      <c r="BJ867" s="100"/>
      <c r="BK867" s="12"/>
      <c r="BL867" s="12"/>
    </row>
    <row r="868" spans="1:64" hidden="1" outlineLevel="1">
      <c r="A868" s="9"/>
      <c r="B868" s="9"/>
      <c r="C868" s="44"/>
      <c r="D868" s="270" t="str">
        <f>Asset11</f>
        <v>other</v>
      </c>
      <c r="E868" s="9"/>
      <c r="F868" s="9"/>
      <c r="G868" s="204">
        <f>'Adjustment for previous period'!G552</f>
        <v>7.8062479102810922</v>
      </c>
      <c r="H868" s="35"/>
      <c r="I868" s="35"/>
      <c r="J868" s="35"/>
      <c r="K868" s="35"/>
      <c r="L868" s="35"/>
      <c r="M868" s="35"/>
      <c r="N868" s="29"/>
      <c r="O868" s="29"/>
      <c r="P868" s="29"/>
      <c r="Q868" s="29"/>
      <c r="R868" s="29"/>
      <c r="S868" s="100"/>
      <c r="T868" s="100"/>
      <c r="U868" s="100"/>
      <c r="V868" s="100"/>
      <c r="W868" s="100"/>
      <c r="X868" s="100"/>
      <c r="Y868" s="100"/>
      <c r="Z868" s="100"/>
      <c r="AA868" s="228"/>
      <c r="AB868" s="228"/>
      <c r="AC868" s="228"/>
      <c r="AD868" s="228"/>
      <c r="AE868" s="228"/>
      <c r="AF868" s="228"/>
      <c r="AG868" s="228"/>
      <c r="AH868" s="228"/>
      <c r="AI868" s="228"/>
      <c r="AJ868" s="228"/>
      <c r="AK868" s="228"/>
      <c r="AL868" s="228"/>
      <c r="AM868" s="228"/>
      <c r="AN868" s="228"/>
      <c r="AO868" s="228"/>
      <c r="AP868" s="228"/>
      <c r="AQ868" s="228"/>
      <c r="AR868" s="228"/>
      <c r="AS868" s="228"/>
      <c r="AT868" s="228"/>
      <c r="AU868" s="228"/>
      <c r="AV868" s="228"/>
      <c r="AW868" s="228"/>
      <c r="AX868" s="228"/>
      <c r="AY868" s="228"/>
      <c r="AZ868" s="228"/>
      <c r="BA868" s="228"/>
      <c r="BB868" s="228"/>
      <c r="BC868" s="228"/>
      <c r="BD868" s="100"/>
      <c r="BE868" s="100"/>
      <c r="BF868" s="100"/>
      <c r="BG868" s="100"/>
      <c r="BH868" s="100"/>
      <c r="BI868" s="100"/>
      <c r="BJ868" s="100"/>
      <c r="BK868" s="12"/>
      <c r="BL868" s="12"/>
    </row>
    <row r="869" spans="1:64" hidden="1" outlineLevel="1">
      <c r="A869" s="9"/>
      <c r="B869" s="9"/>
      <c r="C869" s="44"/>
      <c r="D869" s="270" t="str">
        <f>Asset12</f>
        <v>premises</v>
      </c>
      <c r="E869" s="9"/>
      <c r="F869" s="9"/>
      <c r="G869" s="204">
        <f>'Adjustment for previous period'!G553</f>
        <v>3.5830352175562075</v>
      </c>
      <c r="H869" s="35"/>
      <c r="I869" s="35"/>
      <c r="J869" s="35"/>
      <c r="K869" s="35"/>
      <c r="L869" s="35"/>
      <c r="M869" s="35"/>
      <c r="N869" s="29"/>
      <c r="O869" s="29"/>
      <c r="P869" s="29"/>
      <c r="Q869" s="29"/>
      <c r="R869" s="29"/>
      <c r="S869" s="100"/>
      <c r="T869" s="100"/>
      <c r="U869" s="100"/>
      <c r="V869" s="100"/>
      <c r="W869" s="100"/>
      <c r="X869" s="100"/>
      <c r="Y869" s="100"/>
      <c r="Z869" s="100"/>
      <c r="AA869" s="228"/>
      <c r="AB869" s="228"/>
      <c r="AC869" s="228"/>
      <c r="AD869" s="228"/>
      <c r="AE869" s="228"/>
      <c r="AF869" s="228"/>
      <c r="AG869" s="228"/>
      <c r="AH869" s="228"/>
      <c r="AI869" s="228"/>
      <c r="AJ869" s="228"/>
      <c r="AK869" s="228"/>
      <c r="AL869" s="228"/>
      <c r="AM869" s="228"/>
      <c r="AN869" s="228"/>
      <c r="AO869" s="228"/>
      <c r="AP869" s="228"/>
      <c r="AQ869" s="228"/>
      <c r="AR869" s="228"/>
      <c r="AS869" s="228"/>
      <c r="AT869" s="228"/>
      <c r="AU869" s="228"/>
      <c r="AV869" s="228"/>
      <c r="AW869" s="228"/>
      <c r="AX869" s="228"/>
      <c r="AY869" s="228"/>
      <c r="AZ869" s="228"/>
      <c r="BA869" s="228"/>
      <c r="BB869" s="228"/>
      <c r="BC869" s="228"/>
      <c r="BD869" s="100"/>
      <c r="BE869" s="100"/>
      <c r="BF869" s="100"/>
      <c r="BG869" s="100"/>
      <c r="BH869" s="100"/>
      <c r="BI869" s="100"/>
      <c r="BJ869" s="100"/>
      <c r="BK869" s="12"/>
      <c r="BL869" s="12"/>
    </row>
    <row r="870" spans="1:64" hidden="1" outlineLevel="1">
      <c r="A870" s="9"/>
      <c r="B870" s="9"/>
      <c r="C870" s="44"/>
      <c r="D870" s="270" t="str">
        <f>Asset13</f>
        <v>Land</v>
      </c>
      <c r="E870" s="9"/>
      <c r="F870" s="9"/>
      <c r="G870" s="204">
        <f>'Adjustment for previous period'!G554</f>
        <v>-2.4674295714323651</v>
      </c>
      <c r="H870" s="35"/>
      <c r="I870" s="35"/>
      <c r="J870" s="35"/>
      <c r="K870" s="35"/>
      <c r="L870" s="35"/>
      <c r="M870" s="35"/>
      <c r="N870" s="29"/>
      <c r="O870" s="29"/>
      <c r="P870" s="29"/>
      <c r="Q870" s="29"/>
      <c r="R870" s="29"/>
      <c r="S870" s="100"/>
      <c r="T870" s="100"/>
      <c r="U870" s="100"/>
      <c r="V870" s="100"/>
      <c r="W870" s="100"/>
      <c r="X870" s="100"/>
      <c r="Y870" s="100"/>
      <c r="Z870" s="100"/>
      <c r="AA870" s="228"/>
      <c r="AB870" s="228"/>
      <c r="AC870" s="228"/>
      <c r="AD870" s="228"/>
      <c r="AE870" s="228"/>
      <c r="AF870" s="228"/>
      <c r="AG870" s="228"/>
      <c r="AH870" s="228"/>
      <c r="AI870" s="228"/>
      <c r="AJ870" s="228"/>
      <c r="AK870" s="228"/>
      <c r="AL870" s="228"/>
      <c r="AM870" s="228"/>
      <c r="AN870" s="228"/>
      <c r="AO870" s="228"/>
      <c r="AP870" s="228"/>
      <c r="AQ870" s="228"/>
      <c r="AR870" s="228"/>
      <c r="AS870" s="228"/>
      <c r="AT870" s="228"/>
      <c r="AU870" s="228"/>
      <c r="AV870" s="228"/>
      <c r="AW870" s="228"/>
      <c r="AX870" s="228"/>
      <c r="AY870" s="228"/>
      <c r="AZ870" s="228"/>
      <c r="BA870" s="228"/>
      <c r="BB870" s="228"/>
      <c r="BC870" s="228"/>
      <c r="BD870" s="100"/>
      <c r="BE870" s="100"/>
      <c r="BF870" s="100"/>
      <c r="BG870" s="100"/>
      <c r="BH870" s="100"/>
      <c r="BI870" s="100"/>
      <c r="BJ870" s="100"/>
      <c r="BK870" s="12"/>
      <c r="BL870" s="12"/>
    </row>
    <row r="871" spans="1:64" hidden="1" outlineLevel="1">
      <c r="A871" s="9"/>
      <c r="B871" s="9"/>
      <c r="C871" s="44"/>
      <c r="D871" s="270" t="str">
        <f>Asset14</f>
        <v>Easements</v>
      </c>
      <c r="E871" s="9"/>
      <c r="F871" s="9"/>
      <c r="G871" s="204">
        <f>'Adjustment for previous period'!G555</f>
        <v>5.9553694764592276E-2</v>
      </c>
      <c r="H871" s="35"/>
      <c r="I871" s="35"/>
      <c r="J871" s="35"/>
      <c r="K871" s="35"/>
      <c r="L871" s="35"/>
      <c r="M871" s="35"/>
      <c r="N871" s="29"/>
      <c r="O871" s="29"/>
      <c r="P871" s="29"/>
      <c r="Q871" s="29"/>
      <c r="R871" s="29"/>
      <c r="S871" s="100"/>
      <c r="T871" s="100"/>
      <c r="U871" s="100"/>
      <c r="V871" s="100"/>
      <c r="W871" s="100"/>
      <c r="X871" s="100"/>
      <c r="Y871" s="100"/>
      <c r="Z871" s="100"/>
      <c r="AA871" s="228"/>
      <c r="AB871" s="228"/>
      <c r="AC871" s="228"/>
      <c r="AD871" s="228"/>
      <c r="AE871" s="228"/>
      <c r="AF871" s="228"/>
      <c r="AG871" s="228"/>
      <c r="AH871" s="228"/>
      <c r="AI871" s="228"/>
      <c r="AJ871" s="228"/>
      <c r="AK871" s="228"/>
      <c r="AL871" s="228"/>
      <c r="AM871" s="228"/>
      <c r="AN871" s="228"/>
      <c r="AO871" s="228"/>
      <c r="AP871" s="228"/>
      <c r="AQ871" s="228"/>
      <c r="AR871" s="228"/>
      <c r="AS871" s="228"/>
      <c r="AT871" s="228"/>
      <c r="AU871" s="228"/>
      <c r="AV871" s="228"/>
      <c r="AW871" s="228"/>
      <c r="AX871" s="228"/>
      <c r="AY871" s="228"/>
      <c r="AZ871" s="228"/>
      <c r="BA871" s="228"/>
      <c r="BB871" s="228"/>
      <c r="BC871" s="228"/>
      <c r="BD871" s="100"/>
      <c r="BE871" s="100"/>
      <c r="BF871" s="100"/>
      <c r="BG871" s="100"/>
      <c r="BH871" s="100"/>
      <c r="BI871" s="100"/>
      <c r="BJ871" s="100"/>
      <c r="BK871" s="12"/>
      <c r="BL871" s="12"/>
    </row>
    <row r="872" spans="1:64" hidden="1" outlineLevel="1">
      <c r="A872" s="9"/>
      <c r="B872" s="9"/>
      <c r="C872" s="44"/>
      <c r="D872" s="270">
        <f>Asset15</f>
        <v>0</v>
      </c>
      <c r="E872" s="9"/>
      <c r="F872" s="9"/>
      <c r="G872" s="204">
        <f>'Adjustment for previous period'!G556</f>
        <v>0</v>
      </c>
      <c r="H872" s="35"/>
      <c r="I872" s="35"/>
      <c r="J872" s="35"/>
      <c r="K872" s="35"/>
      <c r="L872" s="35"/>
      <c r="M872" s="35"/>
      <c r="N872" s="29"/>
      <c r="O872" s="29"/>
      <c r="P872" s="29"/>
      <c r="Q872" s="29"/>
      <c r="R872" s="29"/>
      <c r="S872" s="100"/>
      <c r="T872" s="100"/>
      <c r="U872" s="100"/>
      <c r="V872" s="100"/>
      <c r="W872" s="100"/>
      <c r="X872" s="100"/>
      <c r="Y872" s="100"/>
      <c r="Z872" s="100"/>
      <c r="AA872" s="228"/>
      <c r="AB872" s="228"/>
      <c r="AC872" s="228"/>
      <c r="AD872" s="228"/>
      <c r="AE872" s="228"/>
      <c r="AF872" s="228"/>
      <c r="AG872" s="228"/>
      <c r="AH872" s="228"/>
      <c r="AI872" s="228"/>
      <c r="AJ872" s="228"/>
      <c r="AK872" s="228"/>
      <c r="AL872" s="228"/>
      <c r="AM872" s="228"/>
      <c r="AN872" s="228"/>
      <c r="AO872" s="228"/>
      <c r="AP872" s="228"/>
      <c r="AQ872" s="228"/>
      <c r="AR872" s="228"/>
      <c r="AS872" s="228"/>
      <c r="AT872" s="228"/>
      <c r="AU872" s="228"/>
      <c r="AV872" s="228"/>
      <c r="AW872" s="228"/>
      <c r="AX872" s="228"/>
      <c r="AY872" s="228"/>
      <c r="AZ872" s="228"/>
      <c r="BA872" s="228"/>
      <c r="BB872" s="228"/>
      <c r="BC872" s="228"/>
      <c r="BD872" s="100"/>
      <c r="BE872" s="100"/>
      <c r="BF872" s="100"/>
      <c r="BG872" s="100"/>
      <c r="BH872" s="100"/>
      <c r="BI872" s="100"/>
      <c r="BJ872" s="100"/>
      <c r="BK872" s="12"/>
      <c r="BL872" s="12"/>
    </row>
    <row r="873" spans="1:64" hidden="1" outlineLevel="1">
      <c r="A873" s="9"/>
      <c r="B873" s="9"/>
      <c r="C873" s="44"/>
      <c r="D873" s="270">
        <f>Asset16</f>
        <v>0</v>
      </c>
      <c r="E873" s="9"/>
      <c r="F873" s="9"/>
      <c r="G873" s="204">
        <f>'Adjustment for previous period'!G557</f>
        <v>0</v>
      </c>
      <c r="H873" s="35"/>
      <c r="I873" s="35"/>
      <c r="J873" s="35"/>
      <c r="K873" s="35"/>
      <c r="L873" s="35"/>
      <c r="M873" s="35"/>
      <c r="N873" s="29"/>
      <c r="O873" s="29"/>
      <c r="P873" s="29"/>
      <c r="Q873" s="29"/>
      <c r="R873" s="29"/>
      <c r="S873" s="100"/>
      <c r="T873" s="100"/>
      <c r="U873" s="100"/>
      <c r="V873" s="100"/>
      <c r="W873" s="100"/>
      <c r="X873" s="100"/>
      <c r="Y873" s="100"/>
      <c r="Z873" s="100"/>
      <c r="AA873" s="228"/>
      <c r="AB873" s="228"/>
      <c r="AC873" s="228"/>
      <c r="AD873" s="228"/>
      <c r="AE873" s="228"/>
      <c r="AF873" s="228"/>
      <c r="AG873" s="228"/>
      <c r="AH873" s="228"/>
      <c r="AI873" s="228"/>
      <c r="AJ873" s="228"/>
      <c r="AK873" s="228"/>
      <c r="AL873" s="228"/>
      <c r="AM873" s="228"/>
      <c r="AN873" s="228"/>
      <c r="AO873" s="228"/>
      <c r="AP873" s="228"/>
      <c r="AQ873" s="228"/>
      <c r="AR873" s="228"/>
      <c r="AS873" s="228"/>
      <c r="AT873" s="228"/>
      <c r="AU873" s="228"/>
      <c r="AV873" s="228"/>
      <c r="AW873" s="228"/>
      <c r="AX873" s="228"/>
      <c r="AY873" s="228"/>
      <c r="AZ873" s="228"/>
      <c r="BA873" s="228"/>
      <c r="BB873" s="228"/>
      <c r="BC873" s="228"/>
      <c r="BD873" s="100"/>
      <c r="BE873" s="100"/>
      <c r="BF873" s="100"/>
      <c r="BG873" s="100"/>
      <c r="BH873" s="100"/>
      <c r="BI873" s="100"/>
      <c r="BJ873" s="100"/>
      <c r="BK873" s="12"/>
      <c r="BL873" s="12"/>
    </row>
    <row r="874" spans="1:64" hidden="1" outlineLevel="1">
      <c r="A874" s="9"/>
      <c r="B874" s="9"/>
      <c r="C874" s="44"/>
      <c r="D874" s="270">
        <f>Asset17</f>
        <v>0</v>
      </c>
      <c r="E874" s="9"/>
      <c r="F874" s="9"/>
      <c r="G874" s="204">
        <f>'Adjustment for previous period'!G558</f>
        <v>0</v>
      </c>
      <c r="H874" s="35"/>
      <c r="I874" s="35"/>
      <c r="J874" s="35"/>
      <c r="K874" s="35"/>
      <c r="L874" s="35"/>
      <c r="M874" s="35"/>
      <c r="N874" s="29"/>
      <c r="O874" s="29"/>
      <c r="P874" s="29"/>
      <c r="Q874" s="29"/>
      <c r="R874" s="29"/>
      <c r="S874" s="100"/>
      <c r="T874" s="100"/>
      <c r="U874" s="100"/>
      <c r="V874" s="100"/>
      <c r="W874" s="100"/>
      <c r="X874" s="100"/>
      <c r="Y874" s="100"/>
      <c r="Z874" s="100"/>
      <c r="AA874" s="228"/>
      <c r="AB874" s="228"/>
      <c r="AC874" s="228"/>
      <c r="AD874" s="228"/>
      <c r="AE874" s="228"/>
      <c r="AF874" s="228"/>
      <c r="AG874" s="228"/>
      <c r="AH874" s="228"/>
      <c r="AI874" s="228"/>
      <c r="AJ874" s="228"/>
      <c r="AK874" s="228"/>
      <c r="AL874" s="228"/>
      <c r="AM874" s="228"/>
      <c r="AN874" s="228"/>
      <c r="AO874" s="228"/>
      <c r="AP874" s="228"/>
      <c r="AQ874" s="228"/>
      <c r="AR874" s="228"/>
      <c r="AS874" s="228"/>
      <c r="AT874" s="228"/>
      <c r="AU874" s="228"/>
      <c r="AV874" s="228"/>
      <c r="AW874" s="228"/>
      <c r="AX874" s="228"/>
      <c r="AY874" s="228"/>
      <c r="AZ874" s="228"/>
      <c r="BA874" s="228"/>
      <c r="BB874" s="228"/>
      <c r="BC874" s="228"/>
      <c r="BD874" s="100"/>
      <c r="BE874" s="100"/>
      <c r="BF874" s="100"/>
      <c r="BG874" s="100"/>
      <c r="BH874" s="100"/>
      <c r="BI874" s="100"/>
      <c r="BJ874" s="100"/>
      <c r="BK874" s="12"/>
      <c r="BL874" s="12"/>
    </row>
    <row r="875" spans="1:64" hidden="1" outlineLevel="1">
      <c r="A875" s="9"/>
      <c r="B875" s="9"/>
      <c r="C875" s="44"/>
      <c r="D875" s="270">
        <f>Asset18</f>
        <v>0</v>
      </c>
      <c r="E875" s="9"/>
      <c r="F875" s="9"/>
      <c r="G875" s="204">
        <f>'Adjustment for previous period'!G559</f>
        <v>0</v>
      </c>
      <c r="H875" s="35"/>
      <c r="I875" s="35"/>
      <c r="J875" s="35"/>
      <c r="K875" s="35"/>
      <c r="L875" s="35"/>
      <c r="M875" s="35"/>
      <c r="N875" s="29"/>
      <c r="O875" s="29"/>
      <c r="P875" s="29"/>
      <c r="Q875" s="29"/>
      <c r="R875" s="29"/>
      <c r="S875" s="100"/>
      <c r="T875" s="100"/>
      <c r="U875" s="100"/>
      <c r="V875" s="100"/>
      <c r="W875" s="100"/>
      <c r="X875" s="100"/>
      <c r="Y875" s="100"/>
      <c r="Z875" s="100"/>
      <c r="AA875" s="228"/>
      <c r="AB875" s="228"/>
      <c r="AC875" s="228"/>
      <c r="AD875" s="228"/>
      <c r="AE875" s="228"/>
      <c r="AF875" s="228"/>
      <c r="AG875" s="228"/>
      <c r="AH875" s="228"/>
      <c r="AI875" s="228"/>
      <c r="AJ875" s="228"/>
      <c r="AK875" s="228"/>
      <c r="AL875" s="228"/>
      <c r="AM875" s="228"/>
      <c r="AN875" s="228"/>
      <c r="AO875" s="228"/>
      <c r="AP875" s="228"/>
      <c r="AQ875" s="228"/>
      <c r="AR875" s="228"/>
      <c r="AS875" s="228"/>
      <c r="AT875" s="228"/>
      <c r="AU875" s="228"/>
      <c r="AV875" s="228"/>
      <c r="AW875" s="228"/>
      <c r="AX875" s="228"/>
      <c r="AY875" s="228"/>
      <c r="AZ875" s="228"/>
      <c r="BA875" s="228"/>
      <c r="BB875" s="228"/>
      <c r="BC875" s="228"/>
      <c r="BD875" s="100"/>
      <c r="BE875" s="100"/>
      <c r="BF875" s="100"/>
      <c r="BG875" s="100"/>
      <c r="BH875" s="100"/>
      <c r="BI875" s="100"/>
      <c r="BJ875" s="100"/>
      <c r="BK875" s="12"/>
      <c r="BL875" s="12"/>
    </row>
    <row r="876" spans="1:64" hidden="1" outlineLevel="1">
      <c r="A876" s="9"/>
      <c r="B876" s="9"/>
      <c r="C876" s="44"/>
      <c r="D876" s="270">
        <f>Asset19</f>
        <v>0</v>
      </c>
      <c r="E876" s="9"/>
      <c r="F876" s="9"/>
      <c r="G876" s="204">
        <f>'Adjustment for previous period'!G560</f>
        <v>0</v>
      </c>
      <c r="H876" s="35"/>
      <c r="I876" s="35"/>
      <c r="J876" s="35"/>
      <c r="K876" s="35"/>
      <c r="L876" s="35"/>
      <c r="M876" s="35"/>
      <c r="N876" s="29"/>
      <c r="O876" s="29"/>
      <c r="P876" s="29"/>
      <c r="Q876" s="29"/>
      <c r="R876" s="29"/>
      <c r="S876" s="100"/>
      <c r="T876" s="100"/>
      <c r="U876" s="100"/>
      <c r="V876" s="100"/>
      <c r="W876" s="100"/>
      <c r="X876" s="100"/>
      <c r="Y876" s="100"/>
      <c r="Z876" s="100"/>
      <c r="AA876" s="228"/>
      <c r="AB876" s="228"/>
      <c r="AC876" s="228"/>
      <c r="AD876" s="228"/>
      <c r="AE876" s="228"/>
      <c r="AF876" s="228"/>
      <c r="AG876" s="228"/>
      <c r="AH876" s="228"/>
      <c r="AI876" s="228"/>
      <c r="AJ876" s="228"/>
      <c r="AK876" s="228"/>
      <c r="AL876" s="228"/>
      <c r="AM876" s="228"/>
      <c r="AN876" s="228"/>
      <c r="AO876" s="228"/>
      <c r="AP876" s="228"/>
      <c r="AQ876" s="228"/>
      <c r="AR876" s="228"/>
      <c r="AS876" s="228"/>
      <c r="AT876" s="228"/>
      <c r="AU876" s="228"/>
      <c r="AV876" s="228"/>
      <c r="AW876" s="228"/>
      <c r="AX876" s="228"/>
      <c r="AY876" s="228"/>
      <c r="AZ876" s="228"/>
      <c r="BA876" s="228"/>
      <c r="BB876" s="228"/>
      <c r="BC876" s="228"/>
      <c r="BD876" s="100"/>
      <c r="BE876" s="100"/>
      <c r="BF876" s="100"/>
      <c r="BG876" s="100"/>
      <c r="BH876" s="100"/>
      <c r="BI876" s="100"/>
      <c r="BJ876" s="100"/>
      <c r="BK876" s="12"/>
      <c r="BL876" s="12"/>
    </row>
    <row r="877" spans="1:64" hidden="1" outlineLevel="1">
      <c r="A877" s="9"/>
      <c r="B877" s="9"/>
      <c r="C877" s="44"/>
      <c r="D877" s="270">
        <f>Asset20</f>
        <v>0</v>
      </c>
      <c r="E877" s="9"/>
      <c r="F877" s="9"/>
      <c r="G877" s="204">
        <f>'Adjustment for previous period'!G561</f>
        <v>0</v>
      </c>
      <c r="H877" s="35"/>
      <c r="I877" s="35"/>
      <c r="J877" s="35"/>
      <c r="K877" s="35"/>
      <c r="L877" s="35"/>
      <c r="M877" s="35"/>
      <c r="N877" s="29"/>
      <c r="O877" s="29"/>
      <c r="P877" s="29"/>
      <c r="Q877" s="29"/>
      <c r="R877" s="29"/>
      <c r="S877" s="100"/>
      <c r="T877" s="100"/>
      <c r="U877" s="100"/>
      <c r="V877" s="100"/>
      <c r="W877" s="100"/>
      <c r="X877" s="100"/>
      <c r="Y877" s="100"/>
      <c r="Z877" s="100"/>
      <c r="AA877" s="228"/>
      <c r="AB877" s="228"/>
      <c r="AC877" s="228"/>
      <c r="AD877" s="228"/>
      <c r="AE877" s="228"/>
      <c r="AF877" s="228"/>
      <c r="AG877" s="228"/>
      <c r="AH877" s="228"/>
      <c r="AI877" s="228"/>
      <c r="AJ877" s="228"/>
      <c r="AK877" s="228"/>
      <c r="AL877" s="228"/>
      <c r="AM877" s="228"/>
      <c r="AN877" s="228"/>
      <c r="AO877" s="228"/>
      <c r="AP877" s="228"/>
      <c r="AQ877" s="228"/>
      <c r="AR877" s="228"/>
      <c r="AS877" s="228"/>
      <c r="AT877" s="228"/>
      <c r="AU877" s="228"/>
      <c r="AV877" s="228"/>
      <c r="AW877" s="228"/>
      <c r="AX877" s="228"/>
      <c r="AY877" s="228"/>
      <c r="AZ877" s="228"/>
      <c r="BA877" s="228"/>
      <c r="BB877" s="228"/>
      <c r="BC877" s="228"/>
      <c r="BD877" s="100"/>
      <c r="BE877" s="100"/>
      <c r="BF877" s="100"/>
      <c r="BG877" s="100"/>
      <c r="BH877" s="100"/>
      <c r="BI877" s="100"/>
      <c r="BJ877" s="100"/>
      <c r="BK877" s="12"/>
      <c r="BL877" s="12"/>
    </row>
    <row r="878" spans="1:64" hidden="1" outlineLevel="1">
      <c r="A878" s="9"/>
      <c r="B878" s="9"/>
      <c r="C878" s="44"/>
      <c r="D878" s="349">
        <f>Asset21</f>
        <v>0</v>
      </c>
      <c r="E878" s="9"/>
      <c r="F878" s="9"/>
      <c r="G878" s="204">
        <f>'Adjustment for previous period'!G562</f>
        <v>0</v>
      </c>
      <c r="H878" s="35"/>
      <c r="I878" s="35"/>
      <c r="J878" s="35"/>
      <c r="K878" s="35"/>
      <c r="L878" s="35"/>
      <c r="M878" s="35"/>
      <c r="N878" s="29"/>
      <c r="O878" s="29"/>
      <c r="P878" s="29"/>
      <c r="Q878" s="29"/>
      <c r="R878" s="29"/>
      <c r="S878" s="100"/>
      <c r="T878" s="100"/>
      <c r="U878" s="100"/>
      <c r="V878" s="100"/>
      <c r="W878" s="100"/>
      <c r="X878" s="100"/>
      <c r="Y878" s="100"/>
      <c r="Z878" s="100"/>
      <c r="AA878" s="228"/>
      <c r="AB878" s="228"/>
      <c r="AC878" s="228"/>
      <c r="AD878" s="228"/>
      <c r="AE878" s="228"/>
      <c r="AF878" s="228"/>
      <c r="AG878" s="228"/>
      <c r="AH878" s="228"/>
      <c r="AI878" s="228"/>
      <c r="AJ878" s="228"/>
      <c r="AK878" s="228"/>
      <c r="AL878" s="228"/>
      <c r="AM878" s="228"/>
      <c r="AN878" s="228"/>
      <c r="AO878" s="228"/>
      <c r="AP878" s="228"/>
      <c r="AQ878" s="228"/>
      <c r="AR878" s="228"/>
      <c r="AS878" s="228"/>
      <c r="AT878" s="228"/>
      <c r="AU878" s="228"/>
      <c r="AV878" s="228"/>
      <c r="AW878" s="228"/>
      <c r="AX878" s="228"/>
      <c r="AY878" s="228"/>
      <c r="AZ878" s="228"/>
      <c r="BA878" s="228"/>
      <c r="BB878" s="228"/>
      <c r="BC878" s="228"/>
      <c r="BD878" s="100"/>
      <c r="BE878" s="100"/>
      <c r="BF878" s="100"/>
      <c r="BG878" s="100"/>
      <c r="BH878" s="100"/>
      <c r="BI878" s="100"/>
      <c r="BJ878" s="100"/>
      <c r="BK878" s="12"/>
      <c r="BL878" s="12"/>
    </row>
    <row r="879" spans="1:64" hidden="1" outlineLevel="1">
      <c r="A879" s="9"/>
      <c r="B879" s="9"/>
      <c r="C879" s="44"/>
      <c r="D879" s="349">
        <f>Asset22</f>
        <v>0</v>
      </c>
      <c r="E879" s="9"/>
      <c r="F879" s="9"/>
      <c r="G879" s="204">
        <f>'Adjustment for previous period'!G563</f>
        <v>0</v>
      </c>
      <c r="H879" s="35"/>
      <c r="I879" s="35"/>
      <c r="J879" s="35"/>
      <c r="K879" s="35"/>
      <c r="L879" s="35"/>
      <c r="M879" s="35"/>
      <c r="N879" s="29"/>
      <c r="O879" s="29"/>
      <c r="P879" s="29"/>
      <c r="Q879" s="29"/>
      <c r="R879" s="29"/>
      <c r="S879" s="100"/>
      <c r="T879" s="100"/>
      <c r="U879" s="100"/>
      <c r="V879" s="100"/>
      <c r="W879" s="100"/>
      <c r="X879" s="100"/>
      <c r="Y879" s="100"/>
      <c r="Z879" s="100"/>
      <c r="AA879" s="228"/>
      <c r="AB879" s="228"/>
      <c r="AC879" s="228"/>
      <c r="AD879" s="228"/>
      <c r="AE879" s="228"/>
      <c r="AF879" s="228"/>
      <c r="AG879" s="228"/>
      <c r="AH879" s="228"/>
      <c r="AI879" s="228"/>
      <c r="AJ879" s="228"/>
      <c r="AK879" s="228"/>
      <c r="AL879" s="228"/>
      <c r="AM879" s="228"/>
      <c r="AN879" s="228"/>
      <c r="AO879" s="228"/>
      <c r="AP879" s="228"/>
      <c r="AQ879" s="228"/>
      <c r="AR879" s="228"/>
      <c r="AS879" s="228"/>
      <c r="AT879" s="228"/>
      <c r="AU879" s="228"/>
      <c r="AV879" s="228"/>
      <c r="AW879" s="228"/>
      <c r="AX879" s="228"/>
      <c r="AY879" s="228"/>
      <c r="AZ879" s="228"/>
      <c r="BA879" s="228"/>
      <c r="BB879" s="228"/>
      <c r="BC879" s="228"/>
      <c r="BD879" s="100"/>
      <c r="BE879" s="100"/>
      <c r="BF879" s="100"/>
      <c r="BG879" s="100"/>
      <c r="BH879" s="100"/>
      <c r="BI879" s="100"/>
      <c r="BJ879" s="100"/>
      <c r="BK879" s="12"/>
      <c r="BL879" s="12"/>
    </row>
    <row r="880" spans="1:64" hidden="1" outlineLevel="1">
      <c r="A880" s="9"/>
      <c r="B880" s="9"/>
      <c r="C880" s="44"/>
      <c r="D880" s="349">
        <f>Asset23</f>
        <v>0</v>
      </c>
      <c r="E880" s="9"/>
      <c r="F880" s="9"/>
      <c r="G880" s="204">
        <f>'Adjustment for previous period'!G564</f>
        <v>0</v>
      </c>
      <c r="H880" s="35"/>
      <c r="I880" s="35"/>
      <c r="J880" s="35"/>
      <c r="K880" s="35"/>
      <c r="L880" s="35"/>
      <c r="M880" s="35"/>
      <c r="N880" s="29"/>
      <c r="O880" s="29"/>
      <c r="P880" s="29"/>
      <c r="Q880" s="29"/>
      <c r="R880" s="29"/>
      <c r="S880" s="100"/>
      <c r="T880" s="100"/>
      <c r="U880" s="100"/>
      <c r="V880" s="100"/>
      <c r="W880" s="100"/>
      <c r="X880" s="100"/>
      <c r="Y880" s="100"/>
      <c r="Z880" s="100"/>
      <c r="AA880" s="228"/>
      <c r="AB880" s="228"/>
      <c r="AC880" s="228"/>
      <c r="AD880" s="228"/>
      <c r="AE880" s="228"/>
      <c r="AF880" s="228"/>
      <c r="AG880" s="228"/>
      <c r="AH880" s="228"/>
      <c r="AI880" s="228"/>
      <c r="AJ880" s="228"/>
      <c r="AK880" s="228"/>
      <c r="AL880" s="228"/>
      <c r="AM880" s="228"/>
      <c r="AN880" s="228"/>
      <c r="AO880" s="228"/>
      <c r="AP880" s="228"/>
      <c r="AQ880" s="228"/>
      <c r="AR880" s="228"/>
      <c r="AS880" s="228"/>
      <c r="AT880" s="228"/>
      <c r="AU880" s="228"/>
      <c r="AV880" s="228"/>
      <c r="AW880" s="228"/>
      <c r="AX880" s="228"/>
      <c r="AY880" s="228"/>
      <c r="AZ880" s="228"/>
      <c r="BA880" s="228"/>
      <c r="BB880" s="228"/>
      <c r="BC880" s="228"/>
      <c r="BD880" s="100"/>
      <c r="BE880" s="100"/>
      <c r="BF880" s="100"/>
      <c r="BG880" s="100"/>
      <c r="BH880" s="100"/>
      <c r="BI880" s="100"/>
      <c r="BJ880" s="100"/>
      <c r="BK880" s="12"/>
      <c r="BL880" s="12"/>
    </row>
    <row r="881" spans="1:64" hidden="1" outlineLevel="1">
      <c r="A881" s="9"/>
      <c r="B881" s="9"/>
      <c r="C881" s="44"/>
      <c r="D881" s="349">
        <f>Asset24</f>
        <v>0</v>
      </c>
      <c r="E881" s="9"/>
      <c r="F881" s="9"/>
      <c r="G881" s="204">
        <f>'Adjustment for previous period'!G565</f>
        <v>0</v>
      </c>
      <c r="H881" s="35"/>
      <c r="I881" s="35"/>
      <c r="J881" s="35"/>
      <c r="K881" s="35"/>
      <c r="L881" s="35"/>
      <c r="M881" s="35"/>
      <c r="N881" s="29"/>
      <c r="O881" s="29"/>
      <c r="P881" s="29"/>
      <c r="Q881" s="29"/>
      <c r="R881" s="29"/>
      <c r="S881" s="100"/>
      <c r="T881" s="100"/>
      <c r="U881" s="100"/>
      <c r="V881" s="100"/>
      <c r="W881" s="100"/>
      <c r="X881" s="100"/>
      <c r="Y881" s="100"/>
      <c r="Z881" s="100"/>
      <c r="AA881" s="228"/>
      <c r="AB881" s="228"/>
      <c r="AC881" s="228"/>
      <c r="AD881" s="228"/>
      <c r="AE881" s="228"/>
      <c r="AF881" s="228"/>
      <c r="AG881" s="228"/>
      <c r="AH881" s="228"/>
      <c r="AI881" s="228"/>
      <c r="AJ881" s="228"/>
      <c r="AK881" s="228"/>
      <c r="AL881" s="228"/>
      <c r="AM881" s="228"/>
      <c r="AN881" s="228"/>
      <c r="AO881" s="228"/>
      <c r="AP881" s="228"/>
      <c r="AQ881" s="228"/>
      <c r="AR881" s="228"/>
      <c r="AS881" s="228"/>
      <c r="AT881" s="228"/>
      <c r="AU881" s="228"/>
      <c r="AV881" s="228"/>
      <c r="AW881" s="228"/>
      <c r="AX881" s="228"/>
      <c r="AY881" s="228"/>
      <c r="AZ881" s="228"/>
      <c r="BA881" s="228"/>
      <c r="BB881" s="228"/>
      <c r="BC881" s="228"/>
      <c r="BD881" s="100"/>
      <c r="BE881" s="100"/>
      <c r="BF881" s="100"/>
      <c r="BG881" s="100"/>
      <c r="BH881" s="100"/>
      <c r="BI881" s="100"/>
      <c r="BJ881" s="100"/>
      <c r="BK881" s="12"/>
      <c r="BL881" s="12"/>
    </row>
    <row r="882" spans="1:64" hidden="1" outlineLevel="1">
      <c r="A882" s="9"/>
      <c r="B882" s="9"/>
      <c r="C882" s="44"/>
      <c r="D882" s="349">
        <f>Asset25</f>
        <v>0</v>
      </c>
      <c r="E882" s="9"/>
      <c r="F882" s="9"/>
      <c r="G882" s="204">
        <f>'Adjustment for previous period'!G566</f>
        <v>0</v>
      </c>
      <c r="H882" s="35"/>
      <c r="I882" s="35"/>
      <c r="J882" s="35"/>
      <c r="K882" s="35"/>
      <c r="L882" s="35"/>
      <c r="M882" s="35"/>
      <c r="N882" s="29"/>
      <c r="O882" s="29"/>
      <c r="P882" s="29"/>
      <c r="Q882" s="29"/>
      <c r="R882" s="29"/>
      <c r="S882" s="100"/>
      <c r="T882" s="100"/>
      <c r="U882" s="100"/>
      <c r="V882" s="100"/>
      <c r="W882" s="100"/>
      <c r="X882" s="100"/>
      <c r="Y882" s="100"/>
      <c r="Z882" s="100"/>
      <c r="AA882" s="228"/>
      <c r="AB882" s="228"/>
      <c r="AC882" s="228"/>
      <c r="AD882" s="228"/>
      <c r="AE882" s="228"/>
      <c r="AF882" s="228"/>
      <c r="AG882" s="228"/>
      <c r="AH882" s="228"/>
      <c r="AI882" s="228"/>
      <c r="AJ882" s="228"/>
      <c r="AK882" s="228"/>
      <c r="AL882" s="228"/>
      <c r="AM882" s="228"/>
      <c r="AN882" s="228"/>
      <c r="AO882" s="228"/>
      <c r="AP882" s="228"/>
      <c r="AQ882" s="228"/>
      <c r="AR882" s="228"/>
      <c r="AS882" s="228"/>
      <c r="AT882" s="228"/>
      <c r="AU882" s="228"/>
      <c r="AV882" s="228"/>
      <c r="AW882" s="228"/>
      <c r="AX882" s="228"/>
      <c r="AY882" s="228"/>
      <c r="AZ882" s="228"/>
      <c r="BA882" s="228"/>
      <c r="BB882" s="228"/>
      <c r="BC882" s="228"/>
      <c r="BD882" s="100"/>
      <c r="BE882" s="100"/>
      <c r="BF882" s="100"/>
      <c r="BG882" s="100"/>
      <c r="BH882" s="100"/>
      <c r="BI882" s="100"/>
      <c r="BJ882" s="100"/>
      <c r="BK882" s="12"/>
      <c r="BL882" s="12"/>
    </row>
    <row r="883" spans="1:64" hidden="1" outlineLevel="1">
      <c r="A883" s="9"/>
      <c r="B883" s="9"/>
      <c r="C883" s="44"/>
      <c r="D883" s="349">
        <f>Asset26</f>
        <v>0</v>
      </c>
      <c r="E883" s="9"/>
      <c r="F883" s="9"/>
      <c r="G883" s="204">
        <f>'Adjustment for previous period'!G567</f>
        <v>0</v>
      </c>
      <c r="H883" s="35"/>
      <c r="I883" s="35"/>
      <c r="J883" s="35"/>
      <c r="K883" s="35"/>
      <c r="L883" s="35"/>
      <c r="M883" s="35"/>
      <c r="N883" s="29"/>
      <c r="O883" s="29"/>
      <c r="P883" s="29"/>
      <c r="Q883" s="29"/>
      <c r="R883" s="29"/>
      <c r="S883" s="100"/>
      <c r="T883" s="100"/>
      <c r="U883" s="100"/>
      <c r="V883" s="100"/>
      <c r="W883" s="100"/>
      <c r="X883" s="100"/>
      <c r="Y883" s="100"/>
      <c r="Z883" s="100"/>
      <c r="AA883" s="228"/>
      <c r="AB883" s="228"/>
      <c r="AC883" s="228"/>
      <c r="AD883" s="228"/>
      <c r="AE883" s="228"/>
      <c r="AF883" s="228"/>
      <c r="AG883" s="228"/>
      <c r="AH883" s="228"/>
      <c r="AI883" s="228"/>
      <c r="AJ883" s="228"/>
      <c r="AK883" s="228"/>
      <c r="AL883" s="228"/>
      <c r="AM883" s="228"/>
      <c r="AN883" s="228"/>
      <c r="AO883" s="228"/>
      <c r="AP883" s="228"/>
      <c r="AQ883" s="228"/>
      <c r="AR883" s="228"/>
      <c r="AS883" s="228"/>
      <c r="AT883" s="228"/>
      <c r="AU883" s="228"/>
      <c r="AV883" s="228"/>
      <c r="AW883" s="228"/>
      <c r="AX883" s="228"/>
      <c r="AY883" s="228"/>
      <c r="AZ883" s="228"/>
      <c r="BA883" s="228"/>
      <c r="BB883" s="228"/>
      <c r="BC883" s="228"/>
      <c r="BD883" s="100"/>
      <c r="BE883" s="100"/>
      <c r="BF883" s="100"/>
      <c r="BG883" s="100"/>
      <c r="BH883" s="100"/>
      <c r="BI883" s="100"/>
      <c r="BJ883" s="100"/>
      <c r="BK883" s="12"/>
      <c r="BL883" s="12"/>
    </row>
    <row r="884" spans="1:64" hidden="1" outlineLevel="1">
      <c r="A884" s="9"/>
      <c r="B884" s="9"/>
      <c r="C884" s="44"/>
      <c r="D884" s="349">
        <f>Asset27</f>
        <v>0</v>
      </c>
      <c r="E884" s="9"/>
      <c r="F884" s="9"/>
      <c r="G884" s="204">
        <f>'Adjustment for previous period'!G568</f>
        <v>0</v>
      </c>
      <c r="H884" s="35"/>
      <c r="I884" s="35"/>
      <c r="J884" s="35"/>
      <c r="K884" s="35"/>
      <c r="L884" s="35"/>
      <c r="M884" s="35"/>
      <c r="N884" s="29"/>
      <c r="O884" s="29"/>
      <c r="P884" s="29"/>
      <c r="Q884" s="29"/>
      <c r="R884" s="29"/>
      <c r="S884" s="100"/>
      <c r="T884" s="100"/>
      <c r="U884" s="100"/>
      <c r="V884" s="100"/>
      <c r="W884" s="100"/>
      <c r="X884" s="100"/>
      <c r="Y884" s="100"/>
      <c r="Z884" s="100"/>
      <c r="AA884" s="228"/>
      <c r="AB884" s="228"/>
      <c r="AC884" s="228"/>
      <c r="AD884" s="228"/>
      <c r="AE884" s="228"/>
      <c r="AF884" s="228"/>
      <c r="AG884" s="228"/>
      <c r="AH884" s="228"/>
      <c r="AI884" s="228"/>
      <c r="AJ884" s="228"/>
      <c r="AK884" s="228"/>
      <c r="AL884" s="228"/>
      <c r="AM884" s="228"/>
      <c r="AN884" s="228"/>
      <c r="AO884" s="228"/>
      <c r="AP884" s="228"/>
      <c r="AQ884" s="228"/>
      <c r="AR884" s="228"/>
      <c r="AS884" s="228"/>
      <c r="AT884" s="228"/>
      <c r="AU884" s="228"/>
      <c r="AV884" s="228"/>
      <c r="AW884" s="228"/>
      <c r="AX884" s="228"/>
      <c r="AY884" s="228"/>
      <c r="AZ884" s="228"/>
      <c r="BA884" s="228"/>
      <c r="BB884" s="228"/>
      <c r="BC884" s="228"/>
      <c r="BD884" s="100"/>
      <c r="BE884" s="100"/>
      <c r="BF884" s="100"/>
      <c r="BG884" s="100"/>
      <c r="BH884" s="100"/>
      <c r="BI884" s="100"/>
      <c r="BJ884" s="100"/>
      <c r="BK884" s="12"/>
      <c r="BL884" s="12"/>
    </row>
    <row r="885" spans="1:64" hidden="1" outlineLevel="1">
      <c r="A885" s="9"/>
      <c r="B885" s="9"/>
      <c r="C885" s="44"/>
      <c r="D885" s="349">
        <f>Asset28</f>
        <v>0</v>
      </c>
      <c r="E885" s="9"/>
      <c r="F885" s="9"/>
      <c r="G885" s="204">
        <f>'Adjustment for previous period'!G569</f>
        <v>0</v>
      </c>
      <c r="H885" s="35"/>
      <c r="I885" s="35"/>
      <c r="J885" s="35"/>
      <c r="K885" s="35"/>
      <c r="L885" s="35"/>
      <c r="M885" s="35"/>
      <c r="N885" s="29"/>
      <c r="O885" s="29"/>
      <c r="P885" s="29"/>
      <c r="Q885" s="29"/>
      <c r="R885" s="29"/>
      <c r="S885" s="100"/>
      <c r="T885" s="100"/>
      <c r="U885" s="100"/>
      <c r="V885" s="100"/>
      <c r="W885" s="100"/>
      <c r="X885" s="100"/>
      <c r="Y885" s="100"/>
      <c r="Z885" s="100"/>
      <c r="AA885" s="228"/>
      <c r="AB885" s="228"/>
      <c r="AC885" s="228"/>
      <c r="AD885" s="228"/>
      <c r="AE885" s="228"/>
      <c r="AF885" s="228"/>
      <c r="AG885" s="228"/>
      <c r="AH885" s="228"/>
      <c r="AI885" s="228"/>
      <c r="AJ885" s="228"/>
      <c r="AK885" s="228"/>
      <c r="AL885" s="228"/>
      <c r="AM885" s="228"/>
      <c r="AN885" s="228"/>
      <c r="AO885" s="228"/>
      <c r="AP885" s="228"/>
      <c r="AQ885" s="228"/>
      <c r="AR885" s="228"/>
      <c r="AS885" s="228"/>
      <c r="AT885" s="228"/>
      <c r="AU885" s="228"/>
      <c r="AV885" s="228"/>
      <c r="AW885" s="228"/>
      <c r="AX885" s="228"/>
      <c r="AY885" s="228"/>
      <c r="AZ885" s="228"/>
      <c r="BA885" s="228"/>
      <c r="BB885" s="228"/>
      <c r="BC885" s="228"/>
      <c r="BD885" s="100"/>
      <c r="BE885" s="100"/>
      <c r="BF885" s="100"/>
      <c r="BG885" s="100"/>
      <c r="BH885" s="100"/>
      <c r="BI885" s="100"/>
      <c r="BJ885" s="100"/>
      <c r="BK885" s="12"/>
      <c r="BL885" s="12"/>
    </row>
    <row r="886" spans="1:64" hidden="1" outlineLevel="1">
      <c r="A886" s="9"/>
      <c r="B886" s="9"/>
      <c r="C886" s="44"/>
      <c r="D886" s="349">
        <f>Asset29</f>
        <v>0</v>
      </c>
      <c r="E886" s="9"/>
      <c r="F886" s="9"/>
      <c r="G886" s="204">
        <f>'Adjustment for previous period'!G570</f>
        <v>0</v>
      </c>
      <c r="H886" s="35"/>
      <c r="I886" s="35"/>
      <c r="J886" s="35"/>
      <c r="K886" s="35"/>
      <c r="L886" s="35"/>
      <c r="M886" s="35"/>
      <c r="N886" s="29"/>
      <c r="O886" s="29"/>
      <c r="P886" s="29"/>
      <c r="Q886" s="29"/>
      <c r="R886" s="29"/>
      <c r="S886" s="100"/>
      <c r="T886" s="100"/>
      <c r="U886" s="100"/>
      <c r="V886" s="100"/>
      <c r="W886" s="100"/>
      <c r="X886" s="100"/>
      <c r="Y886" s="100"/>
      <c r="Z886" s="100"/>
      <c r="AA886" s="228"/>
      <c r="AB886" s="228"/>
      <c r="AC886" s="228"/>
      <c r="AD886" s="228"/>
      <c r="AE886" s="228"/>
      <c r="AF886" s="228"/>
      <c r="AG886" s="228"/>
      <c r="AH886" s="228"/>
      <c r="AI886" s="228"/>
      <c r="AJ886" s="228"/>
      <c r="AK886" s="228"/>
      <c r="AL886" s="228"/>
      <c r="AM886" s="228"/>
      <c r="AN886" s="228"/>
      <c r="AO886" s="228"/>
      <c r="AP886" s="228"/>
      <c r="AQ886" s="228"/>
      <c r="AR886" s="228"/>
      <c r="AS886" s="228"/>
      <c r="AT886" s="228"/>
      <c r="AU886" s="228"/>
      <c r="AV886" s="228"/>
      <c r="AW886" s="228"/>
      <c r="AX886" s="228"/>
      <c r="AY886" s="228"/>
      <c r="AZ886" s="228"/>
      <c r="BA886" s="228"/>
      <c r="BB886" s="228"/>
      <c r="BC886" s="228"/>
      <c r="BD886" s="100"/>
      <c r="BE886" s="100"/>
      <c r="BF886" s="100"/>
      <c r="BG886" s="100"/>
      <c r="BH886" s="100"/>
      <c r="BI886" s="100"/>
      <c r="BJ886" s="100"/>
      <c r="BK886" s="12"/>
      <c r="BL886" s="12"/>
    </row>
    <row r="887" spans="1:64" hidden="1" outlineLevel="1">
      <c r="A887" s="9"/>
      <c r="B887" s="9"/>
      <c r="C887" s="44"/>
      <c r="D887" s="349">
        <f>Asset30</f>
        <v>0</v>
      </c>
      <c r="E887" s="9"/>
      <c r="F887" s="9"/>
      <c r="G887" s="204">
        <f>'Adjustment for previous period'!G571</f>
        <v>0</v>
      </c>
      <c r="H887" s="35"/>
      <c r="I887" s="35"/>
      <c r="J887" s="35"/>
      <c r="K887" s="35"/>
      <c r="L887" s="35"/>
      <c r="M887" s="35"/>
      <c r="N887" s="29"/>
      <c r="O887" s="29"/>
      <c r="P887" s="29"/>
      <c r="Q887" s="29"/>
      <c r="R887" s="29"/>
      <c r="S887" s="100"/>
      <c r="T887" s="100"/>
      <c r="U887" s="100"/>
      <c r="V887" s="100"/>
      <c r="W887" s="100"/>
      <c r="X887" s="100"/>
      <c r="Y887" s="100"/>
      <c r="Z887" s="100"/>
      <c r="AA887" s="228"/>
      <c r="AB887" s="228"/>
      <c r="AC887" s="228"/>
      <c r="AD887" s="228"/>
      <c r="AE887" s="228"/>
      <c r="AF887" s="228"/>
      <c r="AG887" s="228"/>
      <c r="AH887" s="228"/>
      <c r="AI887" s="228"/>
      <c r="AJ887" s="228"/>
      <c r="AK887" s="228"/>
      <c r="AL887" s="228"/>
      <c r="AM887" s="228"/>
      <c r="AN887" s="228"/>
      <c r="AO887" s="228"/>
      <c r="AP887" s="228"/>
      <c r="AQ887" s="228"/>
      <c r="AR887" s="228"/>
      <c r="AS887" s="228"/>
      <c r="AT887" s="228"/>
      <c r="AU887" s="228"/>
      <c r="AV887" s="228"/>
      <c r="AW887" s="228"/>
      <c r="AX887" s="228"/>
      <c r="AY887" s="228"/>
      <c r="AZ887" s="228"/>
      <c r="BA887" s="228"/>
      <c r="BB887" s="228"/>
      <c r="BC887" s="228"/>
      <c r="BD887" s="100"/>
      <c r="BE887" s="100"/>
      <c r="BF887" s="100"/>
      <c r="BG887" s="100"/>
      <c r="BH887" s="100"/>
      <c r="BI887" s="100"/>
      <c r="BJ887" s="100"/>
      <c r="BK887" s="12"/>
      <c r="BL887" s="12"/>
    </row>
    <row r="888" spans="1:64" collapsed="1">
      <c r="A888" s="9"/>
      <c r="B888" s="9"/>
      <c r="C888" s="44"/>
      <c r="D888" s="113"/>
      <c r="E888" s="9"/>
      <c r="F888" s="9"/>
      <c r="G888" s="281"/>
      <c r="H888" s="35"/>
      <c r="I888" s="35"/>
      <c r="J888" s="35"/>
      <c r="K888" s="35"/>
      <c r="L888" s="35"/>
      <c r="M888" s="35"/>
      <c r="N888" s="29"/>
      <c r="O888" s="29"/>
      <c r="P888" s="29"/>
      <c r="Q888" s="29"/>
      <c r="R888" s="29"/>
      <c r="S888" s="100"/>
      <c r="T888" s="100"/>
      <c r="U888" s="100"/>
      <c r="V888" s="100"/>
      <c r="W888" s="100"/>
      <c r="X888" s="100"/>
      <c r="Y888" s="100"/>
      <c r="Z888" s="100"/>
      <c r="AA888" s="228"/>
      <c r="AB888" s="228"/>
      <c r="AC888" s="228"/>
      <c r="AD888" s="228"/>
      <c r="AE888" s="228"/>
      <c r="AF888" s="228"/>
      <c r="AG888" s="228"/>
      <c r="AH888" s="228"/>
      <c r="AI888" s="228"/>
      <c r="AJ888" s="228"/>
      <c r="AK888" s="228"/>
      <c r="AL888" s="228"/>
      <c r="AM888" s="228"/>
      <c r="AN888" s="228"/>
      <c r="AO888" s="228"/>
      <c r="AP888" s="228"/>
      <c r="AQ888" s="228"/>
      <c r="AR888" s="228"/>
      <c r="AS888" s="228"/>
      <c r="AT888" s="228"/>
      <c r="AU888" s="228"/>
      <c r="AV888" s="228"/>
      <c r="AW888" s="228"/>
      <c r="AX888" s="228"/>
      <c r="AY888" s="228"/>
      <c r="AZ888" s="228"/>
      <c r="BA888" s="228"/>
      <c r="BB888" s="228"/>
      <c r="BC888" s="228"/>
      <c r="BD888" s="100"/>
      <c r="BE888" s="100"/>
      <c r="BF888" s="100"/>
      <c r="BG888" s="100"/>
      <c r="BH888" s="100"/>
      <c r="BI888" s="100"/>
      <c r="BJ888" s="100"/>
      <c r="BK888" s="12"/>
      <c r="BL888" s="12"/>
    </row>
    <row r="889" spans="1:64">
      <c r="A889" s="9"/>
      <c r="B889" s="9"/>
      <c r="C889" s="44" t="s">
        <v>61</v>
      </c>
      <c r="D889" s="113"/>
      <c r="E889" s="9"/>
      <c r="F889" s="9"/>
      <c r="G889" s="312">
        <f>SUM(G890:G919)</f>
        <v>-18.986894388246089</v>
      </c>
      <c r="H889" s="35"/>
      <c r="I889" s="35"/>
      <c r="J889" s="35"/>
      <c r="K889" s="35"/>
      <c r="L889" s="35"/>
      <c r="M889" s="35"/>
      <c r="N889" s="29"/>
      <c r="O889" s="29"/>
      <c r="P889" s="29"/>
      <c r="Q889" s="29"/>
      <c r="R889" s="29"/>
      <c r="S889" s="100"/>
      <c r="T889" s="100"/>
      <c r="U889" s="100"/>
      <c r="V889" s="100"/>
      <c r="W889" s="100"/>
      <c r="X889" s="100"/>
      <c r="Y889" s="100"/>
      <c r="Z889" s="100"/>
      <c r="AA889" s="228"/>
      <c r="AB889" s="228"/>
      <c r="AC889" s="228"/>
      <c r="AD889" s="228"/>
      <c r="AE889" s="228"/>
      <c r="AF889" s="228"/>
      <c r="AG889" s="228"/>
      <c r="AH889" s="228"/>
      <c r="AI889" s="228"/>
      <c r="AJ889" s="228"/>
      <c r="AK889" s="228"/>
      <c r="AL889" s="228"/>
      <c r="AM889" s="228"/>
      <c r="AN889" s="228"/>
      <c r="AO889" s="228"/>
      <c r="AP889" s="228"/>
      <c r="AQ889" s="228"/>
      <c r="AR889" s="228"/>
      <c r="AS889" s="228"/>
      <c r="AT889" s="228"/>
      <c r="AU889" s="228"/>
      <c r="AV889" s="228"/>
      <c r="AW889" s="228"/>
      <c r="AX889" s="228"/>
      <c r="AY889" s="228"/>
      <c r="AZ889" s="228"/>
      <c r="BA889" s="228"/>
      <c r="BB889" s="228"/>
      <c r="BC889" s="228"/>
      <c r="BD889" s="100"/>
      <c r="BE889" s="100"/>
      <c r="BF889" s="100"/>
      <c r="BG889" s="100"/>
      <c r="BH889" s="100"/>
      <c r="BI889" s="100"/>
      <c r="BJ889" s="100"/>
      <c r="BK889" s="12"/>
      <c r="BL889" s="12"/>
    </row>
    <row r="890" spans="1:64" hidden="1" outlineLevel="1">
      <c r="A890" s="9"/>
      <c r="B890" s="9"/>
      <c r="C890" s="9"/>
      <c r="D890" s="270" t="str">
        <f>Asset1</f>
        <v>Secondary</v>
      </c>
      <c r="E890" s="9"/>
      <c r="F890" s="9"/>
      <c r="G890" s="204">
        <f>'Adjustment for previous period'!G574</f>
        <v>-12.351417430702048</v>
      </c>
      <c r="H890" s="35"/>
      <c r="I890" s="35"/>
      <c r="J890" s="35"/>
      <c r="K890" s="35"/>
      <c r="L890" s="35"/>
      <c r="M890" s="35"/>
      <c r="N890" s="29"/>
      <c r="O890" s="29"/>
      <c r="P890" s="29"/>
      <c r="Q890" s="29"/>
      <c r="R890" s="29"/>
      <c r="S890" s="100"/>
      <c r="T890" s="100"/>
      <c r="U890" s="100"/>
      <c r="V890" s="100"/>
      <c r="W890" s="100"/>
      <c r="X890" s="100"/>
      <c r="Y890" s="100"/>
      <c r="Z890" s="100"/>
      <c r="AA890" s="228"/>
      <c r="AB890" s="228"/>
      <c r="AC890" s="228"/>
      <c r="AD890" s="228"/>
      <c r="AE890" s="228"/>
      <c r="AF890" s="228"/>
      <c r="AG890" s="228"/>
      <c r="AH890" s="228"/>
      <c r="AI890" s="228"/>
      <c r="AJ890" s="228"/>
      <c r="AK890" s="228"/>
      <c r="AL890" s="228"/>
      <c r="AM890" s="228"/>
      <c r="AN890" s="228"/>
      <c r="AO890" s="228"/>
      <c r="AP890" s="228"/>
      <c r="AQ890" s="228"/>
      <c r="AR890" s="228"/>
      <c r="AS890" s="228"/>
      <c r="AT890" s="228"/>
      <c r="AU890" s="228"/>
      <c r="AV890" s="228"/>
      <c r="AW890" s="228"/>
      <c r="AX890" s="228"/>
      <c r="AY890" s="228"/>
      <c r="AZ890" s="228"/>
      <c r="BA890" s="228"/>
      <c r="BB890" s="228"/>
      <c r="BC890" s="228"/>
      <c r="BD890" s="100"/>
      <c r="BE890" s="100"/>
      <c r="BF890" s="100"/>
      <c r="BG890" s="100"/>
      <c r="BH890" s="100"/>
      <c r="BI890" s="100"/>
      <c r="BJ890" s="100"/>
      <c r="BK890" s="12"/>
      <c r="BL890" s="12"/>
    </row>
    <row r="891" spans="1:64" hidden="1" outlineLevel="1">
      <c r="A891" s="9"/>
      <c r="B891" s="9"/>
      <c r="C891" s="44"/>
      <c r="D891" s="270" t="str">
        <f>Asset2</f>
        <v>Switchgear</v>
      </c>
      <c r="E891" s="9"/>
      <c r="F891" s="9"/>
      <c r="G891" s="204">
        <f>'Adjustment for previous period'!G575</f>
        <v>-1.428515011584818</v>
      </c>
      <c r="H891" s="35"/>
      <c r="I891" s="35"/>
      <c r="J891" s="35"/>
      <c r="K891" s="35"/>
      <c r="L891" s="35"/>
      <c r="M891" s="35"/>
      <c r="N891" s="29"/>
      <c r="O891" s="29"/>
      <c r="P891" s="29"/>
      <c r="Q891" s="29"/>
      <c r="R891" s="29"/>
      <c r="S891" s="100"/>
      <c r="T891" s="100"/>
      <c r="U891" s="100"/>
      <c r="V891" s="100"/>
      <c r="W891" s="100"/>
      <c r="X891" s="100"/>
      <c r="Y891" s="100"/>
      <c r="Z891" s="100"/>
      <c r="AA891" s="228"/>
      <c r="AB891" s="228"/>
      <c r="AC891" s="228"/>
      <c r="AD891" s="228"/>
      <c r="AE891" s="228"/>
      <c r="AF891" s="228"/>
      <c r="AG891" s="228"/>
      <c r="AH891" s="228"/>
      <c r="AI891" s="228"/>
      <c r="AJ891" s="228"/>
      <c r="AK891" s="228"/>
      <c r="AL891" s="228"/>
      <c r="AM891" s="228"/>
      <c r="AN891" s="228"/>
      <c r="AO891" s="228"/>
      <c r="AP891" s="228"/>
      <c r="AQ891" s="228"/>
      <c r="AR891" s="228"/>
      <c r="AS891" s="228"/>
      <c r="AT891" s="228"/>
      <c r="AU891" s="228"/>
      <c r="AV891" s="228"/>
      <c r="AW891" s="228"/>
      <c r="AX891" s="228"/>
      <c r="AY891" s="228"/>
      <c r="AZ891" s="228"/>
      <c r="BA891" s="228"/>
      <c r="BB891" s="228"/>
      <c r="BC891" s="228"/>
      <c r="BD891" s="100"/>
      <c r="BE891" s="100"/>
      <c r="BF891" s="100"/>
      <c r="BG891" s="100"/>
      <c r="BH891" s="100"/>
      <c r="BI891" s="100"/>
      <c r="BJ891" s="100"/>
      <c r="BK891" s="12"/>
      <c r="BL891" s="12"/>
    </row>
    <row r="892" spans="1:64" hidden="1" outlineLevel="1">
      <c r="A892" s="9"/>
      <c r="B892" s="9"/>
      <c r="C892" s="44"/>
      <c r="D892" s="270" t="str">
        <f>Asset3</f>
        <v>Transformers</v>
      </c>
      <c r="E892" s="9"/>
      <c r="F892" s="9"/>
      <c r="G892" s="204">
        <f>'Adjustment for previous period'!G576</f>
        <v>-5.1534767631484444</v>
      </c>
      <c r="H892" s="35"/>
      <c r="I892" s="35"/>
      <c r="J892" s="35"/>
      <c r="K892" s="35"/>
      <c r="L892" s="35"/>
      <c r="M892" s="35"/>
      <c r="N892" s="29"/>
      <c r="O892" s="29"/>
      <c r="P892" s="29"/>
      <c r="Q892" s="29"/>
      <c r="R892" s="29"/>
      <c r="S892" s="100"/>
      <c r="T892" s="100"/>
      <c r="U892" s="100"/>
      <c r="V892" s="100"/>
      <c r="W892" s="100"/>
      <c r="X892" s="100"/>
      <c r="Y892" s="100"/>
      <c r="Z892" s="100"/>
      <c r="AA892" s="228"/>
      <c r="AB892" s="228"/>
      <c r="AC892" s="228"/>
      <c r="AD892" s="228"/>
      <c r="AE892" s="228"/>
      <c r="AF892" s="228"/>
      <c r="AG892" s="228"/>
      <c r="AH892" s="228"/>
      <c r="AI892" s="228"/>
      <c r="AJ892" s="228"/>
      <c r="AK892" s="228"/>
      <c r="AL892" s="228"/>
      <c r="AM892" s="228"/>
      <c r="AN892" s="228"/>
      <c r="AO892" s="228"/>
      <c r="AP892" s="228"/>
      <c r="AQ892" s="228"/>
      <c r="AR892" s="228"/>
      <c r="AS892" s="228"/>
      <c r="AT892" s="228"/>
      <c r="AU892" s="228"/>
      <c r="AV892" s="228"/>
      <c r="AW892" s="228"/>
      <c r="AX892" s="228"/>
      <c r="AY892" s="228"/>
      <c r="AZ892" s="228"/>
      <c r="BA892" s="228"/>
      <c r="BB892" s="228"/>
      <c r="BC892" s="228"/>
      <c r="BD892" s="100"/>
      <c r="BE892" s="100"/>
      <c r="BF892" s="100"/>
      <c r="BG892" s="100"/>
      <c r="BH892" s="100"/>
      <c r="BI892" s="100"/>
      <c r="BJ892" s="100"/>
      <c r="BK892" s="12"/>
      <c r="BL892" s="12"/>
    </row>
    <row r="893" spans="1:64" hidden="1" outlineLevel="1">
      <c r="A893" s="9"/>
      <c r="B893" s="9"/>
      <c r="C893" s="44"/>
      <c r="D893" s="270" t="str">
        <f>Asset4</f>
        <v>Reactive</v>
      </c>
      <c r="E893" s="9"/>
      <c r="F893" s="9"/>
      <c r="G893" s="204">
        <f>'Adjustment for previous period'!G577</f>
        <v>-1.474197786426011</v>
      </c>
      <c r="H893" s="35"/>
      <c r="I893" s="35"/>
      <c r="J893" s="35"/>
      <c r="K893" s="35"/>
      <c r="L893" s="35"/>
      <c r="M893" s="35"/>
      <c r="N893" s="29"/>
      <c r="O893" s="29"/>
      <c r="P893" s="29"/>
      <c r="Q893" s="29"/>
      <c r="R893" s="29"/>
      <c r="S893" s="100"/>
      <c r="T893" s="100"/>
      <c r="U893" s="100"/>
      <c r="V893" s="100"/>
      <c r="W893" s="100"/>
      <c r="X893" s="100"/>
      <c r="Y893" s="100"/>
      <c r="Z893" s="100"/>
      <c r="AA893" s="228"/>
      <c r="AB893" s="228"/>
      <c r="AC893" s="228"/>
      <c r="AD893" s="228"/>
      <c r="AE893" s="228"/>
      <c r="AF893" s="228"/>
      <c r="AG893" s="228"/>
      <c r="AH893" s="228"/>
      <c r="AI893" s="228"/>
      <c r="AJ893" s="228"/>
      <c r="AK893" s="228"/>
      <c r="AL893" s="228"/>
      <c r="AM893" s="228"/>
      <c r="AN893" s="228"/>
      <c r="AO893" s="228"/>
      <c r="AP893" s="228"/>
      <c r="AQ893" s="228"/>
      <c r="AR893" s="228"/>
      <c r="AS893" s="228"/>
      <c r="AT893" s="228"/>
      <c r="AU893" s="228"/>
      <c r="AV893" s="228"/>
      <c r="AW893" s="228"/>
      <c r="AX893" s="228"/>
      <c r="AY893" s="228"/>
      <c r="AZ893" s="228"/>
      <c r="BA893" s="228"/>
      <c r="BB893" s="228"/>
      <c r="BC893" s="228"/>
      <c r="BD893" s="100"/>
      <c r="BE893" s="100"/>
      <c r="BF893" s="100"/>
      <c r="BG893" s="100"/>
      <c r="BH893" s="100"/>
      <c r="BI893" s="100"/>
      <c r="BJ893" s="100"/>
      <c r="BK893" s="12"/>
      <c r="BL893" s="12"/>
    </row>
    <row r="894" spans="1:64" hidden="1" outlineLevel="1">
      <c r="A894" s="9"/>
      <c r="B894" s="9"/>
      <c r="C894" s="44"/>
      <c r="D894" s="270" t="str">
        <f>Asset5</f>
        <v>Towers and Conductor</v>
      </c>
      <c r="E894" s="9"/>
      <c r="F894" s="9"/>
      <c r="G894" s="204">
        <f>'Adjustment for previous period'!G578</f>
        <v>13.319989319926002</v>
      </c>
      <c r="H894" s="35"/>
      <c r="I894" s="35"/>
      <c r="J894" s="35"/>
      <c r="K894" s="35"/>
      <c r="L894" s="35"/>
      <c r="M894" s="35"/>
      <c r="N894" s="29"/>
      <c r="O894" s="29"/>
      <c r="P894" s="29"/>
      <c r="Q894" s="29"/>
      <c r="R894" s="29"/>
      <c r="S894" s="100"/>
      <c r="T894" s="100"/>
      <c r="U894" s="100"/>
      <c r="V894" s="100"/>
      <c r="W894" s="100"/>
      <c r="X894" s="100"/>
      <c r="Y894" s="100"/>
      <c r="Z894" s="100"/>
      <c r="AA894" s="228"/>
      <c r="AB894" s="228"/>
      <c r="AC894" s="228"/>
      <c r="AD894" s="228"/>
      <c r="AE894" s="228"/>
      <c r="AF894" s="228"/>
      <c r="AG894" s="228"/>
      <c r="AH894" s="228"/>
      <c r="AI894" s="228"/>
      <c r="AJ894" s="228"/>
      <c r="AK894" s="228"/>
      <c r="AL894" s="228"/>
      <c r="AM894" s="228"/>
      <c r="AN894" s="228"/>
      <c r="AO894" s="228"/>
      <c r="AP894" s="228"/>
      <c r="AQ894" s="228"/>
      <c r="AR894" s="228"/>
      <c r="AS894" s="228"/>
      <c r="AT894" s="228"/>
      <c r="AU894" s="228"/>
      <c r="AV894" s="228"/>
      <c r="AW894" s="228"/>
      <c r="AX894" s="228"/>
      <c r="AY894" s="228"/>
      <c r="AZ894" s="228"/>
      <c r="BA894" s="228"/>
      <c r="BB894" s="228"/>
      <c r="BC894" s="228"/>
      <c r="BD894" s="100"/>
      <c r="BE894" s="100"/>
      <c r="BF894" s="100"/>
      <c r="BG894" s="100"/>
      <c r="BH894" s="100"/>
      <c r="BI894" s="100"/>
      <c r="BJ894" s="100"/>
      <c r="BK894" s="12"/>
      <c r="BL894" s="12"/>
    </row>
    <row r="895" spans="1:64" hidden="1" outlineLevel="1">
      <c r="A895" s="9"/>
      <c r="B895" s="9"/>
      <c r="C895" s="44"/>
      <c r="D895" s="270" t="str">
        <f>Asset6</f>
        <v>Establishment</v>
      </c>
      <c r="E895" s="9"/>
      <c r="F895" s="9"/>
      <c r="G895" s="204">
        <f>'Adjustment for previous period'!G579</f>
        <v>-3.8615828986139329</v>
      </c>
      <c r="H895" s="35"/>
      <c r="I895" s="35"/>
      <c r="J895" s="35"/>
      <c r="K895" s="35"/>
      <c r="L895" s="35"/>
      <c r="M895" s="35"/>
      <c r="N895" s="29"/>
      <c r="O895" s="29"/>
      <c r="P895" s="29"/>
      <c r="Q895" s="29"/>
      <c r="R895" s="29"/>
      <c r="S895" s="100"/>
      <c r="T895" s="100"/>
      <c r="U895" s="100"/>
      <c r="V895" s="100"/>
      <c r="W895" s="100"/>
      <c r="X895" s="100"/>
      <c r="Y895" s="100"/>
      <c r="Z895" s="100"/>
      <c r="AA895" s="228"/>
      <c r="AB895" s="228"/>
      <c r="AC895" s="228"/>
      <c r="AD895" s="228"/>
      <c r="AE895" s="228"/>
      <c r="AF895" s="228"/>
      <c r="AG895" s="228"/>
      <c r="AH895" s="228"/>
      <c r="AI895" s="228"/>
      <c r="AJ895" s="228"/>
      <c r="AK895" s="228"/>
      <c r="AL895" s="228"/>
      <c r="AM895" s="228"/>
      <c r="AN895" s="228"/>
      <c r="AO895" s="228"/>
      <c r="AP895" s="228"/>
      <c r="AQ895" s="228"/>
      <c r="AR895" s="228"/>
      <c r="AS895" s="228"/>
      <c r="AT895" s="228"/>
      <c r="AU895" s="228"/>
      <c r="AV895" s="228"/>
      <c r="AW895" s="228"/>
      <c r="AX895" s="228"/>
      <c r="AY895" s="228"/>
      <c r="AZ895" s="228"/>
      <c r="BA895" s="228"/>
      <c r="BB895" s="228"/>
      <c r="BC895" s="228"/>
      <c r="BD895" s="100"/>
      <c r="BE895" s="100"/>
      <c r="BF895" s="100"/>
      <c r="BG895" s="100"/>
      <c r="BH895" s="100"/>
      <c r="BI895" s="100"/>
      <c r="BJ895" s="100"/>
      <c r="BK895" s="12"/>
      <c r="BL895" s="12"/>
    </row>
    <row r="896" spans="1:64" hidden="1" outlineLevel="1">
      <c r="A896" s="9"/>
      <c r="B896" s="9"/>
      <c r="C896" s="44"/>
      <c r="D896" s="270" t="str">
        <f>Asset7</f>
        <v>Communications</v>
      </c>
      <c r="E896" s="9"/>
      <c r="F896" s="9"/>
      <c r="G896" s="204">
        <f>'Adjustment for previous period'!G580</f>
        <v>-13.219881986010956</v>
      </c>
      <c r="H896" s="35"/>
      <c r="I896" s="35"/>
      <c r="J896" s="35"/>
      <c r="K896" s="35"/>
      <c r="L896" s="35"/>
      <c r="M896" s="35"/>
      <c r="N896" s="29"/>
      <c r="O896" s="29"/>
      <c r="P896" s="29"/>
      <c r="Q896" s="29"/>
      <c r="R896" s="29"/>
      <c r="S896" s="100"/>
      <c r="T896" s="100"/>
      <c r="U896" s="100"/>
      <c r="V896" s="100"/>
      <c r="W896" s="100"/>
      <c r="X896" s="100"/>
      <c r="Y896" s="100"/>
      <c r="Z896" s="100"/>
      <c r="AA896" s="228"/>
      <c r="AB896" s="228"/>
      <c r="AC896" s="228"/>
      <c r="AD896" s="228"/>
      <c r="AE896" s="228"/>
      <c r="AF896" s="228"/>
      <c r="AG896" s="228"/>
      <c r="AH896" s="228"/>
      <c r="AI896" s="228"/>
      <c r="AJ896" s="228"/>
      <c r="AK896" s="228"/>
      <c r="AL896" s="228"/>
      <c r="AM896" s="228"/>
      <c r="AN896" s="228"/>
      <c r="AO896" s="228"/>
      <c r="AP896" s="228"/>
      <c r="AQ896" s="228"/>
      <c r="AR896" s="228"/>
      <c r="AS896" s="228"/>
      <c r="AT896" s="228"/>
      <c r="AU896" s="228"/>
      <c r="AV896" s="228"/>
      <c r="AW896" s="228"/>
      <c r="AX896" s="228"/>
      <c r="AY896" s="228"/>
      <c r="AZ896" s="228"/>
      <c r="BA896" s="228"/>
      <c r="BB896" s="228"/>
      <c r="BC896" s="228"/>
      <c r="BD896" s="100"/>
      <c r="BE896" s="100"/>
      <c r="BF896" s="100"/>
      <c r="BG896" s="100"/>
      <c r="BH896" s="100"/>
      <c r="BI896" s="100"/>
      <c r="BJ896" s="100"/>
      <c r="BK896" s="12"/>
      <c r="BL896" s="12"/>
    </row>
    <row r="897" spans="1:64" hidden="1" outlineLevel="1">
      <c r="A897" s="9"/>
      <c r="B897" s="9"/>
      <c r="C897" s="44"/>
      <c r="D897" s="270" t="str">
        <f>Asset8</f>
        <v>Inventory</v>
      </c>
      <c r="E897" s="9"/>
      <c r="F897" s="9"/>
      <c r="G897" s="204">
        <f>'Adjustment for previous period'!G581</f>
        <v>0.70152223622115595</v>
      </c>
      <c r="H897" s="35"/>
      <c r="I897" s="35"/>
      <c r="J897" s="35"/>
      <c r="K897" s="35"/>
      <c r="L897" s="35"/>
      <c r="M897" s="35"/>
      <c r="N897" s="29"/>
      <c r="O897" s="29"/>
      <c r="P897" s="29"/>
      <c r="Q897" s="29"/>
      <c r="R897" s="29"/>
      <c r="S897" s="100"/>
      <c r="T897" s="100"/>
      <c r="U897" s="100"/>
      <c r="V897" s="100"/>
      <c r="W897" s="100"/>
      <c r="X897" s="100"/>
      <c r="Y897" s="100"/>
      <c r="Z897" s="100"/>
      <c r="AA897" s="228"/>
      <c r="AB897" s="228"/>
      <c r="AC897" s="228"/>
      <c r="AD897" s="228"/>
      <c r="AE897" s="228"/>
      <c r="AF897" s="228"/>
      <c r="AG897" s="228"/>
      <c r="AH897" s="228"/>
      <c r="AI897" s="228"/>
      <c r="AJ897" s="228"/>
      <c r="AK897" s="228"/>
      <c r="AL897" s="228"/>
      <c r="AM897" s="228"/>
      <c r="AN897" s="228"/>
      <c r="AO897" s="228"/>
      <c r="AP897" s="228"/>
      <c r="AQ897" s="228"/>
      <c r="AR897" s="228"/>
      <c r="AS897" s="228"/>
      <c r="AT897" s="228"/>
      <c r="AU897" s="228"/>
      <c r="AV897" s="228"/>
      <c r="AW897" s="228"/>
      <c r="AX897" s="228"/>
      <c r="AY897" s="228"/>
      <c r="AZ897" s="228"/>
      <c r="BA897" s="228"/>
      <c r="BB897" s="228"/>
      <c r="BC897" s="228"/>
      <c r="BD897" s="100"/>
      <c r="BE897" s="100"/>
      <c r="BF897" s="100"/>
      <c r="BG897" s="100"/>
      <c r="BH897" s="100"/>
      <c r="BI897" s="100"/>
      <c r="BJ897" s="100"/>
      <c r="BK897" s="12"/>
      <c r="BL897" s="12"/>
    </row>
    <row r="898" spans="1:64" hidden="1" outlineLevel="1">
      <c r="A898" s="9"/>
      <c r="B898" s="9"/>
      <c r="C898" s="44"/>
      <c r="D898" s="270" t="str">
        <f>Asset9</f>
        <v>IT</v>
      </c>
      <c r="E898" s="9"/>
      <c r="F898" s="9"/>
      <c r="G898" s="204">
        <f>'Adjustment for previous period'!G582</f>
        <v>3.1018293072285652</v>
      </c>
      <c r="H898" s="35"/>
      <c r="I898" s="35"/>
      <c r="J898" s="35"/>
      <c r="K898" s="35"/>
      <c r="L898" s="35"/>
      <c r="M898" s="35"/>
      <c r="N898" s="29"/>
      <c r="O898" s="29"/>
      <c r="P898" s="29"/>
      <c r="Q898" s="29"/>
      <c r="R898" s="29"/>
      <c r="S898" s="100"/>
      <c r="T898" s="100"/>
      <c r="U898" s="100"/>
      <c r="V898" s="100"/>
      <c r="W898" s="100"/>
      <c r="X898" s="100"/>
      <c r="Y898" s="100"/>
      <c r="Z898" s="100"/>
      <c r="AA898" s="228"/>
      <c r="AB898" s="228"/>
      <c r="AC898" s="228"/>
      <c r="AD898" s="228"/>
      <c r="AE898" s="228"/>
      <c r="AF898" s="228"/>
      <c r="AG898" s="228"/>
      <c r="AH898" s="228"/>
      <c r="AI898" s="228"/>
      <c r="AJ898" s="228"/>
      <c r="AK898" s="228"/>
      <c r="AL898" s="228"/>
      <c r="AM898" s="228"/>
      <c r="AN898" s="228"/>
      <c r="AO898" s="228"/>
      <c r="AP898" s="228"/>
      <c r="AQ898" s="228"/>
      <c r="AR898" s="228"/>
      <c r="AS898" s="228"/>
      <c r="AT898" s="228"/>
      <c r="AU898" s="228"/>
      <c r="AV898" s="228"/>
      <c r="AW898" s="228"/>
      <c r="AX898" s="228"/>
      <c r="AY898" s="228"/>
      <c r="AZ898" s="228"/>
      <c r="BA898" s="228"/>
      <c r="BB898" s="228"/>
      <c r="BC898" s="228"/>
      <c r="BD898" s="100"/>
      <c r="BE898" s="100"/>
      <c r="BF898" s="100"/>
      <c r="BG898" s="100"/>
      <c r="BH898" s="100"/>
      <c r="BI898" s="100"/>
      <c r="BJ898" s="100"/>
      <c r="BK898" s="12"/>
      <c r="BL898" s="12"/>
    </row>
    <row r="899" spans="1:64" hidden="1" outlineLevel="1">
      <c r="A899" s="9"/>
      <c r="B899" s="9"/>
      <c r="C899" s="44"/>
      <c r="D899" s="270" t="str">
        <f>Asset10</f>
        <v>Vehicles</v>
      </c>
      <c r="E899" s="9"/>
      <c r="F899" s="9"/>
      <c r="G899" s="204">
        <f>'Adjustment for previous period'!G583</f>
        <v>-0.35276175728998993</v>
      </c>
      <c r="H899" s="35"/>
      <c r="I899" s="35"/>
      <c r="J899" s="35"/>
      <c r="K899" s="35"/>
      <c r="L899" s="35"/>
      <c r="M899" s="35"/>
      <c r="N899" s="29"/>
      <c r="O899" s="29"/>
      <c r="P899" s="29"/>
      <c r="Q899" s="29"/>
      <c r="R899" s="29"/>
      <c r="S899" s="100"/>
      <c r="T899" s="100"/>
      <c r="U899" s="100"/>
      <c r="V899" s="100"/>
      <c r="W899" s="100"/>
      <c r="X899" s="100"/>
      <c r="Y899" s="100"/>
      <c r="Z899" s="100"/>
      <c r="AA899" s="228"/>
      <c r="AB899" s="228"/>
      <c r="AC899" s="228"/>
      <c r="AD899" s="228"/>
      <c r="AE899" s="228"/>
      <c r="AF899" s="228"/>
      <c r="AG899" s="228"/>
      <c r="AH899" s="228"/>
      <c r="AI899" s="228"/>
      <c r="AJ899" s="228"/>
      <c r="AK899" s="228"/>
      <c r="AL899" s="228"/>
      <c r="AM899" s="228"/>
      <c r="AN899" s="228"/>
      <c r="AO899" s="228"/>
      <c r="AP899" s="228"/>
      <c r="AQ899" s="228"/>
      <c r="AR899" s="228"/>
      <c r="AS899" s="228"/>
      <c r="AT899" s="228"/>
      <c r="AU899" s="228"/>
      <c r="AV899" s="228"/>
      <c r="AW899" s="228"/>
      <c r="AX899" s="228"/>
      <c r="AY899" s="228"/>
      <c r="AZ899" s="228"/>
      <c r="BA899" s="228"/>
      <c r="BB899" s="228"/>
      <c r="BC899" s="228"/>
      <c r="BD899" s="100"/>
      <c r="BE899" s="100"/>
      <c r="BF899" s="100"/>
      <c r="BG899" s="100"/>
      <c r="BH899" s="100"/>
      <c r="BI899" s="100"/>
      <c r="BJ899" s="100"/>
      <c r="BK899" s="12"/>
      <c r="BL899" s="12"/>
    </row>
    <row r="900" spans="1:64" hidden="1" outlineLevel="1">
      <c r="A900" s="9"/>
      <c r="B900" s="9"/>
      <c r="C900" s="44"/>
      <c r="D900" s="270" t="str">
        <f>Asset11</f>
        <v>other</v>
      </c>
      <c r="E900" s="9"/>
      <c r="F900" s="9"/>
      <c r="G900" s="204">
        <f>'Adjustment for previous period'!G584</f>
        <v>1.6983766857323237</v>
      </c>
      <c r="H900" s="35"/>
      <c r="I900" s="35"/>
      <c r="J900" s="35"/>
      <c r="K900" s="35"/>
      <c r="L900" s="35"/>
      <c r="M900" s="35"/>
      <c r="N900" s="29"/>
      <c r="O900" s="29"/>
      <c r="P900" s="29"/>
      <c r="Q900" s="29"/>
      <c r="R900" s="29"/>
      <c r="S900" s="100"/>
      <c r="T900" s="100"/>
      <c r="U900" s="100"/>
      <c r="V900" s="100"/>
      <c r="W900" s="100"/>
      <c r="X900" s="100"/>
      <c r="Y900" s="100"/>
      <c r="Z900" s="100"/>
      <c r="AA900" s="228"/>
      <c r="AB900" s="228"/>
      <c r="AC900" s="228"/>
      <c r="AD900" s="228"/>
      <c r="AE900" s="228"/>
      <c r="AF900" s="228"/>
      <c r="AG900" s="228"/>
      <c r="AH900" s="228"/>
      <c r="AI900" s="228"/>
      <c r="AJ900" s="228"/>
      <c r="AK900" s="228"/>
      <c r="AL900" s="228"/>
      <c r="AM900" s="228"/>
      <c r="AN900" s="228"/>
      <c r="AO900" s="228"/>
      <c r="AP900" s="228"/>
      <c r="AQ900" s="228"/>
      <c r="AR900" s="228"/>
      <c r="AS900" s="228"/>
      <c r="AT900" s="228"/>
      <c r="AU900" s="228"/>
      <c r="AV900" s="228"/>
      <c r="AW900" s="228"/>
      <c r="AX900" s="228"/>
      <c r="AY900" s="228"/>
      <c r="AZ900" s="228"/>
      <c r="BA900" s="228"/>
      <c r="BB900" s="228"/>
      <c r="BC900" s="228"/>
      <c r="BD900" s="100"/>
      <c r="BE900" s="100"/>
      <c r="BF900" s="100"/>
      <c r="BG900" s="100"/>
      <c r="BH900" s="100"/>
      <c r="BI900" s="100"/>
      <c r="BJ900" s="100"/>
      <c r="BK900" s="12"/>
      <c r="BL900" s="12"/>
    </row>
    <row r="901" spans="1:64" hidden="1" outlineLevel="1">
      <c r="A901" s="9"/>
      <c r="B901" s="9"/>
      <c r="C901" s="44"/>
      <c r="D901" s="270" t="str">
        <f>Asset12</f>
        <v>premises</v>
      </c>
      <c r="E901" s="9"/>
      <c r="F901" s="9"/>
      <c r="G901" s="204">
        <f>'Adjustment for previous period'!G585</f>
        <v>0.67583448337990049</v>
      </c>
      <c r="H901" s="35"/>
      <c r="I901" s="35"/>
      <c r="J901" s="35"/>
      <c r="K901" s="35"/>
      <c r="L901" s="35"/>
      <c r="M901" s="35"/>
      <c r="N901" s="29"/>
      <c r="O901" s="29"/>
      <c r="P901" s="29"/>
      <c r="Q901" s="29"/>
      <c r="R901" s="29"/>
      <c r="S901" s="100"/>
      <c r="T901" s="100"/>
      <c r="U901" s="100"/>
      <c r="V901" s="100"/>
      <c r="W901" s="100"/>
      <c r="X901" s="100"/>
      <c r="Y901" s="100"/>
      <c r="Z901" s="100"/>
      <c r="AA901" s="228"/>
      <c r="AB901" s="228"/>
      <c r="AC901" s="228"/>
      <c r="AD901" s="228"/>
      <c r="AE901" s="228"/>
      <c r="AF901" s="228"/>
      <c r="AG901" s="228"/>
      <c r="AH901" s="228"/>
      <c r="AI901" s="228"/>
      <c r="AJ901" s="228"/>
      <c r="AK901" s="228"/>
      <c r="AL901" s="228"/>
      <c r="AM901" s="228"/>
      <c r="AN901" s="228"/>
      <c r="AO901" s="228"/>
      <c r="AP901" s="228"/>
      <c r="AQ901" s="228"/>
      <c r="AR901" s="228"/>
      <c r="AS901" s="228"/>
      <c r="AT901" s="228"/>
      <c r="AU901" s="228"/>
      <c r="AV901" s="228"/>
      <c r="AW901" s="228"/>
      <c r="AX901" s="228"/>
      <c r="AY901" s="228"/>
      <c r="AZ901" s="228"/>
      <c r="BA901" s="228"/>
      <c r="BB901" s="228"/>
      <c r="BC901" s="228"/>
      <c r="BD901" s="100"/>
      <c r="BE901" s="100"/>
      <c r="BF901" s="100"/>
      <c r="BG901" s="100"/>
      <c r="BH901" s="100"/>
      <c r="BI901" s="100"/>
      <c r="BJ901" s="100"/>
      <c r="BK901" s="12"/>
      <c r="BL901" s="12"/>
    </row>
    <row r="902" spans="1:64" hidden="1" outlineLevel="1">
      <c r="A902" s="9"/>
      <c r="B902" s="9"/>
      <c r="C902" s="44"/>
      <c r="D902" s="270" t="str">
        <f>Asset13</f>
        <v>Land</v>
      </c>
      <c r="E902" s="9"/>
      <c r="F902" s="9"/>
      <c r="G902" s="204">
        <f>'Adjustment for previous period'!G586</f>
        <v>-0.66707176255729972</v>
      </c>
      <c r="H902" s="35"/>
      <c r="I902" s="35"/>
      <c r="J902" s="35"/>
      <c r="K902" s="35"/>
      <c r="L902" s="35"/>
      <c r="M902" s="35"/>
      <c r="N902" s="29"/>
      <c r="O902" s="29"/>
      <c r="P902" s="29"/>
      <c r="Q902" s="29"/>
      <c r="R902" s="29"/>
      <c r="S902" s="100"/>
      <c r="T902" s="100"/>
      <c r="U902" s="100"/>
      <c r="V902" s="100"/>
      <c r="W902" s="100"/>
      <c r="X902" s="100"/>
      <c r="Y902" s="100"/>
      <c r="Z902" s="100"/>
      <c r="AA902" s="228"/>
      <c r="AB902" s="228"/>
      <c r="AC902" s="228"/>
      <c r="AD902" s="228"/>
      <c r="AE902" s="228"/>
      <c r="AF902" s="228"/>
      <c r="AG902" s="228"/>
      <c r="AH902" s="228"/>
      <c r="AI902" s="228"/>
      <c r="AJ902" s="228"/>
      <c r="AK902" s="228"/>
      <c r="AL902" s="228"/>
      <c r="AM902" s="228"/>
      <c r="AN902" s="228"/>
      <c r="AO902" s="228"/>
      <c r="AP902" s="228"/>
      <c r="AQ902" s="228"/>
      <c r="AR902" s="228"/>
      <c r="AS902" s="228"/>
      <c r="AT902" s="228"/>
      <c r="AU902" s="228"/>
      <c r="AV902" s="228"/>
      <c r="AW902" s="228"/>
      <c r="AX902" s="228"/>
      <c r="AY902" s="228"/>
      <c r="AZ902" s="228"/>
      <c r="BA902" s="228"/>
      <c r="BB902" s="228"/>
      <c r="BC902" s="228"/>
      <c r="BD902" s="100"/>
      <c r="BE902" s="100"/>
      <c r="BF902" s="100"/>
      <c r="BG902" s="100"/>
      <c r="BH902" s="100"/>
      <c r="BI902" s="100"/>
      <c r="BJ902" s="100"/>
      <c r="BK902" s="12"/>
      <c r="BL902" s="12"/>
    </row>
    <row r="903" spans="1:64" hidden="1" outlineLevel="1">
      <c r="A903" s="9"/>
      <c r="B903" s="9"/>
      <c r="C903" s="44"/>
      <c r="D903" s="270" t="str">
        <f>Asset14</f>
        <v>Easements</v>
      </c>
      <c r="E903" s="9"/>
      <c r="F903" s="9"/>
      <c r="G903" s="204">
        <f>'Adjustment for previous period'!G587</f>
        <v>2.4458975599457162E-2</v>
      </c>
      <c r="H903" s="35"/>
      <c r="I903" s="35"/>
      <c r="J903" s="35"/>
      <c r="K903" s="35"/>
      <c r="L903" s="35"/>
      <c r="M903" s="35"/>
      <c r="N903" s="29"/>
      <c r="O903" s="29"/>
      <c r="P903" s="29"/>
      <c r="Q903" s="29"/>
      <c r="R903" s="29"/>
      <c r="S903" s="100"/>
      <c r="T903" s="100"/>
      <c r="U903" s="100"/>
      <c r="V903" s="100"/>
      <c r="W903" s="100"/>
      <c r="X903" s="100"/>
      <c r="Y903" s="100"/>
      <c r="Z903" s="100"/>
      <c r="AA903" s="228"/>
      <c r="AB903" s="228"/>
      <c r="AC903" s="228"/>
      <c r="AD903" s="228"/>
      <c r="AE903" s="228"/>
      <c r="AF903" s="228"/>
      <c r="AG903" s="228"/>
      <c r="AH903" s="228"/>
      <c r="AI903" s="228"/>
      <c r="AJ903" s="228"/>
      <c r="AK903" s="228"/>
      <c r="AL903" s="228"/>
      <c r="AM903" s="228"/>
      <c r="AN903" s="228"/>
      <c r="AO903" s="228"/>
      <c r="AP903" s="228"/>
      <c r="AQ903" s="228"/>
      <c r="AR903" s="228"/>
      <c r="AS903" s="228"/>
      <c r="AT903" s="228"/>
      <c r="AU903" s="228"/>
      <c r="AV903" s="228"/>
      <c r="AW903" s="228"/>
      <c r="AX903" s="228"/>
      <c r="AY903" s="228"/>
      <c r="AZ903" s="228"/>
      <c r="BA903" s="228"/>
      <c r="BB903" s="228"/>
      <c r="BC903" s="228"/>
      <c r="BD903" s="100"/>
      <c r="BE903" s="100"/>
      <c r="BF903" s="100"/>
      <c r="BG903" s="100"/>
      <c r="BH903" s="100"/>
      <c r="BI903" s="100"/>
      <c r="BJ903" s="100"/>
      <c r="BK903" s="12"/>
      <c r="BL903" s="12"/>
    </row>
    <row r="904" spans="1:64" hidden="1" outlineLevel="1">
      <c r="A904" s="9"/>
      <c r="B904" s="9"/>
      <c r="C904" s="44"/>
      <c r="D904" s="270">
        <f>Asset15</f>
        <v>0</v>
      </c>
      <c r="E904" s="9"/>
      <c r="F904" s="9"/>
      <c r="G904" s="204">
        <f>'Adjustment for previous period'!G588</f>
        <v>0</v>
      </c>
      <c r="H904" s="35"/>
      <c r="I904" s="35"/>
      <c r="J904" s="35"/>
      <c r="K904" s="35"/>
      <c r="L904" s="35"/>
      <c r="M904" s="35"/>
      <c r="N904" s="29"/>
      <c r="O904" s="29"/>
      <c r="P904" s="29"/>
      <c r="Q904" s="29"/>
      <c r="R904" s="29"/>
      <c r="S904" s="100"/>
      <c r="T904" s="100"/>
      <c r="U904" s="100"/>
      <c r="V904" s="100"/>
      <c r="W904" s="100"/>
      <c r="X904" s="100"/>
      <c r="Y904" s="100"/>
      <c r="Z904" s="100"/>
      <c r="AA904" s="228"/>
      <c r="AB904" s="228"/>
      <c r="AC904" s="228"/>
      <c r="AD904" s="228"/>
      <c r="AE904" s="228"/>
      <c r="AF904" s="228"/>
      <c r="AG904" s="228"/>
      <c r="AH904" s="228"/>
      <c r="AI904" s="228"/>
      <c r="AJ904" s="228"/>
      <c r="AK904" s="228"/>
      <c r="AL904" s="228"/>
      <c r="AM904" s="228"/>
      <c r="AN904" s="228"/>
      <c r="AO904" s="228"/>
      <c r="AP904" s="228"/>
      <c r="AQ904" s="228"/>
      <c r="AR904" s="228"/>
      <c r="AS904" s="228"/>
      <c r="AT904" s="228"/>
      <c r="AU904" s="228"/>
      <c r="AV904" s="228"/>
      <c r="AW904" s="228"/>
      <c r="AX904" s="228"/>
      <c r="AY904" s="228"/>
      <c r="AZ904" s="228"/>
      <c r="BA904" s="228"/>
      <c r="BB904" s="228"/>
      <c r="BC904" s="228"/>
      <c r="BD904" s="100"/>
      <c r="BE904" s="100"/>
      <c r="BF904" s="100"/>
      <c r="BG904" s="100"/>
      <c r="BH904" s="100"/>
      <c r="BI904" s="100"/>
      <c r="BJ904" s="100"/>
      <c r="BK904" s="12"/>
      <c r="BL904" s="12"/>
    </row>
    <row r="905" spans="1:64" hidden="1" outlineLevel="1">
      <c r="A905" s="9"/>
      <c r="B905" s="9"/>
      <c r="C905" s="44"/>
      <c r="D905" s="270">
        <f>Asset16</f>
        <v>0</v>
      </c>
      <c r="E905" s="9"/>
      <c r="F905" s="9"/>
      <c r="G905" s="204">
        <f>'Adjustment for previous period'!G589</f>
        <v>0</v>
      </c>
      <c r="H905" s="35"/>
      <c r="I905" s="35"/>
      <c r="J905" s="35"/>
      <c r="K905" s="35"/>
      <c r="L905" s="35"/>
      <c r="M905" s="35"/>
      <c r="N905" s="29"/>
      <c r="O905" s="29"/>
      <c r="P905" s="29"/>
      <c r="Q905" s="29"/>
      <c r="R905" s="29"/>
      <c r="S905" s="100"/>
      <c r="T905" s="100"/>
      <c r="U905" s="100"/>
      <c r="V905" s="100"/>
      <c r="W905" s="100"/>
      <c r="X905" s="100"/>
      <c r="Y905" s="100"/>
      <c r="Z905" s="100"/>
      <c r="AA905" s="228"/>
      <c r="AB905" s="228"/>
      <c r="AC905" s="228"/>
      <c r="AD905" s="228"/>
      <c r="AE905" s="228"/>
      <c r="AF905" s="228"/>
      <c r="AG905" s="228"/>
      <c r="AH905" s="228"/>
      <c r="AI905" s="228"/>
      <c r="AJ905" s="228"/>
      <c r="AK905" s="228"/>
      <c r="AL905" s="228"/>
      <c r="AM905" s="228"/>
      <c r="AN905" s="228"/>
      <c r="AO905" s="228"/>
      <c r="AP905" s="228"/>
      <c r="AQ905" s="228"/>
      <c r="AR905" s="228"/>
      <c r="AS905" s="228"/>
      <c r="AT905" s="228"/>
      <c r="AU905" s="228"/>
      <c r="AV905" s="228"/>
      <c r="AW905" s="228"/>
      <c r="AX905" s="228"/>
      <c r="AY905" s="228"/>
      <c r="AZ905" s="228"/>
      <c r="BA905" s="228"/>
      <c r="BB905" s="228"/>
      <c r="BC905" s="228"/>
      <c r="BD905" s="100"/>
      <c r="BE905" s="100"/>
      <c r="BF905" s="100"/>
      <c r="BG905" s="100"/>
      <c r="BH905" s="100"/>
      <c r="BI905" s="100"/>
      <c r="BJ905" s="100"/>
      <c r="BK905" s="12"/>
      <c r="BL905" s="12"/>
    </row>
    <row r="906" spans="1:64" hidden="1" outlineLevel="1">
      <c r="A906" s="9"/>
      <c r="B906" s="9"/>
      <c r="C906" s="44"/>
      <c r="D906" s="270">
        <f>Asset17</f>
        <v>0</v>
      </c>
      <c r="E906" s="9"/>
      <c r="F906" s="9"/>
      <c r="G906" s="204">
        <f>'Adjustment for previous period'!G590</f>
        <v>0</v>
      </c>
      <c r="H906" s="35"/>
      <c r="I906" s="35"/>
      <c r="J906" s="35"/>
      <c r="K906" s="35"/>
      <c r="L906" s="35"/>
      <c r="M906" s="35"/>
      <c r="N906" s="29"/>
      <c r="O906" s="29"/>
      <c r="P906" s="29"/>
      <c r="Q906" s="29"/>
      <c r="R906" s="29"/>
      <c r="S906" s="100"/>
      <c r="T906" s="100"/>
      <c r="U906" s="100"/>
      <c r="V906" s="100"/>
      <c r="W906" s="100"/>
      <c r="X906" s="100"/>
      <c r="Y906" s="100"/>
      <c r="Z906" s="100"/>
      <c r="AA906" s="228"/>
      <c r="AB906" s="228"/>
      <c r="AC906" s="228"/>
      <c r="AD906" s="228"/>
      <c r="AE906" s="228"/>
      <c r="AF906" s="228"/>
      <c r="AG906" s="228"/>
      <c r="AH906" s="228"/>
      <c r="AI906" s="228"/>
      <c r="AJ906" s="228"/>
      <c r="AK906" s="228"/>
      <c r="AL906" s="228"/>
      <c r="AM906" s="228"/>
      <c r="AN906" s="228"/>
      <c r="AO906" s="228"/>
      <c r="AP906" s="228"/>
      <c r="AQ906" s="228"/>
      <c r="AR906" s="228"/>
      <c r="AS906" s="228"/>
      <c r="AT906" s="228"/>
      <c r="AU906" s="228"/>
      <c r="AV906" s="228"/>
      <c r="AW906" s="228"/>
      <c r="AX906" s="228"/>
      <c r="AY906" s="228"/>
      <c r="AZ906" s="228"/>
      <c r="BA906" s="228"/>
      <c r="BB906" s="228"/>
      <c r="BC906" s="228"/>
      <c r="BD906" s="100"/>
      <c r="BE906" s="100"/>
      <c r="BF906" s="100"/>
      <c r="BG906" s="100"/>
      <c r="BH906" s="100"/>
      <c r="BI906" s="100"/>
      <c r="BJ906" s="100"/>
      <c r="BK906" s="12"/>
      <c r="BL906" s="12"/>
    </row>
    <row r="907" spans="1:64" hidden="1" outlineLevel="1">
      <c r="A907" s="9"/>
      <c r="B907" s="9"/>
      <c r="C907" s="44"/>
      <c r="D907" s="270">
        <f>Asset18</f>
        <v>0</v>
      </c>
      <c r="E907" s="9"/>
      <c r="F907" s="9"/>
      <c r="G907" s="204">
        <f>'Adjustment for previous period'!G591</f>
        <v>0</v>
      </c>
      <c r="H907" s="35"/>
      <c r="I907" s="35"/>
      <c r="J907" s="35"/>
      <c r="K907" s="35"/>
      <c r="L907" s="35"/>
      <c r="M907" s="35"/>
      <c r="N907" s="29"/>
      <c r="O907" s="29"/>
      <c r="P907" s="29"/>
      <c r="Q907" s="29"/>
      <c r="R907" s="29"/>
      <c r="S907" s="100"/>
      <c r="T907" s="100"/>
      <c r="U907" s="100"/>
      <c r="V907" s="100"/>
      <c r="W907" s="100"/>
      <c r="X907" s="100"/>
      <c r="Y907" s="100"/>
      <c r="Z907" s="100"/>
      <c r="AA907" s="228"/>
      <c r="AB907" s="228"/>
      <c r="AC907" s="228"/>
      <c r="AD907" s="228"/>
      <c r="AE907" s="228"/>
      <c r="AF907" s="228"/>
      <c r="AG907" s="228"/>
      <c r="AH907" s="228"/>
      <c r="AI907" s="228"/>
      <c r="AJ907" s="228"/>
      <c r="AK907" s="228"/>
      <c r="AL907" s="228"/>
      <c r="AM907" s="228"/>
      <c r="AN907" s="228"/>
      <c r="AO907" s="228"/>
      <c r="AP907" s="228"/>
      <c r="AQ907" s="228"/>
      <c r="AR907" s="228"/>
      <c r="AS907" s="228"/>
      <c r="AT907" s="228"/>
      <c r="AU907" s="228"/>
      <c r="AV907" s="228"/>
      <c r="AW907" s="228"/>
      <c r="AX907" s="228"/>
      <c r="AY907" s="228"/>
      <c r="AZ907" s="228"/>
      <c r="BA907" s="228"/>
      <c r="BB907" s="228"/>
      <c r="BC907" s="228"/>
      <c r="BD907" s="100"/>
      <c r="BE907" s="100"/>
      <c r="BF907" s="100"/>
      <c r="BG907" s="100"/>
      <c r="BH907" s="100"/>
      <c r="BI907" s="100"/>
      <c r="BJ907" s="100"/>
      <c r="BK907" s="12"/>
      <c r="BL907" s="12"/>
    </row>
    <row r="908" spans="1:64" hidden="1" outlineLevel="1">
      <c r="A908" s="9"/>
      <c r="B908" s="9"/>
      <c r="C908" s="44"/>
      <c r="D908" s="270">
        <f>Asset19</f>
        <v>0</v>
      </c>
      <c r="E908" s="9"/>
      <c r="F908" s="9"/>
      <c r="G908" s="204">
        <f>'Adjustment for previous period'!G592</f>
        <v>0</v>
      </c>
      <c r="H908" s="35"/>
      <c r="I908" s="35"/>
      <c r="J908" s="35"/>
      <c r="K908" s="35"/>
      <c r="L908" s="35"/>
      <c r="M908" s="35"/>
      <c r="N908" s="29"/>
      <c r="O908" s="29"/>
      <c r="P908" s="29"/>
      <c r="Q908" s="29"/>
      <c r="R908" s="29"/>
      <c r="S908" s="100"/>
      <c r="T908" s="100"/>
      <c r="U908" s="100"/>
      <c r="V908" s="100"/>
      <c r="W908" s="100"/>
      <c r="X908" s="100"/>
      <c r="Y908" s="100"/>
      <c r="Z908" s="100"/>
      <c r="AA908" s="228"/>
      <c r="AB908" s="228"/>
      <c r="AC908" s="228"/>
      <c r="AD908" s="228"/>
      <c r="AE908" s="228"/>
      <c r="AF908" s="228"/>
      <c r="AG908" s="228"/>
      <c r="AH908" s="228"/>
      <c r="AI908" s="228"/>
      <c r="AJ908" s="228"/>
      <c r="AK908" s="228"/>
      <c r="AL908" s="228"/>
      <c r="AM908" s="228"/>
      <c r="AN908" s="228"/>
      <c r="AO908" s="228"/>
      <c r="AP908" s="228"/>
      <c r="AQ908" s="228"/>
      <c r="AR908" s="228"/>
      <c r="AS908" s="228"/>
      <c r="AT908" s="228"/>
      <c r="AU908" s="228"/>
      <c r="AV908" s="228"/>
      <c r="AW908" s="228"/>
      <c r="AX908" s="228"/>
      <c r="AY908" s="228"/>
      <c r="AZ908" s="228"/>
      <c r="BA908" s="228"/>
      <c r="BB908" s="228"/>
      <c r="BC908" s="228"/>
      <c r="BD908" s="100"/>
      <c r="BE908" s="100"/>
      <c r="BF908" s="100"/>
      <c r="BG908" s="100"/>
      <c r="BH908" s="100"/>
      <c r="BI908" s="100"/>
      <c r="BJ908" s="100"/>
      <c r="BK908" s="12"/>
      <c r="BL908" s="12"/>
    </row>
    <row r="909" spans="1:64" hidden="1" outlineLevel="1">
      <c r="A909" s="9"/>
      <c r="B909" s="9"/>
      <c r="C909" s="44"/>
      <c r="D909" s="270">
        <f>Asset20</f>
        <v>0</v>
      </c>
      <c r="E909" s="9"/>
      <c r="F909" s="9"/>
      <c r="G909" s="204">
        <f>'Adjustment for previous period'!G593</f>
        <v>0</v>
      </c>
      <c r="H909" s="35"/>
      <c r="I909" s="35"/>
      <c r="J909" s="35"/>
      <c r="K909" s="35"/>
      <c r="L909" s="35"/>
      <c r="M909" s="35"/>
      <c r="N909" s="29"/>
      <c r="O909" s="29"/>
      <c r="P909" s="29"/>
      <c r="Q909" s="29"/>
      <c r="R909" s="29"/>
      <c r="S909" s="100"/>
      <c r="T909" s="100"/>
      <c r="U909" s="100"/>
      <c r="V909" s="100"/>
      <c r="W909" s="100"/>
      <c r="X909" s="100"/>
      <c r="Y909" s="100"/>
      <c r="Z909" s="100"/>
      <c r="AA909" s="228"/>
      <c r="AB909" s="228"/>
      <c r="AC909" s="228"/>
      <c r="AD909" s="228"/>
      <c r="AE909" s="228"/>
      <c r="AF909" s="228"/>
      <c r="AG909" s="228"/>
      <c r="AH909" s="228"/>
      <c r="AI909" s="228"/>
      <c r="AJ909" s="228"/>
      <c r="AK909" s="228"/>
      <c r="AL909" s="228"/>
      <c r="AM909" s="228"/>
      <c r="AN909" s="228"/>
      <c r="AO909" s="228"/>
      <c r="AP909" s="228"/>
      <c r="AQ909" s="228"/>
      <c r="AR909" s="228"/>
      <c r="AS909" s="228"/>
      <c r="AT909" s="228"/>
      <c r="AU909" s="228"/>
      <c r="AV909" s="228"/>
      <c r="AW909" s="228"/>
      <c r="AX909" s="228"/>
      <c r="AY909" s="228"/>
      <c r="AZ909" s="228"/>
      <c r="BA909" s="228"/>
      <c r="BB909" s="228"/>
      <c r="BC909" s="228"/>
      <c r="BD909" s="100"/>
      <c r="BE909" s="100"/>
      <c r="BF909" s="100"/>
      <c r="BG909" s="100"/>
      <c r="BH909" s="100"/>
      <c r="BI909" s="100"/>
      <c r="BJ909" s="100"/>
      <c r="BK909" s="12"/>
      <c r="BL909" s="12"/>
    </row>
    <row r="910" spans="1:64" hidden="1" outlineLevel="1">
      <c r="A910" s="9"/>
      <c r="B910" s="9"/>
      <c r="C910" s="44"/>
      <c r="D910" s="349">
        <f>Asset21</f>
        <v>0</v>
      </c>
      <c r="E910" s="9"/>
      <c r="F910" s="9"/>
      <c r="G910" s="204">
        <f>'Adjustment for previous period'!G594</f>
        <v>0</v>
      </c>
      <c r="H910" s="35"/>
      <c r="I910" s="35"/>
      <c r="J910" s="35"/>
      <c r="K910" s="35"/>
      <c r="L910" s="35"/>
      <c r="M910" s="35"/>
      <c r="N910" s="29"/>
      <c r="O910" s="29"/>
      <c r="P910" s="29"/>
      <c r="Q910" s="29"/>
      <c r="R910" s="29"/>
      <c r="S910" s="100"/>
      <c r="T910" s="100"/>
      <c r="U910" s="100"/>
      <c r="V910" s="100"/>
      <c r="W910" s="100"/>
      <c r="X910" s="100"/>
      <c r="Y910" s="100"/>
      <c r="Z910" s="100"/>
      <c r="AA910" s="228"/>
      <c r="AB910" s="228"/>
      <c r="AC910" s="228"/>
      <c r="AD910" s="228"/>
      <c r="AE910" s="228"/>
      <c r="AF910" s="228"/>
      <c r="AG910" s="228"/>
      <c r="AH910" s="228"/>
      <c r="AI910" s="228"/>
      <c r="AJ910" s="228"/>
      <c r="AK910" s="228"/>
      <c r="AL910" s="228"/>
      <c r="AM910" s="228"/>
      <c r="AN910" s="228"/>
      <c r="AO910" s="228"/>
      <c r="AP910" s="228"/>
      <c r="AQ910" s="228"/>
      <c r="AR910" s="228"/>
      <c r="AS910" s="228"/>
      <c r="AT910" s="228"/>
      <c r="AU910" s="228"/>
      <c r="AV910" s="228"/>
      <c r="AW910" s="228"/>
      <c r="AX910" s="228"/>
      <c r="AY910" s="228"/>
      <c r="AZ910" s="228"/>
      <c r="BA910" s="228"/>
      <c r="BB910" s="228"/>
      <c r="BC910" s="228"/>
      <c r="BD910" s="100"/>
      <c r="BE910" s="100"/>
      <c r="BF910" s="100"/>
      <c r="BG910" s="100"/>
      <c r="BH910" s="100"/>
      <c r="BI910" s="100"/>
      <c r="BJ910" s="100"/>
      <c r="BK910" s="12"/>
      <c r="BL910" s="12"/>
    </row>
    <row r="911" spans="1:64" hidden="1" outlineLevel="1">
      <c r="A911" s="9"/>
      <c r="B911" s="9"/>
      <c r="C911" s="44"/>
      <c r="D911" s="349">
        <f>Asset22</f>
        <v>0</v>
      </c>
      <c r="E911" s="9"/>
      <c r="F911" s="9"/>
      <c r="G911" s="204">
        <f>'Adjustment for previous period'!G595</f>
        <v>0</v>
      </c>
      <c r="H911" s="35"/>
      <c r="I911" s="35"/>
      <c r="J911" s="35"/>
      <c r="K911" s="35"/>
      <c r="L911" s="35"/>
      <c r="M911" s="35"/>
      <c r="N911" s="29"/>
      <c r="O911" s="29"/>
      <c r="P911" s="29"/>
      <c r="Q911" s="29"/>
      <c r="R911" s="29"/>
      <c r="S911" s="100"/>
      <c r="T911" s="100"/>
      <c r="U911" s="100"/>
      <c r="V911" s="100"/>
      <c r="W911" s="100"/>
      <c r="X911" s="100"/>
      <c r="Y911" s="100"/>
      <c r="Z911" s="100"/>
      <c r="AA911" s="228"/>
      <c r="AB911" s="228"/>
      <c r="AC911" s="228"/>
      <c r="AD911" s="228"/>
      <c r="AE911" s="228"/>
      <c r="AF911" s="228"/>
      <c r="AG911" s="228"/>
      <c r="AH911" s="228"/>
      <c r="AI911" s="228"/>
      <c r="AJ911" s="228"/>
      <c r="AK911" s="228"/>
      <c r="AL911" s="228"/>
      <c r="AM911" s="228"/>
      <c r="AN911" s="228"/>
      <c r="AO911" s="228"/>
      <c r="AP911" s="228"/>
      <c r="AQ911" s="228"/>
      <c r="AR911" s="228"/>
      <c r="AS911" s="228"/>
      <c r="AT911" s="228"/>
      <c r="AU911" s="228"/>
      <c r="AV911" s="228"/>
      <c r="AW911" s="228"/>
      <c r="AX911" s="228"/>
      <c r="AY911" s="228"/>
      <c r="AZ911" s="228"/>
      <c r="BA911" s="228"/>
      <c r="BB911" s="228"/>
      <c r="BC911" s="228"/>
      <c r="BD911" s="100"/>
      <c r="BE911" s="100"/>
      <c r="BF911" s="100"/>
      <c r="BG911" s="100"/>
      <c r="BH911" s="100"/>
      <c r="BI911" s="100"/>
      <c r="BJ911" s="100"/>
      <c r="BK911" s="12"/>
      <c r="BL911" s="12"/>
    </row>
    <row r="912" spans="1:64" hidden="1" outlineLevel="1">
      <c r="A912" s="9"/>
      <c r="B912" s="9"/>
      <c r="C912" s="44"/>
      <c r="D912" s="349">
        <f>Asset23</f>
        <v>0</v>
      </c>
      <c r="E912" s="9"/>
      <c r="F912" s="9"/>
      <c r="G912" s="204">
        <f>'Adjustment for previous period'!G596</f>
        <v>0</v>
      </c>
      <c r="H912" s="35"/>
      <c r="I912" s="35"/>
      <c r="J912" s="35"/>
      <c r="K912" s="35"/>
      <c r="L912" s="35"/>
      <c r="M912" s="35"/>
      <c r="N912" s="29"/>
      <c r="O912" s="29"/>
      <c r="P912" s="29"/>
      <c r="Q912" s="29"/>
      <c r="R912" s="29"/>
      <c r="S912" s="100"/>
      <c r="T912" s="100"/>
      <c r="U912" s="100"/>
      <c r="V912" s="100"/>
      <c r="W912" s="100"/>
      <c r="X912" s="100"/>
      <c r="Y912" s="100"/>
      <c r="Z912" s="100"/>
      <c r="AA912" s="228"/>
      <c r="AB912" s="228"/>
      <c r="AC912" s="228"/>
      <c r="AD912" s="228"/>
      <c r="AE912" s="228"/>
      <c r="AF912" s="228"/>
      <c r="AG912" s="228"/>
      <c r="AH912" s="228"/>
      <c r="AI912" s="228"/>
      <c r="AJ912" s="228"/>
      <c r="AK912" s="228"/>
      <c r="AL912" s="228"/>
      <c r="AM912" s="228"/>
      <c r="AN912" s="228"/>
      <c r="AO912" s="228"/>
      <c r="AP912" s="228"/>
      <c r="AQ912" s="228"/>
      <c r="AR912" s="228"/>
      <c r="AS912" s="228"/>
      <c r="AT912" s="228"/>
      <c r="AU912" s="228"/>
      <c r="AV912" s="228"/>
      <c r="AW912" s="228"/>
      <c r="AX912" s="228"/>
      <c r="AY912" s="228"/>
      <c r="AZ912" s="228"/>
      <c r="BA912" s="228"/>
      <c r="BB912" s="228"/>
      <c r="BC912" s="228"/>
      <c r="BD912" s="100"/>
      <c r="BE912" s="100"/>
      <c r="BF912" s="100"/>
      <c r="BG912" s="100"/>
      <c r="BH912" s="100"/>
      <c r="BI912" s="100"/>
      <c r="BJ912" s="100"/>
      <c r="BK912" s="12"/>
      <c r="BL912" s="12"/>
    </row>
    <row r="913" spans="1:64" hidden="1" outlineLevel="1">
      <c r="A913" s="9"/>
      <c r="B913" s="9"/>
      <c r="C913" s="44"/>
      <c r="D913" s="349">
        <f>Asset24</f>
        <v>0</v>
      </c>
      <c r="E913" s="9"/>
      <c r="F913" s="9"/>
      <c r="G913" s="204">
        <f>'Adjustment for previous period'!G597</f>
        <v>0</v>
      </c>
      <c r="H913" s="35"/>
      <c r="I913" s="35"/>
      <c r="J913" s="35"/>
      <c r="K913" s="35"/>
      <c r="L913" s="35"/>
      <c r="M913" s="35"/>
      <c r="N913" s="29"/>
      <c r="O913" s="29"/>
      <c r="P913" s="29"/>
      <c r="Q913" s="29"/>
      <c r="R913" s="29"/>
      <c r="S913" s="100"/>
      <c r="T913" s="100"/>
      <c r="U913" s="100"/>
      <c r="V913" s="100"/>
      <c r="W913" s="100"/>
      <c r="X913" s="100"/>
      <c r="Y913" s="100"/>
      <c r="Z913" s="100"/>
      <c r="AA913" s="228"/>
      <c r="AB913" s="228"/>
      <c r="AC913" s="228"/>
      <c r="AD913" s="228"/>
      <c r="AE913" s="228"/>
      <c r="AF913" s="228"/>
      <c r="AG913" s="228"/>
      <c r="AH913" s="228"/>
      <c r="AI913" s="228"/>
      <c r="AJ913" s="228"/>
      <c r="AK913" s="228"/>
      <c r="AL913" s="228"/>
      <c r="AM913" s="228"/>
      <c r="AN913" s="228"/>
      <c r="AO913" s="228"/>
      <c r="AP913" s="228"/>
      <c r="AQ913" s="228"/>
      <c r="AR913" s="228"/>
      <c r="AS913" s="228"/>
      <c r="AT913" s="228"/>
      <c r="AU913" s="228"/>
      <c r="AV913" s="228"/>
      <c r="AW913" s="228"/>
      <c r="AX913" s="228"/>
      <c r="AY913" s="228"/>
      <c r="AZ913" s="228"/>
      <c r="BA913" s="228"/>
      <c r="BB913" s="228"/>
      <c r="BC913" s="228"/>
      <c r="BD913" s="100"/>
      <c r="BE913" s="100"/>
      <c r="BF913" s="100"/>
      <c r="BG913" s="100"/>
      <c r="BH913" s="100"/>
      <c r="BI913" s="100"/>
      <c r="BJ913" s="100"/>
      <c r="BK913" s="12"/>
      <c r="BL913" s="12"/>
    </row>
    <row r="914" spans="1:64" hidden="1" outlineLevel="1">
      <c r="A914" s="9"/>
      <c r="B914" s="9"/>
      <c r="C914" s="44"/>
      <c r="D914" s="349">
        <f>Asset25</f>
        <v>0</v>
      </c>
      <c r="E914" s="9"/>
      <c r="F914" s="9"/>
      <c r="G914" s="204">
        <f>'Adjustment for previous period'!G598</f>
        <v>0</v>
      </c>
      <c r="H914" s="35"/>
      <c r="I914" s="35"/>
      <c r="J914" s="35"/>
      <c r="K914" s="35"/>
      <c r="L914" s="35"/>
      <c r="M914" s="35"/>
      <c r="N914" s="29"/>
      <c r="O914" s="29"/>
      <c r="P914" s="29"/>
      <c r="Q914" s="29"/>
      <c r="R914" s="29"/>
      <c r="S914" s="100"/>
      <c r="T914" s="100"/>
      <c r="U914" s="100"/>
      <c r="V914" s="100"/>
      <c r="W914" s="100"/>
      <c r="X914" s="100"/>
      <c r="Y914" s="100"/>
      <c r="Z914" s="100"/>
      <c r="AA914" s="228"/>
      <c r="AB914" s="228"/>
      <c r="AC914" s="228"/>
      <c r="AD914" s="228"/>
      <c r="AE914" s="228"/>
      <c r="AF914" s="228"/>
      <c r="AG914" s="228"/>
      <c r="AH914" s="228"/>
      <c r="AI914" s="228"/>
      <c r="AJ914" s="228"/>
      <c r="AK914" s="228"/>
      <c r="AL914" s="228"/>
      <c r="AM914" s="228"/>
      <c r="AN914" s="228"/>
      <c r="AO914" s="228"/>
      <c r="AP914" s="228"/>
      <c r="AQ914" s="228"/>
      <c r="AR914" s="228"/>
      <c r="AS914" s="228"/>
      <c r="AT914" s="228"/>
      <c r="AU914" s="228"/>
      <c r="AV914" s="228"/>
      <c r="AW914" s="228"/>
      <c r="AX914" s="228"/>
      <c r="AY914" s="228"/>
      <c r="AZ914" s="228"/>
      <c r="BA914" s="228"/>
      <c r="BB914" s="228"/>
      <c r="BC914" s="228"/>
      <c r="BD914" s="100"/>
      <c r="BE914" s="100"/>
      <c r="BF914" s="100"/>
      <c r="BG914" s="100"/>
      <c r="BH914" s="100"/>
      <c r="BI914" s="100"/>
      <c r="BJ914" s="100"/>
      <c r="BK914" s="12"/>
      <c r="BL914" s="12"/>
    </row>
    <row r="915" spans="1:64" hidden="1" outlineLevel="1">
      <c r="A915" s="9"/>
      <c r="B915" s="9"/>
      <c r="C915" s="44"/>
      <c r="D915" s="349">
        <f>Asset26</f>
        <v>0</v>
      </c>
      <c r="E915" s="9"/>
      <c r="F915" s="9"/>
      <c r="G915" s="204">
        <f>'Adjustment for previous period'!G599</f>
        <v>0</v>
      </c>
      <c r="H915" s="35"/>
      <c r="I915" s="35"/>
      <c r="J915" s="35"/>
      <c r="K915" s="35"/>
      <c r="L915" s="35"/>
      <c r="M915" s="35"/>
      <c r="N915" s="29"/>
      <c r="O915" s="29"/>
      <c r="P915" s="29"/>
      <c r="Q915" s="29"/>
      <c r="R915" s="29"/>
      <c r="S915" s="100"/>
      <c r="T915" s="100"/>
      <c r="U915" s="100"/>
      <c r="V915" s="100"/>
      <c r="W915" s="100"/>
      <c r="X915" s="100"/>
      <c r="Y915" s="100"/>
      <c r="Z915" s="100"/>
      <c r="AA915" s="228"/>
      <c r="AB915" s="228"/>
      <c r="AC915" s="228"/>
      <c r="AD915" s="228"/>
      <c r="AE915" s="228"/>
      <c r="AF915" s="228"/>
      <c r="AG915" s="228"/>
      <c r="AH915" s="228"/>
      <c r="AI915" s="228"/>
      <c r="AJ915" s="228"/>
      <c r="AK915" s="228"/>
      <c r="AL915" s="228"/>
      <c r="AM915" s="228"/>
      <c r="AN915" s="228"/>
      <c r="AO915" s="228"/>
      <c r="AP915" s="228"/>
      <c r="AQ915" s="228"/>
      <c r="AR915" s="228"/>
      <c r="AS915" s="228"/>
      <c r="AT915" s="228"/>
      <c r="AU915" s="228"/>
      <c r="AV915" s="228"/>
      <c r="AW915" s="228"/>
      <c r="AX915" s="228"/>
      <c r="AY915" s="228"/>
      <c r="AZ915" s="228"/>
      <c r="BA915" s="228"/>
      <c r="BB915" s="228"/>
      <c r="BC915" s="228"/>
      <c r="BD915" s="100"/>
      <c r="BE915" s="100"/>
      <c r="BF915" s="100"/>
      <c r="BG915" s="100"/>
      <c r="BH915" s="100"/>
      <c r="BI915" s="100"/>
      <c r="BJ915" s="100"/>
      <c r="BK915" s="12"/>
      <c r="BL915" s="12"/>
    </row>
    <row r="916" spans="1:64" hidden="1" outlineLevel="1">
      <c r="A916" s="9"/>
      <c r="B916" s="9"/>
      <c r="C916" s="44"/>
      <c r="D916" s="349">
        <f>Asset27</f>
        <v>0</v>
      </c>
      <c r="E916" s="9"/>
      <c r="F916" s="9"/>
      <c r="G916" s="204">
        <f>'Adjustment for previous period'!G600</f>
        <v>0</v>
      </c>
      <c r="H916" s="35"/>
      <c r="I916" s="35"/>
      <c r="J916" s="35"/>
      <c r="K916" s="35"/>
      <c r="L916" s="35"/>
      <c r="M916" s="35"/>
      <c r="N916" s="29"/>
      <c r="O916" s="29"/>
      <c r="P916" s="29"/>
      <c r="Q916" s="29"/>
      <c r="R916" s="29"/>
      <c r="S916" s="100"/>
      <c r="T916" s="100"/>
      <c r="U916" s="100"/>
      <c r="V916" s="100"/>
      <c r="W916" s="100"/>
      <c r="X916" s="100"/>
      <c r="Y916" s="100"/>
      <c r="Z916" s="100"/>
      <c r="AA916" s="228"/>
      <c r="AB916" s="228"/>
      <c r="AC916" s="228"/>
      <c r="AD916" s="228"/>
      <c r="AE916" s="228"/>
      <c r="AF916" s="228"/>
      <c r="AG916" s="228"/>
      <c r="AH916" s="228"/>
      <c r="AI916" s="228"/>
      <c r="AJ916" s="228"/>
      <c r="AK916" s="228"/>
      <c r="AL916" s="228"/>
      <c r="AM916" s="228"/>
      <c r="AN916" s="228"/>
      <c r="AO916" s="228"/>
      <c r="AP916" s="228"/>
      <c r="AQ916" s="228"/>
      <c r="AR916" s="228"/>
      <c r="AS916" s="228"/>
      <c r="AT916" s="228"/>
      <c r="AU916" s="228"/>
      <c r="AV916" s="228"/>
      <c r="AW916" s="228"/>
      <c r="AX916" s="228"/>
      <c r="AY916" s="228"/>
      <c r="AZ916" s="228"/>
      <c r="BA916" s="228"/>
      <c r="BB916" s="228"/>
      <c r="BC916" s="228"/>
      <c r="BD916" s="100"/>
      <c r="BE916" s="100"/>
      <c r="BF916" s="100"/>
      <c r="BG916" s="100"/>
      <c r="BH916" s="100"/>
      <c r="BI916" s="100"/>
      <c r="BJ916" s="100"/>
      <c r="BK916" s="12"/>
      <c r="BL916" s="12"/>
    </row>
    <row r="917" spans="1:64" hidden="1" outlineLevel="1">
      <c r="A917" s="9"/>
      <c r="B917" s="9"/>
      <c r="C917" s="44"/>
      <c r="D917" s="349">
        <f>Asset28</f>
        <v>0</v>
      </c>
      <c r="E917" s="9"/>
      <c r="F917" s="9"/>
      <c r="G917" s="204">
        <f>'Adjustment for previous period'!G601</f>
        <v>0</v>
      </c>
      <c r="H917" s="35"/>
      <c r="I917" s="35"/>
      <c r="J917" s="35"/>
      <c r="K917" s="35"/>
      <c r="L917" s="35"/>
      <c r="M917" s="35"/>
      <c r="N917" s="29"/>
      <c r="O917" s="29"/>
      <c r="P917" s="29"/>
      <c r="Q917" s="29"/>
      <c r="R917" s="29"/>
      <c r="S917" s="100"/>
      <c r="T917" s="100"/>
      <c r="U917" s="100"/>
      <c r="V917" s="100"/>
      <c r="W917" s="100"/>
      <c r="X917" s="100"/>
      <c r="Y917" s="100"/>
      <c r="Z917" s="100"/>
      <c r="AA917" s="228"/>
      <c r="AB917" s="228"/>
      <c r="AC917" s="228"/>
      <c r="AD917" s="228"/>
      <c r="AE917" s="228"/>
      <c r="AF917" s="228"/>
      <c r="AG917" s="228"/>
      <c r="AH917" s="228"/>
      <c r="AI917" s="228"/>
      <c r="AJ917" s="228"/>
      <c r="AK917" s="228"/>
      <c r="AL917" s="228"/>
      <c r="AM917" s="228"/>
      <c r="AN917" s="228"/>
      <c r="AO917" s="228"/>
      <c r="AP917" s="228"/>
      <c r="AQ917" s="228"/>
      <c r="AR917" s="228"/>
      <c r="AS917" s="228"/>
      <c r="AT917" s="228"/>
      <c r="AU917" s="228"/>
      <c r="AV917" s="228"/>
      <c r="AW917" s="228"/>
      <c r="AX917" s="228"/>
      <c r="AY917" s="228"/>
      <c r="AZ917" s="228"/>
      <c r="BA917" s="228"/>
      <c r="BB917" s="228"/>
      <c r="BC917" s="228"/>
      <c r="BD917" s="100"/>
      <c r="BE917" s="100"/>
      <c r="BF917" s="100"/>
      <c r="BG917" s="100"/>
      <c r="BH917" s="100"/>
      <c r="BI917" s="100"/>
      <c r="BJ917" s="100"/>
      <c r="BK917" s="12"/>
      <c r="BL917" s="12"/>
    </row>
    <row r="918" spans="1:64" hidden="1" outlineLevel="1">
      <c r="A918" s="9"/>
      <c r="B918" s="9"/>
      <c r="C918" s="44"/>
      <c r="D918" s="349">
        <f>Asset29</f>
        <v>0</v>
      </c>
      <c r="E918" s="9"/>
      <c r="F918" s="9"/>
      <c r="G918" s="204">
        <f>'Adjustment for previous period'!G602</f>
        <v>0</v>
      </c>
      <c r="H918" s="35"/>
      <c r="I918" s="35"/>
      <c r="J918" s="35"/>
      <c r="K918" s="35"/>
      <c r="L918" s="35"/>
      <c r="M918" s="35"/>
      <c r="N918" s="29"/>
      <c r="O918" s="29"/>
      <c r="P918" s="29"/>
      <c r="Q918" s="29"/>
      <c r="R918" s="29"/>
      <c r="S918" s="100"/>
      <c r="T918" s="100"/>
      <c r="U918" s="100"/>
      <c r="V918" s="100"/>
      <c r="W918" s="100"/>
      <c r="X918" s="100"/>
      <c r="Y918" s="100"/>
      <c r="Z918" s="100"/>
      <c r="AA918" s="228"/>
      <c r="AB918" s="228"/>
      <c r="AC918" s="228"/>
      <c r="AD918" s="228"/>
      <c r="AE918" s="228"/>
      <c r="AF918" s="228"/>
      <c r="AG918" s="228"/>
      <c r="AH918" s="228"/>
      <c r="AI918" s="228"/>
      <c r="AJ918" s="228"/>
      <c r="AK918" s="228"/>
      <c r="AL918" s="228"/>
      <c r="AM918" s="228"/>
      <c r="AN918" s="228"/>
      <c r="AO918" s="228"/>
      <c r="AP918" s="228"/>
      <c r="AQ918" s="228"/>
      <c r="AR918" s="228"/>
      <c r="AS918" s="228"/>
      <c r="AT918" s="228"/>
      <c r="AU918" s="228"/>
      <c r="AV918" s="228"/>
      <c r="AW918" s="228"/>
      <c r="AX918" s="228"/>
      <c r="AY918" s="228"/>
      <c r="AZ918" s="228"/>
      <c r="BA918" s="228"/>
      <c r="BB918" s="228"/>
      <c r="BC918" s="228"/>
      <c r="BD918" s="100"/>
      <c r="BE918" s="100"/>
      <c r="BF918" s="100"/>
      <c r="BG918" s="100"/>
      <c r="BH918" s="100"/>
      <c r="BI918" s="100"/>
      <c r="BJ918" s="100"/>
      <c r="BK918" s="12"/>
      <c r="BL918" s="12"/>
    </row>
    <row r="919" spans="1:64" hidden="1" outlineLevel="1">
      <c r="A919" s="9"/>
      <c r="B919" s="9"/>
      <c r="C919" s="44"/>
      <c r="D919" s="349">
        <f>Asset30</f>
        <v>0</v>
      </c>
      <c r="E919" s="9"/>
      <c r="F919" s="9"/>
      <c r="G919" s="204">
        <f>'Adjustment for previous period'!G603</f>
        <v>0</v>
      </c>
      <c r="H919" s="35"/>
      <c r="I919" s="35"/>
      <c r="J919" s="35"/>
      <c r="K919" s="35"/>
      <c r="L919" s="35"/>
      <c r="M919" s="35"/>
      <c r="N919" s="29"/>
      <c r="O919" s="29"/>
      <c r="P919" s="29"/>
      <c r="Q919" s="29"/>
      <c r="R919" s="29"/>
      <c r="S919" s="100"/>
      <c r="T919" s="100"/>
      <c r="U919" s="100"/>
      <c r="V919" s="100"/>
      <c r="W919" s="100"/>
      <c r="X919" s="100"/>
      <c r="Y919" s="100"/>
      <c r="Z919" s="100"/>
      <c r="AA919" s="228"/>
      <c r="AB919" s="228"/>
      <c r="AC919" s="228"/>
      <c r="AD919" s="228"/>
      <c r="AE919" s="228"/>
      <c r="AF919" s="228"/>
      <c r="AG919" s="228"/>
      <c r="AH919" s="228"/>
      <c r="AI919" s="228"/>
      <c r="AJ919" s="228"/>
      <c r="AK919" s="228"/>
      <c r="AL919" s="228"/>
      <c r="AM919" s="228"/>
      <c r="AN919" s="228"/>
      <c r="AO919" s="228"/>
      <c r="AP919" s="228"/>
      <c r="AQ919" s="228"/>
      <c r="AR919" s="228"/>
      <c r="AS919" s="228"/>
      <c r="AT919" s="228"/>
      <c r="AU919" s="228"/>
      <c r="AV919" s="228"/>
      <c r="AW919" s="228"/>
      <c r="AX919" s="228"/>
      <c r="AY919" s="228"/>
      <c r="AZ919" s="228"/>
      <c r="BA919" s="228"/>
      <c r="BB919" s="228"/>
      <c r="BC919" s="228"/>
      <c r="BD919" s="100"/>
      <c r="BE919" s="100"/>
      <c r="BF919" s="100"/>
      <c r="BG919" s="100"/>
      <c r="BH919" s="100"/>
      <c r="BI919" s="100"/>
      <c r="BJ919" s="100"/>
      <c r="BK919" s="12"/>
      <c r="BL919" s="12"/>
    </row>
    <row r="920" spans="1:64" collapsed="1">
      <c r="A920" s="9"/>
      <c r="B920" s="9"/>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228"/>
      <c r="AB920" s="228"/>
      <c r="AC920" s="228"/>
      <c r="AD920" s="228"/>
      <c r="AE920" s="228"/>
      <c r="AF920" s="228"/>
      <c r="AG920" s="228"/>
      <c r="AH920" s="228"/>
      <c r="AI920" s="228"/>
      <c r="AJ920" s="228"/>
      <c r="AK920" s="228"/>
      <c r="AL920" s="228"/>
      <c r="AM920" s="228"/>
      <c r="AN920" s="228"/>
      <c r="AO920" s="228"/>
      <c r="AP920" s="228"/>
      <c r="AQ920" s="228"/>
      <c r="AR920" s="228"/>
      <c r="AS920" s="228"/>
      <c r="AT920" s="228"/>
      <c r="AU920" s="228"/>
      <c r="AV920" s="228"/>
      <c r="AW920" s="228"/>
      <c r="AX920" s="228"/>
      <c r="AY920" s="228"/>
      <c r="AZ920" s="228"/>
      <c r="BA920" s="228"/>
      <c r="BB920" s="228"/>
      <c r="BC920" s="228"/>
      <c r="BD920" s="100"/>
      <c r="BE920" s="100"/>
      <c r="BF920" s="100"/>
      <c r="BG920" s="100"/>
      <c r="BH920" s="100"/>
      <c r="BI920" s="100"/>
      <c r="BJ920" s="100"/>
      <c r="BK920" s="12"/>
      <c r="BL920" s="12"/>
    </row>
    <row r="921" spans="1:64">
      <c r="A921" s="9"/>
      <c r="B921" s="9"/>
      <c r="C921" s="332" t="s">
        <v>159</v>
      </c>
      <c r="D921" s="333"/>
      <c r="E921" s="334"/>
      <c r="F921" s="334"/>
      <c r="G921" s="339">
        <f>SUM(G922:G951)</f>
        <v>115.84899999999999</v>
      </c>
      <c r="H921" s="100"/>
      <c r="I921" s="100"/>
      <c r="J921" s="100"/>
      <c r="K921" s="100"/>
      <c r="L921" s="100"/>
      <c r="M921" s="100"/>
      <c r="N921" s="100"/>
      <c r="O921" s="100"/>
      <c r="P921" s="100"/>
      <c r="Q921" s="100"/>
      <c r="R921" s="100"/>
      <c r="S921" s="100"/>
      <c r="T921" s="100"/>
      <c r="U921" s="100"/>
      <c r="V921" s="100"/>
      <c r="W921" s="100"/>
      <c r="X921" s="100"/>
      <c r="Y921" s="100"/>
      <c r="Z921" s="100"/>
      <c r="AA921" s="228"/>
      <c r="AB921" s="228"/>
      <c r="AC921" s="228"/>
      <c r="AD921" s="228"/>
      <c r="AE921" s="228"/>
      <c r="AF921" s="228"/>
      <c r="AG921" s="228"/>
      <c r="AH921" s="228"/>
      <c r="AI921" s="228"/>
      <c r="AJ921" s="228"/>
      <c r="AK921" s="228"/>
      <c r="AL921" s="228"/>
      <c r="AM921" s="228"/>
      <c r="AN921" s="228"/>
      <c r="AO921" s="228"/>
      <c r="AP921" s="228"/>
      <c r="AQ921" s="228"/>
      <c r="AR921" s="228"/>
      <c r="AS921" s="228"/>
      <c r="AT921" s="228"/>
      <c r="AU921" s="228"/>
      <c r="AV921" s="228"/>
      <c r="AW921" s="228"/>
      <c r="AX921" s="228"/>
      <c r="AY921" s="228"/>
      <c r="AZ921" s="228"/>
      <c r="BA921" s="228"/>
      <c r="BB921" s="228"/>
      <c r="BC921" s="228"/>
      <c r="BD921" s="100"/>
      <c r="BE921" s="100"/>
      <c r="BF921" s="100"/>
      <c r="BG921" s="100"/>
      <c r="BH921" s="100"/>
      <c r="BI921" s="100"/>
      <c r="BJ921" s="100"/>
      <c r="BK921" s="12"/>
      <c r="BL921" s="12"/>
    </row>
    <row r="922" spans="1:64" hidden="1" outlineLevel="1">
      <c r="A922" s="9"/>
      <c r="B922" s="9"/>
      <c r="C922" s="100"/>
      <c r="D922" s="270" t="str">
        <f>Asset1</f>
        <v>Secondary</v>
      </c>
      <c r="E922" s="100"/>
      <c r="F922" s="100"/>
      <c r="G922" s="100">
        <f>Input!N7</f>
        <v>17.722999999999999</v>
      </c>
      <c r="H922" s="100"/>
      <c r="I922" s="100"/>
      <c r="J922" s="100"/>
      <c r="K922" s="100"/>
      <c r="L922" s="100"/>
      <c r="M922" s="100"/>
      <c r="N922" s="100"/>
      <c r="O922" s="100"/>
      <c r="P922" s="100"/>
      <c r="Q922" s="100"/>
      <c r="R922" s="100"/>
      <c r="S922" s="100"/>
      <c r="T922" s="100"/>
      <c r="U922" s="100"/>
      <c r="V922" s="100"/>
      <c r="W922" s="100"/>
      <c r="X922" s="100"/>
      <c r="Y922" s="100"/>
      <c r="Z922" s="100"/>
      <c r="AA922" s="228"/>
      <c r="AB922" s="228"/>
      <c r="AC922" s="228"/>
      <c r="AD922" s="228"/>
      <c r="AE922" s="228"/>
      <c r="AF922" s="228"/>
      <c r="AG922" s="228"/>
      <c r="AH922" s="228"/>
      <c r="AI922" s="228"/>
      <c r="AJ922" s="228"/>
      <c r="AK922" s="228"/>
      <c r="AL922" s="228"/>
      <c r="AM922" s="228"/>
      <c r="AN922" s="228"/>
      <c r="AO922" s="228"/>
      <c r="AP922" s="228"/>
      <c r="AQ922" s="228"/>
      <c r="AR922" s="228"/>
      <c r="AS922" s="228"/>
      <c r="AT922" s="228"/>
      <c r="AU922" s="228"/>
      <c r="AV922" s="228"/>
      <c r="AW922" s="228"/>
      <c r="AX922" s="228"/>
      <c r="AY922" s="228"/>
      <c r="AZ922" s="228"/>
      <c r="BA922" s="228"/>
      <c r="BB922" s="228"/>
      <c r="BC922" s="228"/>
      <c r="BD922" s="100"/>
      <c r="BE922" s="100"/>
      <c r="BF922" s="100"/>
      <c r="BG922" s="100"/>
      <c r="BH922" s="100"/>
      <c r="BI922" s="100"/>
      <c r="BJ922" s="100"/>
      <c r="BK922" s="12"/>
      <c r="BL922" s="12"/>
    </row>
    <row r="923" spans="1:64" hidden="1" outlineLevel="1">
      <c r="A923" s="9"/>
      <c r="B923" s="9"/>
      <c r="C923" s="100"/>
      <c r="D923" s="270" t="str">
        <f>Asset2</f>
        <v>Switchgear</v>
      </c>
      <c r="E923" s="100"/>
      <c r="F923" s="100"/>
      <c r="G923" s="100">
        <f>Input!N8</f>
        <v>59.128999999999998</v>
      </c>
      <c r="H923" s="100"/>
      <c r="I923" s="100"/>
      <c r="J923" s="100"/>
      <c r="K923" s="100"/>
      <c r="L923" s="100"/>
      <c r="M923" s="100"/>
      <c r="N923" s="100"/>
      <c r="O923" s="100"/>
      <c r="P923" s="100"/>
      <c r="Q923" s="100"/>
      <c r="R923" s="100"/>
      <c r="S923" s="100"/>
      <c r="T923" s="100"/>
      <c r="U923" s="100"/>
      <c r="V923" s="100"/>
      <c r="W923" s="100"/>
      <c r="X923" s="100"/>
      <c r="Y923" s="100"/>
      <c r="Z923" s="100"/>
      <c r="AA923" s="228"/>
      <c r="AB923" s="228"/>
      <c r="AC923" s="228"/>
      <c r="AD923" s="228"/>
      <c r="AE923" s="228"/>
      <c r="AF923" s="228"/>
      <c r="AG923" s="228"/>
      <c r="AH923" s="228"/>
      <c r="AI923" s="228"/>
      <c r="AJ923" s="228"/>
      <c r="AK923" s="228"/>
      <c r="AL923" s="228"/>
      <c r="AM923" s="228"/>
      <c r="AN923" s="228"/>
      <c r="AO923" s="228"/>
      <c r="AP923" s="228"/>
      <c r="AQ923" s="228"/>
      <c r="AR923" s="228"/>
      <c r="AS923" s="228"/>
      <c r="AT923" s="228"/>
      <c r="AU923" s="228"/>
      <c r="AV923" s="228"/>
      <c r="AW923" s="228"/>
      <c r="AX923" s="228"/>
      <c r="AY923" s="228"/>
      <c r="AZ923" s="228"/>
      <c r="BA923" s="228"/>
      <c r="BB923" s="228"/>
      <c r="BC923" s="228"/>
      <c r="BD923" s="100"/>
      <c r="BE923" s="100"/>
      <c r="BF923" s="100"/>
      <c r="BG923" s="100"/>
      <c r="BH923" s="100"/>
      <c r="BI923" s="100"/>
      <c r="BJ923" s="100"/>
      <c r="BK923" s="12"/>
      <c r="BL923" s="12"/>
    </row>
    <row r="924" spans="1:64" hidden="1" outlineLevel="1">
      <c r="A924" s="9"/>
      <c r="B924" s="9"/>
      <c r="C924" s="100"/>
      <c r="D924" s="270" t="str">
        <f>Asset3</f>
        <v>Transformers</v>
      </c>
      <c r="E924" s="100"/>
      <c r="F924" s="100"/>
      <c r="G924" s="100">
        <f>Input!N9</f>
        <v>15.13</v>
      </c>
      <c r="H924" s="100"/>
      <c r="I924" s="100"/>
      <c r="J924" s="100"/>
      <c r="K924" s="100"/>
      <c r="L924" s="100"/>
      <c r="M924" s="100"/>
      <c r="N924" s="100"/>
      <c r="O924" s="100"/>
      <c r="P924" s="100"/>
      <c r="Q924" s="100"/>
      <c r="R924" s="100"/>
      <c r="S924" s="100"/>
      <c r="T924" s="100"/>
      <c r="U924" s="100"/>
      <c r="V924" s="100"/>
      <c r="W924" s="100"/>
      <c r="X924" s="100"/>
      <c r="Y924" s="100"/>
      <c r="Z924" s="100"/>
      <c r="AA924" s="228"/>
      <c r="AB924" s="228"/>
      <c r="AC924" s="228"/>
      <c r="AD924" s="228"/>
      <c r="AE924" s="228"/>
      <c r="AF924" s="228"/>
      <c r="AG924" s="228"/>
      <c r="AH924" s="228"/>
      <c r="AI924" s="228"/>
      <c r="AJ924" s="228"/>
      <c r="AK924" s="228"/>
      <c r="AL924" s="228"/>
      <c r="AM924" s="228"/>
      <c r="AN924" s="228"/>
      <c r="AO924" s="228"/>
      <c r="AP924" s="228"/>
      <c r="AQ924" s="228"/>
      <c r="AR924" s="228"/>
      <c r="AS924" s="228"/>
      <c r="AT924" s="228"/>
      <c r="AU924" s="228"/>
      <c r="AV924" s="228"/>
      <c r="AW924" s="228"/>
      <c r="AX924" s="228"/>
      <c r="AY924" s="228"/>
      <c r="AZ924" s="228"/>
      <c r="BA924" s="228"/>
      <c r="BB924" s="228"/>
      <c r="BC924" s="228"/>
      <c r="BD924" s="100"/>
      <c r="BE924" s="100"/>
      <c r="BF924" s="100"/>
      <c r="BG924" s="100"/>
      <c r="BH924" s="100"/>
      <c r="BI924" s="100"/>
      <c r="BJ924" s="100"/>
      <c r="BK924" s="12"/>
      <c r="BL924" s="12"/>
    </row>
    <row r="925" spans="1:64" hidden="1" outlineLevel="1">
      <c r="A925" s="9"/>
      <c r="B925" s="9"/>
      <c r="C925" s="100"/>
      <c r="D925" s="270" t="str">
        <f>Asset4</f>
        <v>Reactive</v>
      </c>
      <c r="E925" s="100"/>
      <c r="F925" s="100"/>
      <c r="G925" s="100">
        <f>Input!N10</f>
        <v>12.513</v>
      </c>
      <c r="H925" s="100"/>
      <c r="I925" s="100"/>
      <c r="J925" s="100"/>
      <c r="K925" s="100"/>
      <c r="L925" s="100"/>
      <c r="M925" s="100"/>
      <c r="N925" s="100"/>
      <c r="O925" s="100"/>
      <c r="P925" s="100"/>
      <c r="Q925" s="100"/>
      <c r="R925" s="100"/>
      <c r="S925" s="100"/>
      <c r="T925" s="100"/>
      <c r="U925" s="100"/>
      <c r="V925" s="100"/>
      <c r="W925" s="100"/>
      <c r="X925" s="100"/>
      <c r="Y925" s="100"/>
      <c r="Z925" s="100"/>
      <c r="AA925" s="228"/>
      <c r="AB925" s="228"/>
      <c r="AC925" s="228"/>
      <c r="AD925" s="228"/>
      <c r="AE925" s="228"/>
      <c r="AF925" s="228"/>
      <c r="AG925" s="228"/>
      <c r="AH925" s="228"/>
      <c r="AI925" s="228"/>
      <c r="AJ925" s="228"/>
      <c r="AK925" s="228"/>
      <c r="AL925" s="228"/>
      <c r="AM925" s="228"/>
      <c r="AN925" s="228"/>
      <c r="AO925" s="228"/>
      <c r="AP925" s="228"/>
      <c r="AQ925" s="228"/>
      <c r="AR925" s="228"/>
      <c r="AS925" s="228"/>
      <c r="AT925" s="228"/>
      <c r="AU925" s="228"/>
      <c r="AV925" s="228"/>
      <c r="AW925" s="228"/>
      <c r="AX925" s="228"/>
      <c r="AY925" s="228"/>
      <c r="AZ925" s="228"/>
      <c r="BA925" s="228"/>
      <c r="BB925" s="228"/>
      <c r="BC925" s="228"/>
      <c r="BD925" s="100"/>
      <c r="BE925" s="100"/>
      <c r="BF925" s="100"/>
      <c r="BG925" s="100"/>
      <c r="BH925" s="100"/>
      <c r="BI925" s="100"/>
      <c r="BJ925" s="100"/>
      <c r="BK925" s="12"/>
      <c r="BL925" s="12"/>
    </row>
    <row r="926" spans="1:64" hidden="1" outlineLevel="1">
      <c r="A926" s="9"/>
      <c r="B926" s="9"/>
      <c r="C926" s="100"/>
      <c r="D926" s="270" t="str">
        <f>Asset5</f>
        <v>Towers and Conductor</v>
      </c>
      <c r="E926" s="100"/>
      <c r="F926" s="100"/>
      <c r="G926" s="100">
        <f>Input!N11</f>
        <v>5.907</v>
      </c>
      <c r="H926" s="100"/>
      <c r="I926" s="100"/>
      <c r="J926" s="100"/>
      <c r="K926" s="100"/>
      <c r="L926" s="100"/>
      <c r="M926" s="100"/>
      <c r="N926" s="100"/>
      <c r="O926" s="100"/>
      <c r="P926" s="100"/>
      <c r="Q926" s="100"/>
      <c r="R926" s="100"/>
      <c r="S926" s="100"/>
      <c r="T926" s="100"/>
      <c r="U926" s="100"/>
      <c r="V926" s="100"/>
      <c r="W926" s="100"/>
      <c r="X926" s="100"/>
      <c r="Y926" s="100"/>
      <c r="Z926" s="100"/>
      <c r="AA926" s="228"/>
      <c r="AB926" s="228"/>
      <c r="AC926" s="228"/>
      <c r="AD926" s="228"/>
      <c r="AE926" s="228"/>
      <c r="AF926" s="228"/>
      <c r="AG926" s="228"/>
      <c r="AH926" s="228"/>
      <c r="AI926" s="228"/>
      <c r="AJ926" s="228"/>
      <c r="AK926" s="228"/>
      <c r="AL926" s="228"/>
      <c r="AM926" s="228"/>
      <c r="AN926" s="228"/>
      <c r="AO926" s="228"/>
      <c r="AP926" s="228"/>
      <c r="AQ926" s="228"/>
      <c r="AR926" s="228"/>
      <c r="AS926" s="228"/>
      <c r="AT926" s="228"/>
      <c r="AU926" s="228"/>
      <c r="AV926" s="228"/>
      <c r="AW926" s="228"/>
      <c r="AX926" s="228"/>
      <c r="AY926" s="228"/>
      <c r="AZ926" s="228"/>
      <c r="BA926" s="228"/>
      <c r="BB926" s="228"/>
      <c r="BC926" s="228"/>
      <c r="BD926" s="100"/>
      <c r="BE926" s="100"/>
      <c r="BF926" s="100"/>
      <c r="BG926" s="100"/>
      <c r="BH926" s="100"/>
      <c r="BI926" s="100"/>
      <c r="BJ926" s="100"/>
      <c r="BK926" s="12"/>
      <c r="BL926" s="12"/>
    </row>
    <row r="927" spans="1:64" hidden="1" outlineLevel="1">
      <c r="A927" s="9"/>
      <c r="B927" s="9"/>
      <c r="C927" s="100"/>
      <c r="D927" s="270" t="str">
        <f>Asset6</f>
        <v>Establishment</v>
      </c>
      <c r="E927" s="100"/>
      <c r="F927" s="100"/>
      <c r="G927" s="100">
        <f>Input!N12</f>
        <v>4.085</v>
      </c>
      <c r="H927" s="100"/>
      <c r="I927" s="100"/>
      <c r="J927" s="100"/>
      <c r="K927" s="100"/>
      <c r="L927" s="100"/>
      <c r="M927" s="100"/>
      <c r="N927" s="100"/>
      <c r="O927" s="100"/>
      <c r="P927" s="100"/>
      <c r="Q927" s="100"/>
      <c r="R927" s="100"/>
      <c r="S927" s="100"/>
      <c r="T927" s="100"/>
      <c r="U927" s="100"/>
      <c r="V927" s="100"/>
      <c r="W927" s="100"/>
      <c r="X927" s="100"/>
      <c r="Y927" s="100"/>
      <c r="Z927" s="100"/>
      <c r="AA927" s="228"/>
      <c r="AB927" s="228"/>
      <c r="AC927" s="228"/>
      <c r="AD927" s="228"/>
      <c r="AE927" s="228"/>
      <c r="AF927" s="228"/>
      <c r="AG927" s="228"/>
      <c r="AH927" s="228"/>
      <c r="AI927" s="228"/>
      <c r="AJ927" s="228"/>
      <c r="AK927" s="228"/>
      <c r="AL927" s="228"/>
      <c r="AM927" s="228"/>
      <c r="AN927" s="228"/>
      <c r="AO927" s="228"/>
      <c r="AP927" s="228"/>
      <c r="AQ927" s="228"/>
      <c r="AR927" s="228"/>
      <c r="AS927" s="228"/>
      <c r="AT927" s="228"/>
      <c r="AU927" s="228"/>
      <c r="AV927" s="228"/>
      <c r="AW927" s="228"/>
      <c r="AX927" s="228"/>
      <c r="AY927" s="228"/>
      <c r="AZ927" s="228"/>
      <c r="BA927" s="228"/>
      <c r="BB927" s="228"/>
      <c r="BC927" s="228"/>
      <c r="BD927" s="100"/>
      <c r="BE927" s="100"/>
      <c r="BF927" s="100"/>
      <c r="BG927" s="100"/>
      <c r="BH927" s="100"/>
      <c r="BI927" s="100"/>
      <c r="BJ927" s="100"/>
      <c r="BK927" s="12"/>
      <c r="BL927" s="12"/>
    </row>
    <row r="928" spans="1:64" hidden="1" outlineLevel="1">
      <c r="A928" s="9"/>
      <c r="B928" s="9"/>
      <c r="C928" s="100"/>
      <c r="D928" s="270" t="str">
        <f>Asset7</f>
        <v>Communications</v>
      </c>
      <c r="E928" s="100"/>
      <c r="F928" s="100"/>
      <c r="G928" s="100">
        <f>Input!N13</f>
        <v>1.3620000000000001</v>
      </c>
      <c r="H928" s="100"/>
      <c r="I928" s="100"/>
      <c r="J928" s="100"/>
      <c r="K928" s="100"/>
      <c r="L928" s="100"/>
      <c r="M928" s="100"/>
      <c r="N928" s="100"/>
      <c r="O928" s="100"/>
      <c r="P928" s="100"/>
      <c r="Q928" s="100"/>
      <c r="R928" s="100"/>
      <c r="S928" s="100"/>
      <c r="T928" s="100"/>
      <c r="U928" s="100"/>
      <c r="V928" s="100"/>
      <c r="W928" s="100"/>
      <c r="X928" s="100"/>
      <c r="Y928" s="100"/>
      <c r="Z928" s="100"/>
      <c r="AA928" s="228"/>
      <c r="AB928" s="228"/>
      <c r="AC928" s="228"/>
      <c r="AD928" s="228"/>
      <c r="AE928" s="228"/>
      <c r="AF928" s="228"/>
      <c r="AG928" s="228"/>
      <c r="AH928" s="228"/>
      <c r="AI928" s="228"/>
      <c r="AJ928" s="228"/>
      <c r="AK928" s="228"/>
      <c r="AL928" s="228"/>
      <c r="AM928" s="228"/>
      <c r="AN928" s="228"/>
      <c r="AO928" s="228"/>
      <c r="AP928" s="228"/>
      <c r="AQ928" s="228"/>
      <c r="AR928" s="228"/>
      <c r="AS928" s="228"/>
      <c r="AT928" s="228"/>
      <c r="AU928" s="228"/>
      <c r="AV928" s="228"/>
      <c r="AW928" s="228"/>
      <c r="AX928" s="228"/>
      <c r="AY928" s="228"/>
      <c r="AZ928" s="228"/>
      <c r="BA928" s="228"/>
      <c r="BB928" s="228"/>
      <c r="BC928" s="228"/>
      <c r="BD928" s="100"/>
      <c r="BE928" s="100"/>
      <c r="BF928" s="100"/>
      <c r="BG928" s="100"/>
      <c r="BH928" s="100"/>
      <c r="BI928" s="100"/>
      <c r="BJ928" s="100"/>
      <c r="BK928" s="12"/>
      <c r="BL928" s="12"/>
    </row>
    <row r="929" spans="1:64" hidden="1" outlineLevel="1">
      <c r="A929" s="9"/>
      <c r="B929" s="9"/>
      <c r="C929" s="100"/>
      <c r="D929" s="270" t="str">
        <f>Asset8</f>
        <v>Inventory</v>
      </c>
      <c r="E929" s="100"/>
      <c r="F929" s="100"/>
      <c r="G929" s="100">
        <f>Input!N14</f>
        <v>0</v>
      </c>
      <c r="H929" s="100"/>
      <c r="I929" s="100"/>
      <c r="J929" s="100"/>
      <c r="K929" s="100"/>
      <c r="L929" s="100"/>
      <c r="M929" s="100"/>
      <c r="N929" s="100"/>
      <c r="O929" s="100"/>
      <c r="P929" s="100"/>
      <c r="Q929" s="100"/>
      <c r="R929" s="100"/>
      <c r="S929" s="100"/>
      <c r="T929" s="100"/>
      <c r="U929" s="100"/>
      <c r="V929" s="100"/>
      <c r="W929" s="100"/>
      <c r="X929" s="100"/>
      <c r="Y929" s="100"/>
      <c r="Z929" s="100"/>
      <c r="AA929" s="228"/>
      <c r="AB929" s="228"/>
      <c r="AC929" s="228"/>
      <c r="AD929" s="228"/>
      <c r="AE929" s="228"/>
      <c r="AF929" s="228"/>
      <c r="AG929" s="228"/>
      <c r="AH929" s="228"/>
      <c r="AI929" s="228"/>
      <c r="AJ929" s="228"/>
      <c r="AK929" s="228"/>
      <c r="AL929" s="228"/>
      <c r="AM929" s="228"/>
      <c r="AN929" s="228"/>
      <c r="AO929" s="228"/>
      <c r="AP929" s="228"/>
      <c r="AQ929" s="228"/>
      <c r="AR929" s="228"/>
      <c r="AS929" s="228"/>
      <c r="AT929" s="228"/>
      <c r="AU929" s="228"/>
      <c r="AV929" s="228"/>
      <c r="AW929" s="228"/>
      <c r="AX929" s="228"/>
      <c r="AY929" s="228"/>
      <c r="AZ929" s="228"/>
      <c r="BA929" s="228"/>
      <c r="BB929" s="228"/>
      <c r="BC929" s="228"/>
      <c r="BD929" s="100"/>
      <c r="BE929" s="100"/>
      <c r="BF929" s="100"/>
      <c r="BG929" s="100"/>
      <c r="BH929" s="100"/>
      <c r="BI929" s="100"/>
      <c r="BJ929" s="100"/>
      <c r="BK929" s="12"/>
      <c r="BL929" s="12"/>
    </row>
    <row r="930" spans="1:64" hidden="1" outlineLevel="1">
      <c r="A930" s="9"/>
      <c r="B930" s="9"/>
      <c r="C930" s="100"/>
      <c r="D930" s="270" t="str">
        <f>Asset9</f>
        <v>IT</v>
      </c>
      <c r="E930" s="100"/>
      <c r="F930" s="100"/>
      <c r="G930" s="100">
        <f>Input!N15</f>
        <v>0</v>
      </c>
      <c r="H930" s="100"/>
      <c r="I930" s="100"/>
      <c r="J930" s="100"/>
      <c r="K930" s="100"/>
      <c r="L930" s="100"/>
      <c r="M930" s="100"/>
      <c r="N930" s="100"/>
      <c r="O930" s="100"/>
      <c r="P930" s="100"/>
      <c r="Q930" s="100"/>
      <c r="R930" s="100"/>
      <c r="S930" s="100"/>
      <c r="T930" s="100"/>
      <c r="U930" s="100"/>
      <c r="V930" s="100"/>
      <c r="W930" s="100"/>
      <c r="X930" s="100"/>
      <c r="Y930" s="100"/>
      <c r="Z930" s="100"/>
      <c r="AA930" s="228"/>
      <c r="AB930" s="228"/>
      <c r="AC930" s="228"/>
      <c r="AD930" s="228"/>
      <c r="AE930" s="228"/>
      <c r="AF930" s="228"/>
      <c r="AG930" s="228"/>
      <c r="AH930" s="228"/>
      <c r="AI930" s="228"/>
      <c r="AJ930" s="228"/>
      <c r="AK930" s="228"/>
      <c r="AL930" s="228"/>
      <c r="AM930" s="228"/>
      <c r="AN930" s="228"/>
      <c r="AO930" s="228"/>
      <c r="AP930" s="228"/>
      <c r="AQ930" s="228"/>
      <c r="AR930" s="228"/>
      <c r="AS930" s="228"/>
      <c r="AT930" s="228"/>
      <c r="AU930" s="228"/>
      <c r="AV930" s="228"/>
      <c r="AW930" s="228"/>
      <c r="AX930" s="228"/>
      <c r="AY930" s="228"/>
      <c r="AZ930" s="228"/>
      <c r="BA930" s="228"/>
      <c r="BB930" s="228"/>
      <c r="BC930" s="228"/>
      <c r="BD930" s="100"/>
      <c r="BE930" s="100"/>
      <c r="BF930" s="100"/>
      <c r="BG930" s="100"/>
      <c r="BH930" s="100"/>
      <c r="BI930" s="100"/>
      <c r="BJ930" s="100"/>
      <c r="BK930" s="12"/>
      <c r="BL930" s="12"/>
    </row>
    <row r="931" spans="1:64" hidden="1" outlineLevel="1">
      <c r="A931" s="9"/>
      <c r="B931" s="9"/>
      <c r="C931" s="100"/>
      <c r="D931" s="270" t="str">
        <f>Asset10</f>
        <v>Vehicles</v>
      </c>
      <c r="E931" s="100"/>
      <c r="F931" s="100"/>
      <c r="G931" s="100">
        <f>Input!N16</f>
        <v>0</v>
      </c>
      <c r="H931" s="100"/>
      <c r="I931" s="100"/>
      <c r="J931" s="100"/>
      <c r="K931" s="100"/>
      <c r="L931" s="100"/>
      <c r="M931" s="100"/>
      <c r="N931" s="100"/>
      <c r="O931" s="100"/>
      <c r="P931" s="100"/>
      <c r="Q931" s="100"/>
      <c r="R931" s="100"/>
      <c r="S931" s="100"/>
      <c r="T931" s="100"/>
      <c r="U931" s="100"/>
      <c r="V931" s="100"/>
      <c r="W931" s="100"/>
      <c r="X931" s="100"/>
      <c r="Y931" s="100"/>
      <c r="Z931" s="100"/>
      <c r="AA931" s="228"/>
      <c r="AB931" s="228"/>
      <c r="AC931" s="228"/>
      <c r="AD931" s="228"/>
      <c r="AE931" s="228"/>
      <c r="AF931" s="228"/>
      <c r="AG931" s="228"/>
      <c r="AH931" s="228"/>
      <c r="AI931" s="228"/>
      <c r="AJ931" s="228"/>
      <c r="AK931" s="228"/>
      <c r="AL931" s="228"/>
      <c r="AM931" s="228"/>
      <c r="AN931" s="228"/>
      <c r="AO931" s="228"/>
      <c r="AP931" s="228"/>
      <c r="AQ931" s="228"/>
      <c r="AR931" s="228"/>
      <c r="AS931" s="228"/>
      <c r="AT931" s="228"/>
      <c r="AU931" s="228"/>
      <c r="AV931" s="228"/>
      <c r="AW931" s="228"/>
      <c r="AX931" s="228"/>
      <c r="AY931" s="228"/>
      <c r="AZ931" s="228"/>
      <c r="BA931" s="228"/>
      <c r="BB931" s="228"/>
      <c r="BC931" s="228"/>
      <c r="BD931" s="100"/>
      <c r="BE931" s="100"/>
      <c r="BF931" s="100"/>
      <c r="BG931" s="100"/>
      <c r="BH931" s="100"/>
      <c r="BI931" s="100"/>
      <c r="BJ931" s="100"/>
      <c r="BK931" s="12"/>
      <c r="BL931" s="12"/>
    </row>
    <row r="932" spans="1:64" hidden="1" outlineLevel="1">
      <c r="A932" s="9"/>
      <c r="B932" s="9"/>
      <c r="C932" s="100"/>
      <c r="D932" s="270" t="str">
        <f>Asset11</f>
        <v>other</v>
      </c>
      <c r="E932" s="100"/>
      <c r="F932" s="100"/>
      <c r="G932" s="100">
        <f>Input!N17</f>
        <v>0</v>
      </c>
      <c r="H932" s="100"/>
      <c r="I932" s="100"/>
      <c r="J932" s="100"/>
      <c r="K932" s="100"/>
      <c r="L932" s="100"/>
      <c r="M932" s="100"/>
      <c r="N932" s="100"/>
      <c r="O932" s="100"/>
      <c r="P932" s="100"/>
      <c r="Q932" s="100"/>
      <c r="R932" s="100"/>
      <c r="S932" s="100"/>
      <c r="T932" s="100"/>
      <c r="U932" s="100"/>
      <c r="V932" s="100"/>
      <c r="W932" s="100"/>
      <c r="X932" s="100"/>
      <c r="Y932" s="100"/>
      <c r="Z932" s="100"/>
      <c r="AA932" s="228"/>
      <c r="AB932" s="228"/>
      <c r="AC932" s="228"/>
      <c r="AD932" s="228"/>
      <c r="AE932" s="228"/>
      <c r="AF932" s="228"/>
      <c r="AG932" s="228"/>
      <c r="AH932" s="228"/>
      <c r="AI932" s="228"/>
      <c r="AJ932" s="228"/>
      <c r="AK932" s="228"/>
      <c r="AL932" s="228"/>
      <c r="AM932" s="228"/>
      <c r="AN932" s="228"/>
      <c r="AO932" s="228"/>
      <c r="AP932" s="228"/>
      <c r="AQ932" s="228"/>
      <c r="AR932" s="228"/>
      <c r="AS932" s="228"/>
      <c r="AT932" s="228"/>
      <c r="AU932" s="228"/>
      <c r="AV932" s="228"/>
      <c r="AW932" s="228"/>
      <c r="AX932" s="228"/>
      <c r="AY932" s="228"/>
      <c r="AZ932" s="228"/>
      <c r="BA932" s="228"/>
      <c r="BB932" s="228"/>
      <c r="BC932" s="228"/>
      <c r="BD932" s="100"/>
      <c r="BE932" s="100"/>
      <c r="BF932" s="100"/>
      <c r="BG932" s="100"/>
      <c r="BH932" s="100"/>
      <c r="BI932" s="100"/>
      <c r="BJ932" s="100"/>
      <c r="BK932" s="12"/>
      <c r="BL932" s="12"/>
    </row>
    <row r="933" spans="1:64" hidden="1" outlineLevel="1">
      <c r="A933" s="9"/>
      <c r="B933" s="9"/>
      <c r="C933" s="100"/>
      <c r="D933" s="270" t="str">
        <f>Asset12</f>
        <v>premises</v>
      </c>
      <c r="E933" s="100"/>
      <c r="F933" s="100"/>
      <c r="G933" s="100">
        <f>Input!N18</f>
        <v>0</v>
      </c>
      <c r="H933" s="100"/>
      <c r="I933" s="100"/>
      <c r="J933" s="100"/>
      <c r="K933" s="100"/>
      <c r="L933" s="100"/>
      <c r="M933" s="100"/>
      <c r="N933" s="100"/>
      <c r="O933" s="100"/>
      <c r="P933" s="100"/>
      <c r="Q933" s="100"/>
      <c r="R933" s="100"/>
      <c r="S933" s="100"/>
      <c r="T933" s="100"/>
      <c r="U933" s="100"/>
      <c r="V933" s="100"/>
      <c r="W933" s="100"/>
      <c r="X933" s="100"/>
      <c r="Y933" s="100"/>
      <c r="Z933" s="100"/>
      <c r="AA933" s="228"/>
      <c r="AB933" s="228"/>
      <c r="AC933" s="228"/>
      <c r="AD933" s="228"/>
      <c r="AE933" s="228"/>
      <c r="AF933" s="228"/>
      <c r="AG933" s="228"/>
      <c r="AH933" s="228"/>
      <c r="AI933" s="228"/>
      <c r="AJ933" s="228"/>
      <c r="AK933" s="228"/>
      <c r="AL933" s="228"/>
      <c r="AM933" s="228"/>
      <c r="AN933" s="228"/>
      <c r="AO933" s="228"/>
      <c r="AP933" s="228"/>
      <c r="AQ933" s="228"/>
      <c r="AR933" s="228"/>
      <c r="AS933" s="228"/>
      <c r="AT933" s="228"/>
      <c r="AU933" s="228"/>
      <c r="AV933" s="228"/>
      <c r="AW933" s="228"/>
      <c r="AX933" s="228"/>
      <c r="AY933" s="228"/>
      <c r="AZ933" s="228"/>
      <c r="BA933" s="228"/>
      <c r="BB933" s="228"/>
      <c r="BC933" s="228"/>
      <c r="BD933" s="100"/>
      <c r="BE933" s="100"/>
      <c r="BF933" s="100"/>
      <c r="BG933" s="100"/>
      <c r="BH933" s="100"/>
      <c r="BI933" s="100"/>
      <c r="BJ933" s="100"/>
      <c r="BK933" s="12"/>
      <c r="BL933" s="12"/>
    </row>
    <row r="934" spans="1:64" hidden="1" outlineLevel="1">
      <c r="A934" s="9"/>
      <c r="B934" s="9"/>
      <c r="C934" s="100"/>
      <c r="D934" s="270" t="str">
        <f>Asset13</f>
        <v>Land</v>
      </c>
      <c r="E934" s="100"/>
      <c r="F934" s="100"/>
      <c r="G934" s="100">
        <f>Input!N19</f>
        <v>0</v>
      </c>
      <c r="H934" s="100"/>
      <c r="I934" s="100"/>
      <c r="J934" s="100"/>
      <c r="K934" s="100"/>
      <c r="L934" s="100"/>
      <c r="M934" s="100"/>
      <c r="N934" s="100"/>
      <c r="O934" s="100"/>
      <c r="P934" s="100"/>
      <c r="Q934" s="100"/>
      <c r="R934" s="100"/>
      <c r="S934" s="100"/>
      <c r="T934" s="100"/>
      <c r="U934" s="100"/>
      <c r="V934" s="100"/>
      <c r="W934" s="100"/>
      <c r="X934" s="100"/>
      <c r="Y934" s="100"/>
      <c r="Z934" s="100"/>
      <c r="AA934" s="228"/>
      <c r="AB934" s="228"/>
      <c r="AC934" s="228"/>
      <c r="AD934" s="228"/>
      <c r="AE934" s="228"/>
      <c r="AF934" s="228"/>
      <c r="AG934" s="228"/>
      <c r="AH934" s="228"/>
      <c r="AI934" s="228"/>
      <c r="AJ934" s="228"/>
      <c r="AK934" s="228"/>
      <c r="AL934" s="228"/>
      <c r="AM934" s="228"/>
      <c r="AN934" s="228"/>
      <c r="AO934" s="228"/>
      <c r="AP934" s="228"/>
      <c r="AQ934" s="228"/>
      <c r="AR934" s="228"/>
      <c r="AS934" s="228"/>
      <c r="AT934" s="228"/>
      <c r="AU934" s="228"/>
      <c r="AV934" s="228"/>
      <c r="AW934" s="228"/>
      <c r="AX934" s="228"/>
      <c r="AY934" s="228"/>
      <c r="AZ934" s="228"/>
      <c r="BA934" s="228"/>
      <c r="BB934" s="228"/>
      <c r="BC934" s="228"/>
      <c r="BD934" s="100"/>
      <c r="BE934" s="100"/>
      <c r="BF934" s="100"/>
      <c r="BG934" s="100"/>
      <c r="BH934" s="100"/>
      <c r="BI934" s="100"/>
      <c r="BJ934" s="100"/>
      <c r="BK934" s="12"/>
      <c r="BL934" s="12"/>
    </row>
    <row r="935" spans="1:64" hidden="1" outlineLevel="1">
      <c r="A935" s="9"/>
      <c r="B935" s="9"/>
      <c r="C935" s="100"/>
      <c r="D935" s="270" t="str">
        <f>Asset14</f>
        <v>Easements</v>
      </c>
      <c r="E935" s="100"/>
      <c r="F935" s="100"/>
      <c r="G935" s="100">
        <f>Input!N20</f>
        <v>0</v>
      </c>
      <c r="H935" s="100"/>
      <c r="I935" s="100"/>
      <c r="J935" s="100"/>
      <c r="K935" s="100"/>
      <c r="L935" s="100"/>
      <c r="M935" s="100"/>
      <c r="N935" s="100"/>
      <c r="O935" s="100"/>
      <c r="P935" s="100"/>
      <c r="Q935" s="100"/>
      <c r="R935" s="100"/>
      <c r="S935" s="100"/>
      <c r="T935" s="100"/>
      <c r="U935" s="100"/>
      <c r="V935" s="100"/>
      <c r="W935" s="100"/>
      <c r="X935" s="100"/>
      <c r="Y935" s="100"/>
      <c r="Z935" s="100"/>
      <c r="AA935" s="228"/>
      <c r="AB935" s="228"/>
      <c r="AC935" s="228"/>
      <c r="AD935" s="228"/>
      <c r="AE935" s="228"/>
      <c r="AF935" s="228"/>
      <c r="AG935" s="228"/>
      <c r="AH935" s="228"/>
      <c r="AI935" s="228"/>
      <c r="AJ935" s="228"/>
      <c r="AK935" s="228"/>
      <c r="AL935" s="228"/>
      <c r="AM935" s="228"/>
      <c r="AN935" s="228"/>
      <c r="AO935" s="228"/>
      <c r="AP935" s="228"/>
      <c r="AQ935" s="228"/>
      <c r="AR935" s="228"/>
      <c r="AS935" s="228"/>
      <c r="AT935" s="228"/>
      <c r="AU935" s="228"/>
      <c r="AV935" s="228"/>
      <c r="AW935" s="228"/>
      <c r="AX935" s="228"/>
      <c r="AY935" s="228"/>
      <c r="AZ935" s="228"/>
      <c r="BA935" s="228"/>
      <c r="BB935" s="228"/>
      <c r="BC935" s="228"/>
      <c r="BD935" s="100"/>
      <c r="BE935" s="100"/>
      <c r="BF935" s="100"/>
      <c r="BG935" s="100"/>
      <c r="BH935" s="100"/>
      <c r="BI935" s="100"/>
      <c r="BJ935" s="100"/>
      <c r="BK935" s="12"/>
      <c r="BL935" s="12"/>
    </row>
    <row r="936" spans="1:64" hidden="1" outlineLevel="1">
      <c r="A936" s="9"/>
      <c r="B936" s="9"/>
      <c r="C936" s="100"/>
      <c r="D936" s="270">
        <f>Asset15</f>
        <v>0</v>
      </c>
      <c r="E936" s="100"/>
      <c r="F936" s="100"/>
      <c r="G936" s="100">
        <f>Input!N21</f>
        <v>0</v>
      </c>
      <c r="H936" s="100"/>
      <c r="I936" s="100"/>
      <c r="J936" s="100"/>
      <c r="K936" s="100"/>
      <c r="L936" s="100"/>
      <c r="M936" s="100"/>
      <c r="N936" s="100"/>
      <c r="O936" s="100"/>
      <c r="P936" s="100"/>
      <c r="Q936" s="100"/>
      <c r="R936" s="100"/>
      <c r="S936" s="100"/>
      <c r="T936" s="100"/>
      <c r="U936" s="100"/>
      <c r="V936" s="100"/>
      <c r="W936" s="100"/>
      <c r="X936" s="100"/>
      <c r="Y936" s="100"/>
      <c r="Z936" s="100"/>
      <c r="AA936" s="228"/>
      <c r="AB936" s="228"/>
      <c r="AC936" s="228"/>
      <c r="AD936" s="228"/>
      <c r="AE936" s="228"/>
      <c r="AF936" s="228"/>
      <c r="AG936" s="228"/>
      <c r="AH936" s="228"/>
      <c r="AI936" s="228"/>
      <c r="AJ936" s="228"/>
      <c r="AK936" s="228"/>
      <c r="AL936" s="228"/>
      <c r="AM936" s="228"/>
      <c r="AN936" s="228"/>
      <c r="AO936" s="228"/>
      <c r="AP936" s="228"/>
      <c r="AQ936" s="228"/>
      <c r="AR936" s="228"/>
      <c r="AS936" s="228"/>
      <c r="AT936" s="228"/>
      <c r="AU936" s="228"/>
      <c r="AV936" s="228"/>
      <c r="AW936" s="228"/>
      <c r="AX936" s="228"/>
      <c r="AY936" s="228"/>
      <c r="AZ936" s="228"/>
      <c r="BA936" s="228"/>
      <c r="BB936" s="228"/>
      <c r="BC936" s="228"/>
      <c r="BD936" s="100"/>
      <c r="BE936" s="100"/>
      <c r="BF936" s="100"/>
      <c r="BG936" s="100"/>
      <c r="BH936" s="100"/>
      <c r="BI936" s="100"/>
      <c r="BJ936" s="100"/>
      <c r="BK936" s="12"/>
      <c r="BL936" s="12"/>
    </row>
    <row r="937" spans="1:64" hidden="1" outlineLevel="1">
      <c r="A937" s="9"/>
      <c r="B937" s="9"/>
      <c r="C937" s="100"/>
      <c r="D937" s="270">
        <f>Asset16</f>
        <v>0</v>
      </c>
      <c r="E937" s="100"/>
      <c r="F937" s="100"/>
      <c r="G937" s="100">
        <f>Input!N22</f>
        <v>0</v>
      </c>
      <c r="H937" s="100"/>
      <c r="I937" s="100"/>
      <c r="J937" s="100"/>
      <c r="K937" s="100"/>
      <c r="L937" s="100"/>
      <c r="M937" s="100"/>
      <c r="N937" s="100"/>
      <c r="O937" s="100"/>
      <c r="P937" s="100"/>
      <c r="Q937" s="100"/>
      <c r="R937" s="100"/>
      <c r="S937" s="100"/>
      <c r="T937" s="100"/>
      <c r="U937" s="100"/>
      <c r="V937" s="100"/>
      <c r="W937" s="100"/>
      <c r="X937" s="100"/>
      <c r="Y937" s="100"/>
      <c r="Z937" s="100"/>
      <c r="AA937" s="228"/>
      <c r="AB937" s="228"/>
      <c r="AC937" s="228"/>
      <c r="AD937" s="228"/>
      <c r="AE937" s="228"/>
      <c r="AF937" s="228"/>
      <c r="AG937" s="228"/>
      <c r="AH937" s="228"/>
      <c r="AI937" s="228"/>
      <c r="AJ937" s="228"/>
      <c r="AK937" s="228"/>
      <c r="AL937" s="228"/>
      <c r="AM937" s="228"/>
      <c r="AN937" s="228"/>
      <c r="AO937" s="228"/>
      <c r="AP937" s="228"/>
      <c r="AQ937" s="228"/>
      <c r="AR937" s="228"/>
      <c r="AS937" s="228"/>
      <c r="AT937" s="228"/>
      <c r="AU937" s="228"/>
      <c r="AV937" s="228"/>
      <c r="AW937" s="228"/>
      <c r="AX937" s="228"/>
      <c r="AY937" s="228"/>
      <c r="AZ937" s="228"/>
      <c r="BA937" s="228"/>
      <c r="BB937" s="228"/>
      <c r="BC937" s="228"/>
      <c r="BD937" s="100"/>
      <c r="BE937" s="100"/>
      <c r="BF937" s="100"/>
      <c r="BG937" s="100"/>
      <c r="BH937" s="100"/>
      <c r="BI937" s="100"/>
      <c r="BJ937" s="100"/>
      <c r="BK937" s="12"/>
      <c r="BL937" s="12"/>
    </row>
    <row r="938" spans="1:64" hidden="1" outlineLevel="1">
      <c r="A938" s="9"/>
      <c r="B938" s="9"/>
      <c r="C938" s="100"/>
      <c r="D938" s="270">
        <f>Asset17</f>
        <v>0</v>
      </c>
      <c r="E938" s="100"/>
      <c r="F938" s="100"/>
      <c r="G938" s="100">
        <f>Input!N23</f>
        <v>0</v>
      </c>
      <c r="H938" s="100"/>
      <c r="I938" s="100"/>
      <c r="J938" s="100"/>
      <c r="K938" s="100"/>
      <c r="L938" s="100"/>
      <c r="M938" s="100"/>
      <c r="N938" s="100"/>
      <c r="O938" s="100"/>
      <c r="P938" s="100"/>
      <c r="Q938" s="100"/>
      <c r="R938" s="100"/>
      <c r="S938" s="100"/>
      <c r="T938" s="100"/>
      <c r="U938" s="100"/>
      <c r="V938" s="100"/>
      <c r="W938" s="100"/>
      <c r="X938" s="100"/>
      <c r="Y938" s="100"/>
      <c r="Z938" s="100"/>
      <c r="AA938" s="228"/>
      <c r="AB938" s="228"/>
      <c r="AC938" s="228"/>
      <c r="AD938" s="228"/>
      <c r="AE938" s="228"/>
      <c r="AF938" s="228"/>
      <c r="AG938" s="228"/>
      <c r="AH938" s="228"/>
      <c r="AI938" s="228"/>
      <c r="AJ938" s="228"/>
      <c r="AK938" s="228"/>
      <c r="AL938" s="228"/>
      <c r="AM938" s="228"/>
      <c r="AN938" s="228"/>
      <c r="AO938" s="228"/>
      <c r="AP938" s="228"/>
      <c r="AQ938" s="228"/>
      <c r="AR938" s="228"/>
      <c r="AS938" s="228"/>
      <c r="AT938" s="228"/>
      <c r="AU938" s="228"/>
      <c r="AV938" s="228"/>
      <c r="AW938" s="228"/>
      <c r="AX938" s="228"/>
      <c r="AY938" s="228"/>
      <c r="AZ938" s="228"/>
      <c r="BA938" s="228"/>
      <c r="BB938" s="228"/>
      <c r="BC938" s="228"/>
      <c r="BD938" s="100"/>
      <c r="BE938" s="100"/>
      <c r="BF938" s="100"/>
      <c r="BG938" s="100"/>
      <c r="BH938" s="100"/>
      <c r="BI938" s="100"/>
      <c r="BJ938" s="100"/>
      <c r="BK938" s="12"/>
      <c r="BL938" s="12"/>
    </row>
    <row r="939" spans="1:64" hidden="1" outlineLevel="1">
      <c r="A939" s="9"/>
      <c r="B939" s="9"/>
      <c r="C939" s="100"/>
      <c r="D939" s="270">
        <f>Asset18</f>
        <v>0</v>
      </c>
      <c r="E939" s="100"/>
      <c r="F939" s="100"/>
      <c r="G939" s="100">
        <f>Input!N24</f>
        <v>0</v>
      </c>
      <c r="H939" s="100"/>
      <c r="I939" s="100"/>
      <c r="J939" s="100"/>
      <c r="K939" s="100"/>
      <c r="L939" s="100"/>
      <c r="M939" s="100"/>
      <c r="N939" s="100"/>
      <c r="O939" s="100"/>
      <c r="P939" s="100"/>
      <c r="Q939" s="100"/>
      <c r="R939" s="100"/>
      <c r="S939" s="100"/>
      <c r="T939" s="100"/>
      <c r="U939" s="100"/>
      <c r="V939" s="100"/>
      <c r="W939" s="100"/>
      <c r="X939" s="100"/>
      <c r="Y939" s="100"/>
      <c r="Z939" s="100"/>
      <c r="AA939" s="228"/>
      <c r="AB939" s="228"/>
      <c r="AC939" s="228"/>
      <c r="AD939" s="228"/>
      <c r="AE939" s="228"/>
      <c r="AF939" s="228"/>
      <c r="AG939" s="228"/>
      <c r="AH939" s="228"/>
      <c r="AI939" s="228"/>
      <c r="AJ939" s="228"/>
      <c r="AK939" s="228"/>
      <c r="AL939" s="228"/>
      <c r="AM939" s="228"/>
      <c r="AN939" s="228"/>
      <c r="AO939" s="228"/>
      <c r="AP939" s="228"/>
      <c r="AQ939" s="228"/>
      <c r="AR939" s="228"/>
      <c r="AS939" s="228"/>
      <c r="AT939" s="228"/>
      <c r="AU939" s="228"/>
      <c r="AV939" s="228"/>
      <c r="AW939" s="228"/>
      <c r="AX939" s="228"/>
      <c r="AY939" s="228"/>
      <c r="AZ939" s="228"/>
      <c r="BA939" s="228"/>
      <c r="BB939" s="228"/>
      <c r="BC939" s="228"/>
      <c r="BD939" s="100"/>
      <c r="BE939" s="100"/>
      <c r="BF939" s="100"/>
      <c r="BG939" s="100"/>
      <c r="BH939" s="100"/>
      <c r="BI939" s="100"/>
      <c r="BJ939" s="100"/>
      <c r="BK939" s="12"/>
      <c r="BL939" s="12"/>
    </row>
    <row r="940" spans="1:64" hidden="1" outlineLevel="1">
      <c r="A940" s="9"/>
      <c r="B940" s="9"/>
      <c r="C940" s="100"/>
      <c r="D940" s="270">
        <f>Asset19</f>
        <v>0</v>
      </c>
      <c r="E940" s="100"/>
      <c r="F940" s="100"/>
      <c r="G940" s="100">
        <f>Input!N25</f>
        <v>0</v>
      </c>
      <c r="H940" s="100"/>
      <c r="I940" s="100"/>
      <c r="J940" s="100"/>
      <c r="K940" s="100"/>
      <c r="L940" s="100"/>
      <c r="M940" s="100"/>
      <c r="N940" s="100"/>
      <c r="O940" s="100"/>
      <c r="P940" s="100"/>
      <c r="Q940" s="100"/>
      <c r="R940" s="100"/>
      <c r="S940" s="100"/>
      <c r="T940" s="100"/>
      <c r="U940" s="100"/>
      <c r="V940" s="100"/>
      <c r="W940" s="100"/>
      <c r="X940" s="100"/>
      <c r="Y940" s="100"/>
      <c r="Z940" s="100"/>
      <c r="AA940" s="228"/>
      <c r="AB940" s="228"/>
      <c r="AC940" s="228"/>
      <c r="AD940" s="228"/>
      <c r="AE940" s="228"/>
      <c r="AF940" s="228"/>
      <c r="AG940" s="228"/>
      <c r="AH940" s="228"/>
      <c r="AI940" s="228"/>
      <c r="AJ940" s="228"/>
      <c r="AK940" s="228"/>
      <c r="AL940" s="228"/>
      <c r="AM940" s="228"/>
      <c r="AN940" s="228"/>
      <c r="AO940" s="228"/>
      <c r="AP940" s="228"/>
      <c r="AQ940" s="228"/>
      <c r="AR940" s="228"/>
      <c r="AS940" s="228"/>
      <c r="AT940" s="228"/>
      <c r="AU940" s="228"/>
      <c r="AV940" s="228"/>
      <c r="AW940" s="228"/>
      <c r="AX940" s="228"/>
      <c r="AY940" s="228"/>
      <c r="AZ940" s="228"/>
      <c r="BA940" s="228"/>
      <c r="BB940" s="228"/>
      <c r="BC940" s="228"/>
      <c r="BD940" s="100"/>
      <c r="BE940" s="100"/>
      <c r="BF940" s="100"/>
      <c r="BG940" s="100"/>
      <c r="BH940" s="100"/>
      <c r="BI940" s="100"/>
      <c r="BJ940" s="100"/>
      <c r="BK940" s="12"/>
      <c r="BL940" s="12"/>
    </row>
    <row r="941" spans="1:64" hidden="1" outlineLevel="1">
      <c r="A941" s="9"/>
      <c r="B941" s="9"/>
      <c r="C941" s="100"/>
      <c r="D941" s="270">
        <f>Asset20</f>
        <v>0</v>
      </c>
      <c r="E941" s="100"/>
      <c r="F941" s="100"/>
      <c r="G941" s="100">
        <f>Input!N26</f>
        <v>0</v>
      </c>
      <c r="H941" s="100"/>
      <c r="I941" s="100"/>
      <c r="J941" s="100"/>
      <c r="K941" s="100"/>
      <c r="L941" s="100"/>
      <c r="M941" s="100"/>
      <c r="N941" s="100"/>
      <c r="O941" s="100"/>
      <c r="P941" s="100"/>
      <c r="Q941" s="100"/>
      <c r="R941" s="100"/>
      <c r="S941" s="100"/>
      <c r="T941" s="100"/>
      <c r="U941" s="100"/>
      <c r="V941" s="100"/>
      <c r="W941" s="100"/>
      <c r="X941" s="100"/>
      <c r="Y941" s="100"/>
      <c r="Z941" s="100"/>
      <c r="AA941" s="228"/>
      <c r="AB941" s="228"/>
      <c r="AC941" s="228"/>
      <c r="AD941" s="228"/>
      <c r="AE941" s="228"/>
      <c r="AF941" s="228"/>
      <c r="AG941" s="228"/>
      <c r="AH941" s="228"/>
      <c r="AI941" s="228"/>
      <c r="AJ941" s="228"/>
      <c r="AK941" s="228"/>
      <c r="AL941" s="228"/>
      <c r="AM941" s="228"/>
      <c r="AN941" s="228"/>
      <c r="AO941" s="228"/>
      <c r="AP941" s="228"/>
      <c r="AQ941" s="228"/>
      <c r="AR941" s="228"/>
      <c r="AS941" s="228"/>
      <c r="AT941" s="228"/>
      <c r="AU941" s="228"/>
      <c r="AV941" s="228"/>
      <c r="AW941" s="228"/>
      <c r="AX941" s="228"/>
      <c r="AY941" s="228"/>
      <c r="AZ941" s="228"/>
      <c r="BA941" s="228"/>
      <c r="BB941" s="228"/>
      <c r="BC941" s="228"/>
      <c r="BD941" s="100"/>
      <c r="BE941" s="100"/>
      <c r="BF941" s="100"/>
      <c r="BG941" s="100"/>
      <c r="BH941" s="100"/>
      <c r="BI941" s="100"/>
      <c r="BJ941" s="100"/>
      <c r="BK941" s="12"/>
      <c r="BL941" s="12"/>
    </row>
    <row r="942" spans="1:64" hidden="1" outlineLevel="1">
      <c r="A942" s="9"/>
      <c r="B942" s="9"/>
      <c r="C942" s="100"/>
      <c r="D942" s="270">
        <f>Asset21</f>
        <v>0</v>
      </c>
      <c r="E942" s="100"/>
      <c r="F942" s="100"/>
      <c r="G942" s="100">
        <f>Input!N27</f>
        <v>0</v>
      </c>
      <c r="H942" s="100"/>
      <c r="I942" s="100"/>
      <c r="J942" s="100"/>
      <c r="K942" s="100"/>
      <c r="L942" s="100"/>
      <c r="M942" s="100"/>
      <c r="N942" s="100"/>
      <c r="O942" s="100"/>
      <c r="P942" s="100"/>
      <c r="Q942" s="100"/>
      <c r="R942" s="100"/>
      <c r="S942" s="100"/>
      <c r="T942" s="100"/>
      <c r="U942" s="100"/>
      <c r="V942" s="100"/>
      <c r="W942" s="100"/>
      <c r="X942" s="100"/>
      <c r="Y942" s="100"/>
      <c r="Z942" s="100"/>
      <c r="AA942" s="228"/>
      <c r="AB942" s="228"/>
      <c r="AC942" s="228"/>
      <c r="AD942" s="228"/>
      <c r="AE942" s="228"/>
      <c r="AF942" s="228"/>
      <c r="AG942" s="228"/>
      <c r="AH942" s="228"/>
      <c r="AI942" s="228"/>
      <c r="AJ942" s="228"/>
      <c r="AK942" s="228"/>
      <c r="AL942" s="228"/>
      <c r="AM942" s="228"/>
      <c r="AN942" s="228"/>
      <c r="AO942" s="228"/>
      <c r="AP942" s="228"/>
      <c r="AQ942" s="228"/>
      <c r="AR942" s="228"/>
      <c r="AS942" s="228"/>
      <c r="AT942" s="228"/>
      <c r="AU942" s="228"/>
      <c r="AV942" s="228"/>
      <c r="AW942" s="228"/>
      <c r="AX942" s="228"/>
      <c r="AY942" s="228"/>
      <c r="AZ942" s="228"/>
      <c r="BA942" s="228"/>
      <c r="BB942" s="228"/>
      <c r="BC942" s="228"/>
      <c r="BD942" s="100"/>
      <c r="BE942" s="100"/>
      <c r="BF942" s="100"/>
      <c r="BG942" s="100"/>
      <c r="BH942" s="100"/>
      <c r="BI942" s="100"/>
      <c r="BJ942" s="100"/>
      <c r="BK942" s="12"/>
      <c r="BL942" s="12"/>
    </row>
    <row r="943" spans="1:64" hidden="1" outlineLevel="1">
      <c r="A943" s="9"/>
      <c r="B943" s="9"/>
      <c r="C943" s="100"/>
      <c r="D943" s="270">
        <f>Asset22</f>
        <v>0</v>
      </c>
      <c r="E943" s="100"/>
      <c r="F943" s="100"/>
      <c r="G943" s="100">
        <f>Input!N28</f>
        <v>0</v>
      </c>
      <c r="H943" s="100"/>
      <c r="I943" s="100"/>
      <c r="J943" s="100"/>
      <c r="K943" s="100"/>
      <c r="L943" s="100"/>
      <c r="M943" s="100"/>
      <c r="N943" s="100"/>
      <c r="O943" s="100"/>
      <c r="P943" s="100"/>
      <c r="Q943" s="100"/>
      <c r="R943" s="100"/>
      <c r="S943" s="100"/>
      <c r="T943" s="100"/>
      <c r="U943" s="100"/>
      <c r="V943" s="100"/>
      <c r="W943" s="100"/>
      <c r="X943" s="100"/>
      <c r="Y943" s="100"/>
      <c r="Z943" s="100"/>
      <c r="AA943" s="228"/>
      <c r="AB943" s="228"/>
      <c r="AC943" s="228"/>
      <c r="AD943" s="228"/>
      <c r="AE943" s="228"/>
      <c r="AF943" s="228"/>
      <c r="AG943" s="228"/>
      <c r="AH943" s="228"/>
      <c r="AI943" s="228"/>
      <c r="AJ943" s="228"/>
      <c r="AK943" s="228"/>
      <c r="AL943" s="228"/>
      <c r="AM943" s="228"/>
      <c r="AN943" s="228"/>
      <c r="AO943" s="228"/>
      <c r="AP943" s="228"/>
      <c r="AQ943" s="228"/>
      <c r="AR943" s="228"/>
      <c r="AS943" s="228"/>
      <c r="AT943" s="228"/>
      <c r="AU943" s="228"/>
      <c r="AV943" s="228"/>
      <c r="AW943" s="228"/>
      <c r="AX943" s="228"/>
      <c r="AY943" s="228"/>
      <c r="AZ943" s="228"/>
      <c r="BA943" s="228"/>
      <c r="BB943" s="228"/>
      <c r="BC943" s="228"/>
      <c r="BD943" s="100"/>
      <c r="BE943" s="100"/>
      <c r="BF943" s="100"/>
      <c r="BG943" s="100"/>
      <c r="BH943" s="100"/>
      <c r="BI943" s="100"/>
      <c r="BJ943" s="100"/>
      <c r="BK943" s="12"/>
      <c r="BL943" s="12"/>
    </row>
    <row r="944" spans="1:64" hidden="1" outlineLevel="1">
      <c r="A944" s="9"/>
      <c r="B944" s="9"/>
      <c r="C944" s="100"/>
      <c r="D944" s="270">
        <f>Asset23</f>
        <v>0</v>
      </c>
      <c r="E944" s="100"/>
      <c r="F944" s="100"/>
      <c r="G944" s="100">
        <f>Input!N29</f>
        <v>0</v>
      </c>
      <c r="H944" s="100"/>
      <c r="I944" s="100"/>
      <c r="J944" s="100"/>
      <c r="K944" s="100"/>
      <c r="L944" s="100"/>
      <c r="M944" s="100"/>
      <c r="N944" s="100"/>
      <c r="O944" s="100"/>
      <c r="P944" s="100"/>
      <c r="Q944" s="100"/>
      <c r="R944" s="100"/>
      <c r="S944" s="100"/>
      <c r="T944" s="100"/>
      <c r="U944" s="100"/>
      <c r="V944" s="100"/>
      <c r="W944" s="100"/>
      <c r="X944" s="100"/>
      <c r="Y944" s="100"/>
      <c r="Z944" s="100"/>
      <c r="AA944" s="228"/>
      <c r="AB944" s="228"/>
      <c r="AC944" s="228"/>
      <c r="AD944" s="228"/>
      <c r="AE944" s="228"/>
      <c r="AF944" s="228"/>
      <c r="AG944" s="228"/>
      <c r="AH944" s="228"/>
      <c r="AI944" s="228"/>
      <c r="AJ944" s="228"/>
      <c r="AK944" s="228"/>
      <c r="AL944" s="228"/>
      <c r="AM944" s="228"/>
      <c r="AN944" s="228"/>
      <c r="AO944" s="228"/>
      <c r="AP944" s="228"/>
      <c r="AQ944" s="228"/>
      <c r="AR944" s="228"/>
      <c r="AS944" s="228"/>
      <c r="AT944" s="228"/>
      <c r="AU944" s="228"/>
      <c r="AV944" s="228"/>
      <c r="AW944" s="228"/>
      <c r="AX944" s="228"/>
      <c r="AY944" s="228"/>
      <c r="AZ944" s="228"/>
      <c r="BA944" s="228"/>
      <c r="BB944" s="228"/>
      <c r="BC944" s="228"/>
      <c r="BD944" s="100"/>
      <c r="BE944" s="100"/>
      <c r="BF944" s="100"/>
      <c r="BG944" s="100"/>
      <c r="BH944" s="100"/>
      <c r="BI944" s="100"/>
      <c r="BJ944" s="100"/>
      <c r="BK944" s="12"/>
      <c r="BL944" s="12"/>
    </row>
    <row r="945" spans="1:64" hidden="1" outlineLevel="1">
      <c r="A945" s="9"/>
      <c r="B945" s="9"/>
      <c r="C945" s="100"/>
      <c r="D945" s="270">
        <f>Asset24</f>
        <v>0</v>
      </c>
      <c r="E945" s="100"/>
      <c r="F945" s="100"/>
      <c r="G945" s="100">
        <f>Input!N30</f>
        <v>0</v>
      </c>
      <c r="H945" s="100"/>
      <c r="I945" s="100"/>
      <c r="J945" s="100"/>
      <c r="K945" s="100"/>
      <c r="L945" s="100"/>
      <c r="M945" s="100"/>
      <c r="N945" s="100"/>
      <c r="O945" s="100"/>
      <c r="P945" s="100"/>
      <c r="Q945" s="100"/>
      <c r="R945" s="100"/>
      <c r="S945" s="100"/>
      <c r="T945" s="100"/>
      <c r="U945" s="100"/>
      <c r="V945" s="100"/>
      <c r="W945" s="100"/>
      <c r="X945" s="100"/>
      <c r="Y945" s="100"/>
      <c r="Z945" s="100"/>
      <c r="AA945" s="228"/>
      <c r="AB945" s="228"/>
      <c r="AC945" s="228"/>
      <c r="AD945" s="228"/>
      <c r="AE945" s="228"/>
      <c r="AF945" s="228"/>
      <c r="AG945" s="228"/>
      <c r="AH945" s="228"/>
      <c r="AI945" s="228"/>
      <c r="AJ945" s="228"/>
      <c r="AK945" s="228"/>
      <c r="AL945" s="228"/>
      <c r="AM945" s="228"/>
      <c r="AN945" s="228"/>
      <c r="AO945" s="228"/>
      <c r="AP945" s="228"/>
      <c r="AQ945" s="228"/>
      <c r="AR945" s="228"/>
      <c r="AS945" s="228"/>
      <c r="AT945" s="228"/>
      <c r="AU945" s="228"/>
      <c r="AV945" s="228"/>
      <c r="AW945" s="228"/>
      <c r="AX945" s="228"/>
      <c r="AY945" s="228"/>
      <c r="AZ945" s="228"/>
      <c r="BA945" s="228"/>
      <c r="BB945" s="228"/>
      <c r="BC945" s="228"/>
      <c r="BD945" s="100"/>
      <c r="BE945" s="100"/>
      <c r="BF945" s="100"/>
      <c r="BG945" s="100"/>
      <c r="BH945" s="100"/>
      <c r="BI945" s="100"/>
      <c r="BJ945" s="100"/>
      <c r="BK945" s="12"/>
      <c r="BL945" s="12"/>
    </row>
    <row r="946" spans="1:64" hidden="1" outlineLevel="1">
      <c r="A946" s="9"/>
      <c r="B946" s="9"/>
      <c r="C946" s="100"/>
      <c r="D946" s="270">
        <f>Asset25</f>
        <v>0</v>
      </c>
      <c r="E946" s="100"/>
      <c r="F946" s="100"/>
      <c r="G946" s="100">
        <f>Input!N31</f>
        <v>0</v>
      </c>
      <c r="H946" s="100"/>
      <c r="I946" s="100"/>
      <c r="J946" s="100"/>
      <c r="K946" s="100"/>
      <c r="L946" s="100"/>
      <c r="M946" s="100"/>
      <c r="N946" s="100"/>
      <c r="O946" s="100"/>
      <c r="P946" s="100"/>
      <c r="Q946" s="100"/>
      <c r="R946" s="100"/>
      <c r="S946" s="100"/>
      <c r="T946" s="100"/>
      <c r="U946" s="100"/>
      <c r="V946" s="100"/>
      <c r="W946" s="100"/>
      <c r="X946" s="100"/>
      <c r="Y946" s="100"/>
      <c r="Z946" s="100"/>
      <c r="AA946" s="228"/>
      <c r="AB946" s="228"/>
      <c r="AC946" s="228"/>
      <c r="AD946" s="228"/>
      <c r="AE946" s="228"/>
      <c r="AF946" s="228"/>
      <c r="AG946" s="228"/>
      <c r="AH946" s="228"/>
      <c r="AI946" s="228"/>
      <c r="AJ946" s="228"/>
      <c r="AK946" s="228"/>
      <c r="AL946" s="228"/>
      <c r="AM946" s="228"/>
      <c r="AN946" s="228"/>
      <c r="AO946" s="228"/>
      <c r="AP946" s="228"/>
      <c r="AQ946" s="228"/>
      <c r="AR946" s="228"/>
      <c r="AS946" s="228"/>
      <c r="AT946" s="228"/>
      <c r="AU946" s="228"/>
      <c r="AV946" s="228"/>
      <c r="AW946" s="228"/>
      <c r="AX946" s="228"/>
      <c r="AY946" s="228"/>
      <c r="AZ946" s="228"/>
      <c r="BA946" s="228"/>
      <c r="BB946" s="228"/>
      <c r="BC946" s="228"/>
      <c r="BD946" s="100"/>
      <c r="BE946" s="100"/>
      <c r="BF946" s="100"/>
      <c r="BG946" s="100"/>
      <c r="BH946" s="100"/>
      <c r="BI946" s="100"/>
      <c r="BJ946" s="100"/>
      <c r="BK946" s="12"/>
      <c r="BL946" s="12"/>
    </row>
    <row r="947" spans="1:64" hidden="1" outlineLevel="1">
      <c r="A947" s="9"/>
      <c r="B947" s="9"/>
      <c r="C947" s="100"/>
      <c r="D947" s="270">
        <f>Asset26</f>
        <v>0</v>
      </c>
      <c r="E947" s="100"/>
      <c r="F947" s="100"/>
      <c r="G947" s="100">
        <f>Input!N32</f>
        <v>0</v>
      </c>
      <c r="H947" s="100"/>
      <c r="I947" s="100"/>
      <c r="J947" s="100"/>
      <c r="K947" s="100"/>
      <c r="L947" s="100"/>
      <c r="M947" s="100"/>
      <c r="N947" s="100"/>
      <c r="O947" s="100"/>
      <c r="P947" s="100"/>
      <c r="Q947" s="100"/>
      <c r="R947" s="100"/>
      <c r="S947" s="100"/>
      <c r="T947" s="100"/>
      <c r="U947" s="100"/>
      <c r="V947" s="100"/>
      <c r="W947" s="100"/>
      <c r="X947" s="100"/>
      <c r="Y947" s="100"/>
      <c r="Z947" s="100"/>
      <c r="AA947" s="228"/>
      <c r="AB947" s="228"/>
      <c r="AC947" s="228"/>
      <c r="AD947" s="228"/>
      <c r="AE947" s="228"/>
      <c r="AF947" s="228"/>
      <c r="AG947" s="228"/>
      <c r="AH947" s="228"/>
      <c r="AI947" s="228"/>
      <c r="AJ947" s="228"/>
      <c r="AK947" s="228"/>
      <c r="AL947" s="228"/>
      <c r="AM947" s="228"/>
      <c r="AN947" s="228"/>
      <c r="AO947" s="228"/>
      <c r="AP947" s="228"/>
      <c r="AQ947" s="228"/>
      <c r="AR947" s="228"/>
      <c r="AS947" s="228"/>
      <c r="AT947" s="228"/>
      <c r="AU947" s="228"/>
      <c r="AV947" s="228"/>
      <c r="AW947" s="228"/>
      <c r="AX947" s="228"/>
      <c r="AY947" s="228"/>
      <c r="AZ947" s="228"/>
      <c r="BA947" s="228"/>
      <c r="BB947" s="228"/>
      <c r="BC947" s="228"/>
      <c r="BD947" s="100"/>
      <c r="BE947" s="100"/>
      <c r="BF947" s="100"/>
      <c r="BG947" s="100"/>
      <c r="BH947" s="100"/>
      <c r="BI947" s="100"/>
      <c r="BJ947" s="100"/>
      <c r="BK947" s="12"/>
      <c r="BL947" s="12"/>
    </row>
    <row r="948" spans="1:64" hidden="1" outlineLevel="1">
      <c r="A948" s="9"/>
      <c r="B948" s="9"/>
      <c r="C948" s="100"/>
      <c r="D948" s="270">
        <f>Asset27</f>
        <v>0</v>
      </c>
      <c r="E948" s="100"/>
      <c r="F948" s="100"/>
      <c r="G948" s="100">
        <f>Input!N33</f>
        <v>0</v>
      </c>
      <c r="H948" s="100"/>
      <c r="I948" s="100"/>
      <c r="J948" s="100"/>
      <c r="K948" s="100"/>
      <c r="L948" s="100"/>
      <c r="M948" s="100"/>
      <c r="N948" s="100"/>
      <c r="O948" s="100"/>
      <c r="P948" s="100"/>
      <c r="Q948" s="100"/>
      <c r="R948" s="100"/>
      <c r="S948" s="100"/>
      <c r="T948" s="100"/>
      <c r="U948" s="100"/>
      <c r="V948" s="100"/>
      <c r="W948" s="100"/>
      <c r="X948" s="100"/>
      <c r="Y948" s="100"/>
      <c r="Z948" s="100"/>
      <c r="AA948" s="228"/>
      <c r="AB948" s="228"/>
      <c r="AC948" s="228"/>
      <c r="AD948" s="228"/>
      <c r="AE948" s="228"/>
      <c r="AF948" s="228"/>
      <c r="AG948" s="228"/>
      <c r="AH948" s="228"/>
      <c r="AI948" s="228"/>
      <c r="AJ948" s="228"/>
      <c r="AK948" s="228"/>
      <c r="AL948" s="228"/>
      <c r="AM948" s="228"/>
      <c r="AN948" s="228"/>
      <c r="AO948" s="228"/>
      <c r="AP948" s="228"/>
      <c r="AQ948" s="228"/>
      <c r="AR948" s="228"/>
      <c r="AS948" s="228"/>
      <c r="AT948" s="228"/>
      <c r="AU948" s="228"/>
      <c r="AV948" s="228"/>
      <c r="AW948" s="228"/>
      <c r="AX948" s="228"/>
      <c r="AY948" s="228"/>
      <c r="AZ948" s="228"/>
      <c r="BA948" s="228"/>
      <c r="BB948" s="228"/>
      <c r="BC948" s="228"/>
      <c r="BD948" s="100"/>
      <c r="BE948" s="100"/>
      <c r="BF948" s="100"/>
      <c r="BG948" s="100"/>
      <c r="BH948" s="100"/>
      <c r="BI948" s="100"/>
      <c r="BJ948" s="100"/>
      <c r="BK948" s="12"/>
      <c r="BL948" s="12"/>
    </row>
    <row r="949" spans="1:64" hidden="1" outlineLevel="1">
      <c r="A949" s="9"/>
      <c r="B949" s="9"/>
      <c r="C949" s="100"/>
      <c r="D949" s="270">
        <f>Asset28</f>
        <v>0</v>
      </c>
      <c r="E949" s="100"/>
      <c r="F949" s="100"/>
      <c r="G949" s="100">
        <f>Input!N34</f>
        <v>0</v>
      </c>
      <c r="H949" s="100"/>
      <c r="I949" s="100"/>
      <c r="J949" s="100"/>
      <c r="K949" s="100"/>
      <c r="L949" s="100"/>
      <c r="M949" s="100"/>
      <c r="N949" s="100"/>
      <c r="O949" s="100"/>
      <c r="P949" s="100"/>
      <c r="Q949" s="100"/>
      <c r="R949" s="100"/>
      <c r="S949" s="100"/>
      <c r="T949" s="100"/>
      <c r="U949" s="100"/>
      <c r="V949" s="100"/>
      <c r="W949" s="100"/>
      <c r="X949" s="100"/>
      <c r="Y949" s="100"/>
      <c r="Z949" s="100"/>
      <c r="AA949" s="228"/>
      <c r="AB949" s="228"/>
      <c r="AC949" s="228"/>
      <c r="AD949" s="228"/>
      <c r="AE949" s="228"/>
      <c r="AF949" s="228"/>
      <c r="AG949" s="228"/>
      <c r="AH949" s="228"/>
      <c r="AI949" s="228"/>
      <c r="AJ949" s="228"/>
      <c r="AK949" s="228"/>
      <c r="AL949" s="228"/>
      <c r="AM949" s="228"/>
      <c r="AN949" s="228"/>
      <c r="AO949" s="228"/>
      <c r="AP949" s="228"/>
      <c r="AQ949" s="228"/>
      <c r="AR949" s="228"/>
      <c r="AS949" s="228"/>
      <c r="AT949" s="228"/>
      <c r="AU949" s="228"/>
      <c r="AV949" s="228"/>
      <c r="AW949" s="228"/>
      <c r="AX949" s="228"/>
      <c r="AY949" s="228"/>
      <c r="AZ949" s="228"/>
      <c r="BA949" s="228"/>
      <c r="BB949" s="228"/>
      <c r="BC949" s="228"/>
      <c r="BD949" s="100"/>
      <c r="BE949" s="100"/>
      <c r="BF949" s="100"/>
      <c r="BG949" s="100"/>
      <c r="BH949" s="100"/>
      <c r="BI949" s="100"/>
      <c r="BJ949" s="100"/>
      <c r="BK949" s="12"/>
      <c r="BL949" s="12"/>
    </row>
    <row r="950" spans="1:64" hidden="1" outlineLevel="1">
      <c r="A950" s="9"/>
      <c r="B950" s="9"/>
      <c r="C950" s="100"/>
      <c r="D950" s="270">
        <f>Asset29</f>
        <v>0</v>
      </c>
      <c r="E950" s="100"/>
      <c r="F950" s="100"/>
      <c r="G950" s="100">
        <f>Input!N35</f>
        <v>0</v>
      </c>
      <c r="H950" s="100"/>
      <c r="I950" s="100"/>
      <c r="J950" s="100"/>
      <c r="K950" s="100"/>
      <c r="L950" s="100"/>
      <c r="M950" s="100"/>
      <c r="N950" s="100"/>
      <c r="O950" s="100"/>
      <c r="P950" s="100"/>
      <c r="Q950" s="100"/>
      <c r="R950" s="100"/>
      <c r="S950" s="100"/>
      <c r="T950" s="100"/>
      <c r="U950" s="100"/>
      <c r="V950" s="100"/>
      <c r="W950" s="100"/>
      <c r="X950" s="100"/>
      <c r="Y950" s="100"/>
      <c r="Z950" s="100"/>
      <c r="AA950" s="228"/>
      <c r="AB950" s="228"/>
      <c r="AC950" s="228"/>
      <c r="AD950" s="228"/>
      <c r="AE950" s="228"/>
      <c r="AF950" s="228"/>
      <c r="AG950" s="228"/>
      <c r="AH950" s="228"/>
      <c r="AI950" s="228"/>
      <c r="AJ950" s="228"/>
      <c r="AK950" s="228"/>
      <c r="AL950" s="228"/>
      <c r="AM950" s="228"/>
      <c r="AN950" s="228"/>
      <c r="AO950" s="228"/>
      <c r="AP950" s="228"/>
      <c r="AQ950" s="228"/>
      <c r="AR950" s="228"/>
      <c r="AS950" s="228"/>
      <c r="AT950" s="228"/>
      <c r="AU950" s="228"/>
      <c r="AV950" s="228"/>
      <c r="AW950" s="228"/>
      <c r="AX950" s="228"/>
      <c r="AY950" s="228"/>
      <c r="AZ950" s="228"/>
      <c r="BA950" s="228"/>
      <c r="BB950" s="228"/>
      <c r="BC950" s="228"/>
      <c r="BD950" s="100"/>
      <c r="BE950" s="100"/>
      <c r="BF950" s="100"/>
      <c r="BG950" s="100"/>
      <c r="BH950" s="100"/>
      <c r="BI950" s="100"/>
      <c r="BJ950" s="100"/>
      <c r="BK950" s="12"/>
      <c r="BL950" s="12"/>
    </row>
    <row r="951" spans="1:64" hidden="1" outlineLevel="1">
      <c r="A951" s="9"/>
      <c r="B951" s="9"/>
      <c r="C951" s="100"/>
      <c r="D951" s="270">
        <f>Asset30</f>
        <v>0</v>
      </c>
      <c r="E951" s="100"/>
      <c r="F951" s="100"/>
      <c r="G951" s="100">
        <f>Input!N36</f>
        <v>0</v>
      </c>
      <c r="H951" s="100"/>
      <c r="I951" s="100"/>
      <c r="J951" s="100"/>
      <c r="K951" s="100"/>
      <c r="L951" s="100"/>
      <c r="M951" s="100"/>
      <c r="N951" s="100"/>
      <c r="O951" s="100"/>
      <c r="P951" s="100"/>
      <c r="Q951" s="100"/>
      <c r="R951" s="100"/>
      <c r="S951" s="100"/>
      <c r="T951" s="100"/>
      <c r="U951" s="100"/>
      <c r="V951" s="100"/>
      <c r="W951" s="100"/>
      <c r="X951" s="100"/>
      <c r="Y951" s="100"/>
      <c r="Z951" s="100"/>
      <c r="AA951" s="228"/>
      <c r="AB951" s="228"/>
      <c r="AC951" s="228"/>
      <c r="AD951" s="228"/>
      <c r="AE951" s="228"/>
      <c r="AF951" s="228"/>
      <c r="AG951" s="228"/>
      <c r="AH951" s="228"/>
      <c r="AI951" s="228"/>
      <c r="AJ951" s="228"/>
      <c r="AK951" s="228"/>
      <c r="AL951" s="228"/>
      <c r="AM951" s="228"/>
      <c r="AN951" s="228"/>
      <c r="AO951" s="228"/>
      <c r="AP951" s="228"/>
      <c r="AQ951" s="228"/>
      <c r="AR951" s="228"/>
      <c r="AS951" s="228"/>
      <c r="AT951" s="228"/>
      <c r="AU951" s="228"/>
      <c r="AV951" s="228"/>
      <c r="AW951" s="228"/>
      <c r="AX951" s="228"/>
      <c r="AY951" s="228"/>
      <c r="AZ951" s="228"/>
      <c r="BA951" s="228"/>
      <c r="BB951" s="228"/>
      <c r="BC951" s="228"/>
      <c r="BD951" s="100"/>
      <c r="BE951" s="100"/>
      <c r="BF951" s="100"/>
      <c r="BG951" s="100"/>
      <c r="BH951" s="100"/>
      <c r="BI951" s="100"/>
      <c r="BJ951" s="100"/>
      <c r="BK951" s="12"/>
      <c r="BL951" s="12"/>
    </row>
    <row r="952" spans="1:64" collapsed="1">
      <c r="A952" s="9"/>
      <c r="B952" s="9"/>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228"/>
      <c r="AB952" s="228"/>
      <c r="AC952" s="228"/>
      <c r="AD952" s="228"/>
      <c r="AE952" s="228"/>
      <c r="AF952" s="228"/>
      <c r="AG952" s="228"/>
      <c r="AH952" s="228"/>
      <c r="AI952" s="228"/>
      <c r="AJ952" s="228"/>
      <c r="AK952" s="228"/>
      <c r="AL952" s="228"/>
      <c r="AM952" s="228"/>
      <c r="AN952" s="228"/>
      <c r="AO952" s="228"/>
      <c r="AP952" s="228"/>
      <c r="AQ952" s="228"/>
      <c r="AR952" s="228"/>
      <c r="AS952" s="228"/>
      <c r="AT952" s="228"/>
      <c r="AU952" s="228"/>
      <c r="AV952" s="228"/>
      <c r="AW952" s="228"/>
      <c r="AX952" s="228"/>
      <c r="AY952" s="228"/>
      <c r="AZ952" s="228"/>
      <c r="BA952" s="228"/>
      <c r="BB952" s="228"/>
      <c r="BC952" s="228"/>
      <c r="BD952" s="100"/>
      <c r="BE952" s="100"/>
      <c r="BF952" s="100"/>
      <c r="BG952" s="100"/>
      <c r="BH952" s="100"/>
      <c r="BI952" s="100"/>
      <c r="BJ952" s="100"/>
      <c r="BK952" s="12"/>
      <c r="BL952" s="12"/>
    </row>
    <row r="953" spans="1:64">
      <c r="A953" s="122"/>
      <c r="B953" s="122"/>
      <c r="C953" s="122"/>
      <c r="D953" s="123"/>
      <c r="E953" s="108"/>
      <c r="F953" s="108"/>
      <c r="G953" s="124"/>
      <c r="H953" s="125"/>
      <c r="I953" s="125"/>
      <c r="J953" s="125"/>
      <c r="K953" s="125"/>
      <c r="L953" s="125"/>
      <c r="M953" s="125"/>
      <c r="N953" s="126"/>
      <c r="O953" s="126"/>
      <c r="P953" s="126"/>
      <c r="Q953" s="126"/>
      <c r="R953" s="126"/>
      <c r="S953" s="126"/>
      <c r="T953" s="100"/>
      <c r="U953" s="100"/>
      <c r="V953" s="100"/>
      <c r="W953" s="100"/>
      <c r="X953" s="100"/>
      <c r="Y953" s="100"/>
      <c r="Z953" s="100"/>
      <c r="AA953" s="228"/>
      <c r="AB953" s="228"/>
      <c r="AC953" s="228"/>
      <c r="AD953" s="228"/>
      <c r="AE953" s="228"/>
      <c r="AF953" s="228"/>
      <c r="AG953" s="228"/>
      <c r="AH953" s="228"/>
      <c r="AI953" s="228"/>
      <c r="AJ953" s="228"/>
      <c r="AK953" s="228"/>
      <c r="AL953" s="228"/>
      <c r="AM953" s="228"/>
      <c r="AN953" s="228"/>
      <c r="AO953" s="228"/>
      <c r="AP953" s="228"/>
      <c r="AQ953" s="228"/>
      <c r="AR953" s="228"/>
      <c r="AS953" s="228"/>
      <c r="AT953" s="228"/>
      <c r="AU953" s="228"/>
      <c r="AV953" s="228"/>
      <c r="AW953" s="228"/>
      <c r="AX953" s="228"/>
      <c r="AY953" s="228"/>
      <c r="AZ953" s="228"/>
      <c r="BA953" s="228"/>
      <c r="BB953" s="228"/>
      <c r="BC953" s="228"/>
      <c r="BD953" s="100"/>
      <c r="BE953" s="100"/>
      <c r="BF953" s="100"/>
      <c r="BG953" s="100"/>
      <c r="BH953" s="100"/>
      <c r="BI953" s="100"/>
      <c r="BJ953" s="100"/>
      <c r="BK953" s="12"/>
      <c r="BL953" s="12"/>
    </row>
    <row r="954" spans="1:64">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228"/>
      <c r="AB954" s="228"/>
      <c r="AC954" s="228"/>
      <c r="AD954" s="228"/>
      <c r="AE954" s="228"/>
      <c r="AF954" s="228"/>
      <c r="AG954" s="228"/>
      <c r="AH954" s="228"/>
      <c r="AI954" s="228"/>
      <c r="AJ954" s="228"/>
      <c r="AK954" s="228"/>
      <c r="AL954" s="228"/>
      <c r="AM954" s="228"/>
      <c r="AN954" s="228"/>
      <c r="AO954" s="228"/>
      <c r="AP954" s="228"/>
      <c r="AQ954" s="228"/>
      <c r="AR954" s="228"/>
      <c r="AS954" s="228"/>
      <c r="AT954" s="228"/>
      <c r="AU954" s="228"/>
      <c r="AV954" s="228"/>
      <c r="AW954" s="228"/>
      <c r="AX954" s="228"/>
      <c r="AY954" s="228"/>
      <c r="AZ954" s="228"/>
      <c r="BA954" s="228"/>
      <c r="BB954" s="228"/>
      <c r="BC954" s="228"/>
      <c r="BD954" s="100"/>
      <c r="BE954" s="100"/>
      <c r="BF954" s="100"/>
      <c r="BG954" s="100"/>
      <c r="BH954" s="100"/>
      <c r="BI954" s="100"/>
      <c r="BJ954" s="100"/>
      <c r="BK954" s="12"/>
      <c r="BL954" s="12"/>
    </row>
    <row r="955" spans="1:64" s="9" customFormat="1">
      <c r="B955" s="12"/>
      <c r="C955" s="90" t="s">
        <v>29</v>
      </c>
      <c r="D955" s="12"/>
      <c r="E955" s="12"/>
      <c r="F955" s="12"/>
      <c r="G955" s="203">
        <f>SUM(G956:G985)</f>
        <v>-103.39259776036626</v>
      </c>
      <c r="H955" s="337">
        <f>SUM(H956:H985)</f>
        <v>-107.01616996427315</v>
      </c>
      <c r="I955" s="337">
        <f t="shared" ref="I955:P955" si="208">SUM(I956:I985)</f>
        <v>-112.76121606063637</v>
      </c>
      <c r="J955" s="337">
        <f t="shared" si="208"/>
        <v>-118.81837123627386</v>
      </c>
      <c r="K955" s="337">
        <f t="shared" si="208"/>
        <v>-123.66330299549116</v>
      </c>
      <c r="L955" s="337">
        <f t="shared" si="208"/>
        <v>-129.53835950097692</v>
      </c>
      <c r="M955" s="337">
        <f t="shared" si="208"/>
        <v>-129.16477915202276</v>
      </c>
      <c r="N955" s="115">
        <f t="shared" si="208"/>
        <v>0</v>
      </c>
      <c r="O955" s="115">
        <f t="shared" si="208"/>
        <v>0</v>
      </c>
      <c r="P955" s="115">
        <f t="shared" si="208"/>
        <v>0</v>
      </c>
      <c r="Q955" s="115">
        <f>SUM(Q956:Q985)</f>
        <v>0</v>
      </c>
      <c r="R955" s="106"/>
      <c r="S955" s="106"/>
      <c r="T955" s="106"/>
      <c r="U955" s="106"/>
      <c r="V955" s="106"/>
      <c r="W955" s="106"/>
      <c r="X955" s="106"/>
      <c r="Y955" s="106"/>
      <c r="Z955" s="106"/>
      <c r="AA955" s="215"/>
      <c r="AB955" s="215"/>
      <c r="AC955" s="215"/>
      <c r="AD955" s="215"/>
      <c r="AE955" s="215"/>
      <c r="AF955" s="215"/>
      <c r="AG955" s="215"/>
      <c r="AH955" s="215"/>
      <c r="AI955" s="215"/>
      <c r="AJ955" s="215"/>
      <c r="AK955" s="215"/>
      <c r="AL955" s="215"/>
      <c r="AM955" s="215"/>
      <c r="AN955" s="215"/>
      <c r="AO955" s="215"/>
      <c r="AP955" s="215"/>
      <c r="AQ955" s="215"/>
      <c r="AR955" s="215"/>
      <c r="AS955" s="215"/>
      <c r="AT955" s="215"/>
      <c r="AU955" s="215"/>
      <c r="AV955" s="215"/>
      <c r="AW955" s="215"/>
      <c r="AX955" s="215"/>
      <c r="AY955" s="215"/>
      <c r="AZ955" s="215"/>
      <c r="BA955" s="215"/>
      <c r="BB955" s="215"/>
      <c r="BC955" s="215"/>
      <c r="BD955" s="106"/>
      <c r="BE955" s="106"/>
      <c r="BF955" s="106"/>
      <c r="BG955" s="106"/>
      <c r="BH955" s="106"/>
      <c r="BI955" s="106"/>
      <c r="BJ955" s="106"/>
      <c r="BK955" s="12"/>
      <c r="BL955" s="12"/>
    </row>
    <row r="956" spans="1:64" ht="12" hidden="1" customHeight="1" outlineLevel="1">
      <c r="A956" s="9"/>
      <c r="B956" s="9"/>
      <c r="C956" s="9"/>
      <c r="D956" s="270" t="str">
        <f>Asset1</f>
        <v>Secondary</v>
      </c>
      <c r="E956" s="9"/>
      <c r="F956" s="9"/>
      <c r="G956" s="201">
        <f t="shared" ref="G956:G985" si="209">-(G988-G826)</f>
        <v>-8.9154799844031309</v>
      </c>
      <c r="H956" s="331">
        <v>-18.588905840353203</v>
      </c>
      <c r="I956" s="331">
        <v>-19.79136733008141</v>
      </c>
      <c r="J956" s="331">
        <v>-20.419058666032534</v>
      </c>
      <c r="K956" s="331">
        <v>-21.726147040557152</v>
      </c>
      <c r="L956" s="331">
        <v>-19.999743857390353</v>
      </c>
      <c r="M956" s="331">
        <v>-12.551663626011361</v>
      </c>
      <c r="N956" s="111">
        <f>N$88*N$7</f>
        <v>0</v>
      </c>
      <c r="O956" s="111">
        <f>O$88*O$7</f>
        <v>0</v>
      </c>
      <c r="P956" s="111">
        <f>P$88*P$7</f>
        <v>0</v>
      </c>
      <c r="Q956" s="111">
        <f>Q$88*Q$7</f>
        <v>0</v>
      </c>
      <c r="R956" s="9"/>
      <c r="S956" s="12"/>
      <c r="T956" s="12"/>
      <c r="U956" s="12"/>
      <c r="V956" s="12"/>
      <c r="W956" s="12"/>
      <c r="X956" s="12"/>
      <c r="Y956" s="12"/>
      <c r="Z956" s="12"/>
      <c r="AA956" s="221"/>
      <c r="AB956" s="221"/>
      <c r="AC956" s="221"/>
      <c r="AD956" s="221"/>
      <c r="AE956" s="221"/>
      <c r="AF956" s="221"/>
      <c r="AG956" s="221"/>
      <c r="AH956" s="221"/>
      <c r="AI956" s="221"/>
      <c r="AJ956" s="221"/>
      <c r="AK956" s="221"/>
      <c r="AL956" s="221"/>
      <c r="AM956" s="221"/>
      <c r="AN956" s="221"/>
      <c r="AO956" s="221"/>
      <c r="AP956" s="221"/>
      <c r="AQ956" s="221"/>
      <c r="AR956" s="221"/>
      <c r="AS956" s="221"/>
      <c r="AT956" s="221"/>
      <c r="AU956" s="221"/>
      <c r="AV956" s="221"/>
      <c r="AW956" s="221"/>
      <c r="AX956" s="221"/>
      <c r="AY956" s="221"/>
      <c r="AZ956" s="221"/>
      <c r="BA956" s="221"/>
      <c r="BB956" s="221"/>
      <c r="BC956" s="221"/>
      <c r="BD956" s="12"/>
      <c r="BE956" s="12"/>
      <c r="BF956" s="12"/>
      <c r="BG956" s="12"/>
      <c r="BH956" s="12"/>
      <c r="BI956" s="12"/>
      <c r="BJ956" s="12"/>
      <c r="BK956" s="12"/>
      <c r="BL956" s="12"/>
    </row>
    <row r="957" spans="1:64" ht="12" hidden="1" customHeight="1" outlineLevel="1">
      <c r="A957" s="9"/>
      <c r="B957" s="9"/>
      <c r="C957" s="9"/>
      <c r="D957" s="270" t="str">
        <f>Asset2</f>
        <v>Switchgear</v>
      </c>
      <c r="E957" s="9"/>
      <c r="F957" s="9"/>
      <c r="G957" s="201">
        <f t="shared" si="209"/>
        <v>-17.333373576396376</v>
      </c>
      <c r="H957" s="331">
        <v>-18.210878752876248</v>
      </c>
      <c r="I957" s="331">
        <v>-19.032653490098731</v>
      </c>
      <c r="J957" s="331">
        <v>-20.059182859208992</v>
      </c>
      <c r="K957" s="331">
        <v>-21.755541506158302</v>
      </c>
      <c r="L957" s="331">
        <v>-23.219807611384599</v>
      </c>
      <c r="M957" s="331">
        <v>-24.387755873000916</v>
      </c>
      <c r="N957" s="111">
        <f>N$101*N$7</f>
        <v>0</v>
      </c>
      <c r="O957" s="111">
        <f>O$101*O$7</f>
        <v>0</v>
      </c>
      <c r="P957" s="111">
        <f>P$101*P$7</f>
        <v>0</v>
      </c>
      <c r="Q957" s="111">
        <f>Q$101*Q$7</f>
        <v>0</v>
      </c>
      <c r="R957" s="9"/>
      <c r="S957" s="12"/>
      <c r="T957" s="12"/>
      <c r="U957" s="12"/>
      <c r="V957" s="12"/>
      <c r="W957" s="12"/>
      <c r="X957" s="12"/>
      <c r="Y957" s="12"/>
      <c r="Z957" s="12"/>
      <c r="AA957" s="221"/>
      <c r="AB957" s="221"/>
      <c r="AC957" s="221"/>
      <c r="AD957" s="221"/>
      <c r="AE957" s="221"/>
      <c r="AF957" s="221"/>
      <c r="AG957" s="221"/>
      <c r="AH957" s="221"/>
      <c r="AI957" s="221"/>
      <c r="AJ957" s="221"/>
      <c r="AK957" s="221"/>
      <c r="AL957" s="221"/>
      <c r="AM957" s="221"/>
      <c r="AN957" s="221"/>
      <c r="AO957" s="221"/>
      <c r="AP957" s="221"/>
      <c r="AQ957" s="221"/>
      <c r="AR957" s="221"/>
      <c r="AS957" s="221"/>
      <c r="AT957" s="221"/>
      <c r="AU957" s="221"/>
      <c r="AV957" s="221"/>
      <c r="AW957" s="221"/>
      <c r="AX957" s="221"/>
      <c r="AY957" s="221"/>
      <c r="AZ957" s="221"/>
      <c r="BA957" s="221"/>
      <c r="BB957" s="221"/>
      <c r="BC957" s="221"/>
      <c r="BD957" s="12"/>
      <c r="BE957" s="12"/>
      <c r="BF957" s="12"/>
      <c r="BG957" s="12"/>
      <c r="BH957" s="12"/>
      <c r="BI957" s="12"/>
      <c r="BJ957" s="12"/>
      <c r="BK957" s="12"/>
      <c r="BL957" s="12"/>
    </row>
    <row r="958" spans="1:64" ht="12" hidden="1" customHeight="1" outlineLevel="1">
      <c r="A958" s="9"/>
      <c r="B958" s="9"/>
      <c r="C958" s="9"/>
      <c r="D958" s="270" t="str">
        <f>Asset3</f>
        <v>Transformers</v>
      </c>
      <c r="E958" s="9"/>
      <c r="F958" s="9"/>
      <c r="G958" s="201">
        <f t="shared" si="209"/>
        <v>-13.561178474587212</v>
      </c>
      <c r="H958" s="331">
        <v>-12.962201356579618</v>
      </c>
      <c r="I958" s="331">
        <v>-13.555119950911292</v>
      </c>
      <c r="J958" s="331">
        <v>-13.986216254862089</v>
      </c>
      <c r="K958" s="331">
        <v>-14.61428687731474</v>
      </c>
      <c r="L958" s="331">
        <v>-15.283442621498519</v>
      </c>
      <c r="M958" s="331">
        <v>-16.208860993801533</v>
      </c>
      <c r="N958" s="111">
        <f>N$114*N$7</f>
        <v>0</v>
      </c>
      <c r="O958" s="111">
        <f>O$114*O$7</f>
        <v>0</v>
      </c>
      <c r="P958" s="111">
        <f>P$114*P$7</f>
        <v>0</v>
      </c>
      <c r="Q958" s="111">
        <f>Q$114*Q$7</f>
        <v>0</v>
      </c>
      <c r="R958" s="9"/>
      <c r="S958" s="12"/>
      <c r="T958" s="12"/>
      <c r="U958" s="12"/>
      <c r="V958" s="12"/>
      <c r="W958" s="12"/>
      <c r="X958" s="12"/>
      <c r="Y958" s="12"/>
      <c r="Z958" s="12"/>
      <c r="AA958" s="221"/>
      <c r="AB958" s="221"/>
      <c r="AC958" s="221"/>
      <c r="AD958" s="221"/>
      <c r="AE958" s="221"/>
      <c r="AF958" s="221"/>
      <c r="AG958" s="221"/>
      <c r="AH958" s="221"/>
      <c r="AI958" s="221"/>
      <c r="AJ958" s="221"/>
      <c r="AK958" s="221"/>
      <c r="AL958" s="221"/>
      <c r="AM958" s="221"/>
      <c r="AN958" s="221"/>
      <c r="AO958" s="221"/>
      <c r="AP958" s="221"/>
      <c r="AQ958" s="221"/>
      <c r="AR958" s="221"/>
      <c r="AS958" s="221"/>
      <c r="AT958" s="221"/>
      <c r="AU958" s="221"/>
      <c r="AV958" s="221"/>
      <c r="AW958" s="221"/>
      <c r="AX958" s="221"/>
      <c r="AY958" s="221"/>
      <c r="AZ958" s="221"/>
      <c r="BA958" s="221"/>
      <c r="BB958" s="221"/>
      <c r="BC958" s="221"/>
      <c r="BD958" s="12"/>
      <c r="BE958" s="12"/>
      <c r="BF958" s="12"/>
      <c r="BG958" s="12"/>
      <c r="BH958" s="12"/>
      <c r="BI958" s="12"/>
      <c r="BJ958" s="12"/>
      <c r="BK958" s="12"/>
      <c r="BL958" s="12"/>
    </row>
    <row r="959" spans="1:64" ht="12" hidden="1" customHeight="1" outlineLevel="1">
      <c r="A959" s="9"/>
      <c r="B959" s="9"/>
      <c r="C959" s="9"/>
      <c r="D959" s="270" t="str">
        <f>Asset4</f>
        <v>Reactive</v>
      </c>
      <c r="E959" s="9"/>
      <c r="F959" s="9"/>
      <c r="G959" s="201">
        <f t="shared" si="209"/>
        <v>-4.419352999573781</v>
      </c>
      <c r="H959" s="331">
        <v>-4.4381830991832665</v>
      </c>
      <c r="I959" s="331">
        <v>-4.6019029149965842</v>
      </c>
      <c r="J959" s="331">
        <v>-4.725360332412686</v>
      </c>
      <c r="K959" s="331">
        <v>-4.8520777711894469</v>
      </c>
      <c r="L959" s="331">
        <v>-5.0168251282603222</v>
      </c>
      <c r="M959" s="331">
        <v>-5.1527589486317353</v>
      </c>
      <c r="N959" s="111">
        <f>N$127*N$7</f>
        <v>0</v>
      </c>
      <c r="O959" s="111">
        <f>O$127*O$7</f>
        <v>0</v>
      </c>
      <c r="P959" s="111">
        <f>P$127*P$7</f>
        <v>0</v>
      </c>
      <c r="Q959" s="111">
        <f>Q$127*Q$7</f>
        <v>0</v>
      </c>
      <c r="R959" s="9"/>
      <c r="S959" s="12"/>
      <c r="T959" s="12"/>
      <c r="U959" s="12"/>
      <c r="V959" s="12"/>
      <c r="W959" s="12"/>
      <c r="X959" s="12"/>
      <c r="Y959" s="12"/>
      <c r="Z959" s="12"/>
      <c r="AA959" s="221"/>
      <c r="AB959" s="221"/>
      <c r="AC959" s="221"/>
      <c r="AD959" s="221"/>
      <c r="AE959" s="221"/>
      <c r="AF959" s="221"/>
      <c r="AG959" s="221"/>
      <c r="AH959" s="221"/>
      <c r="AI959" s="221"/>
      <c r="AJ959" s="221"/>
      <c r="AK959" s="221"/>
      <c r="AL959" s="221"/>
      <c r="AM959" s="221"/>
      <c r="AN959" s="221"/>
      <c r="AO959" s="221"/>
      <c r="AP959" s="221"/>
      <c r="AQ959" s="221"/>
      <c r="AR959" s="221"/>
      <c r="AS959" s="221"/>
      <c r="AT959" s="221"/>
      <c r="AU959" s="221"/>
      <c r="AV959" s="221"/>
      <c r="AW959" s="221"/>
      <c r="AX959" s="221"/>
      <c r="AY959" s="221"/>
      <c r="AZ959" s="221"/>
      <c r="BA959" s="221"/>
      <c r="BB959" s="221"/>
      <c r="BC959" s="221"/>
      <c r="BD959" s="12"/>
      <c r="BE959" s="12"/>
      <c r="BF959" s="12"/>
      <c r="BG959" s="12"/>
      <c r="BH959" s="12"/>
      <c r="BI959" s="12"/>
      <c r="BJ959" s="12"/>
      <c r="BK959" s="12"/>
      <c r="BL959" s="12"/>
    </row>
    <row r="960" spans="1:64" ht="12" hidden="1" customHeight="1" outlineLevel="1">
      <c r="A960" s="9"/>
      <c r="B960" s="9"/>
      <c r="C960" s="9"/>
      <c r="D960" s="270" t="str">
        <f>Asset5</f>
        <v>Towers and Conductor</v>
      </c>
      <c r="E960" s="9"/>
      <c r="F960" s="9"/>
      <c r="G960" s="201">
        <f t="shared" si="209"/>
        <v>-38.533894214563276</v>
      </c>
      <c r="H960" s="331">
        <v>-37.190055834788978</v>
      </c>
      <c r="I960" s="331">
        <v>-38.658258656396775</v>
      </c>
      <c r="J960" s="331">
        <v>-39.812047177498691</v>
      </c>
      <c r="K960" s="331">
        <v>-41.03142797761533</v>
      </c>
      <c r="L960" s="331">
        <v>-43.03509071299036</v>
      </c>
      <c r="M960" s="331">
        <v>-44.408246669063082</v>
      </c>
      <c r="N960" s="111">
        <f>N$140*N$7</f>
        <v>0</v>
      </c>
      <c r="O960" s="111">
        <f>O$140*O$7</f>
        <v>0</v>
      </c>
      <c r="P960" s="111">
        <f>P$140*P$7</f>
        <v>0</v>
      </c>
      <c r="Q960" s="111">
        <f>Q$140*Q$7</f>
        <v>0</v>
      </c>
      <c r="R960" s="9"/>
      <c r="S960" s="12"/>
      <c r="T960" s="12"/>
      <c r="U960" s="12"/>
      <c r="V960" s="12"/>
      <c r="W960" s="12"/>
      <c r="X960" s="12"/>
      <c r="Y960" s="12"/>
      <c r="Z960" s="12"/>
      <c r="AA960" s="221"/>
      <c r="AB960" s="221"/>
      <c r="AC960" s="221"/>
      <c r="AD960" s="221"/>
      <c r="AE960" s="221"/>
      <c r="AF960" s="221"/>
      <c r="AG960" s="221"/>
      <c r="AH960" s="221"/>
      <c r="AI960" s="221"/>
      <c r="AJ960" s="221"/>
      <c r="AK960" s="221"/>
      <c r="AL960" s="221"/>
      <c r="AM960" s="221"/>
      <c r="AN960" s="221"/>
      <c r="AO960" s="221"/>
      <c r="AP960" s="221"/>
      <c r="AQ960" s="221"/>
      <c r="AR960" s="221"/>
      <c r="AS960" s="221"/>
      <c r="AT960" s="221"/>
      <c r="AU960" s="221"/>
      <c r="AV960" s="221"/>
      <c r="AW960" s="221"/>
      <c r="AX960" s="221"/>
      <c r="AY960" s="221"/>
      <c r="AZ960" s="221"/>
      <c r="BA960" s="221"/>
      <c r="BB960" s="221"/>
      <c r="BC960" s="221"/>
      <c r="BD960" s="12"/>
      <c r="BE960" s="12"/>
      <c r="BF960" s="12"/>
      <c r="BG960" s="12"/>
      <c r="BH960" s="12"/>
      <c r="BI960" s="12"/>
      <c r="BJ960" s="12"/>
      <c r="BK960" s="12"/>
      <c r="BL960" s="12"/>
    </row>
    <row r="961" spans="1:64" ht="12" hidden="1" customHeight="1" outlineLevel="1">
      <c r="A961" s="9"/>
      <c r="B961" s="9"/>
      <c r="C961" s="9"/>
      <c r="D961" s="270" t="str">
        <f>Asset6</f>
        <v>Establishment</v>
      </c>
      <c r="E961" s="9"/>
      <c r="F961" s="9"/>
      <c r="G961" s="201">
        <f t="shared" si="209"/>
        <v>-4.2911100413010619</v>
      </c>
      <c r="H961" s="331">
        <v>-3.9219072170551441</v>
      </c>
      <c r="I961" s="331">
        <v>-4.3624209797655364</v>
      </c>
      <c r="J961" s="331">
        <v>-4.7193800697552817</v>
      </c>
      <c r="K961" s="331">
        <v>-5.0000235073433599</v>
      </c>
      <c r="L961" s="331">
        <v>-5.2801440817945551</v>
      </c>
      <c r="M961" s="331">
        <v>-5.5767532693215687</v>
      </c>
      <c r="N961" s="111">
        <f>N$153*N$7</f>
        <v>0</v>
      </c>
      <c r="O961" s="111">
        <f>O$153*O$7</f>
        <v>0</v>
      </c>
      <c r="P961" s="111">
        <f>P$153*P$7</f>
        <v>0</v>
      </c>
      <c r="Q961" s="111">
        <f>Q$153*Q$7</f>
        <v>0</v>
      </c>
      <c r="R961" s="9"/>
      <c r="S961" s="12"/>
      <c r="T961" s="12"/>
      <c r="U961" s="12"/>
      <c r="V961" s="12"/>
      <c r="W961" s="12"/>
      <c r="X961" s="12"/>
      <c r="Y961" s="12"/>
      <c r="Z961" s="12"/>
      <c r="AA961" s="221"/>
      <c r="AB961" s="221"/>
      <c r="AC961" s="221"/>
      <c r="AD961" s="221"/>
      <c r="AE961" s="221"/>
      <c r="AF961" s="221"/>
      <c r="AG961" s="221"/>
      <c r="AH961" s="221"/>
      <c r="AI961" s="221"/>
      <c r="AJ961" s="221"/>
      <c r="AK961" s="221"/>
      <c r="AL961" s="221"/>
      <c r="AM961" s="221"/>
      <c r="AN961" s="221"/>
      <c r="AO961" s="221"/>
      <c r="AP961" s="221"/>
      <c r="AQ961" s="221"/>
      <c r="AR961" s="221"/>
      <c r="AS961" s="221"/>
      <c r="AT961" s="221"/>
      <c r="AU961" s="221"/>
      <c r="AV961" s="221"/>
      <c r="AW961" s="221"/>
      <c r="AX961" s="221"/>
      <c r="AY961" s="221"/>
      <c r="AZ961" s="221"/>
      <c r="BA961" s="221"/>
      <c r="BB961" s="221"/>
      <c r="BC961" s="221"/>
      <c r="BD961" s="12"/>
      <c r="BE961" s="12"/>
      <c r="BF961" s="12"/>
      <c r="BG961" s="12"/>
      <c r="BH961" s="12"/>
      <c r="BI961" s="12"/>
      <c r="BJ961" s="12"/>
      <c r="BK961" s="12"/>
      <c r="BL961" s="12"/>
    </row>
    <row r="962" spans="1:64" ht="12" hidden="1" customHeight="1" outlineLevel="1">
      <c r="A962" s="9"/>
      <c r="B962" s="9"/>
      <c r="C962" s="9"/>
      <c r="D962" s="270" t="str">
        <f>Asset7</f>
        <v>Communications</v>
      </c>
      <c r="E962" s="9"/>
      <c r="F962" s="9"/>
      <c r="G962" s="201">
        <f t="shared" si="209"/>
        <v>-7.3893631311994454</v>
      </c>
      <c r="H962" s="331">
        <v>-1.8052717705226209</v>
      </c>
      <c r="I962" s="331">
        <v>-1.8963753900483564</v>
      </c>
      <c r="J962" s="331">
        <v>-2.08380304178052</v>
      </c>
      <c r="K962" s="331">
        <v>-2.9828966482062045</v>
      </c>
      <c r="L962" s="331">
        <v>-3.4109692794180093</v>
      </c>
      <c r="M962" s="331">
        <v>-3.3735527502011058</v>
      </c>
      <c r="N962" s="111">
        <f>N$166*N$7</f>
        <v>0</v>
      </c>
      <c r="O962" s="111">
        <f>O$166*O$7</f>
        <v>0</v>
      </c>
      <c r="P962" s="111">
        <f>P$166*P$7</f>
        <v>0</v>
      </c>
      <c r="Q962" s="111">
        <f>Q$166*Q$7</f>
        <v>0</v>
      </c>
      <c r="R962" s="9"/>
      <c r="S962" s="12"/>
      <c r="T962" s="12"/>
      <c r="U962" s="12"/>
      <c r="V962" s="12"/>
      <c r="W962" s="12"/>
      <c r="X962" s="12"/>
      <c r="Y962" s="12"/>
      <c r="Z962" s="12"/>
      <c r="AA962" s="221"/>
      <c r="AB962" s="221"/>
      <c r="AC962" s="221"/>
      <c r="AD962" s="221"/>
      <c r="AE962" s="221"/>
      <c r="AF962" s="221"/>
      <c r="AG962" s="221"/>
      <c r="AH962" s="221"/>
      <c r="AI962" s="221"/>
      <c r="AJ962" s="221"/>
      <c r="AK962" s="221"/>
      <c r="AL962" s="221"/>
      <c r="AM962" s="221"/>
      <c r="AN962" s="221"/>
      <c r="AO962" s="221"/>
      <c r="AP962" s="221"/>
      <c r="AQ962" s="221"/>
      <c r="AR962" s="221"/>
      <c r="AS962" s="221"/>
      <c r="AT962" s="221"/>
      <c r="AU962" s="221"/>
      <c r="AV962" s="221"/>
      <c r="AW962" s="221"/>
      <c r="AX962" s="221"/>
      <c r="AY962" s="221"/>
      <c r="AZ962" s="221"/>
      <c r="BA962" s="221"/>
      <c r="BB962" s="221"/>
      <c r="BC962" s="221"/>
      <c r="BD962" s="12"/>
      <c r="BE962" s="12"/>
      <c r="BF962" s="12"/>
      <c r="BG962" s="12"/>
      <c r="BH962" s="12"/>
      <c r="BI962" s="12"/>
      <c r="BJ962" s="12"/>
      <c r="BK962" s="12"/>
      <c r="BL962" s="12"/>
    </row>
    <row r="963" spans="1:64" ht="12" hidden="1" customHeight="1" outlineLevel="1">
      <c r="A963" s="9"/>
      <c r="B963" s="9"/>
      <c r="C963" s="9"/>
      <c r="D963" s="270" t="str">
        <f>Asset8</f>
        <v>Inventory</v>
      </c>
      <c r="E963" s="9"/>
      <c r="F963" s="9"/>
      <c r="G963" s="201">
        <f t="shared" si="209"/>
        <v>-2.0043714102192842E-2</v>
      </c>
      <c r="H963" s="331">
        <v>0</v>
      </c>
      <c r="I963" s="331">
        <v>0</v>
      </c>
      <c r="J963" s="331">
        <v>0</v>
      </c>
      <c r="K963" s="331">
        <v>0</v>
      </c>
      <c r="L963" s="331">
        <v>0</v>
      </c>
      <c r="M963" s="331">
        <v>0</v>
      </c>
      <c r="N963" s="111">
        <f>N$179*N$7</f>
        <v>0</v>
      </c>
      <c r="O963" s="111">
        <f>O$179*O$7</f>
        <v>0</v>
      </c>
      <c r="P963" s="111">
        <f>P$179*P$7</f>
        <v>0</v>
      </c>
      <c r="Q963" s="111">
        <f>Q$179*Q$7</f>
        <v>0</v>
      </c>
      <c r="R963" s="9"/>
      <c r="S963" s="12"/>
      <c r="T963" s="12"/>
      <c r="U963" s="12"/>
      <c r="V963" s="12"/>
      <c r="W963" s="12"/>
      <c r="X963" s="12"/>
      <c r="Y963" s="12"/>
      <c r="Z963" s="12"/>
      <c r="AA963" s="221"/>
      <c r="AB963" s="221"/>
      <c r="AC963" s="221"/>
      <c r="AD963" s="221"/>
      <c r="AE963" s="221"/>
      <c r="AF963" s="221"/>
      <c r="AG963" s="221"/>
      <c r="AH963" s="221"/>
      <c r="AI963" s="221"/>
      <c r="AJ963" s="221"/>
      <c r="AK963" s="221"/>
      <c r="AL963" s="221"/>
      <c r="AM963" s="221"/>
      <c r="AN963" s="221"/>
      <c r="AO963" s="221"/>
      <c r="AP963" s="221"/>
      <c r="AQ963" s="221"/>
      <c r="AR963" s="221"/>
      <c r="AS963" s="221"/>
      <c r="AT963" s="221"/>
      <c r="AU963" s="221"/>
      <c r="AV963" s="221"/>
      <c r="AW963" s="221"/>
      <c r="AX963" s="221"/>
      <c r="AY963" s="221"/>
      <c r="AZ963" s="221"/>
      <c r="BA963" s="221"/>
      <c r="BB963" s="221"/>
      <c r="BC963" s="221"/>
      <c r="BD963" s="12"/>
      <c r="BE963" s="12"/>
      <c r="BF963" s="12"/>
      <c r="BG963" s="12"/>
      <c r="BH963" s="12"/>
      <c r="BI963" s="12"/>
      <c r="BJ963" s="12"/>
      <c r="BK963" s="12"/>
      <c r="BL963" s="12"/>
    </row>
    <row r="964" spans="1:64" ht="12" hidden="1" customHeight="1" outlineLevel="1">
      <c r="A964" s="9"/>
      <c r="B964" s="9"/>
      <c r="C964" s="9"/>
      <c r="D964" s="270" t="str">
        <f>Asset9</f>
        <v>IT</v>
      </c>
      <c r="E964" s="9"/>
      <c r="F964" s="9"/>
      <c r="G964" s="201">
        <f t="shared" si="209"/>
        <v>-4.3784199133380133</v>
      </c>
      <c r="H964" s="331">
        <v>-5.8678036247686451</v>
      </c>
      <c r="I964" s="331">
        <v>-6.6486733655087464</v>
      </c>
      <c r="J964" s="331">
        <v>-8.8661448990318572</v>
      </c>
      <c r="K964" s="331">
        <v>-8.5355435773201371</v>
      </c>
      <c r="L964" s="331">
        <v>-10.526848441773124</v>
      </c>
      <c r="M964" s="331">
        <v>-13.291843152096884</v>
      </c>
      <c r="N964" s="111">
        <f>N$192*N$7</f>
        <v>0</v>
      </c>
      <c r="O964" s="111">
        <f>O$192*O$7</f>
        <v>0</v>
      </c>
      <c r="P964" s="111">
        <f>P$192*P$7</f>
        <v>0</v>
      </c>
      <c r="Q964" s="111">
        <f>Q$192*Q$7</f>
        <v>0</v>
      </c>
      <c r="R964" s="9"/>
      <c r="S964" s="12"/>
      <c r="T964" s="12"/>
      <c r="U964" s="12"/>
      <c r="V964" s="12"/>
      <c r="W964" s="12"/>
      <c r="X964" s="12"/>
      <c r="Y964" s="12"/>
      <c r="Z964" s="12"/>
      <c r="AA964" s="221"/>
      <c r="AB964" s="221"/>
      <c r="AC964" s="221"/>
      <c r="AD964" s="221"/>
      <c r="AE964" s="221"/>
      <c r="AF964" s="221"/>
      <c r="AG964" s="221"/>
      <c r="AH964" s="221"/>
      <c r="AI964" s="221"/>
      <c r="AJ964" s="221"/>
      <c r="AK964" s="221"/>
      <c r="AL964" s="221"/>
      <c r="AM964" s="221"/>
      <c r="AN964" s="221"/>
      <c r="AO964" s="221"/>
      <c r="AP964" s="221"/>
      <c r="AQ964" s="221"/>
      <c r="AR964" s="221"/>
      <c r="AS964" s="221"/>
      <c r="AT964" s="221"/>
      <c r="AU964" s="221"/>
      <c r="AV964" s="221"/>
      <c r="AW964" s="221"/>
      <c r="AX964" s="221"/>
      <c r="AY964" s="221"/>
      <c r="AZ964" s="221"/>
      <c r="BA964" s="221"/>
      <c r="BB964" s="221"/>
      <c r="BC964" s="221"/>
      <c r="BD964" s="12"/>
      <c r="BE964" s="12"/>
      <c r="BF964" s="12"/>
      <c r="BG964" s="12"/>
      <c r="BH964" s="12"/>
      <c r="BI964" s="12"/>
      <c r="BJ964" s="12"/>
      <c r="BK964" s="12"/>
      <c r="BL964" s="12"/>
    </row>
    <row r="965" spans="1:64" ht="12" hidden="1" customHeight="1" outlineLevel="1">
      <c r="A965" s="9"/>
      <c r="B965" s="9"/>
      <c r="C965" s="9"/>
      <c r="D965" s="270" t="str">
        <f>Asset10</f>
        <v>Vehicles</v>
      </c>
      <c r="E965" s="9"/>
      <c r="F965" s="9"/>
      <c r="G965" s="201">
        <f t="shared" si="209"/>
        <v>-0.26102973349870084</v>
      </c>
      <c r="H965" s="331">
        <v>-0.94600269442399831</v>
      </c>
      <c r="I965" s="331">
        <v>-0.97338170542400848</v>
      </c>
      <c r="J965" s="331">
        <v>-0.87969557429682643</v>
      </c>
      <c r="K965" s="331">
        <v>-0.29501095677911471</v>
      </c>
      <c r="L965" s="331">
        <v>-0.33159398079168267</v>
      </c>
      <c r="M965" s="331">
        <v>-0.6266911038810824</v>
      </c>
      <c r="N965" s="111">
        <f>N$205*N$7</f>
        <v>0</v>
      </c>
      <c r="O965" s="111">
        <f>O$205*O$7</f>
        <v>0</v>
      </c>
      <c r="P965" s="111">
        <f>P$205*P$7</f>
        <v>0</v>
      </c>
      <c r="Q965" s="111">
        <f>Q$205*Q$7</f>
        <v>0</v>
      </c>
      <c r="R965" s="9"/>
      <c r="S965" s="12"/>
      <c r="T965" s="12"/>
      <c r="U965" s="12"/>
      <c r="V965" s="12"/>
      <c r="W965" s="12"/>
      <c r="X965" s="12"/>
      <c r="Y965" s="12"/>
      <c r="Z965" s="12"/>
      <c r="AA965" s="221"/>
      <c r="AB965" s="221"/>
      <c r="AC965" s="221"/>
      <c r="AD965" s="221"/>
      <c r="AE965" s="221"/>
      <c r="AF965" s="221"/>
      <c r="AG965" s="221"/>
      <c r="AH965" s="221"/>
      <c r="AI965" s="221"/>
      <c r="AJ965" s="221"/>
      <c r="AK965" s="221"/>
      <c r="AL965" s="221"/>
      <c r="AM965" s="221"/>
      <c r="AN965" s="221"/>
      <c r="AO965" s="221"/>
      <c r="AP965" s="221"/>
      <c r="AQ965" s="221"/>
      <c r="AR965" s="221"/>
      <c r="AS965" s="221"/>
      <c r="AT965" s="221"/>
      <c r="AU965" s="221"/>
      <c r="AV965" s="221"/>
      <c r="AW965" s="221"/>
      <c r="AX965" s="221"/>
      <c r="AY965" s="221"/>
      <c r="AZ965" s="221"/>
      <c r="BA965" s="221"/>
      <c r="BB965" s="221"/>
      <c r="BC965" s="221"/>
      <c r="BD965" s="12"/>
      <c r="BE965" s="12"/>
      <c r="BF965" s="12"/>
      <c r="BG965" s="12"/>
      <c r="BH965" s="12"/>
      <c r="BI965" s="12"/>
      <c r="BJ965" s="12"/>
      <c r="BK965" s="12"/>
      <c r="BL965" s="12"/>
    </row>
    <row r="966" spans="1:64" ht="12" hidden="1" customHeight="1" outlineLevel="1">
      <c r="A966" s="9"/>
      <c r="B966" s="9"/>
      <c r="C966" s="9"/>
      <c r="D966" s="270" t="str">
        <f>Asset11</f>
        <v>other</v>
      </c>
      <c r="E966" s="9"/>
      <c r="F966" s="9"/>
      <c r="G966" s="201">
        <f t="shared" si="209"/>
        <v>-1.652731229245967</v>
      </c>
      <c r="H966" s="331">
        <v>-1.6628633280940759</v>
      </c>
      <c r="I966" s="331">
        <v>-1.7687013049683293</v>
      </c>
      <c r="J966" s="331">
        <v>-1.8478962683992004</v>
      </c>
      <c r="K966" s="331">
        <v>-1.7785570340365968</v>
      </c>
      <c r="L966" s="331">
        <v>-2.1923937334264747</v>
      </c>
      <c r="M966" s="331">
        <v>-2.3874712271380445</v>
      </c>
      <c r="N966" s="111">
        <f>N$218*N$7</f>
        <v>0</v>
      </c>
      <c r="O966" s="111">
        <f>O$218*O$7</f>
        <v>0</v>
      </c>
      <c r="P966" s="111">
        <f>P$218*P$7</f>
        <v>0</v>
      </c>
      <c r="Q966" s="111">
        <f>Q$218*Q$7</f>
        <v>0</v>
      </c>
      <c r="R966" s="9"/>
      <c r="S966" s="12"/>
      <c r="T966" s="12"/>
      <c r="U966" s="12"/>
      <c r="V966" s="12"/>
      <c r="W966" s="12"/>
      <c r="X966" s="12"/>
      <c r="Y966" s="12"/>
      <c r="Z966" s="12"/>
      <c r="AA966" s="221"/>
      <c r="AB966" s="221"/>
      <c r="AC966" s="221"/>
      <c r="AD966" s="221"/>
      <c r="AE966" s="221"/>
      <c r="AF966" s="221"/>
      <c r="AG966" s="221"/>
      <c r="AH966" s="221"/>
      <c r="AI966" s="221"/>
      <c r="AJ966" s="221"/>
      <c r="AK966" s="221"/>
      <c r="AL966" s="221"/>
      <c r="AM966" s="221"/>
      <c r="AN966" s="221"/>
      <c r="AO966" s="221"/>
      <c r="AP966" s="221"/>
      <c r="AQ966" s="221"/>
      <c r="AR966" s="221"/>
      <c r="AS966" s="221"/>
      <c r="AT966" s="221"/>
      <c r="AU966" s="221"/>
      <c r="AV966" s="221"/>
      <c r="AW966" s="221"/>
      <c r="AX966" s="221"/>
      <c r="AY966" s="221"/>
      <c r="AZ966" s="221"/>
      <c r="BA966" s="221"/>
      <c r="BB966" s="221"/>
      <c r="BC966" s="221"/>
      <c r="BD966" s="12"/>
      <c r="BE966" s="12"/>
      <c r="BF966" s="12"/>
      <c r="BG966" s="12"/>
      <c r="BH966" s="12"/>
      <c r="BI966" s="12"/>
      <c r="BJ966" s="12"/>
      <c r="BK966" s="12"/>
      <c r="BL966" s="12"/>
    </row>
    <row r="967" spans="1:64" ht="12" hidden="1" customHeight="1" outlineLevel="1">
      <c r="A967" s="9"/>
      <c r="B967" s="9"/>
      <c r="C967" s="9"/>
      <c r="D967" s="270" t="str">
        <f>Asset12</f>
        <v>premises</v>
      </c>
      <c r="E967" s="9"/>
      <c r="F967" s="9"/>
      <c r="G967" s="201">
        <f t="shared" si="209"/>
        <v>-1.911211058171556</v>
      </c>
      <c r="H967" s="331">
        <v>-1.4220964456273413</v>
      </c>
      <c r="I967" s="331">
        <v>-1.4723609724366016</v>
      </c>
      <c r="J967" s="331">
        <v>-1.4195860929951778</v>
      </c>
      <c r="K967" s="331">
        <v>-1.0917900989707954</v>
      </c>
      <c r="L967" s="331">
        <v>-1.2415000522489046</v>
      </c>
      <c r="M967" s="331">
        <v>-1.1991815388754374</v>
      </c>
      <c r="N967" s="111">
        <f>N$231*N$7</f>
        <v>0</v>
      </c>
      <c r="O967" s="111">
        <f>O$231*O$7</f>
        <v>0</v>
      </c>
      <c r="P967" s="111">
        <f>P$231*P$7</f>
        <v>0</v>
      </c>
      <c r="Q967" s="111">
        <f>Q$231*Q$7</f>
        <v>0</v>
      </c>
      <c r="R967" s="9"/>
      <c r="S967" s="12"/>
      <c r="T967" s="12"/>
      <c r="U967" s="12"/>
      <c r="V967" s="12"/>
      <c r="W967" s="12"/>
      <c r="X967" s="12"/>
      <c r="Y967" s="12"/>
      <c r="Z967" s="12"/>
      <c r="AA967" s="221"/>
      <c r="AB967" s="221"/>
      <c r="AC967" s="221"/>
      <c r="AD967" s="221"/>
      <c r="AE967" s="221"/>
      <c r="AF967" s="221"/>
      <c r="AG967" s="221"/>
      <c r="AH967" s="221"/>
      <c r="AI967" s="221"/>
      <c r="AJ967" s="221"/>
      <c r="AK967" s="221"/>
      <c r="AL967" s="221"/>
      <c r="AM967" s="221"/>
      <c r="AN967" s="221"/>
      <c r="AO967" s="221"/>
      <c r="AP967" s="221"/>
      <c r="AQ967" s="221"/>
      <c r="AR967" s="221"/>
      <c r="AS967" s="221"/>
      <c r="AT967" s="221"/>
      <c r="AU967" s="221"/>
      <c r="AV967" s="221"/>
      <c r="AW967" s="221"/>
      <c r="AX967" s="221"/>
      <c r="AY967" s="221"/>
      <c r="AZ967" s="221"/>
      <c r="BA967" s="221"/>
      <c r="BB967" s="221"/>
      <c r="BC967" s="221"/>
      <c r="BD967" s="12"/>
      <c r="BE967" s="12"/>
      <c r="BF967" s="12"/>
      <c r="BG967" s="12"/>
      <c r="BH967" s="12"/>
      <c r="BI967" s="12"/>
      <c r="BJ967" s="12"/>
      <c r="BK967" s="12"/>
      <c r="BL967" s="12"/>
    </row>
    <row r="968" spans="1:64" ht="12" hidden="1" customHeight="1" outlineLevel="1">
      <c r="A968" s="9"/>
      <c r="B968" s="9"/>
      <c r="C968" s="9"/>
      <c r="D968" s="270" t="str">
        <f>Asset13</f>
        <v>Land</v>
      </c>
      <c r="E968" s="9"/>
      <c r="F968" s="9"/>
      <c r="G968" s="201">
        <f t="shared" si="209"/>
        <v>-0.34525136259926636</v>
      </c>
      <c r="H968" s="331">
        <v>0</v>
      </c>
      <c r="I968" s="331">
        <v>0</v>
      </c>
      <c r="J968" s="331">
        <v>0</v>
      </c>
      <c r="K968" s="331">
        <v>0</v>
      </c>
      <c r="L968" s="331">
        <v>0</v>
      </c>
      <c r="M968" s="331">
        <v>0</v>
      </c>
      <c r="N968" s="111">
        <f>N$244*N$7</f>
        <v>0</v>
      </c>
      <c r="O968" s="111">
        <f>O$244*O$7</f>
        <v>0</v>
      </c>
      <c r="P968" s="111">
        <f>P$244*P$7</f>
        <v>0</v>
      </c>
      <c r="Q968" s="111">
        <f>Q$244*Q$7</f>
        <v>0</v>
      </c>
      <c r="R968" s="9"/>
      <c r="S968" s="12"/>
      <c r="T968" s="12"/>
      <c r="U968" s="12"/>
      <c r="V968" s="12"/>
      <c r="W968" s="12"/>
      <c r="X968" s="12"/>
      <c r="Y968" s="12"/>
      <c r="Z968" s="12"/>
      <c r="AA968" s="221"/>
      <c r="AB968" s="221"/>
      <c r="AC968" s="221"/>
      <c r="AD968" s="221"/>
      <c r="AE968" s="221"/>
      <c r="AF968" s="221"/>
      <c r="AG968" s="221"/>
      <c r="AH968" s="221"/>
      <c r="AI968" s="221"/>
      <c r="AJ968" s="221"/>
      <c r="AK968" s="221"/>
      <c r="AL968" s="221"/>
      <c r="AM968" s="221"/>
      <c r="AN968" s="221"/>
      <c r="AO968" s="221"/>
      <c r="AP968" s="221"/>
      <c r="AQ968" s="221"/>
      <c r="AR968" s="221"/>
      <c r="AS968" s="221"/>
      <c r="AT968" s="221"/>
      <c r="AU968" s="221"/>
      <c r="AV968" s="221"/>
      <c r="AW968" s="221"/>
      <c r="AX968" s="221"/>
      <c r="AY968" s="221"/>
      <c r="AZ968" s="221"/>
      <c r="BA968" s="221"/>
      <c r="BB968" s="221"/>
      <c r="BC968" s="221"/>
      <c r="BD968" s="12"/>
      <c r="BE968" s="12"/>
      <c r="BF968" s="12"/>
      <c r="BG968" s="12"/>
      <c r="BH968" s="12"/>
      <c r="BI968" s="12"/>
      <c r="BJ968" s="12"/>
      <c r="BK968" s="12"/>
      <c r="BL968" s="12"/>
    </row>
    <row r="969" spans="1:64" ht="12" hidden="1" customHeight="1" outlineLevel="1">
      <c r="A969" s="9"/>
      <c r="B969" s="9"/>
      <c r="C969" s="9"/>
      <c r="D969" s="270" t="str">
        <f>Asset14</f>
        <v>Easements</v>
      </c>
      <c r="E969" s="9"/>
      <c r="F969" s="9"/>
      <c r="G969" s="201">
        <f t="shared" si="209"/>
        <v>-0.38015832738626898</v>
      </c>
      <c r="H969" s="331">
        <v>0</v>
      </c>
      <c r="I969" s="331">
        <v>0</v>
      </c>
      <c r="J969" s="331">
        <v>0</v>
      </c>
      <c r="K969" s="331">
        <v>0</v>
      </c>
      <c r="L969" s="331">
        <v>0</v>
      </c>
      <c r="M969" s="331">
        <v>0</v>
      </c>
      <c r="N969" s="111">
        <f>N$257*N$7</f>
        <v>0</v>
      </c>
      <c r="O969" s="111">
        <f>O$257*O$7</f>
        <v>0</v>
      </c>
      <c r="P969" s="111">
        <f>P$257*P$7</f>
        <v>0</v>
      </c>
      <c r="Q969" s="111">
        <f>Q$257*Q$7</f>
        <v>0</v>
      </c>
      <c r="R969" s="9"/>
      <c r="S969" s="12"/>
      <c r="T969" s="12"/>
      <c r="U969" s="12"/>
      <c r="V969" s="12"/>
      <c r="W969" s="12"/>
      <c r="X969" s="12"/>
      <c r="Y969" s="12"/>
      <c r="Z969" s="12"/>
      <c r="AA969" s="221"/>
      <c r="AB969" s="221"/>
      <c r="AC969" s="221"/>
      <c r="AD969" s="221"/>
      <c r="AE969" s="221"/>
      <c r="AF969" s="221"/>
      <c r="AG969" s="221"/>
      <c r="AH969" s="221"/>
      <c r="AI969" s="221"/>
      <c r="AJ969" s="221"/>
      <c r="AK969" s="221"/>
      <c r="AL969" s="221"/>
      <c r="AM969" s="221"/>
      <c r="AN969" s="221"/>
      <c r="AO969" s="221"/>
      <c r="AP969" s="221"/>
      <c r="AQ969" s="221"/>
      <c r="AR969" s="221"/>
      <c r="AS969" s="221"/>
      <c r="AT969" s="221"/>
      <c r="AU969" s="221"/>
      <c r="AV969" s="221"/>
      <c r="AW969" s="221"/>
      <c r="AX969" s="221"/>
      <c r="AY969" s="221"/>
      <c r="AZ969" s="221"/>
      <c r="BA969" s="221"/>
      <c r="BB969" s="221"/>
      <c r="BC969" s="221"/>
      <c r="BD969" s="12"/>
      <c r="BE969" s="12"/>
      <c r="BF969" s="12"/>
      <c r="BG969" s="12"/>
      <c r="BH969" s="12"/>
      <c r="BI969" s="12"/>
      <c r="BJ969" s="12"/>
      <c r="BK969" s="12"/>
      <c r="BL969" s="12"/>
    </row>
    <row r="970" spans="1:64" ht="12" hidden="1" customHeight="1" outlineLevel="1">
      <c r="A970" s="9"/>
      <c r="B970" s="9"/>
      <c r="C970" s="9"/>
      <c r="D970" s="270">
        <f>Asset15</f>
        <v>0</v>
      </c>
      <c r="E970" s="9"/>
      <c r="F970" s="9"/>
      <c r="G970" s="201">
        <f t="shared" si="209"/>
        <v>0</v>
      </c>
      <c r="H970" s="111">
        <f t="shared" ref="H970:Q970" si="210">H$270*H$7</f>
        <v>0</v>
      </c>
      <c r="I970" s="111">
        <f t="shared" si="210"/>
        <v>0</v>
      </c>
      <c r="J970" s="111">
        <f t="shared" si="210"/>
        <v>0</v>
      </c>
      <c r="K970" s="111">
        <f t="shared" si="210"/>
        <v>0</v>
      </c>
      <c r="L970" s="111">
        <f t="shared" si="210"/>
        <v>0</v>
      </c>
      <c r="M970" s="111">
        <f t="shared" si="210"/>
        <v>0</v>
      </c>
      <c r="N970" s="111">
        <f t="shared" si="210"/>
        <v>0</v>
      </c>
      <c r="O970" s="111">
        <f t="shared" si="210"/>
        <v>0</v>
      </c>
      <c r="P970" s="111">
        <f t="shared" si="210"/>
        <v>0</v>
      </c>
      <c r="Q970" s="111">
        <f t="shared" si="210"/>
        <v>0</v>
      </c>
      <c r="R970" s="9"/>
      <c r="S970" s="12"/>
      <c r="T970" s="12"/>
      <c r="U970" s="12"/>
      <c r="V970" s="12"/>
      <c r="W970" s="12"/>
      <c r="X970" s="12"/>
      <c r="Y970" s="12"/>
      <c r="Z970" s="12"/>
      <c r="AA970" s="221"/>
      <c r="AB970" s="221"/>
      <c r="AC970" s="221"/>
      <c r="AD970" s="221"/>
      <c r="AE970" s="221"/>
      <c r="AF970" s="221"/>
      <c r="AG970" s="221"/>
      <c r="AH970" s="221"/>
      <c r="AI970" s="221"/>
      <c r="AJ970" s="221"/>
      <c r="AK970" s="221"/>
      <c r="AL970" s="221"/>
      <c r="AM970" s="221"/>
      <c r="AN970" s="221"/>
      <c r="AO970" s="221"/>
      <c r="AP970" s="221"/>
      <c r="AQ970" s="221"/>
      <c r="AR970" s="221"/>
      <c r="AS970" s="221"/>
      <c r="AT970" s="221"/>
      <c r="AU970" s="221"/>
      <c r="AV970" s="221"/>
      <c r="AW970" s="221"/>
      <c r="AX970" s="221"/>
      <c r="AY970" s="221"/>
      <c r="AZ970" s="221"/>
      <c r="BA970" s="221"/>
      <c r="BB970" s="221"/>
      <c r="BC970" s="221"/>
      <c r="BD970" s="12"/>
      <c r="BE970" s="12"/>
      <c r="BF970" s="12"/>
      <c r="BG970" s="12"/>
      <c r="BH970" s="12"/>
      <c r="BI970" s="12"/>
      <c r="BJ970" s="12"/>
      <c r="BK970" s="12"/>
      <c r="BL970" s="12"/>
    </row>
    <row r="971" spans="1:64" ht="12" hidden="1" customHeight="1" outlineLevel="1">
      <c r="A971" s="9"/>
      <c r="B971" s="9"/>
      <c r="C971" s="9"/>
      <c r="D971" s="270">
        <f>Asset16</f>
        <v>0</v>
      </c>
      <c r="E971" s="9"/>
      <c r="F971" s="9"/>
      <c r="G971" s="201">
        <f t="shared" si="209"/>
        <v>0</v>
      </c>
      <c r="H971" s="111">
        <f t="shared" ref="H971:Q971" si="211">H$283*H$7</f>
        <v>0</v>
      </c>
      <c r="I971" s="111">
        <f t="shared" si="211"/>
        <v>0</v>
      </c>
      <c r="J971" s="111">
        <f t="shared" si="211"/>
        <v>0</v>
      </c>
      <c r="K971" s="111">
        <f t="shared" si="211"/>
        <v>0</v>
      </c>
      <c r="L971" s="111">
        <f t="shared" si="211"/>
        <v>0</v>
      </c>
      <c r="M971" s="111">
        <f t="shared" si="211"/>
        <v>0</v>
      </c>
      <c r="N971" s="111">
        <f t="shared" si="211"/>
        <v>0</v>
      </c>
      <c r="O971" s="111">
        <f t="shared" si="211"/>
        <v>0</v>
      </c>
      <c r="P971" s="111">
        <f t="shared" si="211"/>
        <v>0</v>
      </c>
      <c r="Q971" s="111">
        <f t="shared" si="211"/>
        <v>0</v>
      </c>
      <c r="R971" s="9"/>
      <c r="S971" s="12"/>
      <c r="T971" s="12"/>
      <c r="U971" s="12"/>
      <c r="V971" s="12"/>
      <c r="W971" s="12"/>
      <c r="X971" s="12"/>
      <c r="Y971" s="12"/>
      <c r="Z971" s="12"/>
      <c r="AA971" s="221"/>
      <c r="AB971" s="221"/>
      <c r="AC971" s="221"/>
      <c r="AD971" s="221"/>
      <c r="AE971" s="221"/>
      <c r="AF971" s="221"/>
      <c r="AG971" s="221"/>
      <c r="AH971" s="221"/>
      <c r="AI971" s="221"/>
      <c r="AJ971" s="221"/>
      <c r="AK971" s="221"/>
      <c r="AL971" s="221"/>
      <c r="AM971" s="221"/>
      <c r="AN971" s="221"/>
      <c r="AO971" s="221"/>
      <c r="AP971" s="221"/>
      <c r="AQ971" s="221"/>
      <c r="AR971" s="221"/>
      <c r="AS971" s="221"/>
      <c r="AT971" s="221"/>
      <c r="AU971" s="221"/>
      <c r="AV971" s="221"/>
      <c r="AW971" s="221"/>
      <c r="AX971" s="221"/>
      <c r="AY971" s="221"/>
      <c r="AZ971" s="221"/>
      <c r="BA971" s="221"/>
      <c r="BB971" s="221"/>
      <c r="BC971" s="221"/>
      <c r="BD971" s="12"/>
      <c r="BE971" s="12"/>
      <c r="BF971" s="12"/>
      <c r="BG971" s="12"/>
      <c r="BH971" s="12"/>
      <c r="BI971" s="12"/>
      <c r="BJ971" s="12"/>
      <c r="BK971" s="12"/>
      <c r="BL971" s="12"/>
    </row>
    <row r="972" spans="1:64" ht="12" hidden="1" customHeight="1" outlineLevel="1">
      <c r="A972" s="9"/>
      <c r="B972" s="9"/>
      <c r="C972" s="9"/>
      <c r="D972" s="270">
        <f>Asset17</f>
        <v>0</v>
      </c>
      <c r="E972" s="9"/>
      <c r="F972" s="9"/>
      <c r="G972" s="201">
        <f t="shared" si="209"/>
        <v>0</v>
      </c>
      <c r="H972" s="111">
        <f t="shared" ref="H972:Q972" si="212">H$296*H$7</f>
        <v>0</v>
      </c>
      <c r="I972" s="111">
        <f t="shared" si="212"/>
        <v>0</v>
      </c>
      <c r="J972" s="111">
        <f t="shared" si="212"/>
        <v>0</v>
      </c>
      <c r="K972" s="111">
        <f t="shared" si="212"/>
        <v>0</v>
      </c>
      <c r="L972" s="111">
        <f t="shared" si="212"/>
        <v>0</v>
      </c>
      <c r="M972" s="111">
        <f t="shared" si="212"/>
        <v>0</v>
      </c>
      <c r="N972" s="111">
        <f t="shared" si="212"/>
        <v>0</v>
      </c>
      <c r="O972" s="111">
        <f t="shared" si="212"/>
        <v>0</v>
      </c>
      <c r="P972" s="111">
        <f t="shared" si="212"/>
        <v>0</v>
      </c>
      <c r="Q972" s="111">
        <f t="shared" si="212"/>
        <v>0</v>
      </c>
      <c r="R972" s="9"/>
      <c r="S972" s="12"/>
      <c r="T972" s="12"/>
      <c r="U972" s="12"/>
      <c r="V972" s="12"/>
      <c r="W972" s="12"/>
      <c r="X972" s="12"/>
      <c r="Y972" s="12"/>
      <c r="Z972" s="12"/>
      <c r="AA972" s="221"/>
      <c r="AB972" s="221"/>
      <c r="AC972" s="221"/>
      <c r="AD972" s="221"/>
      <c r="AE972" s="221"/>
      <c r="AF972" s="221"/>
      <c r="AG972" s="221"/>
      <c r="AH972" s="221"/>
      <c r="AI972" s="221"/>
      <c r="AJ972" s="221"/>
      <c r="AK972" s="221"/>
      <c r="AL972" s="221"/>
      <c r="AM972" s="221"/>
      <c r="AN972" s="221"/>
      <c r="AO972" s="221"/>
      <c r="AP972" s="221"/>
      <c r="AQ972" s="221"/>
      <c r="AR972" s="221"/>
      <c r="AS972" s="221"/>
      <c r="AT972" s="221"/>
      <c r="AU972" s="221"/>
      <c r="AV972" s="221"/>
      <c r="AW972" s="221"/>
      <c r="AX972" s="221"/>
      <c r="AY972" s="221"/>
      <c r="AZ972" s="221"/>
      <c r="BA972" s="221"/>
      <c r="BB972" s="221"/>
      <c r="BC972" s="221"/>
      <c r="BD972" s="12"/>
      <c r="BE972" s="12"/>
      <c r="BF972" s="12"/>
      <c r="BG972" s="12"/>
      <c r="BH972" s="12"/>
      <c r="BI972" s="12"/>
      <c r="BJ972" s="12"/>
      <c r="BK972" s="12"/>
      <c r="BL972" s="12"/>
    </row>
    <row r="973" spans="1:64" ht="12" hidden="1" customHeight="1" outlineLevel="1">
      <c r="A973" s="9"/>
      <c r="B973" s="9"/>
      <c r="C973" s="9"/>
      <c r="D973" s="270">
        <f>Asset18</f>
        <v>0</v>
      </c>
      <c r="E973" s="9"/>
      <c r="F973" s="9"/>
      <c r="G973" s="201">
        <f t="shared" si="209"/>
        <v>0</v>
      </c>
      <c r="H973" s="111">
        <f t="shared" ref="H973:Q973" si="213">H$309*H$7</f>
        <v>0</v>
      </c>
      <c r="I973" s="111">
        <f t="shared" si="213"/>
        <v>0</v>
      </c>
      <c r="J973" s="111">
        <f t="shared" si="213"/>
        <v>0</v>
      </c>
      <c r="K973" s="111">
        <f t="shared" si="213"/>
        <v>0</v>
      </c>
      <c r="L973" s="111">
        <f t="shared" si="213"/>
        <v>0</v>
      </c>
      <c r="M973" s="111">
        <f t="shared" si="213"/>
        <v>0</v>
      </c>
      <c r="N973" s="111">
        <f t="shared" si="213"/>
        <v>0</v>
      </c>
      <c r="O973" s="111">
        <f t="shared" si="213"/>
        <v>0</v>
      </c>
      <c r="P973" s="111">
        <f t="shared" si="213"/>
        <v>0</v>
      </c>
      <c r="Q973" s="111">
        <f t="shared" si="213"/>
        <v>0</v>
      </c>
      <c r="R973" s="9"/>
      <c r="S973" s="12"/>
      <c r="T973" s="12"/>
      <c r="U973" s="12"/>
      <c r="V973" s="12"/>
      <c r="W973" s="12"/>
      <c r="X973" s="12"/>
      <c r="Y973" s="12"/>
      <c r="Z973" s="12"/>
      <c r="AA973" s="221"/>
      <c r="AB973" s="221"/>
      <c r="AC973" s="221"/>
      <c r="AD973" s="221"/>
      <c r="AE973" s="221"/>
      <c r="AF973" s="221"/>
      <c r="AG973" s="221"/>
      <c r="AH973" s="221"/>
      <c r="AI973" s="221"/>
      <c r="AJ973" s="221"/>
      <c r="AK973" s="221"/>
      <c r="AL973" s="221"/>
      <c r="AM973" s="221"/>
      <c r="AN973" s="221"/>
      <c r="AO973" s="221"/>
      <c r="AP973" s="221"/>
      <c r="AQ973" s="221"/>
      <c r="AR973" s="221"/>
      <c r="AS973" s="221"/>
      <c r="AT973" s="221"/>
      <c r="AU973" s="221"/>
      <c r="AV973" s="221"/>
      <c r="AW973" s="221"/>
      <c r="AX973" s="221"/>
      <c r="AY973" s="221"/>
      <c r="AZ973" s="221"/>
      <c r="BA973" s="221"/>
      <c r="BB973" s="221"/>
      <c r="BC973" s="221"/>
      <c r="BD973" s="12"/>
      <c r="BE973" s="12"/>
      <c r="BF973" s="12"/>
      <c r="BG973" s="12"/>
      <c r="BH973" s="12"/>
      <c r="BI973" s="12"/>
      <c r="BJ973" s="12"/>
      <c r="BK973" s="12"/>
      <c r="BL973" s="12"/>
    </row>
    <row r="974" spans="1:64" ht="12" hidden="1" customHeight="1" outlineLevel="1">
      <c r="A974" s="9"/>
      <c r="B974" s="9"/>
      <c r="C974" s="9"/>
      <c r="D974" s="270">
        <f>Asset19</f>
        <v>0</v>
      </c>
      <c r="E974" s="9"/>
      <c r="F974" s="9"/>
      <c r="G974" s="201">
        <f t="shared" si="209"/>
        <v>0</v>
      </c>
      <c r="H974" s="111">
        <f t="shared" ref="H974:Q974" si="214">H$322*H$7</f>
        <v>0</v>
      </c>
      <c r="I974" s="111">
        <f t="shared" si="214"/>
        <v>0</v>
      </c>
      <c r="J974" s="111">
        <f t="shared" si="214"/>
        <v>0</v>
      </c>
      <c r="K974" s="111">
        <f t="shared" si="214"/>
        <v>0</v>
      </c>
      <c r="L974" s="111">
        <f t="shared" si="214"/>
        <v>0</v>
      </c>
      <c r="M974" s="111">
        <f t="shared" si="214"/>
        <v>0</v>
      </c>
      <c r="N974" s="111">
        <f t="shared" si="214"/>
        <v>0</v>
      </c>
      <c r="O974" s="111">
        <f t="shared" si="214"/>
        <v>0</v>
      </c>
      <c r="P974" s="111">
        <f t="shared" si="214"/>
        <v>0</v>
      </c>
      <c r="Q974" s="111">
        <f t="shared" si="214"/>
        <v>0</v>
      </c>
      <c r="R974" s="9"/>
      <c r="S974" s="12"/>
      <c r="T974" s="12"/>
      <c r="U974" s="12"/>
      <c r="V974" s="12"/>
      <c r="W974" s="12"/>
      <c r="X974" s="12"/>
      <c r="Y974" s="12"/>
      <c r="Z974" s="12"/>
      <c r="AA974" s="221"/>
      <c r="AB974" s="221"/>
      <c r="AC974" s="221"/>
      <c r="AD974" s="221"/>
      <c r="AE974" s="221"/>
      <c r="AF974" s="221"/>
      <c r="AG974" s="221"/>
      <c r="AH974" s="221"/>
      <c r="AI974" s="221"/>
      <c r="AJ974" s="221"/>
      <c r="AK974" s="221"/>
      <c r="AL974" s="221"/>
      <c r="AM974" s="221"/>
      <c r="AN974" s="221"/>
      <c r="AO974" s="221"/>
      <c r="AP974" s="221"/>
      <c r="AQ974" s="221"/>
      <c r="AR974" s="221"/>
      <c r="AS974" s="221"/>
      <c r="AT974" s="221"/>
      <c r="AU974" s="221"/>
      <c r="AV974" s="221"/>
      <c r="AW974" s="221"/>
      <c r="AX974" s="221"/>
      <c r="AY974" s="221"/>
      <c r="AZ974" s="221"/>
      <c r="BA974" s="221"/>
      <c r="BB974" s="221"/>
      <c r="BC974" s="221"/>
      <c r="BD974" s="12"/>
      <c r="BE974" s="12"/>
      <c r="BF974" s="12"/>
      <c r="BG974" s="12"/>
      <c r="BH974" s="12"/>
      <c r="BI974" s="12"/>
      <c r="BJ974" s="12"/>
      <c r="BK974" s="12"/>
      <c r="BL974" s="12"/>
    </row>
    <row r="975" spans="1:64" ht="12" hidden="1" customHeight="1" outlineLevel="1">
      <c r="A975" s="9"/>
      <c r="B975" s="9"/>
      <c r="C975" s="9"/>
      <c r="D975" s="270">
        <f>Asset20</f>
        <v>0</v>
      </c>
      <c r="E975" s="9"/>
      <c r="F975" s="9"/>
      <c r="G975" s="201">
        <f t="shared" si="209"/>
        <v>0</v>
      </c>
      <c r="H975" s="111">
        <f t="shared" ref="H975:Q975" si="215">H$335*H$7</f>
        <v>0</v>
      </c>
      <c r="I975" s="111">
        <f t="shared" si="215"/>
        <v>0</v>
      </c>
      <c r="J975" s="111">
        <f t="shared" si="215"/>
        <v>0</v>
      </c>
      <c r="K975" s="111">
        <f t="shared" si="215"/>
        <v>0</v>
      </c>
      <c r="L975" s="111">
        <f t="shared" si="215"/>
        <v>0</v>
      </c>
      <c r="M975" s="111">
        <f t="shared" si="215"/>
        <v>0</v>
      </c>
      <c r="N975" s="111">
        <f t="shared" si="215"/>
        <v>0</v>
      </c>
      <c r="O975" s="111">
        <f t="shared" si="215"/>
        <v>0</v>
      </c>
      <c r="P975" s="111">
        <f t="shared" si="215"/>
        <v>0</v>
      </c>
      <c r="Q975" s="111">
        <f t="shared" si="215"/>
        <v>0</v>
      </c>
      <c r="R975" s="9"/>
      <c r="S975" s="12"/>
      <c r="T975" s="12"/>
      <c r="U975" s="12"/>
      <c r="V975" s="12"/>
      <c r="W975" s="12"/>
      <c r="X975" s="12"/>
      <c r="Y975" s="12"/>
      <c r="Z975" s="12"/>
      <c r="AA975" s="221"/>
      <c r="AB975" s="221"/>
      <c r="AC975" s="221"/>
      <c r="AD975" s="221"/>
      <c r="AE975" s="221"/>
      <c r="AF975" s="221"/>
      <c r="AG975" s="221"/>
      <c r="AH975" s="221"/>
      <c r="AI975" s="221"/>
      <c r="AJ975" s="221"/>
      <c r="AK975" s="221"/>
      <c r="AL975" s="221"/>
      <c r="AM975" s="221"/>
      <c r="AN975" s="221"/>
      <c r="AO975" s="221"/>
      <c r="AP975" s="221"/>
      <c r="AQ975" s="221"/>
      <c r="AR975" s="221"/>
      <c r="AS975" s="221"/>
      <c r="AT975" s="221"/>
      <c r="AU975" s="221"/>
      <c r="AV975" s="221"/>
      <c r="AW975" s="221"/>
      <c r="AX975" s="221"/>
      <c r="AY975" s="221"/>
      <c r="AZ975" s="221"/>
      <c r="BA975" s="221"/>
      <c r="BB975" s="221"/>
      <c r="BC975" s="221"/>
      <c r="BD975" s="12"/>
      <c r="BE975" s="12"/>
      <c r="BF975" s="12"/>
      <c r="BG975" s="12"/>
      <c r="BH975" s="12"/>
      <c r="BI975" s="12"/>
      <c r="BJ975" s="12"/>
      <c r="BK975" s="12"/>
      <c r="BL975" s="12"/>
    </row>
    <row r="976" spans="1:64" ht="12" hidden="1" customHeight="1" outlineLevel="1">
      <c r="A976" s="9"/>
      <c r="B976" s="9"/>
      <c r="C976" s="9"/>
      <c r="D976" s="270">
        <f>Asset21</f>
        <v>0</v>
      </c>
      <c r="E976" s="9"/>
      <c r="F976" s="9"/>
      <c r="G976" s="201">
        <f t="shared" si="209"/>
        <v>0</v>
      </c>
      <c r="H976" s="111">
        <f>H$348*H$7</f>
        <v>0</v>
      </c>
      <c r="I976" s="111">
        <f t="shared" ref="I976:Q976" si="216">I$348*I$7</f>
        <v>0</v>
      </c>
      <c r="J976" s="111">
        <f t="shared" si="216"/>
        <v>0</v>
      </c>
      <c r="K976" s="111">
        <f t="shared" si="216"/>
        <v>0</v>
      </c>
      <c r="L976" s="111">
        <f t="shared" si="216"/>
        <v>0</v>
      </c>
      <c r="M976" s="111">
        <f t="shared" si="216"/>
        <v>0</v>
      </c>
      <c r="N976" s="111">
        <f t="shared" si="216"/>
        <v>0</v>
      </c>
      <c r="O976" s="111">
        <f t="shared" si="216"/>
        <v>0</v>
      </c>
      <c r="P976" s="111">
        <f t="shared" si="216"/>
        <v>0</v>
      </c>
      <c r="Q976" s="111">
        <f t="shared" si="216"/>
        <v>0</v>
      </c>
      <c r="R976" s="9"/>
      <c r="S976" s="12"/>
      <c r="T976" s="12"/>
      <c r="U976" s="12"/>
      <c r="V976" s="12"/>
      <c r="W976" s="12"/>
      <c r="X976" s="12"/>
      <c r="Y976" s="12"/>
      <c r="Z976" s="12"/>
      <c r="AA976" s="221"/>
      <c r="AB976" s="221"/>
      <c r="AC976" s="221"/>
      <c r="AD976" s="221"/>
      <c r="AE976" s="221"/>
      <c r="AF976" s="221"/>
      <c r="AG976" s="221"/>
      <c r="AH976" s="221"/>
      <c r="AI976" s="221"/>
      <c r="AJ976" s="221"/>
      <c r="AK976" s="221"/>
      <c r="AL976" s="221"/>
      <c r="AM976" s="221"/>
      <c r="AN976" s="221"/>
      <c r="AO976" s="221"/>
      <c r="AP976" s="221"/>
      <c r="AQ976" s="221"/>
      <c r="AR976" s="221"/>
      <c r="AS976" s="221"/>
      <c r="AT976" s="221"/>
      <c r="AU976" s="221"/>
      <c r="AV976" s="221"/>
      <c r="AW976" s="221"/>
      <c r="AX976" s="221"/>
      <c r="AY976" s="221"/>
      <c r="AZ976" s="221"/>
      <c r="BA976" s="221"/>
      <c r="BB976" s="221"/>
      <c r="BC976" s="221"/>
      <c r="BD976" s="12"/>
      <c r="BE976" s="12"/>
      <c r="BF976" s="12"/>
      <c r="BG976" s="12"/>
      <c r="BH976" s="12"/>
      <c r="BI976" s="12"/>
      <c r="BJ976" s="12"/>
      <c r="BK976" s="12"/>
      <c r="BL976" s="12"/>
    </row>
    <row r="977" spans="1:64" ht="12" hidden="1" customHeight="1" outlineLevel="1">
      <c r="A977" s="9"/>
      <c r="B977" s="9"/>
      <c r="C977" s="9"/>
      <c r="D977" s="270">
        <f>Asset22</f>
        <v>0</v>
      </c>
      <c r="E977" s="9"/>
      <c r="F977" s="9"/>
      <c r="G977" s="201">
        <f t="shared" si="209"/>
        <v>0</v>
      </c>
      <c r="H977" s="111">
        <f>H$361*H$7</f>
        <v>0</v>
      </c>
      <c r="I977" s="111">
        <f t="shared" ref="I977:P977" si="217">I$361*I$7</f>
        <v>0</v>
      </c>
      <c r="J977" s="111">
        <f t="shared" si="217"/>
        <v>0</v>
      </c>
      <c r="K977" s="111">
        <f t="shared" si="217"/>
        <v>0</v>
      </c>
      <c r="L977" s="111">
        <f t="shared" si="217"/>
        <v>0</v>
      </c>
      <c r="M977" s="111">
        <f t="shared" si="217"/>
        <v>0</v>
      </c>
      <c r="N977" s="111">
        <f t="shared" si="217"/>
        <v>0</v>
      </c>
      <c r="O977" s="111">
        <f t="shared" si="217"/>
        <v>0</v>
      </c>
      <c r="P977" s="111">
        <f t="shared" si="217"/>
        <v>0</v>
      </c>
      <c r="Q977" s="111">
        <f>Q$361*Q$7</f>
        <v>0</v>
      </c>
      <c r="R977" s="9"/>
      <c r="S977" s="12"/>
      <c r="T977" s="12"/>
      <c r="U977" s="12"/>
      <c r="V977" s="12"/>
      <c r="W977" s="12"/>
      <c r="X977" s="12"/>
      <c r="Y977" s="12"/>
      <c r="Z977" s="12"/>
      <c r="AA977" s="221"/>
      <c r="AB977" s="221"/>
      <c r="AC977" s="221"/>
      <c r="AD977" s="221"/>
      <c r="AE977" s="221"/>
      <c r="AF977" s="221"/>
      <c r="AG977" s="221"/>
      <c r="AH977" s="221"/>
      <c r="AI977" s="221"/>
      <c r="AJ977" s="221"/>
      <c r="AK977" s="221"/>
      <c r="AL977" s="221"/>
      <c r="AM977" s="221"/>
      <c r="AN977" s="221"/>
      <c r="AO977" s="221"/>
      <c r="AP977" s="221"/>
      <c r="AQ977" s="221"/>
      <c r="AR977" s="221"/>
      <c r="AS977" s="221"/>
      <c r="AT977" s="221"/>
      <c r="AU977" s="221"/>
      <c r="AV977" s="221"/>
      <c r="AW977" s="221"/>
      <c r="AX977" s="221"/>
      <c r="AY977" s="221"/>
      <c r="AZ977" s="221"/>
      <c r="BA977" s="221"/>
      <c r="BB977" s="221"/>
      <c r="BC977" s="221"/>
      <c r="BD977" s="12"/>
      <c r="BE977" s="12"/>
      <c r="BF977" s="12"/>
      <c r="BG977" s="12"/>
      <c r="BH977" s="12"/>
      <c r="BI977" s="12"/>
      <c r="BJ977" s="12"/>
      <c r="BK977" s="12"/>
      <c r="BL977" s="12"/>
    </row>
    <row r="978" spans="1:64" ht="12" hidden="1" customHeight="1" outlineLevel="1">
      <c r="A978" s="9"/>
      <c r="B978" s="9"/>
      <c r="C978" s="9"/>
      <c r="D978" s="270">
        <f>Asset23</f>
        <v>0</v>
      </c>
      <c r="E978" s="9"/>
      <c r="F978" s="9"/>
      <c r="G978" s="201">
        <f t="shared" si="209"/>
        <v>0</v>
      </c>
      <c r="H978" s="111">
        <f>H$374*H$7</f>
        <v>0</v>
      </c>
      <c r="I978" s="111">
        <f t="shared" ref="I978:P978" si="218">I$374*I$7</f>
        <v>0</v>
      </c>
      <c r="J978" s="111">
        <f t="shared" si="218"/>
        <v>0</v>
      </c>
      <c r="K978" s="111">
        <f t="shared" si="218"/>
        <v>0</v>
      </c>
      <c r="L978" s="111">
        <f t="shared" si="218"/>
        <v>0</v>
      </c>
      <c r="M978" s="111">
        <f t="shared" si="218"/>
        <v>0</v>
      </c>
      <c r="N978" s="111">
        <f t="shared" si="218"/>
        <v>0</v>
      </c>
      <c r="O978" s="111">
        <f t="shared" si="218"/>
        <v>0</v>
      </c>
      <c r="P978" s="111">
        <f t="shared" si="218"/>
        <v>0</v>
      </c>
      <c r="Q978" s="111">
        <f>Q$374*Q$7</f>
        <v>0</v>
      </c>
      <c r="R978" s="9"/>
      <c r="S978" s="12"/>
      <c r="T978" s="12"/>
      <c r="U978" s="12"/>
      <c r="V978" s="12"/>
      <c r="W978" s="12"/>
      <c r="X978" s="12"/>
      <c r="Y978" s="12"/>
      <c r="Z978" s="12"/>
      <c r="AA978" s="221"/>
      <c r="AB978" s="221"/>
      <c r="AC978" s="221"/>
      <c r="AD978" s="221"/>
      <c r="AE978" s="221"/>
      <c r="AF978" s="221"/>
      <c r="AG978" s="221"/>
      <c r="AH978" s="221"/>
      <c r="AI978" s="221"/>
      <c r="AJ978" s="221"/>
      <c r="AK978" s="221"/>
      <c r="AL978" s="221"/>
      <c r="AM978" s="221"/>
      <c r="AN978" s="221"/>
      <c r="AO978" s="221"/>
      <c r="AP978" s="221"/>
      <c r="AQ978" s="221"/>
      <c r="AR978" s="221"/>
      <c r="AS978" s="221"/>
      <c r="AT978" s="221"/>
      <c r="AU978" s="221"/>
      <c r="AV978" s="221"/>
      <c r="AW978" s="221"/>
      <c r="AX978" s="221"/>
      <c r="AY978" s="221"/>
      <c r="AZ978" s="221"/>
      <c r="BA978" s="221"/>
      <c r="BB978" s="221"/>
      <c r="BC978" s="221"/>
      <c r="BD978" s="12"/>
      <c r="BE978" s="12"/>
      <c r="BF978" s="12"/>
      <c r="BG978" s="12"/>
      <c r="BH978" s="12"/>
      <c r="BI978" s="12"/>
      <c r="BJ978" s="12"/>
      <c r="BK978" s="12"/>
      <c r="BL978" s="12"/>
    </row>
    <row r="979" spans="1:64" ht="12" hidden="1" customHeight="1" outlineLevel="1">
      <c r="A979" s="9"/>
      <c r="B979" s="9"/>
      <c r="C979" s="9"/>
      <c r="D979" s="270">
        <f>Asset24</f>
        <v>0</v>
      </c>
      <c r="E979" s="9"/>
      <c r="F979" s="9"/>
      <c r="G979" s="201">
        <f t="shared" si="209"/>
        <v>0</v>
      </c>
      <c r="H979" s="111">
        <f>H$387*H$7</f>
        <v>0</v>
      </c>
      <c r="I979" s="111">
        <f t="shared" ref="I979:P979" si="219">I$387*I$7</f>
        <v>0</v>
      </c>
      <c r="J979" s="111">
        <f t="shared" si="219"/>
        <v>0</v>
      </c>
      <c r="K979" s="111">
        <f t="shared" si="219"/>
        <v>0</v>
      </c>
      <c r="L979" s="111">
        <f t="shared" si="219"/>
        <v>0</v>
      </c>
      <c r="M979" s="111">
        <f t="shared" si="219"/>
        <v>0</v>
      </c>
      <c r="N979" s="111">
        <f t="shared" si="219"/>
        <v>0</v>
      </c>
      <c r="O979" s="111">
        <f t="shared" si="219"/>
        <v>0</v>
      </c>
      <c r="P979" s="111">
        <f t="shared" si="219"/>
        <v>0</v>
      </c>
      <c r="Q979" s="111">
        <f>Q$387*Q$7</f>
        <v>0</v>
      </c>
      <c r="R979" s="9"/>
      <c r="S979" s="12"/>
      <c r="T979" s="12"/>
      <c r="U979" s="12"/>
      <c r="V979" s="12"/>
      <c r="W979" s="12"/>
      <c r="X979" s="12"/>
      <c r="Y979" s="12"/>
      <c r="Z979" s="12"/>
      <c r="AA979" s="221"/>
      <c r="AB979" s="221"/>
      <c r="AC979" s="221"/>
      <c r="AD979" s="221"/>
      <c r="AE979" s="221"/>
      <c r="AF979" s="221"/>
      <c r="AG979" s="221"/>
      <c r="AH979" s="221"/>
      <c r="AI979" s="221"/>
      <c r="AJ979" s="221"/>
      <c r="AK979" s="221"/>
      <c r="AL979" s="221"/>
      <c r="AM979" s="221"/>
      <c r="AN979" s="221"/>
      <c r="AO979" s="221"/>
      <c r="AP979" s="221"/>
      <c r="AQ979" s="221"/>
      <c r="AR979" s="221"/>
      <c r="AS979" s="221"/>
      <c r="AT979" s="221"/>
      <c r="AU979" s="221"/>
      <c r="AV979" s="221"/>
      <c r="AW979" s="221"/>
      <c r="AX979" s="221"/>
      <c r="AY979" s="221"/>
      <c r="AZ979" s="221"/>
      <c r="BA979" s="221"/>
      <c r="BB979" s="221"/>
      <c r="BC979" s="221"/>
      <c r="BD979" s="12"/>
      <c r="BE979" s="12"/>
      <c r="BF979" s="12"/>
      <c r="BG979" s="12"/>
      <c r="BH979" s="12"/>
      <c r="BI979" s="12"/>
      <c r="BJ979" s="12"/>
      <c r="BK979" s="12"/>
      <c r="BL979" s="12"/>
    </row>
    <row r="980" spans="1:64" ht="12" hidden="1" customHeight="1" outlineLevel="1">
      <c r="A980" s="9"/>
      <c r="B980" s="9"/>
      <c r="C980" s="9"/>
      <c r="D980" s="270">
        <f>Asset25</f>
        <v>0</v>
      </c>
      <c r="E980" s="9"/>
      <c r="F980" s="9"/>
      <c r="G980" s="201">
        <f t="shared" si="209"/>
        <v>0</v>
      </c>
      <c r="H980" s="111">
        <f>H$400*H$7</f>
        <v>0</v>
      </c>
      <c r="I980" s="111">
        <f t="shared" ref="I980:P980" si="220">I$400*I$7</f>
        <v>0</v>
      </c>
      <c r="J980" s="111">
        <f t="shared" si="220"/>
        <v>0</v>
      </c>
      <c r="K980" s="111">
        <f t="shared" si="220"/>
        <v>0</v>
      </c>
      <c r="L980" s="111">
        <f t="shared" si="220"/>
        <v>0</v>
      </c>
      <c r="M980" s="111">
        <f t="shared" si="220"/>
        <v>0</v>
      </c>
      <c r="N980" s="111">
        <f t="shared" si="220"/>
        <v>0</v>
      </c>
      <c r="O980" s="111">
        <f t="shared" si="220"/>
        <v>0</v>
      </c>
      <c r="P980" s="111">
        <f t="shared" si="220"/>
        <v>0</v>
      </c>
      <c r="Q980" s="111">
        <f>Q$400*Q$7</f>
        <v>0</v>
      </c>
      <c r="R980" s="9"/>
      <c r="S980" s="12"/>
      <c r="T980" s="12"/>
      <c r="U980" s="12"/>
      <c r="V980" s="12"/>
      <c r="W980" s="12"/>
      <c r="X980" s="12"/>
      <c r="Y980" s="12"/>
      <c r="Z980" s="12"/>
      <c r="AA980" s="221"/>
      <c r="AB980" s="221"/>
      <c r="AC980" s="221"/>
      <c r="AD980" s="221"/>
      <c r="AE980" s="221"/>
      <c r="AF980" s="221"/>
      <c r="AG980" s="221"/>
      <c r="AH980" s="221"/>
      <c r="AI980" s="221"/>
      <c r="AJ980" s="221"/>
      <c r="AK980" s="221"/>
      <c r="AL980" s="221"/>
      <c r="AM980" s="221"/>
      <c r="AN980" s="221"/>
      <c r="AO980" s="221"/>
      <c r="AP980" s="221"/>
      <c r="AQ980" s="221"/>
      <c r="AR980" s="221"/>
      <c r="AS980" s="221"/>
      <c r="AT980" s="221"/>
      <c r="AU980" s="221"/>
      <c r="AV980" s="221"/>
      <c r="AW980" s="221"/>
      <c r="AX980" s="221"/>
      <c r="AY980" s="221"/>
      <c r="AZ980" s="221"/>
      <c r="BA980" s="221"/>
      <c r="BB980" s="221"/>
      <c r="BC980" s="221"/>
      <c r="BD980" s="12"/>
      <c r="BE980" s="12"/>
      <c r="BF980" s="12"/>
      <c r="BG980" s="12"/>
      <c r="BH980" s="12"/>
      <c r="BI980" s="12"/>
      <c r="BJ980" s="12"/>
      <c r="BK980" s="12"/>
      <c r="BL980" s="12"/>
    </row>
    <row r="981" spans="1:64" ht="12" hidden="1" customHeight="1" outlineLevel="1">
      <c r="A981" s="9"/>
      <c r="B981" s="9"/>
      <c r="C981" s="9"/>
      <c r="D981" s="270">
        <f>Asset26</f>
        <v>0</v>
      </c>
      <c r="E981" s="9"/>
      <c r="F981" s="9"/>
      <c r="G981" s="201">
        <f t="shared" si="209"/>
        <v>0</v>
      </c>
      <c r="H981" s="111">
        <f>H$413*H$7</f>
        <v>0</v>
      </c>
      <c r="I981" s="111">
        <f t="shared" ref="I981:P981" si="221">I$413*I$7</f>
        <v>0</v>
      </c>
      <c r="J981" s="111">
        <f t="shared" si="221"/>
        <v>0</v>
      </c>
      <c r="K981" s="111">
        <f t="shared" si="221"/>
        <v>0</v>
      </c>
      <c r="L981" s="111">
        <f t="shared" si="221"/>
        <v>0</v>
      </c>
      <c r="M981" s="111">
        <f t="shared" si="221"/>
        <v>0</v>
      </c>
      <c r="N981" s="111">
        <f t="shared" si="221"/>
        <v>0</v>
      </c>
      <c r="O981" s="111">
        <f t="shared" si="221"/>
        <v>0</v>
      </c>
      <c r="P981" s="111">
        <f t="shared" si="221"/>
        <v>0</v>
      </c>
      <c r="Q981" s="111">
        <f>Q$413*Q$7</f>
        <v>0</v>
      </c>
      <c r="R981" s="9"/>
      <c r="S981" s="12"/>
      <c r="T981" s="12"/>
      <c r="U981" s="12"/>
      <c r="V981" s="12"/>
      <c r="W981" s="12"/>
      <c r="X981" s="12"/>
      <c r="Y981" s="12"/>
      <c r="Z981" s="12"/>
      <c r="AA981" s="221"/>
      <c r="AB981" s="221"/>
      <c r="AC981" s="221"/>
      <c r="AD981" s="221"/>
      <c r="AE981" s="221"/>
      <c r="AF981" s="221"/>
      <c r="AG981" s="221"/>
      <c r="AH981" s="221"/>
      <c r="AI981" s="221"/>
      <c r="AJ981" s="221"/>
      <c r="AK981" s="221"/>
      <c r="AL981" s="221"/>
      <c r="AM981" s="221"/>
      <c r="AN981" s="221"/>
      <c r="AO981" s="221"/>
      <c r="AP981" s="221"/>
      <c r="AQ981" s="221"/>
      <c r="AR981" s="221"/>
      <c r="AS981" s="221"/>
      <c r="AT981" s="221"/>
      <c r="AU981" s="221"/>
      <c r="AV981" s="221"/>
      <c r="AW981" s="221"/>
      <c r="AX981" s="221"/>
      <c r="AY981" s="221"/>
      <c r="AZ981" s="221"/>
      <c r="BA981" s="221"/>
      <c r="BB981" s="221"/>
      <c r="BC981" s="221"/>
      <c r="BD981" s="12"/>
      <c r="BE981" s="12"/>
      <c r="BF981" s="12"/>
      <c r="BG981" s="12"/>
      <c r="BH981" s="12"/>
      <c r="BI981" s="12"/>
      <c r="BJ981" s="12"/>
      <c r="BK981" s="12"/>
      <c r="BL981" s="12"/>
    </row>
    <row r="982" spans="1:64" ht="12" hidden="1" customHeight="1" outlineLevel="1">
      <c r="A982" s="9"/>
      <c r="B982" s="9"/>
      <c r="C982" s="9"/>
      <c r="D982" s="270">
        <f>Asset27</f>
        <v>0</v>
      </c>
      <c r="E982" s="9"/>
      <c r="F982" s="9"/>
      <c r="G982" s="201">
        <f t="shared" si="209"/>
        <v>0</v>
      </c>
      <c r="H982" s="111">
        <f>H$426*H$7</f>
        <v>0</v>
      </c>
      <c r="I982" s="111">
        <f t="shared" ref="I982:Q982" si="222">I$426*I$7</f>
        <v>0</v>
      </c>
      <c r="J982" s="111">
        <f t="shared" si="222"/>
        <v>0</v>
      </c>
      <c r="K982" s="111">
        <f t="shared" si="222"/>
        <v>0</v>
      </c>
      <c r="L982" s="111">
        <f t="shared" si="222"/>
        <v>0</v>
      </c>
      <c r="M982" s="111">
        <f t="shared" si="222"/>
        <v>0</v>
      </c>
      <c r="N982" s="111">
        <f t="shared" si="222"/>
        <v>0</v>
      </c>
      <c r="O982" s="111">
        <f t="shared" si="222"/>
        <v>0</v>
      </c>
      <c r="P982" s="111">
        <f t="shared" si="222"/>
        <v>0</v>
      </c>
      <c r="Q982" s="111">
        <f t="shared" si="222"/>
        <v>0</v>
      </c>
      <c r="R982" s="9"/>
      <c r="S982" s="12"/>
      <c r="T982" s="12"/>
      <c r="U982" s="12"/>
      <c r="V982" s="12"/>
      <c r="W982" s="12"/>
      <c r="X982" s="12"/>
      <c r="Y982" s="12"/>
      <c r="Z982" s="12"/>
      <c r="AA982" s="221"/>
      <c r="AB982" s="221"/>
      <c r="AC982" s="221"/>
      <c r="AD982" s="221"/>
      <c r="AE982" s="221"/>
      <c r="AF982" s="221"/>
      <c r="AG982" s="221"/>
      <c r="AH982" s="221"/>
      <c r="AI982" s="221"/>
      <c r="AJ982" s="221"/>
      <c r="AK982" s="221"/>
      <c r="AL982" s="221"/>
      <c r="AM982" s="221"/>
      <c r="AN982" s="221"/>
      <c r="AO982" s="221"/>
      <c r="AP982" s="221"/>
      <c r="AQ982" s="221"/>
      <c r="AR982" s="221"/>
      <c r="AS982" s="221"/>
      <c r="AT982" s="221"/>
      <c r="AU982" s="221"/>
      <c r="AV982" s="221"/>
      <c r="AW982" s="221"/>
      <c r="AX982" s="221"/>
      <c r="AY982" s="221"/>
      <c r="AZ982" s="221"/>
      <c r="BA982" s="221"/>
      <c r="BB982" s="221"/>
      <c r="BC982" s="221"/>
      <c r="BD982" s="12"/>
      <c r="BE982" s="12"/>
      <c r="BF982" s="12"/>
      <c r="BG982" s="12"/>
      <c r="BH982" s="12"/>
      <c r="BI982" s="12"/>
      <c r="BJ982" s="12"/>
      <c r="BK982" s="12"/>
      <c r="BL982" s="12"/>
    </row>
    <row r="983" spans="1:64" ht="12" hidden="1" customHeight="1" outlineLevel="1">
      <c r="A983" s="9"/>
      <c r="B983" s="9"/>
      <c r="C983" s="9"/>
      <c r="D983" s="270">
        <f>Asset28</f>
        <v>0</v>
      </c>
      <c r="E983" s="9"/>
      <c r="F983" s="9"/>
      <c r="G983" s="201">
        <f t="shared" si="209"/>
        <v>0</v>
      </c>
      <c r="H983" s="111">
        <f>H$439*H$7</f>
        <v>0</v>
      </c>
      <c r="I983" s="111">
        <f t="shared" ref="I983:P983" si="223">I$439*I$7</f>
        <v>0</v>
      </c>
      <c r="J983" s="111">
        <f t="shared" si="223"/>
        <v>0</v>
      </c>
      <c r="K983" s="111">
        <f t="shared" si="223"/>
        <v>0</v>
      </c>
      <c r="L983" s="111">
        <f t="shared" si="223"/>
        <v>0</v>
      </c>
      <c r="M983" s="111">
        <f t="shared" si="223"/>
        <v>0</v>
      </c>
      <c r="N983" s="111">
        <f t="shared" si="223"/>
        <v>0</v>
      </c>
      <c r="O983" s="111">
        <f t="shared" si="223"/>
        <v>0</v>
      </c>
      <c r="P983" s="111">
        <f t="shared" si="223"/>
        <v>0</v>
      </c>
      <c r="Q983" s="111">
        <f>Q$439*Q$7</f>
        <v>0</v>
      </c>
      <c r="R983" s="9"/>
      <c r="S983" s="12"/>
      <c r="T983" s="12"/>
      <c r="U983" s="12"/>
      <c r="V983" s="12"/>
      <c r="W983" s="12"/>
      <c r="X983" s="12"/>
      <c r="Y983" s="12"/>
      <c r="Z983" s="12"/>
      <c r="AA983" s="221"/>
      <c r="AB983" s="221"/>
      <c r="AC983" s="221"/>
      <c r="AD983" s="221"/>
      <c r="AE983" s="221"/>
      <c r="AF983" s="221"/>
      <c r="AG983" s="221"/>
      <c r="AH983" s="221"/>
      <c r="AI983" s="221"/>
      <c r="AJ983" s="221"/>
      <c r="AK983" s="221"/>
      <c r="AL983" s="221"/>
      <c r="AM983" s="221"/>
      <c r="AN983" s="221"/>
      <c r="AO983" s="221"/>
      <c r="AP983" s="221"/>
      <c r="AQ983" s="221"/>
      <c r="AR983" s="221"/>
      <c r="AS983" s="221"/>
      <c r="AT983" s="221"/>
      <c r="AU983" s="221"/>
      <c r="AV983" s="221"/>
      <c r="AW983" s="221"/>
      <c r="AX983" s="221"/>
      <c r="AY983" s="221"/>
      <c r="AZ983" s="221"/>
      <c r="BA983" s="221"/>
      <c r="BB983" s="221"/>
      <c r="BC983" s="221"/>
      <c r="BD983" s="12"/>
      <c r="BE983" s="12"/>
      <c r="BF983" s="12"/>
      <c r="BG983" s="12"/>
      <c r="BH983" s="12"/>
      <c r="BI983" s="12"/>
      <c r="BJ983" s="12"/>
      <c r="BK983" s="12"/>
      <c r="BL983" s="12"/>
    </row>
    <row r="984" spans="1:64" ht="12" hidden="1" customHeight="1" outlineLevel="1">
      <c r="A984" s="9"/>
      <c r="B984" s="9"/>
      <c r="C984" s="9"/>
      <c r="D984" s="270">
        <f>Asset29</f>
        <v>0</v>
      </c>
      <c r="E984" s="9"/>
      <c r="F984" s="9"/>
      <c r="G984" s="201">
        <f t="shared" si="209"/>
        <v>0</v>
      </c>
      <c r="H984" s="111">
        <f>H$452*H$7</f>
        <v>0</v>
      </c>
      <c r="I984" s="111">
        <f t="shared" ref="I984:P984" si="224">I$452*I$7</f>
        <v>0</v>
      </c>
      <c r="J984" s="111">
        <f t="shared" si="224"/>
        <v>0</v>
      </c>
      <c r="K984" s="111">
        <f t="shared" si="224"/>
        <v>0</v>
      </c>
      <c r="L984" s="111">
        <f t="shared" si="224"/>
        <v>0</v>
      </c>
      <c r="M984" s="111">
        <f t="shared" si="224"/>
        <v>0</v>
      </c>
      <c r="N984" s="111">
        <f t="shared" si="224"/>
        <v>0</v>
      </c>
      <c r="O984" s="111">
        <f t="shared" si="224"/>
        <v>0</v>
      </c>
      <c r="P984" s="111">
        <f t="shared" si="224"/>
        <v>0</v>
      </c>
      <c r="Q984" s="111">
        <f>Q$452*Q$7</f>
        <v>0</v>
      </c>
      <c r="R984" s="9"/>
      <c r="S984" s="12"/>
      <c r="T984" s="12"/>
      <c r="U984" s="12"/>
      <c r="V984" s="12"/>
      <c r="W984" s="12"/>
      <c r="X984" s="12"/>
      <c r="Y984" s="12"/>
      <c r="Z984" s="12"/>
      <c r="AA984" s="221"/>
      <c r="AB984" s="221"/>
      <c r="AC984" s="221"/>
      <c r="AD984" s="221"/>
      <c r="AE984" s="221"/>
      <c r="AF984" s="221"/>
      <c r="AG984" s="221"/>
      <c r="AH984" s="221"/>
      <c r="AI984" s="221"/>
      <c r="AJ984" s="221"/>
      <c r="AK984" s="221"/>
      <c r="AL984" s="221"/>
      <c r="AM984" s="221"/>
      <c r="AN984" s="221"/>
      <c r="AO984" s="221"/>
      <c r="AP984" s="221"/>
      <c r="AQ984" s="221"/>
      <c r="AR984" s="221"/>
      <c r="AS984" s="221"/>
      <c r="AT984" s="221"/>
      <c r="AU984" s="221"/>
      <c r="AV984" s="221"/>
      <c r="AW984" s="221"/>
      <c r="AX984" s="221"/>
      <c r="AY984" s="221"/>
      <c r="AZ984" s="221"/>
      <c r="BA984" s="221"/>
      <c r="BB984" s="221"/>
      <c r="BC984" s="221"/>
      <c r="BD984" s="12"/>
      <c r="BE984" s="12"/>
      <c r="BF984" s="12"/>
      <c r="BG984" s="12"/>
      <c r="BH984" s="12"/>
      <c r="BI984" s="12"/>
      <c r="BJ984" s="12"/>
      <c r="BK984" s="12"/>
      <c r="BL984" s="12"/>
    </row>
    <row r="985" spans="1:64" ht="12" hidden="1" customHeight="1" outlineLevel="1">
      <c r="A985" s="9"/>
      <c r="B985" s="9"/>
      <c r="C985" s="9"/>
      <c r="D985" s="270">
        <f>Asset30</f>
        <v>0</v>
      </c>
      <c r="E985" s="9"/>
      <c r="F985" s="9"/>
      <c r="G985" s="201">
        <f t="shared" si="209"/>
        <v>0</v>
      </c>
      <c r="H985" s="111">
        <f>H$465*H$7</f>
        <v>0</v>
      </c>
      <c r="I985" s="111">
        <f t="shared" ref="I985:P985" si="225">I$465*I$7</f>
        <v>0</v>
      </c>
      <c r="J985" s="111">
        <f t="shared" si="225"/>
        <v>0</v>
      </c>
      <c r="K985" s="111">
        <f t="shared" si="225"/>
        <v>0</v>
      </c>
      <c r="L985" s="111">
        <f t="shared" si="225"/>
        <v>0</v>
      </c>
      <c r="M985" s="111">
        <f t="shared" si="225"/>
        <v>0</v>
      </c>
      <c r="N985" s="111">
        <f t="shared" si="225"/>
        <v>0</v>
      </c>
      <c r="O985" s="111">
        <f t="shared" si="225"/>
        <v>0</v>
      </c>
      <c r="P985" s="111">
        <f t="shared" si="225"/>
        <v>0</v>
      </c>
      <c r="Q985" s="111">
        <f>Q$465*Q$7</f>
        <v>0</v>
      </c>
      <c r="R985" s="9"/>
      <c r="S985" s="12"/>
      <c r="T985" s="12"/>
      <c r="U985" s="12"/>
      <c r="V985" s="12"/>
      <c r="W985" s="12"/>
      <c r="X985" s="12"/>
      <c r="Y985" s="12"/>
      <c r="Z985" s="12"/>
      <c r="AA985" s="221"/>
      <c r="AB985" s="221"/>
      <c r="AC985" s="221"/>
      <c r="AD985" s="221"/>
      <c r="AE985" s="221"/>
      <c r="AF985" s="221"/>
      <c r="AG985" s="221"/>
      <c r="AH985" s="221"/>
      <c r="AI985" s="221"/>
      <c r="AJ985" s="221"/>
      <c r="AK985" s="221"/>
      <c r="AL985" s="221"/>
      <c r="AM985" s="221"/>
      <c r="AN985" s="221"/>
      <c r="AO985" s="221"/>
      <c r="AP985" s="221"/>
      <c r="AQ985" s="221"/>
      <c r="AR985" s="221"/>
      <c r="AS985" s="221"/>
      <c r="AT985" s="221"/>
      <c r="AU985" s="221"/>
      <c r="AV985" s="221"/>
      <c r="AW985" s="221"/>
      <c r="AX985" s="221"/>
      <c r="AY985" s="221"/>
      <c r="AZ985" s="221"/>
      <c r="BA985" s="221"/>
      <c r="BB985" s="221"/>
      <c r="BC985" s="221"/>
      <c r="BD985" s="12"/>
      <c r="BE985" s="12"/>
      <c r="BF985" s="12"/>
      <c r="BG985" s="12"/>
      <c r="BH985" s="12"/>
      <c r="BI985" s="12"/>
      <c r="BJ985" s="12"/>
      <c r="BK985" s="12"/>
      <c r="BL985" s="12"/>
    </row>
    <row r="986" spans="1:64" ht="12" customHeight="1" collapsed="1">
      <c r="A986" s="9"/>
      <c r="B986" s="9"/>
      <c r="C986" s="9"/>
      <c r="D986" s="9"/>
      <c r="E986" s="9"/>
      <c r="F986" s="9"/>
      <c r="G986" s="209"/>
      <c r="H986" s="9"/>
      <c r="I986" s="9"/>
      <c r="J986" s="9"/>
      <c r="K986" s="9"/>
      <c r="L986" s="9"/>
      <c r="M986" s="9"/>
      <c r="N986" s="9"/>
      <c r="O986" s="9"/>
      <c r="P986" s="9"/>
      <c r="Q986" s="9"/>
      <c r="R986" s="9"/>
      <c r="S986" s="12"/>
      <c r="T986" s="12"/>
      <c r="U986" s="12"/>
      <c r="V986" s="12"/>
      <c r="W986" s="12"/>
      <c r="X986" s="12"/>
      <c r="Y986" s="12"/>
      <c r="Z986" s="12"/>
      <c r="AA986" s="221"/>
      <c r="AB986" s="221"/>
      <c r="AC986" s="221"/>
      <c r="AD986" s="221"/>
      <c r="AE986" s="221"/>
      <c r="AF986" s="221"/>
      <c r="AG986" s="221"/>
      <c r="AH986" s="221"/>
      <c r="AI986" s="221"/>
      <c r="AJ986" s="221"/>
      <c r="AK986" s="221"/>
      <c r="AL986" s="221"/>
      <c r="AM986" s="221"/>
      <c r="AN986" s="221"/>
      <c r="AO986" s="221"/>
      <c r="AP986" s="221"/>
      <c r="AQ986" s="221"/>
      <c r="AR986" s="221"/>
      <c r="AS986" s="221"/>
      <c r="AT986" s="221"/>
      <c r="AU986" s="221"/>
      <c r="AV986" s="221"/>
      <c r="AW986" s="221"/>
      <c r="AX986" s="221"/>
      <c r="AY986" s="221"/>
      <c r="AZ986" s="221"/>
      <c r="BA986" s="221"/>
      <c r="BB986" s="221"/>
      <c r="BC986" s="221"/>
      <c r="BD986" s="12"/>
      <c r="BE986" s="12"/>
      <c r="BF986" s="12"/>
      <c r="BG986" s="12"/>
      <c r="BH986" s="12"/>
      <c r="BI986" s="12"/>
      <c r="BJ986" s="12"/>
      <c r="BK986" s="12"/>
      <c r="BL986" s="12"/>
    </row>
    <row r="987" spans="1:64" ht="12" customHeight="1">
      <c r="A987" s="9"/>
      <c r="B987" s="12"/>
      <c r="C987" s="90" t="s">
        <v>43</v>
      </c>
      <c r="D987" s="12"/>
      <c r="E987" s="12"/>
      <c r="F987" s="12"/>
      <c r="G987" s="205">
        <f>SUM(G988:G1017)</f>
        <v>57.869245478405666</v>
      </c>
      <c r="H987" s="118">
        <f>SUM(H988:H1017)</f>
        <v>80.123512009677114</v>
      </c>
      <c r="I987" s="118">
        <f t="shared" ref="I987:P987" si="226">SUM(I988:I1017)</f>
        <v>46.141343838881738</v>
      </c>
      <c r="J987" s="118">
        <f t="shared" si="226"/>
        <v>58.637816765105455</v>
      </c>
      <c r="K987" s="118">
        <f t="shared" si="226"/>
        <v>70.103465867173384</v>
      </c>
      <c r="L987" s="118">
        <f t="shared" si="226"/>
        <v>51.351068961026122</v>
      </c>
      <c r="M987" s="118">
        <f t="shared" si="226"/>
        <v>59.911044143814536</v>
      </c>
      <c r="N987" s="118">
        <f t="shared" si="226"/>
        <v>0</v>
      </c>
      <c r="O987" s="118">
        <f t="shared" si="226"/>
        <v>0</v>
      </c>
      <c r="P987" s="118">
        <f t="shared" si="226"/>
        <v>0</v>
      </c>
      <c r="Q987" s="118">
        <f>SUM(Q988:Q1017)</f>
        <v>0</v>
      </c>
      <c r="R987" s="9"/>
      <c r="S987" s="12"/>
      <c r="T987" s="12"/>
      <c r="U987" s="12"/>
      <c r="V987" s="12"/>
      <c r="W987" s="12"/>
      <c r="X987" s="12"/>
      <c r="Y987" s="12"/>
      <c r="Z987" s="12"/>
      <c r="AA987" s="221"/>
      <c r="AB987" s="221"/>
      <c r="AC987" s="221"/>
      <c r="AD987" s="221"/>
      <c r="AE987" s="221"/>
      <c r="AF987" s="221"/>
      <c r="AG987" s="221"/>
      <c r="AH987" s="221"/>
      <c r="AI987" s="221"/>
      <c r="AJ987" s="221"/>
      <c r="AK987" s="221"/>
      <c r="AL987" s="221"/>
      <c r="AM987" s="221"/>
      <c r="AN987" s="221"/>
      <c r="AO987" s="221"/>
      <c r="AP987" s="221"/>
      <c r="AQ987" s="221"/>
      <c r="AR987" s="221"/>
      <c r="AS987" s="221"/>
      <c r="AT987" s="221"/>
      <c r="AU987" s="221"/>
      <c r="AV987" s="221"/>
      <c r="AW987" s="221"/>
      <c r="AX987" s="221"/>
      <c r="AY987" s="221"/>
      <c r="AZ987" s="221"/>
      <c r="BA987" s="221"/>
      <c r="BB987" s="221"/>
      <c r="BC987" s="221"/>
      <c r="BD987" s="12"/>
      <c r="BE987" s="12"/>
      <c r="BF987" s="12"/>
      <c r="BG987" s="12"/>
      <c r="BH987" s="12"/>
      <c r="BI987" s="12"/>
      <c r="BJ987" s="12"/>
      <c r="BK987" s="12"/>
      <c r="BL987" s="12"/>
    </row>
    <row r="988" spans="1:64" ht="12" hidden="1" customHeight="1" outlineLevel="1">
      <c r="A988" s="9"/>
      <c r="B988" s="9"/>
      <c r="C988" s="9"/>
      <c r="D988" s="270" t="str">
        <f>Asset1</f>
        <v>Secondary</v>
      </c>
      <c r="E988" s="9"/>
      <c r="F988" s="9"/>
      <c r="G988" s="201">
        <f t="shared" ref="G988:L988" si="227">G762*G$6</f>
        <v>3.9055836749609361</v>
      </c>
      <c r="H988" s="111">
        <f t="shared" si="227"/>
        <v>5.2587556083351501</v>
      </c>
      <c r="I988" s="111">
        <f t="shared" si="227"/>
        <v>2.8860490776603971</v>
      </c>
      <c r="J988" s="111">
        <f t="shared" si="227"/>
        <v>3.2666325005626646</v>
      </c>
      <c r="K988" s="111">
        <f t="shared" si="227"/>
        <v>3.6340969694194056</v>
      </c>
      <c r="L988" s="111">
        <f t="shared" si="227"/>
        <v>2.457243699061372</v>
      </c>
      <c r="M988" s="111">
        <f t="shared" ref="M988" si="228">M762*M$6</f>
        <v>3.1126408115101514</v>
      </c>
      <c r="N988" s="111">
        <f>IF(COUNT($H988:M988)&gt;=Input!$Y$7,0,N762*N$6)</f>
        <v>0</v>
      </c>
      <c r="O988" s="111">
        <f>IF(COUNT($H988:N988)&gt;=Input!$Y$7,0,O762*O$6)</f>
        <v>0</v>
      </c>
      <c r="P988" s="111">
        <f>IF(COUNT($H988:O988)&gt;=Input!$Y$7,0,P762*P$6)</f>
        <v>0</v>
      </c>
      <c r="Q988" s="111">
        <f>IF(COUNT($H988:P988)&gt;=Input!$Y$7,0,Q762*Q$6)</f>
        <v>0</v>
      </c>
      <c r="R988" s="9"/>
      <c r="S988" s="12"/>
      <c r="T988" s="12"/>
      <c r="U988" s="12"/>
      <c r="V988" s="12"/>
      <c r="W988" s="12"/>
      <c r="X988" s="12"/>
      <c r="Y988" s="12"/>
      <c r="Z988" s="12"/>
      <c r="AA988" s="221"/>
      <c r="AB988" s="221"/>
      <c r="AC988" s="221"/>
      <c r="AD988" s="221"/>
      <c r="AE988" s="221"/>
      <c r="AF988" s="221"/>
      <c r="AG988" s="221"/>
      <c r="AH988" s="221"/>
      <c r="AI988" s="221"/>
      <c r="AJ988" s="221"/>
      <c r="AK988" s="221"/>
      <c r="AL988" s="221"/>
      <c r="AM988" s="221"/>
      <c r="AN988" s="221"/>
      <c r="AO988" s="221"/>
      <c r="AP988" s="221"/>
      <c r="AQ988" s="221"/>
      <c r="AR988" s="221"/>
      <c r="AS988" s="221"/>
      <c r="AT988" s="221"/>
      <c r="AU988" s="221"/>
      <c r="AV988" s="221"/>
      <c r="AW988" s="221"/>
      <c r="AX988" s="221"/>
      <c r="AY988" s="221"/>
      <c r="AZ988" s="221"/>
      <c r="BA988" s="221"/>
      <c r="BB988" s="221"/>
      <c r="BC988" s="221"/>
      <c r="BD988" s="12"/>
      <c r="BE988" s="12"/>
      <c r="BF988" s="12"/>
      <c r="BG988" s="12"/>
      <c r="BH988" s="12"/>
      <c r="BI988" s="12"/>
      <c r="BJ988" s="12"/>
      <c r="BK988" s="12"/>
      <c r="BL988" s="12"/>
    </row>
    <row r="989" spans="1:64" hidden="1" outlineLevel="1">
      <c r="A989" s="9"/>
      <c r="B989" s="9"/>
      <c r="C989" s="9"/>
      <c r="D989" s="270" t="str">
        <f>Asset2</f>
        <v>Switchgear</v>
      </c>
      <c r="E989" s="9"/>
      <c r="F989" s="9"/>
      <c r="G989" s="201">
        <f t="shared" ref="G989:L1004" si="229">G763*G$6</f>
        <v>7.3633273680930067</v>
      </c>
      <c r="H989" s="111">
        <f t="shared" si="229"/>
        <v>12.901083556175651</v>
      </c>
      <c r="I989" s="111">
        <f t="shared" si="229"/>
        <v>7.4075789903205154</v>
      </c>
      <c r="J989" s="111">
        <f t="shared" si="229"/>
        <v>9.7446970205157353</v>
      </c>
      <c r="K989" s="111">
        <f t="shared" si="229"/>
        <v>12.658633004699402</v>
      </c>
      <c r="L989" s="111">
        <f t="shared" si="229"/>
        <v>9.5518784330555793</v>
      </c>
      <c r="M989" s="111">
        <f t="shared" ref="M989" si="230">M763*M$6</f>
        <v>11.210024817297716</v>
      </c>
      <c r="N989" s="111">
        <f>IF(COUNT($H989:M989)&gt;=Input!$Y$7,0,N763*N$6)</f>
        <v>0</v>
      </c>
      <c r="O989" s="111">
        <f>IF(COUNT($H989:N989)&gt;=Input!$Y$7,0,O763*O$6)</f>
        <v>0</v>
      </c>
      <c r="P989" s="111">
        <f>IF(COUNT($H989:O989)&gt;=Input!$Y$7,0,P763*P$6)</f>
        <v>0</v>
      </c>
      <c r="Q989" s="111">
        <f>IF(COUNT($H989:P989)&gt;=Input!$Y$7,0,Q763*Q$6)</f>
        <v>0</v>
      </c>
      <c r="R989" s="29"/>
      <c r="S989" s="100"/>
      <c r="T989" s="100"/>
      <c r="U989" s="100"/>
      <c r="V989" s="100"/>
      <c r="W989" s="100"/>
      <c r="X989" s="100"/>
      <c r="Y989" s="100"/>
      <c r="Z989" s="100"/>
      <c r="AA989" s="228"/>
      <c r="AB989" s="228"/>
      <c r="AC989" s="228"/>
      <c r="AD989" s="228"/>
      <c r="AE989" s="228"/>
      <c r="AF989" s="228"/>
      <c r="AG989" s="228"/>
      <c r="AH989" s="228"/>
      <c r="AI989" s="228"/>
      <c r="AJ989" s="228"/>
      <c r="AK989" s="228"/>
      <c r="AL989" s="228"/>
      <c r="AM989" s="228"/>
      <c r="AN989" s="228"/>
      <c r="AO989" s="228"/>
      <c r="AP989" s="228"/>
      <c r="AQ989" s="228"/>
      <c r="AR989" s="228"/>
      <c r="AS989" s="228"/>
      <c r="AT989" s="228"/>
      <c r="AU989" s="228"/>
      <c r="AV989" s="228"/>
      <c r="AW989" s="228"/>
      <c r="AX989" s="228"/>
      <c r="AY989" s="228"/>
      <c r="AZ989" s="228"/>
      <c r="BA989" s="228"/>
      <c r="BB989" s="228"/>
      <c r="BC989" s="228"/>
      <c r="BD989" s="100"/>
      <c r="BE989" s="100"/>
      <c r="BF989" s="100"/>
      <c r="BG989" s="100"/>
      <c r="BH989" s="100"/>
      <c r="BI989" s="100"/>
      <c r="BJ989" s="100"/>
      <c r="BK989" s="12"/>
      <c r="BL989" s="12"/>
    </row>
    <row r="990" spans="1:64" ht="12" hidden="1" customHeight="1" outlineLevel="1">
      <c r="A990" s="9"/>
      <c r="B990" s="9"/>
      <c r="C990" s="9"/>
      <c r="D990" s="270" t="str">
        <f>Asset3</f>
        <v>Transformers</v>
      </c>
      <c r="E990" s="9"/>
      <c r="F990" s="9"/>
      <c r="G990" s="201">
        <f t="shared" si="229"/>
        <v>4.5591515337949486</v>
      </c>
      <c r="H990" s="111">
        <f t="shared" si="229"/>
        <v>6.1564145070433165</v>
      </c>
      <c r="I990" s="111">
        <f t="shared" si="229"/>
        <v>3.4846318324183776</v>
      </c>
      <c r="J990" s="111">
        <f t="shared" si="229"/>
        <v>4.2890718327000039</v>
      </c>
      <c r="K990" s="111">
        <f t="shared" si="229"/>
        <v>5.0630630336415861</v>
      </c>
      <c r="L990" s="111">
        <f t="shared" si="229"/>
        <v>3.5936892436643451</v>
      </c>
      <c r="M990" s="111">
        <f t="shared" ref="M990" si="231">M764*M$6</f>
        <v>4.4282884032736423</v>
      </c>
      <c r="N990" s="111">
        <f>IF(COUNT($H990:M990)&gt;=Input!$Y$7,0,N764*N$6)</f>
        <v>0</v>
      </c>
      <c r="O990" s="111">
        <f>IF(COUNT($H990:N990)&gt;=Input!$Y$7,0,O764*O$6)</f>
        <v>0</v>
      </c>
      <c r="P990" s="111">
        <f>IF(COUNT($H990:O990)&gt;=Input!$Y$7,0,P764*P$6)</f>
        <v>0</v>
      </c>
      <c r="Q990" s="111">
        <f>IF(COUNT($H990:P990)&gt;=Input!$Y$7,0,Q764*Q$6)</f>
        <v>0</v>
      </c>
      <c r="R990" s="9"/>
      <c r="S990" s="12"/>
      <c r="T990" s="12"/>
      <c r="U990" s="12"/>
      <c r="V990" s="12"/>
      <c r="W990" s="12"/>
      <c r="X990" s="12"/>
      <c r="Y990" s="12"/>
      <c r="Z990" s="12"/>
      <c r="AA990" s="221"/>
      <c r="AB990" s="221"/>
      <c r="AC990" s="221"/>
      <c r="AD990" s="221"/>
      <c r="AE990" s="221"/>
      <c r="AF990" s="221"/>
      <c r="AG990" s="221"/>
      <c r="AH990" s="221"/>
      <c r="AI990" s="221"/>
      <c r="AJ990" s="221"/>
      <c r="AK990" s="221"/>
      <c r="AL990" s="221"/>
      <c r="AM990" s="221"/>
      <c r="AN990" s="221"/>
      <c r="AO990" s="221"/>
      <c r="AP990" s="221"/>
      <c r="AQ990" s="221"/>
      <c r="AR990" s="221"/>
      <c r="AS990" s="221"/>
      <c r="AT990" s="221"/>
      <c r="AU990" s="221"/>
      <c r="AV990" s="221"/>
      <c r="AW990" s="221"/>
      <c r="AX990" s="221"/>
      <c r="AY990" s="221"/>
      <c r="AZ990" s="221"/>
      <c r="BA990" s="221"/>
      <c r="BB990" s="221"/>
      <c r="BC990" s="221"/>
      <c r="BD990" s="12"/>
      <c r="BE990" s="12"/>
      <c r="BF990" s="12"/>
      <c r="BG990" s="12"/>
      <c r="BH990" s="12"/>
      <c r="BI990" s="12"/>
      <c r="BJ990" s="12"/>
      <c r="BK990" s="12"/>
      <c r="BL990" s="12"/>
    </row>
    <row r="991" spans="1:64" ht="12" hidden="1" customHeight="1" outlineLevel="1">
      <c r="A991" s="9"/>
      <c r="B991" s="9"/>
      <c r="C991" s="9"/>
      <c r="D991" s="270" t="str">
        <f>Asset4</f>
        <v>Reactive</v>
      </c>
      <c r="E991" s="9"/>
      <c r="F991" s="9"/>
      <c r="G991" s="201">
        <f t="shared" si="229"/>
        <v>2.4628113849700362</v>
      </c>
      <c r="H991" s="111">
        <f t="shared" si="229"/>
        <v>3.2311082279194161</v>
      </c>
      <c r="I991" s="111">
        <f t="shared" si="229"/>
        <v>1.8233168657190326</v>
      </c>
      <c r="J991" s="111">
        <f t="shared" si="229"/>
        <v>2.2493673412438415</v>
      </c>
      <c r="K991" s="111">
        <f t="shared" si="229"/>
        <v>2.5541259943096946</v>
      </c>
      <c r="L991" s="111">
        <f t="shared" si="229"/>
        <v>1.7757049304574615</v>
      </c>
      <c r="M991" s="111">
        <f t="shared" ref="M991" si="232">M765*M$6</f>
        <v>1.9574703521493462</v>
      </c>
      <c r="N991" s="111">
        <f>IF(COUNT($H991:M991)&gt;=Input!$Y$7,0,N765*N$6)</f>
        <v>0</v>
      </c>
      <c r="O991" s="111">
        <f>IF(COUNT($H991:N991)&gt;=Input!$Y$7,0,O765*O$6)</f>
        <v>0</v>
      </c>
      <c r="P991" s="111">
        <f>IF(COUNT($H991:O991)&gt;=Input!$Y$7,0,P765*P$6)</f>
        <v>0</v>
      </c>
      <c r="Q991" s="111">
        <f>IF(COUNT($H991:P991)&gt;=Input!$Y$7,0,Q765*Q$6)</f>
        <v>0</v>
      </c>
      <c r="R991" s="9"/>
      <c r="S991" s="12"/>
      <c r="T991" s="12"/>
      <c r="U991" s="12"/>
      <c r="V991" s="12"/>
      <c r="W991" s="12"/>
      <c r="X991" s="12"/>
      <c r="Y991" s="12"/>
      <c r="Z991" s="12"/>
      <c r="AA991" s="221"/>
      <c r="AB991" s="221"/>
      <c r="AC991" s="221"/>
      <c r="AD991" s="221"/>
      <c r="AE991" s="221"/>
      <c r="AF991" s="221"/>
      <c r="AG991" s="221"/>
      <c r="AH991" s="221"/>
      <c r="AI991" s="221"/>
      <c r="AJ991" s="221"/>
      <c r="AK991" s="221"/>
      <c r="AL991" s="221"/>
      <c r="AM991" s="221"/>
      <c r="AN991" s="221"/>
      <c r="AO991" s="221"/>
      <c r="AP991" s="221"/>
      <c r="AQ991" s="221"/>
      <c r="AR991" s="221"/>
      <c r="AS991" s="221"/>
      <c r="AT991" s="221"/>
      <c r="AU991" s="221"/>
      <c r="AV991" s="221"/>
      <c r="AW991" s="221"/>
      <c r="AX991" s="221"/>
      <c r="AY991" s="221"/>
      <c r="AZ991" s="221"/>
      <c r="BA991" s="221"/>
      <c r="BB991" s="221"/>
      <c r="BC991" s="221"/>
      <c r="BD991" s="12"/>
      <c r="BE991" s="12"/>
      <c r="BF991" s="12"/>
      <c r="BG991" s="12"/>
      <c r="BH991" s="12"/>
      <c r="BI991" s="12"/>
      <c r="BJ991" s="12"/>
      <c r="BK991" s="12"/>
      <c r="BL991" s="12"/>
    </row>
    <row r="992" spans="1:64" ht="12" hidden="1" customHeight="1" outlineLevel="1">
      <c r="A992" s="9"/>
      <c r="B992" s="9"/>
      <c r="C992" s="9"/>
      <c r="D992" s="270" t="str">
        <f>Asset5</f>
        <v>Towers and Conductor</v>
      </c>
      <c r="E992" s="9"/>
      <c r="F992" s="9"/>
      <c r="G992" s="201">
        <f t="shared" si="229"/>
        <v>29.136429910590962</v>
      </c>
      <c r="H992" s="111">
        <f t="shared" si="229"/>
        <v>38.336964467510484</v>
      </c>
      <c r="I992" s="111">
        <f t="shared" si="229"/>
        <v>22.077733715870121</v>
      </c>
      <c r="J992" s="111">
        <f t="shared" si="229"/>
        <v>27.883688095700506</v>
      </c>
      <c r="K992" s="111">
        <f t="shared" si="229"/>
        <v>32.520289180782719</v>
      </c>
      <c r="L992" s="111">
        <f t="shared" si="229"/>
        <v>23.85071416108261</v>
      </c>
      <c r="M992" s="111">
        <f t="shared" ref="M992" si="233">M766*M$6</f>
        <v>27.189543089759027</v>
      </c>
      <c r="N992" s="111">
        <f>IF(COUNT($H992:M992)&gt;=Input!$Y$7,0,N766*N$6)</f>
        <v>0</v>
      </c>
      <c r="O992" s="111">
        <f>IF(COUNT($H992:N992)&gt;=Input!$Y$7,0,O766*O$6)</f>
        <v>0</v>
      </c>
      <c r="P992" s="111">
        <f>IF(COUNT($H992:O992)&gt;=Input!$Y$7,0,P766*P$6)</f>
        <v>0</v>
      </c>
      <c r="Q992" s="111">
        <f>IF(COUNT($H992:P992)&gt;=Input!$Y$7,0,Q766*Q$6)</f>
        <v>0</v>
      </c>
      <c r="R992" s="9"/>
      <c r="S992" s="12"/>
      <c r="T992" s="12"/>
      <c r="U992" s="12"/>
      <c r="V992" s="12"/>
      <c r="W992" s="12"/>
      <c r="X992" s="12"/>
      <c r="Y992" s="12"/>
      <c r="Z992" s="12"/>
      <c r="AA992" s="221"/>
      <c r="AB992" s="221"/>
      <c r="AC992" s="221"/>
      <c r="AD992" s="221"/>
      <c r="AE992" s="221"/>
      <c r="AF992" s="221"/>
      <c r="AG992" s="221"/>
      <c r="AH992" s="221"/>
      <c r="AI992" s="221"/>
      <c r="AJ992" s="221"/>
      <c r="AK992" s="221"/>
      <c r="AL992" s="221"/>
      <c r="AM992" s="221"/>
      <c r="AN992" s="221"/>
      <c r="AO992" s="221"/>
      <c r="AP992" s="221"/>
      <c r="AQ992" s="221"/>
      <c r="AR992" s="221"/>
      <c r="AS992" s="221"/>
      <c r="AT992" s="221"/>
      <c r="AU992" s="221"/>
      <c r="AV992" s="221"/>
      <c r="AW992" s="221"/>
      <c r="AX992" s="221"/>
      <c r="AY992" s="221"/>
      <c r="AZ992" s="221"/>
      <c r="BA992" s="221"/>
      <c r="BB992" s="221"/>
      <c r="BC992" s="221"/>
      <c r="BD992" s="12"/>
      <c r="BE992" s="12"/>
      <c r="BF992" s="12"/>
      <c r="BG992" s="12"/>
      <c r="BH992" s="12"/>
      <c r="BI992" s="12"/>
      <c r="BJ992" s="12"/>
      <c r="BK992" s="12"/>
      <c r="BL992" s="12"/>
    </row>
    <row r="993" spans="1:64" hidden="1" outlineLevel="1">
      <c r="A993" s="9"/>
      <c r="B993" s="9"/>
      <c r="C993" s="9"/>
      <c r="D993" s="270" t="str">
        <f>Asset6</f>
        <v>Establishment</v>
      </c>
      <c r="E993" s="9"/>
      <c r="F993" s="9"/>
      <c r="G993" s="201">
        <f t="shared" si="229"/>
        <v>2.3618110593105346</v>
      </c>
      <c r="H993" s="111">
        <f t="shared" si="229"/>
        <v>3.6783350531194943</v>
      </c>
      <c r="I993" s="111">
        <f t="shared" si="229"/>
        <v>2.3711736421947198</v>
      </c>
      <c r="J993" s="111">
        <f t="shared" si="229"/>
        <v>3.2405015366195395</v>
      </c>
      <c r="K993" s="111">
        <f t="shared" si="229"/>
        <v>3.9540467155629844</v>
      </c>
      <c r="L993" s="111">
        <f t="shared" si="229"/>
        <v>2.9060167805381871</v>
      </c>
      <c r="M993" s="111">
        <f t="shared" ref="M993" si="234">M767*M$6</f>
        <v>3.4338343358203027</v>
      </c>
      <c r="N993" s="111">
        <f>IF(COUNT($H993:M993)&gt;=Input!$Y$7,0,N767*N$6)</f>
        <v>0</v>
      </c>
      <c r="O993" s="111">
        <f>IF(COUNT($H993:N993)&gt;=Input!$Y$7,0,O767*O$6)</f>
        <v>0</v>
      </c>
      <c r="P993" s="111">
        <f>IF(COUNT($H993:O993)&gt;=Input!$Y$7,0,P767*P$6)</f>
        <v>0</v>
      </c>
      <c r="Q993" s="111">
        <f>IF(COUNT($H993:P993)&gt;=Input!$Y$7,0,Q767*Q$6)</f>
        <v>0</v>
      </c>
      <c r="R993" s="9"/>
      <c r="S993" s="12"/>
      <c r="T993" s="12"/>
      <c r="U993" s="12"/>
      <c r="V993" s="12"/>
      <c r="W993" s="12"/>
      <c r="X993" s="12"/>
      <c r="Y993" s="12"/>
      <c r="Z993" s="12"/>
      <c r="AA993" s="221"/>
      <c r="AB993" s="221"/>
      <c r="AC993" s="221"/>
      <c r="AD993" s="221"/>
      <c r="AE993" s="221"/>
      <c r="AF993" s="221"/>
      <c r="AG993" s="221"/>
      <c r="AH993" s="221"/>
      <c r="AI993" s="221"/>
      <c r="AJ993" s="221"/>
      <c r="AK993" s="221"/>
      <c r="AL993" s="221"/>
      <c r="AM993" s="221"/>
      <c r="AN993" s="221"/>
      <c r="AO993" s="221"/>
      <c r="AP993" s="221"/>
      <c r="AQ993" s="221"/>
      <c r="AR993" s="221"/>
      <c r="AS993" s="221"/>
      <c r="AT993" s="221"/>
      <c r="AU993" s="221"/>
      <c r="AV993" s="221"/>
      <c r="AW993" s="221"/>
      <c r="AX993" s="221"/>
      <c r="AY993" s="221"/>
      <c r="AZ993" s="221"/>
      <c r="BA993" s="221"/>
      <c r="BB993" s="221"/>
      <c r="BC993" s="221"/>
      <c r="BD993" s="12"/>
      <c r="BE993" s="12"/>
      <c r="BF993" s="12"/>
      <c r="BG993" s="12"/>
      <c r="BH993" s="12"/>
      <c r="BI993" s="12"/>
      <c r="BJ993" s="12"/>
      <c r="BK993" s="12"/>
      <c r="BL993" s="12"/>
    </row>
    <row r="994" spans="1:64" hidden="1" outlineLevel="1">
      <c r="A994" s="9"/>
      <c r="B994" s="9"/>
      <c r="C994" s="9"/>
      <c r="D994" s="270" t="str">
        <f>Asset7</f>
        <v>Communications</v>
      </c>
      <c r="E994" s="9"/>
      <c r="F994" s="9"/>
      <c r="G994" s="201">
        <f t="shared" si="229"/>
        <v>1.0869343410933741</v>
      </c>
      <c r="H994" s="111">
        <f t="shared" si="229"/>
        <v>0.252993862880739</v>
      </c>
      <c r="I994" s="111">
        <f t="shared" si="229"/>
        <v>0.11954078268529875</v>
      </c>
      <c r="J994" s="111">
        <f t="shared" si="229"/>
        <v>0.16041426303024864</v>
      </c>
      <c r="K994" s="111">
        <f t="shared" si="229"/>
        <v>0.51148159710935182</v>
      </c>
      <c r="L994" s="111">
        <f t="shared" si="229"/>
        <v>0.46211623399345242</v>
      </c>
      <c r="M994" s="111">
        <f t="shared" ref="M994" si="235">M768*M$6</f>
        <v>0.56762630039459416</v>
      </c>
      <c r="N994" s="111">
        <f>IF(COUNT($H994:M994)&gt;=Input!$Y$7,0,N768*N$6)</f>
        <v>0</v>
      </c>
      <c r="O994" s="111">
        <f>IF(COUNT($H994:N994)&gt;=Input!$Y$7,0,O768*O$6)</f>
        <v>0</v>
      </c>
      <c r="P994" s="111">
        <f>IF(COUNT($H994:O994)&gt;=Input!$Y$7,0,P768*P$6)</f>
        <v>0</v>
      </c>
      <c r="Q994" s="111">
        <f>IF(COUNT($H994:P994)&gt;=Input!$Y$7,0,Q768*Q$6)</f>
        <v>0</v>
      </c>
      <c r="R994" s="9"/>
      <c r="S994" s="9"/>
      <c r="T994" s="9"/>
      <c r="U994" s="9"/>
      <c r="V994" s="9"/>
      <c r="W994" s="9"/>
      <c r="X994" s="9"/>
      <c r="Y994" s="9"/>
      <c r="Z994" s="9"/>
      <c r="AB994" s="198"/>
      <c r="AC994" s="198"/>
      <c r="AD994" s="198"/>
      <c r="AE994" s="198"/>
      <c r="AF994" s="198"/>
      <c r="AG994" s="198"/>
      <c r="AH994" s="198"/>
      <c r="AI994" s="198"/>
      <c r="AJ994" s="198"/>
      <c r="AK994" s="198"/>
      <c r="AL994" s="198"/>
      <c r="AM994" s="198"/>
      <c r="AN994" s="198"/>
      <c r="AO994" s="198"/>
      <c r="AP994" s="198"/>
      <c r="AQ994" s="198"/>
      <c r="AR994" s="198"/>
      <c r="AS994" s="198"/>
      <c r="AT994" s="198"/>
      <c r="AU994" s="198"/>
      <c r="AV994" s="198"/>
      <c r="AW994" s="198"/>
      <c r="AX994" s="198"/>
      <c r="AY994" s="198"/>
      <c r="AZ994" s="198"/>
      <c r="BA994" s="198"/>
      <c r="BB994" s="198"/>
      <c r="BC994" s="198"/>
      <c r="BD994" s="9"/>
      <c r="BE994" s="9"/>
      <c r="BF994" s="9"/>
      <c r="BG994" s="9"/>
      <c r="BH994" s="9"/>
      <c r="BI994" s="9"/>
      <c r="BJ994" s="9"/>
      <c r="BK994" s="9"/>
      <c r="BL994" s="9"/>
    </row>
    <row r="995" spans="1:64" hidden="1" outlineLevel="1">
      <c r="A995" s="9"/>
      <c r="B995" s="9"/>
      <c r="C995" s="9"/>
      <c r="D995" s="270" t="str">
        <f>Asset8</f>
        <v>Inventory</v>
      </c>
      <c r="E995" s="9"/>
      <c r="F995" s="9"/>
      <c r="G995" s="201">
        <f t="shared" si="229"/>
        <v>0.13905863325008744</v>
      </c>
      <c r="H995" s="111">
        <f t="shared" si="229"/>
        <v>0.27048186622619236</v>
      </c>
      <c r="I995" s="111">
        <f t="shared" si="229"/>
        <v>0.16045534437147022</v>
      </c>
      <c r="J995" s="111">
        <f t="shared" si="229"/>
        <v>0.2062997284776045</v>
      </c>
      <c r="K995" s="111">
        <f t="shared" si="229"/>
        <v>0.24755967417312463</v>
      </c>
      <c r="L995" s="111">
        <f t="shared" si="229"/>
        <v>0.18130121762534249</v>
      </c>
      <c r="M995" s="111">
        <f t="shared" ref="M995" si="236">M769*M$6</f>
        <v>0.21014459315664574</v>
      </c>
      <c r="N995" s="111">
        <f>IF(COUNT($H995:M995)&gt;=Input!$Y$7,0,N769*N$6)</f>
        <v>0</v>
      </c>
      <c r="O995" s="111">
        <f>IF(COUNT($H995:N995)&gt;=Input!$Y$7,0,O769*O$6)</f>
        <v>0</v>
      </c>
      <c r="P995" s="111">
        <f>IF(COUNT($H995:O995)&gt;=Input!$Y$7,0,P769*P$6)</f>
        <v>0</v>
      </c>
      <c r="Q995" s="111">
        <f>IF(COUNT($H995:P995)&gt;=Input!$Y$7,0,Q769*Q$6)</f>
        <v>0</v>
      </c>
      <c r="R995" s="9"/>
      <c r="S995" s="9"/>
      <c r="T995" s="9"/>
      <c r="U995" s="9"/>
      <c r="V995" s="9"/>
      <c r="W995" s="9"/>
      <c r="X995" s="9"/>
      <c r="Y995" s="9"/>
      <c r="Z995" s="9"/>
      <c r="AB995" s="198"/>
      <c r="AC995" s="198"/>
      <c r="AD995" s="198"/>
      <c r="AE995" s="198"/>
      <c r="AF995" s="198"/>
      <c r="AG995" s="198"/>
      <c r="AH995" s="198"/>
      <c r="AI995" s="198"/>
      <c r="AJ995" s="198"/>
      <c r="AK995" s="198"/>
      <c r="AL995" s="198"/>
      <c r="AM995" s="198"/>
      <c r="AN995" s="198"/>
      <c r="AO995" s="198"/>
      <c r="AP995" s="198"/>
      <c r="AQ995" s="198"/>
      <c r="AR995" s="198"/>
      <c r="AS995" s="198"/>
      <c r="AT995" s="198"/>
      <c r="AU995" s="198"/>
      <c r="AV995" s="198"/>
      <c r="AW995" s="198"/>
      <c r="AX995" s="198"/>
      <c r="AY995" s="198"/>
      <c r="AZ995" s="198"/>
      <c r="BA995" s="198"/>
      <c r="BB995" s="198"/>
      <c r="BC995" s="198"/>
      <c r="BD995" s="9"/>
      <c r="BE995" s="9"/>
      <c r="BF995" s="9"/>
      <c r="BG995" s="9"/>
      <c r="BH995" s="9"/>
      <c r="BI995" s="9"/>
      <c r="BJ995" s="9"/>
      <c r="BK995" s="9"/>
      <c r="BL995" s="9"/>
    </row>
    <row r="996" spans="1:64" hidden="1" outlineLevel="1">
      <c r="A996" s="9"/>
      <c r="B996" s="9"/>
      <c r="C996" s="9"/>
      <c r="D996" s="270" t="str">
        <f>Asset9</f>
        <v>IT</v>
      </c>
      <c r="E996" s="9"/>
      <c r="F996" s="9"/>
      <c r="G996" s="201">
        <f t="shared" si="229"/>
        <v>0.47753362125339649</v>
      </c>
      <c r="H996" s="111">
        <f t="shared" si="229"/>
        <v>1.5710342301660012</v>
      </c>
      <c r="I996" s="111">
        <f t="shared" si="229"/>
        <v>0.86586162335861572</v>
      </c>
      <c r="J996" s="111">
        <f t="shared" si="229"/>
        <v>1.2730428791952311</v>
      </c>
      <c r="K996" s="111">
        <f t="shared" si="229"/>
        <v>1.4138759240503085</v>
      </c>
      <c r="L996" s="111">
        <f t="shared" si="229"/>
        <v>1.0322595112289095</v>
      </c>
      <c r="M996" s="111">
        <f t="shared" ref="M996" si="237">M770*M$6</f>
        <v>1.3725120663584833</v>
      </c>
      <c r="N996" s="111">
        <f>IF(COUNT($H996:M996)&gt;=Input!$Y$7,0,N770*N$6)</f>
        <v>0</v>
      </c>
      <c r="O996" s="111">
        <f>IF(COUNT($H996:N996)&gt;=Input!$Y$7,0,O770*O$6)</f>
        <v>0</v>
      </c>
      <c r="P996" s="111">
        <f>IF(COUNT($H996:O996)&gt;=Input!$Y$7,0,P770*P$6)</f>
        <v>0</v>
      </c>
      <c r="Q996" s="111">
        <f>IF(COUNT($H996:P996)&gt;=Input!$Y$7,0,Q770*Q$6)</f>
        <v>0</v>
      </c>
      <c r="R996" s="9"/>
      <c r="S996" s="9"/>
      <c r="T996" s="9"/>
      <c r="U996" s="9"/>
      <c r="V996" s="9"/>
      <c r="W996" s="9"/>
      <c r="X996" s="9"/>
      <c r="Y996" s="9"/>
      <c r="Z996" s="9"/>
      <c r="AB996" s="198"/>
      <c r="AC996" s="198"/>
      <c r="AD996" s="198"/>
      <c r="AE996" s="198"/>
      <c r="AF996" s="198"/>
      <c r="AG996" s="198"/>
      <c r="AH996" s="198"/>
      <c r="AI996" s="198"/>
      <c r="AJ996" s="198"/>
      <c r="AK996" s="198"/>
      <c r="AL996" s="198"/>
      <c r="AM996" s="198"/>
      <c r="AN996" s="198"/>
      <c r="AO996" s="198"/>
      <c r="AP996" s="198"/>
      <c r="AQ996" s="198"/>
      <c r="AR996" s="198"/>
      <c r="AS996" s="198"/>
      <c r="AT996" s="198"/>
      <c r="AU996" s="198"/>
      <c r="AV996" s="198"/>
      <c r="AW996" s="198"/>
      <c r="AX996" s="198"/>
      <c r="AY996" s="198"/>
      <c r="AZ996" s="198"/>
      <c r="BA996" s="198"/>
      <c r="BB996" s="198"/>
      <c r="BC996" s="198"/>
      <c r="BD996" s="9"/>
      <c r="BE996" s="9"/>
      <c r="BF996" s="9"/>
      <c r="BG996" s="9"/>
      <c r="BH996" s="9"/>
      <c r="BI996" s="9"/>
      <c r="BJ996" s="9"/>
      <c r="BK996" s="9"/>
      <c r="BL996" s="9"/>
    </row>
    <row r="997" spans="1:64" hidden="1" outlineLevel="1">
      <c r="A997" s="9"/>
      <c r="B997" s="9"/>
      <c r="C997" s="9"/>
      <c r="D997" s="270" t="str">
        <f>Asset10</f>
        <v>Vehicles</v>
      </c>
      <c r="E997" s="9"/>
      <c r="F997" s="9"/>
      <c r="G997" s="201">
        <f t="shared" si="229"/>
        <v>0.11536461816076168</v>
      </c>
      <c r="H997" s="111">
        <f t="shared" si="229"/>
        <v>0.15458862429093001</v>
      </c>
      <c r="I997" s="111">
        <f t="shared" si="229"/>
        <v>7.069034984138757E-2</v>
      </c>
      <c r="J997" s="111">
        <f t="shared" si="229"/>
        <v>7.8715983372976736E-2</v>
      </c>
      <c r="K997" s="111">
        <f t="shared" si="229"/>
        <v>6.2230834672197775E-2</v>
      </c>
      <c r="L997" s="111">
        <f t="shared" si="229"/>
        <v>4.3185594742904378E-2</v>
      </c>
      <c r="M997" s="111">
        <f t="shared" ref="M997" si="238">M771*M$6</f>
        <v>8.2941242823651395E-2</v>
      </c>
      <c r="N997" s="111">
        <f>IF(COUNT($H997:M997)&gt;=Input!$Y$7,0,N771*N$6)</f>
        <v>0</v>
      </c>
      <c r="O997" s="111">
        <f>IF(COUNT($H997:N997)&gt;=Input!$Y$7,0,O771*O$6)</f>
        <v>0</v>
      </c>
      <c r="P997" s="111">
        <f>IF(COUNT($H997:O997)&gt;=Input!$Y$7,0,P771*P$6)</f>
        <v>0</v>
      </c>
      <c r="Q997" s="111">
        <f>IF(COUNT($H997:P997)&gt;=Input!$Y$7,0,Q771*Q$6)</f>
        <v>0</v>
      </c>
      <c r="R997" s="9"/>
      <c r="S997" s="9"/>
      <c r="T997" s="9"/>
      <c r="U997" s="9"/>
      <c r="V997" s="9"/>
      <c r="W997" s="9"/>
      <c r="X997" s="9"/>
      <c r="Y997" s="9"/>
      <c r="Z997" s="9"/>
      <c r="AB997" s="198"/>
      <c r="AC997" s="198"/>
      <c r="AD997" s="198"/>
      <c r="AE997" s="198"/>
      <c r="AF997" s="198"/>
      <c r="AG997" s="198"/>
      <c r="AH997" s="198"/>
      <c r="AI997" s="198"/>
      <c r="AJ997" s="198"/>
      <c r="AK997" s="198"/>
      <c r="AL997" s="198"/>
      <c r="AM997" s="198"/>
      <c r="AN997" s="198"/>
      <c r="AO997" s="198"/>
      <c r="AP997" s="198"/>
      <c r="AQ997" s="198"/>
      <c r="AR997" s="198"/>
      <c r="AS997" s="198"/>
      <c r="AT997" s="198"/>
      <c r="AU997" s="198"/>
      <c r="AV997" s="198"/>
      <c r="AW997" s="198"/>
      <c r="AX997" s="198"/>
      <c r="AY997" s="198"/>
      <c r="AZ997" s="198"/>
      <c r="BA997" s="198"/>
      <c r="BB997" s="198"/>
      <c r="BC997" s="198"/>
      <c r="BD997" s="9"/>
      <c r="BE997" s="9"/>
      <c r="BF997" s="9"/>
      <c r="BG997" s="9"/>
      <c r="BH997" s="9"/>
      <c r="BI997" s="9"/>
      <c r="BJ997" s="9"/>
      <c r="BK997" s="9"/>
      <c r="BL997" s="9"/>
    </row>
    <row r="998" spans="1:64" hidden="1" outlineLevel="1">
      <c r="A998" s="9"/>
      <c r="B998" s="9"/>
      <c r="C998" s="9"/>
      <c r="D998" s="270" t="str">
        <f>Asset11</f>
        <v>other</v>
      </c>
      <c r="E998" s="9"/>
      <c r="F998" s="9"/>
      <c r="G998" s="201">
        <f t="shared" si="229"/>
        <v>0.11465249108919226</v>
      </c>
      <c r="H998" s="111">
        <f t="shared" si="229"/>
        <v>0.45718328946867415</v>
      </c>
      <c r="I998" s="111">
        <f t="shared" si="229"/>
        <v>0.24524287606360065</v>
      </c>
      <c r="J998" s="111">
        <f t="shared" si="229"/>
        <v>0.31775288704781524</v>
      </c>
      <c r="K998" s="111">
        <f t="shared" si="229"/>
        <v>0.42766824509657619</v>
      </c>
      <c r="L998" s="111">
        <f t="shared" si="229"/>
        <v>0.35084430263299737</v>
      </c>
      <c r="M998" s="111">
        <f t="shared" ref="M998" si="239">M772*M$6</f>
        <v>0.40675068111692819</v>
      </c>
      <c r="N998" s="111">
        <f>IF(COUNT($H998:M998)&gt;=Input!$Y$7,0,N772*N$6)</f>
        <v>0</v>
      </c>
      <c r="O998" s="111">
        <f>IF(COUNT($H998:N998)&gt;=Input!$Y$7,0,O772*O$6)</f>
        <v>0</v>
      </c>
      <c r="P998" s="111">
        <f>IF(COUNT($H998:O998)&gt;=Input!$Y$7,0,P772*P$6)</f>
        <v>0</v>
      </c>
      <c r="Q998" s="111">
        <f>IF(COUNT($H998:P998)&gt;=Input!$Y$7,0,Q772*Q$6)</f>
        <v>0</v>
      </c>
      <c r="R998" s="9"/>
      <c r="S998" s="9"/>
      <c r="T998" s="9"/>
      <c r="U998" s="9"/>
      <c r="V998" s="9"/>
      <c r="W998" s="9"/>
      <c r="X998" s="9"/>
      <c r="Y998" s="9"/>
      <c r="Z998" s="9"/>
      <c r="AB998" s="198"/>
      <c r="AC998" s="198"/>
      <c r="AD998" s="198"/>
      <c r="AE998" s="198"/>
      <c r="AF998" s="198"/>
      <c r="AG998" s="198"/>
      <c r="AH998" s="198"/>
      <c r="AI998" s="198"/>
      <c r="AJ998" s="198"/>
      <c r="AK998" s="198"/>
      <c r="AL998" s="198"/>
      <c r="AM998" s="198"/>
      <c r="AN998" s="198"/>
      <c r="AO998" s="198"/>
      <c r="AP998" s="198"/>
      <c r="AQ998" s="198"/>
      <c r="AR998" s="198"/>
      <c r="AS998" s="198"/>
      <c r="AT998" s="198"/>
      <c r="AU998" s="198"/>
      <c r="AV998" s="198"/>
      <c r="AW998" s="198"/>
      <c r="AX998" s="198"/>
      <c r="AY998" s="198"/>
      <c r="AZ998" s="198"/>
      <c r="BA998" s="198"/>
      <c r="BB998" s="198"/>
      <c r="BC998" s="198"/>
      <c r="BD998" s="9"/>
      <c r="BE998" s="9"/>
      <c r="BF998" s="9"/>
      <c r="BG998" s="9"/>
      <c r="BH998" s="9"/>
      <c r="BI998" s="9"/>
      <c r="BJ998" s="9"/>
      <c r="BK998" s="9"/>
      <c r="BL998" s="9"/>
    </row>
    <row r="999" spans="1:64" hidden="1" outlineLevel="1">
      <c r="A999" s="9"/>
      <c r="B999" s="9"/>
      <c r="C999" s="9"/>
      <c r="D999" s="270" t="str">
        <f>Asset12</f>
        <v>premises</v>
      </c>
      <c r="E999" s="9"/>
      <c r="F999" s="9"/>
      <c r="G999" s="201">
        <f t="shared" si="229"/>
        <v>0.15577073064711569</v>
      </c>
      <c r="H999" s="111">
        <f t="shared" si="229"/>
        <v>0.30984516176115295</v>
      </c>
      <c r="I999" s="111">
        <f t="shared" si="229"/>
        <v>0.15338527367824153</v>
      </c>
      <c r="J999" s="111">
        <f t="shared" si="229"/>
        <v>0.1678632032054666</v>
      </c>
      <c r="K999" s="111">
        <f t="shared" si="229"/>
        <v>0.16008800456142092</v>
      </c>
      <c r="L999" s="111">
        <f t="shared" si="229"/>
        <v>0.11799197123344299</v>
      </c>
      <c r="M999" s="111">
        <f t="shared" ref="M999" si="240">M773*M$6</f>
        <v>0.11121592817261097</v>
      </c>
      <c r="N999" s="111">
        <f>IF(COUNT($H999:M999)&gt;=Input!$Y$7,0,N773*N$6)</f>
        <v>0</v>
      </c>
      <c r="O999" s="111">
        <f>IF(COUNT($H999:N999)&gt;=Input!$Y$7,0,O773*O$6)</f>
        <v>0</v>
      </c>
      <c r="P999" s="111">
        <f>IF(COUNT($H999:O999)&gt;=Input!$Y$7,0,P773*P$6)</f>
        <v>0</v>
      </c>
      <c r="Q999" s="111">
        <f>IF(COUNT($H999:P999)&gt;=Input!$Y$7,0,Q773*Q$6)</f>
        <v>0</v>
      </c>
      <c r="R999" s="9"/>
      <c r="S999" s="9"/>
      <c r="T999" s="9"/>
      <c r="U999" s="9"/>
      <c r="V999" s="9"/>
      <c r="W999" s="9"/>
      <c r="X999" s="9"/>
      <c r="Y999" s="9"/>
      <c r="Z999" s="9"/>
      <c r="AB999" s="198"/>
      <c r="AC999" s="198"/>
      <c r="AD999" s="198"/>
      <c r="AE999" s="198"/>
      <c r="AF999" s="198"/>
      <c r="AG999" s="198"/>
      <c r="AH999" s="198"/>
      <c r="AI999" s="198"/>
      <c r="AJ999" s="198"/>
      <c r="AK999" s="198"/>
      <c r="AL999" s="198"/>
      <c r="AM999" s="198"/>
      <c r="AN999" s="198"/>
      <c r="AO999" s="198"/>
      <c r="AP999" s="198"/>
      <c r="AQ999" s="198"/>
      <c r="AR999" s="198"/>
      <c r="AS999" s="198"/>
      <c r="AT999" s="198"/>
      <c r="AU999" s="198"/>
      <c r="AV999" s="198"/>
      <c r="AW999" s="198"/>
      <c r="AX999" s="198"/>
      <c r="AY999" s="198"/>
      <c r="AZ999" s="198"/>
      <c r="BA999" s="198"/>
      <c r="BB999" s="198"/>
      <c r="BC999" s="198"/>
      <c r="BD999" s="9"/>
      <c r="BE999" s="9"/>
      <c r="BF999" s="9"/>
      <c r="BG999" s="9"/>
      <c r="BH999" s="9"/>
      <c r="BI999" s="9"/>
      <c r="BJ999" s="9"/>
      <c r="BK999" s="9"/>
      <c r="BL999" s="9"/>
    </row>
    <row r="1000" spans="1:64" hidden="1" outlineLevel="1">
      <c r="A1000" s="9"/>
      <c r="B1000" s="9"/>
      <c r="C1000" s="9"/>
      <c r="D1000" s="270" t="str">
        <f>Asset13</f>
        <v>Land</v>
      </c>
      <c r="E1000" s="9"/>
      <c r="F1000" s="9"/>
      <c r="G1000" s="201">
        <f t="shared" si="229"/>
        <v>2.8512679855595553</v>
      </c>
      <c r="H1000" s="111">
        <f t="shared" si="229"/>
        <v>3.528825378559989</v>
      </c>
      <c r="I1000" s="111">
        <f t="shared" si="229"/>
        <v>2.0933709872813515</v>
      </c>
      <c r="J1000" s="111">
        <f t="shared" si="229"/>
        <v>2.6967963081813298</v>
      </c>
      <c r="K1000" s="111">
        <f t="shared" si="229"/>
        <v>3.2207388667916224</v>
      </c>
      <c r="L1000" s="111">
        <f t="shared" si="229"/>
        <v>2.3363075694061086</v>
      </c>
      <c r="M1000" s="111">
        <f t="shared" ref="M1000" si="241">M774*M$6</f>
        <v>2.7079928645388827</v>
      </c>
      <c r="N1000" s="111">
        <f>IF(COUNT($H1000:M1000)&gt;=Input!$Y$7,0,N774*N$6)</f>
        <v>0</v>
      </c>
      <c r="O1000" s="111">
        <f>IF(COUNT($H1000:N1000)&gt;=Input!$Y$7,0,O774*O$6)</f>
        <v>0</v>
      </c>
      <c r="P1000" s="111">
        <f>IF(COUNT($H1000:O1000)&gt;=Input!$Y$7,0,P774*P$6)</f>
        <v>0</v>
      </c>
      <c r="Q1000" s="111">
        <f>IF(COUNT($H1000:P1000)&gt;=Input!$Y$7,0,Q774*Q$6)</f>
        <v>0</v>
      </c>
      <c r="R1000" s="9"/>
      <c r="S1000" s="9"/>
      <c r="T1000" s="9"/>
      <c r="U1000" s="9"/>
      <c r="V1000" s="9"/>
      <c r="W1000" s="9"/>
      <c r="X1000" s="9"/>
      <c r="Y1000" s="9"/>
      <c r="Z1000" s="9"/>
      <c r="AB1000" s="198"/>
      <c r="AC1000" s="198"/>
      <c r="AD1000" s="198"/>
      <c r="AE1000" s="198"/>
      <c r="AF1000" s="198"/>
      <c r="AG1000" s="198"/>
      <c r="AH1000" s="198"/>
      <c r="AI1000" s="198"/>
      <c r="AJ1000" s="198"/>
      <c r="AK1000" s="198"/>
      <c r="AL1000" s="198"/>
      <c r="AM1000" s="198"/>
      <c r="AN1000" s="198"/>
      <c r="AO1000" s="198"/>
      <c r="AP1000" s="198"/>
      <c r="AQ1000" s="198"/>
      <c r="AR1000" s="198"/>
      <c r="AS1000" s="198"/>
      <c r="AT1000" s="198"/>
      <c r="AU1000" s="198"/>
      <c r="AV1000" s="198"/>
      <c r="AW1000" s="198"/>
      <c r="AX1000" s="198"/>
      <c r="AY1000" s="198"/>
      <c r="AZ1000" s="198"/>
      <c r="BA1000" s="198"/>
      <c r="BB1000" s="198"/>
      <c r="BC1000" s="198"/>
      <c r="BD1000" s="9"/>
      <c r="BE1000" s="9"/>
      <c r="BF1000" s="9"/>
      <c r="BG1000" s="9"/>
      <c r="BH1000" s="9"/>
      <c r="BI1000" s="9"/>
      <c r="BJ1000" s="9"/>
      <c r="BK1000" s="9"/>
      <c r="BL1000" s="9"/>
    </row>
    <row r="1001" spans="1:64" hidden="1" outlineLevel="1">
      <c r="A1001" s="9"/>
      <c r="B1001" s="9"/>
      <c r="C1001" s="9"/>
      <c r="D1001" s="270" t="str">
        <f>Asset14</f>
        <v>Easements</v>
      </c>
      <c r="E1001" s="9"/>
      <c r="F1001" s="9"/>
      <c r="G1001" s="201">
        <f t="shared" si="229"/>
        <v>3.1395481256317552</v>
      </c>
      <c r="H1001" s="111">
        <f t="shared" si="229"/>
        <v>4.0158981762199319</v>
      </c>
      <c r="I1001" s="111">
        <f t="shared" si="229"/>
        <v>2.3823124774186062</v>
      </c>
      <c r="J1001" s="111">
        <f t="shared" si="229"/>
        <v>3.0629731852524928</v>
      </c>
      <c r="K1001" s="111">
        <f t="shared" si="229"/>
        <v>3.6755678223029795</v>
      </c>
      <c r="L1001" s="111">
        <f t="shared" si="229"/>
        <v>2.691815312303405</v>
      </c>
      <c r="M1001" s="111">
        <f t="shared" ref="M1001" si="242">M775*M$6</f>
        <v>3.1200586574425646</v>
      </c>
      <c r="N1001" s="111">
        <f>IF(COUNT($H1001:M1001)&gt;=Input!$Y$7,0,N775*N$6)</f>
        <v>0</v>
      </c>
      <c r="O1001" s="111">
        <f>IF(COUNT($H1001:N1001)&gt;=Input!$Y$7,0,O775*O$6)</f>
        <v>0</v>
      </c>
      <c r="P1001" s="111">
        <f>IF(COUNT($H1001:O1001)&gt;=Input!$Y$7,0,P775*P$6)</f>
        <v>0</v>
      </c>
      <c r="Q1001" s="111">
        <f>IF(COUNT($H1001:P1001)&gt;=Input!$Y$7,0,Q775*Q$6)</f>
        <v>0</v>
      </c>
      <c r="R1001" s="9"/>
      <c r="S1001" s="9"/>
      <c r="T1001" s="9"/>
      <c r="U1001" s="9"/>
      <c r="V1001" s="9"/>
      <c r="W1001" s="9"/>
      <c r="X1001" s="9"/>
      <c r="Y1001" s="9"/>
      <c r="Z1001" s="9"/>
      <c r="AB1001" s="198"/>
      <c r="AC1001" s="198"/>
      <c r="AD1001" s="198"/>
      <c r="AE1001" s="198"/>
      <c r="AF1001" s="198"/>
      <c r="AG1001" s="198"/>
      <c r="AH1001" s="198"/>
      <c r="AI1001" s="198"/>
      <c r="AJ1001" s="198"/>
      <c r="AK1001" s="198"/>
      <c r="AL1001" s="198"/>
      <c r="AM1001" s="198"/>
      <c r="AN1001" s="198"/>
      <c r="AO1001" s="198"/>
      <c r="AP1001" s="198"/>
      <c r="AQ1001" s="198"/>
      <c r="AR1001" s="198"/>
      <c r="AS1001" s="198"/>
      <c r="AT1001" s="198"/>
      <c r="AU1001" s="198"/>
      <c r="AV1001" s="198"/>
      <c r="AW1001" s="198"/>
      <c r="AX1001" s="198"/>
      <c r="AY1001" s="198"/>
      <c r="AZ1001" s="198"/>
      <c r="BA1001" s="198"/>
      <c r="BB1001" s="198"/>
      <c r="BC1001" s="198"/>
      <c r="BD1001" s="9"/>
      <c r="BE1001" s="9"/>
      <c r="BF1001" s="9"/>
      <c r="BG1001" s="9"/>
      <c r="BH1001" s="9"/>
      <c r="BI1001" s="9"/>
      <c r="BJ1001" s="9"/>
      <c r="BK1001" s="9"/>
      <c r="BL1001" s="9"/>
    </row>
    <row r="1002" spans="1:64" hidden="1" outlineLevel="1">
      <c r="A1002" s="9"/>
      <c r="B1002" s="9"/>
      <c r="C1002" s="9"/>
      <c r="D1002" s="270">
        <f>Asset15</f>
        <v>0</v>
      </c>
      <c r="E1002" s="9"/>
      <c r="F1002" s="9"/>
      <c r="G1002" s="201">
        <f t="shared" si="229"/>
        <v>0</v>
      </c>
      <c r="H1002" s="111">
        <f t="shared" si="229"/>
        <v>0</v>
      </c>
      <c r="I1002" s="111">
        <f t="shared" si="229"/>
        <v>0</v>
      </c>
      <c r="J1002" s="111">
        <f t="shared" si="229"/>
        <v>0</v>
      </c>
      <c r="K1002" s="111">
        <f t="shared" si="229"/>
        <v>0</v>
      </c>
      <c r="L1002" s="111">
        <f t="shared" si="229"/>
        <v>0</v>
      </c>
      <c r="M1002" s="111">
        <f t="shared" ref="M1002" si="243">M776*M$6</f>
        <v>0</v>
      </c>
      <c r="N1002" s="111">
        <f>IF(COUNT($H1002:M1002)&gt;=Input!$Y$7,0,N776*N$6)</f>
        <v>0</v>
      </c>
      <c r="O1002" s="111">
        <f>IF(COUNT($H1002:N1002)&gt;=Input!$Y$7,0,O776*O$6)</f>
        <v>0</v>
      </c>
      <c r="P1002" s="111">
        <f>IF(COUNT($H1002:O1002)&gt;=Input!$Y$7,0,P776*P$6)</f>
        <v>0</v>
      </c>
      <c r="Q1002" s="111">
        <f>IF(COUNT($H1002:P1002)&gt;=Input!$Y$7,0,Q776*Q$6)</f>
        <v>0</v>
      </c>
      <c r="R1002" s="9"/>
      <c r="S1002" s="9"/>
      <c r="T1002" s="9"/>
      <c r="U1002" s="9"/>
      <c r="V1002" s="9"/>
      <c r="W1002" s="9"/>
      <c r="X1002" s="9"/>
      <c r="Y1002" s="9"/>
      <c r="Z1002" s="9"/>
      <c r="AB1002" s="198"/>
      <c r="AC1002" s="198"/>
      <c r="AD1002" s="198"/>
      <c r="AE1002" s="198"/>
      <c r="AF1002" s="198"/>
      <c r="AG1002" s="198"/>
      <c r="AH1002" s="198"/>
      <c r="AI1002" s="198"/>
      <c r="AJ1002" s="198"/>
      <c r="AK1002" s="198"/>
      <c r="AL1002" s="198"/>
      <c r="AM1002" s="198"/>
      <c r="AN1002" s="198"/>
      <c r="AO1002" s="198"/>
      <c r="AP1002" s="198"/>
      <c r="AQ1002" s="198"/>
      <c r="AR1002" s="198"/>
      <c r="AS1002" s="198"/>
      <c r="AT1002" s="198"/>
      <c r="AU1002" s="198"/>
      <c r="AV1002" s="198"/>
      <c r="AW1002" s="198"/>
      <c r="AX1002" s="198"/>
      <c r="AY1002" s="198"/>
      <c r="AZ1002" s="198"/>
      <c r="BA1002" s="198"/>
      <c r="BB1002" s="198"/>
      <c r="BC1002" s="198"/>
      <c r="BD1002" s="9"/>
      <c r="BE1002" s="9"/>
      <c r="BF1002" s="9"/>
      <c r="BG1002" s="9"/>
      <c r="BH1002" s="9"/>
      <c r="BI1002" s="9"/>
      <c r="BJ1002" s="9"/>
      <c r="BK1002" s="9"/>
      <c r="BL1002" s="9"/>
    </row>
    <row r="1003" spans="1:64" hidden="1" outlineLevel="1">
      <c r="A1003" s="9"/>
      <c r="B1003" s="9"/>
      <c r="C1003" s="9"/>
      <c r="D1003" s="270">
        <f>Asset16</f>
        <v>0</v>
      </c>
      <c r="E1003" s="9"/>
      <c r="F1003" s="9"/>
      <c r="G1003" s="201">
        <f t="shared" si="229"/>
        <v>0</v>
      </c>
      <c r="H1003" s="111">
        <f t="shared" si="229"/>
        <v>0</v>
      </c>
      <c r="I1003" s="111">
        <f t="shared" si="229"/>
        <v>0</v>
      </c>
      <c r="J1003" s="111">
        <f t="shared" si="229"/>
        <v>0</v>
      </c>
      <c r="K1003" s="111">
        <f t="shared" si="229"/>
        <v>0</v>
      </c>
      <c r="L1003" s="111">
        <f t="shared" si="229"/>
        <v>0</v>
      </c>
      <c r="M1003" s="111">
        <f t="shared" ref="M1003" si="244">M777*M$6</f>
        <v>0</v>
      </c>
      <c r="N1003" s="111">
        <f>IF(COUNT($H1003:M1003)&gt;=Input!$Y$7,0,N777*N$6)</f>
        <v>0</v>
      </c>
      <c r="O1003" s="111">
        <f>IF(COUNT($H1003:N1003)&gt;=Input!$Y$7,0,O777*O$6)</f>
        <v>0</v>
      </c>
      <c r="P1003" s="111">
        <f>IF(COUNT($H1003:O1003)&gt;=Input!$Y$7,0,P777*P$6)</f>
        <v>0</v>
      </c>
      <c r="Q1003" s="111">
        <f>IF(COUNT($H1003:P1003)&gt;=Input!$Y$7,0,Q777*Q$6)</f>
        <v>0</v>
      </c>
      <c r="R1003" s="9"/>
      <c r="S1003" s="9"/>
      <c r="T1003" s="9"/>
      <c r="U1003" s="9"/>
      <c r="V1003" s="9"/>
      <c r="W1003" s="9"/>
      <c r="X1003" s="9"/>
      <c r="Y1003" s="9"/>
      <c r="Z1003" s="9"/>
      <c r="AB1003" s="198"/>
      <c r="AC1003" s="198"/>
      <c r="AD1003" s="198"/>
      <c r="AE1003" s="198"/>
      <c r="AF1003" s="198"/>
      <c r="AG1003" s="198"/>
      <c r="AH1003" s="198"/>
      <c r="AI1003" s="198"/>
      <c r="AJ1003" s="198"/>
      <c r="AK1003" s="198"/>
      <c r="AL1003" s="198"/>
      <c r="AM1003" s="198"/>
      <c r="AN1003" s="198"/>
      <c r="AO1003" s="198"/>
      <c r="AP1003" s="198"/>
      <c r="AQ1003" s="198"/>
      <c r="AR1003" s="198"/>
      <c r="AS1003" s="198"/>
      <c r="AT1003" s="198"/>
      <c r="AU1003" s="198"/>
      <c r="AV1003" s="198"/>
      <c r="AW1003" s="198"/>
      <c r="AX1003" s="198"/>
      <c r="AY1003" s="198"/>
      <c r="AZ1003" s="198"/>
      <c r="BA1003" s="198"/>
      <c r="BB1003" s="198"/>
      <c r="BC1003" s="198"/>
      <c r="BD1003" s="9"/>
      <c r="BE1003" s="9"/>
      <c r="BF1003" s="9"/>
      <c r="BG1003" s="9"/>
      <c r="BH1003" s="9"/>
      <c r="BI1003" s="9"/>
      <c r="BJ1003" s="9"/>
      <c r="BK1003" s="9"/>
      <c r="BL1003" s="9"/>
    </row>
    <row r="1004" spans="1:64" hidden="1" outlineLevel="1">
      <c r="A1004" s="9"/>
      <c r="B1004" s="9"/>
      <c r="C1004" s="9"/>
      <c r="D1004" s="270">
        <f>Asset17</f>
        <v>0</v>
      </c>
      <c r="E1004" s="9"/>
      <c r="F1004" s="9"/>
      <c r="G1004" s="201">
        <f t="shared" si="229"/>
        <v>0</v>
      </c>
      <c r="H1004" s="111">
        <f t="shared" si="229"/>
        <v>0</v>
      </c>
      <c r="I1004" s="111">
        <f t="shared" si="229"/>
        <v>0</v>
      </c>
      <c r="J1004" s="111">
        <f t="shared" si="229"/>
        <v>0</v>
      </c>
      <c r="K1004" s="111">
        <f t="shared" si="229"/>
        <v>0</v>
      </c>
      <c r="L1004" s="111">
        <f t="shared" si="229"/>
        <v>0</v>
      </c>
      <c r="M1004" s="111">
        <f t="shared" ref="M1004" si="245">M778*M$6</f>
        <v>0</v>
      </c>
      <c r="N1004" s="111">
        <f>IF(COUNT($H1004:M1004)&gt;=Input!$Y$7,0,N778*N$6)</f>
        <v>0</v>
      </c>
      <c r="O1004" s="111">
        <f>IF(COUNT($H1004:N1004)&gt;=Input!$Y$7,0,O778*O$6)</f>
        <v>0</v>
      </c>
      <c r="P1004" s="111">
        <f>IF(COUNT($H1004:O1004)&gt;=Input!$Y$7,0,P778*P$6)</f>
        <v>0</v>
      </c>
      <c r="Q1004" s="111">
        <f>IF(COUNT($H1004:P1004)&gt;=Input!$Y$7,0,Q778*Q$6)</f>
        <v>0</v>
      </c>
      <c r="R1004" s="9"/>
      <c r="S1004" s="9"/>
      <c r="T1004" s="9"/>
      <c r="U1004" s="9"/>
      <c r="V1004" s="9"/>
      <c r="W1004" s="9"/>
      <c r="X1004" s="9"/>
      <c r="Y1004" s="9"/>
      <c r="Z1004" s="9"/>
      <c r="AB1004" s="198"/>
      <c r="AC1004" s="198"/>
      <c r="AD1004" s="198"/>
      <c r="AE1004" s="198"/>
      <c r="AF1004" s="198"/>
      <c r="AG1004" s="198"/>
      <c r="AH1004" s="198"/>
      <c r="AI1004" s="198"/>
      <c r="AJ1004" s="198"/>
      <c r="AK1004" s="198"/>
      <c r="AL1004" s="198"/>
      <c r="AM1004" s="198"/>
      <c r="AN1004" s="198"/>
      <c r="AO1004" s="198"/>
      <c r="AP1004" s="198"/>
      <c r="AQ1004" s="198"/>
      <c r="AR1004" s="198"/>
      <c r="AS1004" s="198"/>
      <c r="AT1004" s="198"/>
      <c r="AU1004" s="198"/>
      <c r="AV1004" s="198"/>
      <c r="AW1004" s="198"/>
      <c r="AX1004" s="198"/>
      <c r="AY1004" s="198"/>
      <c r="AZ1004" s="198"/>
      <c r="BA1004" s="198"/>
      <c r="BB1004" s="198"/>
      <c r="BC1004" s="198"/>
      <c r="BD1004" s="9"/>
      <c r="BE1004" s="9"/>
      <c r="BF1004" s="9"/>
      <c r="BG1004" s="9"/>
      <c r="BH1004" s="9"/>
      <c r="BI1004" s="9"/>
      <c r="BJ1004" s="9"/>
      <c r="BK1004" s="9"/>
      <c r="BL1004" s="9"/>
    </row>
    <row r="1005" spans="1:64" hidden="1" outlineLevel="1">
      <c r="A1005" s="9"/>
      <c r="B1005" s="9"/>
      <c r="C1005" s="9"/>
      <c r="D1005" s="270">
        <f>Asset18</f>
        <v>0</v>
      </c>
      <c r="E1005" s="9"/>
      <c r="F1005" s="9"/>
      <c r="G1005" s="201">
        <f t="shared" ref="G1005:L1007" si="246">G779*G$6</f>
        <v>0</v>
      </c>
      <c r="H1005" s="111">
        <f t="shared" si="246"/>
        <v>0</v>
      </c>
      <c r="I1005" s="111">
        <f t="shared" si="246"/>
        <v>0</v>
      </c>
      <c r="J1005" s="111">
        <f t="shared" si="246"/>
        <v>0</v>
      </c>
      <c r="K1005" s="111">
        <f t="shared" si="246"/>
        <v>0</v>
      </c>
      <c r="L1005" s="111">
        <f t="shared" si="246"/>
        <v>0</v>
      </c>
      <c r="M1005" s="111">
        <f t="shared" ref="M1005" si="247">M779*M$6</f>
        <v>0</v>
      </c>
      <c r="N1005" s="111">
        <f>IF(COUNT($H1005:M1005)&gt;=Input!$Y$7,0,N779*N$6)</f>
        <v>0</v>
      </c>
      <c r="O1005" s="111">
        <f>IF(COUNT($H1005:N1005)&gt;=Input!$Y$7,0,O779*O$6)</f>
        <v>0</v>
      </c>
      <c r="P1005" s="111">
        <f>IF(COUNT($H1005:O1005)&gt;=Input!$Y$7,0,P779*P$6)</f>
        <v>0</v>
      </c>
      <c r="Q1005" s="111">
        <f>IF(COUNT($H1005:P1005)&gt;=Input!$Y$7,0,Q779*Q$6)</f>
        <v>0</v>
      </c>
      <c r="R1005" s="9"/>
      <c r="S1005" s="9"/>
      <c r="T1005" s="9"/>
      <c r="U1005" s="9"/>
      <c r="V1005" s="9"/>
      <c r="W1005" s="9"/>
      <c r="X1005" s="9"/>
      <c r="Y1005" s="9"/>
      <c r="Z1005" s="9"/>
      <c r="AB1005" s="198"/>
      <c r="AC1005" s="198"/>
      <c r="AD1005" s="198"/>
      <c r="AE1005" s="198"/>
      <c r="AF1005" s="198"/>
      <c r="AG1005" s="198"/>
      <c r="AH1005" s="198"/>
      <c r="AI1005" s="198"/>
      <c r="AJ1005" s="198"/>
      <c r="AK1005" s="198"/>
      <c r="AL1005" s="198"/>
      <c r="AM1005" s="198"/>
      <c r="AN1005" s="198"/>
      <c r="AO1005" s="198"/>
      <c r="AP1005" s="198"/>
      <c r="AQ1005" s="198"/>
      <c r="AR1005" s="198"/>
      <c r="AS1005" s="198"/>
      <c r="AT1005" s="198"/>
      <c r="AU1005" s="198"/>
      <c r="AV1005" s="198"/>
      <c r="AW1005" s="198"/>
      <c r="AX1005" s="198"/>
      <c r="AY1005" s="198"/>
      <c r="AZ1005" s="198"/>
      <c r="BA1005" s="198"/>
      <c r="BB1005" s="198"/>
      <c r="BC1005" s="198"/>
      <c r="BD1005" s="9"/>
      <c r="BE1005" s="9"/>
      <c r="BF1005" s="9"/>
      <c r="BG1005" s="9"/>
      <c r="BH1005" s="9"/>
      <c r="BI1005" s="9"/>
      <c r="BJ1005" s="9"/>
      <c r="BK1005" s="9"/>
      <c r="BL1005" s="9"/>
    </row>
    <row r="1006" spans="1:64" hidden="1" outlineLevel="1">
      <c r="A1006" s="9"/>
      <c r="B1006" s="9"/>
      <c r="C1006" s="9"/>
      <c r="D1006" s="270">
        <f>Asset19</f>
        <v>0</v>
      </c>
      <c r="E1006" s="9"/>
      <c r="F1006" s="9"/>
      <c r="G1006" s="201">
        <f t="shared" si="246"/>
        <v>0</v>
      </c>
      <c r="H1006" s="111">
        <f t="shared" si="246"/>
        <v>0</v>
      </c>
      <c r="I1006" s="111">
        <f t="shared" si="246"/>
        <v>0</v>
      </c>
      <c r="J1006" s="111">
        <f t="shared" si="246"/>
        <v>0</v>
      </c>
      <c r="K1006" s="111">
        <f t="shared" si="246"/>
        <v>0</v>
      </c>
      <c r="L1006" s="111">
        <f t="shared" si="246"/>
        <v>0</v>
      </c>
      <c r="M1006" s="111">
        <f t="shared" ref="M1006" si="248">M780*M$6</f>
        <v>0</v>
      </c>
      <c r="N1006" s="111">
        <f>IF(COUNT($H1006:M1006)&gt;=Input!$Y$7,0,N780*N$6)</f>
        <v>0</v>
      </c>
      <c r="O1006" s="111">
        <f>IF(COUNT($H1006:N1006)&gt;=Input!$Y$7,0,O780*O$6)</f>
        <v>0</v>
      </c>
      <c r="P1006" s="111">
        <f>IF(COUNT($H1006:O1006)&gt;=Input!$Y$7,0,P780*P$6)</f>
        <v>0</v>
      </c>
      <c r="Q1006" s="111">
        <f>IF(COUNT($H1006:P1006)&gt;=Input!$Y$7,0,Q780*Q$6)</f>
        <v>0</v>
      </c>
      <c r="R1006" s="9"/>
      <c r="S1006" s="9"/>
      <c r="T1006" s="9"/>
      <c r="U1006" s="9"/>
      <c r="V1006" s="9"/>
      <c r="W1006" s="9"/>
      <c r="X1006" s="9"/>
      <c r="Y1006" s="9"/>
      <c r="Z1006" s="9"/>
      <c r="AB1006" s="198"/>
      <c r="AC1006" s="198"/>
      <c r="AD1006" s="198"/>
      <c r="AE1006" s="198"/>
      <c r="AF1006" s="198"/>
      <c r="AG1006" s="198"/>
      <c r="AH1006" s="198"/>
      <c r="AI1006" s="198"/>
      <c r="AJ1006" s="198"/>
      <c r="AK1006" s="198"/>
      <c r="AL1006" s="198"/>
      <c r="AM1006" s="198"/>
      <c r="AN1006" s="198"/>
      <c r="AO1006" s="198"/>
      <c r="AP1006" s="198"/>
      <c r="AQ1006" s="198"/>
      <c r="AR1006" s="198"/>
      <c r="AS1006" s="198"/>
      <c r="AT1006" s="198"/>
      <c r="AU1006" s="198"/>
      <c r="AV1006" s="198"/>
      <c r="AW1006" s="198"/>
      <c r="AX1006" s="198"/>
      <c r="AY1006" s="198"/>
      <c r="AZ1006" s="198"/>
      <c r="BA1006" s="198"/>
      <c r="BB1006" s="198"/>
      <c r="BC1006" s="198"/>
      <c r="BD1006" s="9"/>
      <c r="BE1006" s="9"/>
      <c r="BF1006" s="9"/>
      <c r="BG1006" s="9"/>
      <c r="BH1006" s="9"/>
      <c r="BI1006" s="9"/>
      <c r="BJ1006" s="9"/>
      <c r="BK1006" s="9"/>
      <c r="BL1006" s="9"/>
    </row>
    <row r="1007" spans="1:64" hidden="1" outlineLevel="1">
      <c r="A1007" s="9"/>
      <c r="B1007" s="9"/>
      <c r="C1007" s="9"/>
      <c r="D1007" s="270">
        <f>Asset20</f>
        <v>0</v>
      </c>
      <c r="E1007" s="9"/>
      <c r="F1007" s="9"/>
      <c r="G1007" s="201">
        <f t="shared" si="246"/>
        <v>0</v>
      </c>
      <c r="H1007" s="111">
        <f>H781*H$6</f>
        <v>0</v>
      </c>
      <c r="I1007" s="111">
        <f t="shared" si="246"/>
        <v>0</v>
      </c>
      <c r="J1007" s="111">
        <f t="shared" si="246"/>
        <v>0</v>
      </c>
      <c r="K1007" s="111">
        <f t="shared" si="246"/>
        <v>0</v>
      </c>
      <c r="L1007" s="111">
        <f t="shared" si="246"/>
        <v>0</v>
      </c>
      <c r="M1007" s="111">
        <f t="shared" ref="M1007" si="249">M781*M$6</f>
        <v>0</v>
      </c>
      <c r="N1007" s="111">
        <f>IF(COUNT($H1007:M1007)&gt;=Input!$Y$7,0,N781*N$6)</f>
        <v>0</v>
      </c>
      <c r="O1007" s="111">
        <f>IF(COUNT($H1007:N1007)&gt;=Input!$Y$7,0,O781*O$6)</f>
        <v>0</v>
      </c>
      <c r="P1007" s="111">
        <f>IF(COUNT($H1007:O1007)&gt;=Input!$Y$7,0,P781*P$6)</f>
        <v>0</v>
      </c>
      <c r="Q1007" s="111">
        <f>IF(COUNT($H1007:P1007)&gt;=Input!$Y$7,0,Q781*Q$6)</f>
        <v>0</v>
      </c>
      <c r="R1007" s="9"/>
      <c r="S1007" s="9"/>
      <c r="T1007" s="9"/>
      <c r="U1007" s="9"/>
      <c r="V1007" s="9"/>
      <c r="W1007" s="9"/>
      <c r="X1007" s="9"/>
      <c r="Y1007" s="9"/>
      <c r="Z1007" s="9"/>
      <c r="AB1007" s="198"/>
      <c r="AC1007" s="198"/>
      <c r="AD1007" s="198"/>
      <c r="AE1007" s="198"/>
      <c r="AF1007" s="198"/>
      <c r="AG1007" s="198"/>
      <c r="AH1007" s="198"/>
      <c r="AI1007" s="198"/>
      <c r="AJ1007" s="198"/>
      <c r="AK1007" s="198"/>
      <c r="AL1007" s="198"/>
      <c r="AM1007" s="198"/>
      <c r="AN1007" s="198"/>
      <c r="AO1007" s="198"/>
      <c r="AP1007" s="198"/>
      <c r="AQ1007" s="198"/>
      <c r="AR1007" s="198"/>
      <c r="AS1007" s="198"/>
      <c r="AT1007" s="198"/>
      <c r="AU1007" s="198"/>
      <c r="AV1007" s="198"/>
      <c r="AW1007" s="198"/>
      <c r="AX1007" s="198"/>
      <c r="AY1007" s="198"/>
      <c r="AZ1007" s="198"/>
      <c r="BA1007" s="198"/>
      <c r="BB1007" s="198"/>
      <c r="BC1007" s="198"/>
      <c r="BD1007" s="9"/>
      <c r="BE1007" s="9"/>
      <c r="BF1007" s="9"/>
      <c r="BG1007" s="9"/>
      <c r="BH1007" s="9"/>
      <c r="BI1007" s="9"/>
      <c r="BJ1007" s="9"/>
      <c r="BK1007" s="9"/>
      <c r="BL1007" s="9"/>
    </row>
    <row r="1008" spans="1:64" hidden="1" outlineLevel="1">
      <c r="A1008" s="9"/>
      <c r="B1008" s="9"/>
      <c r="C1008" s="9"/>
      <c r="D1008" s="270">
        <f>Asset21</f>
        <v>0</v>
      </c>
      <c r="E1008" s="9"/>
      <c r="F1008" s="9"/>
      <c r="G1008" s="201">
        <f t="shared" ref="G1008:L1008" si="250">G782*G$6</f>
        <v>0</v>
      </c>
      <c r="H1008" s="111">
        <f t="shared" si="250"/>
        <v>0</v>
      </c>
      <c r="I1008" s="111">
        <f t="shared" si="250"/>
        <v>0</v>
      </c>
      <c r="J1008" s="111">
        <f t="shared" si="250"/>
        <v>0</v>
      </c>
      <c r="K1008" s="111">
        <f t="shared" si="250"/>
        <v>0</v>
      </c>
      <c r="L1008" s="111">
        <f t="shared" si="250"/>
        <v>0</v>
      </c>
      <c r="M1008" s="111">
        <f t="shared" ref="M1008" si="251">M782*M$6</f>
        <v>0</v>
      </c>
      <c r="N1008" s="111">
        <f>IF(COUNT($H1008:M1008)&gt;=Input!$Y$7,0,N782*N$6)</f>
        <v>0</v>
      </c>
      <c r="O1008" s="111">
        <f>IF(COUNT($H1008:N1008)&gt;=Input!$Y$7,0,O782*O$6)</f>
        <v>0</v>
      </c>
      <c r="P1008" s="111">
        <f>IF(COUNT($H1008:O1008)&gt;=Input!$Y$7,0,P782*P$6)</f>
        <v>0</v>
      </c>
      <c r="Q1008" s="111">
        <f>IF(COUNT($H1008:P1008)&gt;=Input!$Y$7,0,Q782*Q$6)</f>
        <v>0</v>
      </c>
      <c r="R1008" s="9"/>
      <c r="S1008" s="9"/>
      <c r="T1008" s="9"/>
      <c r="U1008" s="9"/>
      <c r="V1008" s="9"/>
      <c r="W1008" s="9"/>
      <c r="X1008" s="9"/>
      <c r="Y1008" s="9"/>
      <c r="Z1008" s="9"/>
      <c r="AB1008" s="198"/>
      <c r="AC1008" s="198"/>
      <c r="AD1008" s="198"/>
      <c r="AE1008" s="198"/>
      <c r="AF1008" s="198"/>
      <c r="AG1008" s="198"/>
      <c r="AH1008" s="198"/>
      <c r="AI1008" s="198"/>
      <c r="AJ1008" s="198"/>
      <c r="AK1008" s="198"/>
      <c r="AL1008" s="198"/>
      <c r="AM1008" s="198"/>
      <c r="AN1008" s="198"/>
      <c r="AO1008" s="198"/>
      <c r="AP1008" s="198"/>
      <c r="AQ1008" s="198"/>
      <c r="AR1008" s="198"/>
      <c r="AS1008" s="198"/>
      <c r="AT1008" s="198"/>
      <c r="AU1008" s="198"/>
      <c r="AV1008" s="198"/>
      <c r="AW1008" s="198"/>
      <c r="AX1008" s="198"/>
      <c r="AY1008" s="198"/>
      <c r="AZ1008" s="198"/>
      <c r="BA1008" s="198"/>
      <c r="BB1008" s="198"/>
      <c r="BC1008" s="198"/>
      <c r="BD1008" s="9"/>
      <c r="BE1008" s="9"/>
      <c r="BF1008" s="9"/>
      <c r="BG1008" s="9"/>
      <c r="BH1008" s="9"/>
      <c r="BI1008" s="9"/>
      <c r="BJ1008" s="9"/>
      <c r="BK1008" s="9"/>
      <c r="BL1008" s="9"/>
    </row>
    <row r="1009" spans="1:64" hidden="1" outlineLevel="1">
      <c r="A1009" s="9"/>
      <c r="B1009" s="9"/>
      <c r="C1009" s="9"/>
      <c r="D1009" s="270">
        <f>Asset22</f>
        <v>0</v>
      </c>
      <c r="E1009" s="9"/>
      <c r="F1009" s="9"/>
      <c r="G1009" s="201">
        <f t="shared" ref="G1009:L1009" si="252">G783*G$6</f>
        <v>0</v>
      </c>
      <c r="H1009" s="111">
        <f t="shared" si="252"/>
        <v>0</v>
      </c>
      <c r="I1009" s="111">
        <f t="shared" si="252"/>
        <v>0</v>
      </c>
      <c r="J1009" s="111">
        <f t="shared" si="252"/>
        <v>0</v>
      </c>
      <c r="K1009" s="111">
        <f t="shared" si="252"/>
        <v>0</v>
      </c>
      <c r="L1009" s="111">
        <f t="shared" si="252"/>
        <v>0</v>
      </c>
      <c r="M1009" s="111">
        <f t="shared" ref="M1009" si="253">M783*M$6</f>
        <v>0</v>
      </c>
      <c r="N1009" s="111">
        <f>IF(COUNT($H1009:M1009)&gt;=Input!$Y$7,0,N783*N$6)</f>
        <v>0</v>
      </c>
      <c r="O1009" s="111">
        <f>IF(COUNT($H1009:N1009)&gt;=Input!$Y$7,0,O783*O$6)</f>
        <v>0</v>
      </c>
      <c r="P1009" s="111">
        <f>IF(COUNT($H1009:O1009)&gt;=Input!$Y$7,0,P783*P$6)</f>
        <v>0</v>
      </c>
      <c r="Q1009" s="111">
        <f>IF(COUNT($H1009:P1009)&gt;=Input!$Y$7,0,Q783*Q$6)</f>
        <v>0</v>
      </c>
      <c r="R1009" s="9"/>
      <c r="S1009" s="9"/>
      <c r="T1009" s="9"/>
      <c r="U1009" s="9"/>
      <c r="V1009" s="9"/>
      <c r="W1009" s="9"/>
      <c r="X1009" s="9"/>
      <c r="Y1009" s="9"/>
      <c r="Z1009" s="9"/>
      <c r="AB1009" s="198"/>
      <c r="AC1009" s="198"/>
      <c r="AD1009" s="198"/>
      <c r="AE1009" s="198"/>
      <c r="AF1009" s="198"/>
      <c r="AG1009" s="198"/>
      <c r="AH1009" s="198"/>
      <c r="AI1009" s="198"/>
      <c r="AJ1009" s="198"/>
      <c r="AK1009" s="198"/>
      <c r="AL1009" s="198"/>
      <c r="AM1009" s="198"/>
      <c r="AN1009" s="198"/>
      <c r="AO1009" s="198"/>
      <c r="AP1009" s="198"/>
      <c r="AQ1009" s="198"/>
      <c r="AR1009" s="198"/>
      <c r="AS1009" s="198"/>
      <c r="AT1009" s="198"/>
      <c r="AU1009" s="198"/>
      <c r="AV1009" s="198"/>
      <c r="AW1009" s="198"/>
      <c r="AX1009" s="198"/>
      <c r="AY1009" s="198"/>
      <c r="AZ1009" s="198"/>
      <c r="BA1009" s="198"/>
      <c r="BB1009" s="198"/>
      <c r="BC1009" s="198"/>
      <c r="BD1009" s="9"/>
      <c r="BE1009" s="9"/>
      <c r="BF1009" s="9"/>
      <c r="BG1009" s="9"/>
      <c r="BH1009" s="9"/>
      <c r="BI1009" s="9"/>
      <c r="BJ1009" s="9"/>
      <c r="BK1009" s="9"/>
      <c r="BL1009" s="9"/>
    </row>
    <row r="1010" spans="1:64" hidden="1" outlineLevel="1">
      <c r="A1010" s="9"/>
      <c r="B1010" s="9"/>
      <c r="C1010" s="9"/>
      <c r="D1010" s="270">
        <f>Asset23</f>
        <v>0</v>
      </c>
      <c r="E1010" s="9"/>
      <c r="F1010" s="9"/>
      <c r="G1010" s="201">
        <f t="shared" ref="G1010:L1010" si="254">G784*G$6</f>
        <v>0</v>
      </c>
      <c r="H1010" s="111">
        <f t="shared" si="254"/>
        <v>0</v>
      </c>
      <c r="I1010" s="111">
        <f t="shared" si="254"/>
        <v>0</v>
      </c>
      <c r="J1010" s="111">
        <f t="shared" si="254"/>
        <v>0</v>
      </c>
      <c r="K1010" s="111">
        <f t="shared" si="254"/>
        <v>0</v>
      </c>
      <c r="L1010" s="111">
        <f t="shared" si="254"/>
        <v>0</v>
      </c>
      <c r="M1010" s="111">
        <f t="shared" ref="M1010" si="255">M784*M$6</f>
        <v>0</v>
      </c>
      <c r="N1010" s="111">
        <f>IF(COUNT($H1010:M1010)&gt;=Input!$Y$7,0,N784*N$6)</f>
        <v>0</v>
      </c>
      <c r="O1010" s="111">
        <f>IF(COUNT($H1010:N1010)&gt;=Input!$Y$7,0,O784*O$6)</f>
        <v>0</v>
      </c>
      <c r="P1010" s="111">
        <f>IF(COUNT($H1010:O1010)&gt;=Input!$Y$7,0,P784*P$6)</f>
        <v>0</v>
      </c>
      <c r="Q1010" s="111">
        <f>IF(COUNT($H1010:P1010)&gt;=Input!$Y$7,0,Q784*Q$6)</f>
        <v>0</v>
      </c>
      <c r="R1010" s="9"/>
      <c r="S1010" s="9"/>
      <c r="T1010" s="9"/>
      <c r="U1010" s="9"/>
      <c r="V1010" s="9"/>
      <c r="W1010" s="9"/>
      <c r="X1010" s="9"/>
      <c r="Y1010" s="9"/>
      <c r="Z1010" s="9"/>
      <c r="AB1010" s="198"/>
      <c r="AC1010" s="198"/>
      <c r="AD1010" s="198"/>
      <c r="AE1010" s="198"/>
      <c r="AF1010" s="198"/>
      <c r="AG1010" s="198"/>
      <c r="AH1010" s="198"/>
      <c r="AI1010" s="198"/>
      <c r="AJ1010" s="198"/>
      <c r="AK1010" s="198"/>
      <c r="AL1010" s="198"/>
      <c r="AM1010" s="198"/>
      <c r="AN1010" s="198"/>
      <c r="AO1010" s="198"/>
      <c r="AP1010" s="198"/>
      <c r="AQ1010" s="198"/>
      <c r="AR1010" s="198"/>
      <c r="AS1010" s="198"/>
      <c r="AT1010" s="198"/>
      <c r="AU1010" s="198"/>
      <c r="AV1010" s="198"/>
      <c r="AW1010" s="198"/>
      <c r="AX1010" s="198"/>
      <c r="AY1010" s="198"/>
      <c r="AZ1010" s="198"/>
      <c r="BA1010" s="198"/>
      <c r="BB1010" s="198"/>
      <c r="BC1010" s="198"/>
      <c r="BD1010" s="9"/>
      <c r="BE1010" s="9"/>
      <c r="BF1010" s="9"/>
      <c r="BG1010" s="9"/>
      <c r="BH1010" s="9"/>
      <c r="BI1010" s="9"/>
      <c r="BJ1010" s="9"/>
      <c r="BK1010" s="9"/>
      <c r="BL1010" s="9"/>
    </row>
    <row r="1011" spans="1:64" hidden="1" outlineLevel="1">
      <c r="A1011" s="9"/>
      <c r="B1011" s="9"/>
      <c r="C1011" s="9"/>
      <c r="D1011" s="270">
        <f>Asset24</f>
        <v>0</v>
      </c>
      <c r="E1011" s="9"/>
      <c r="F1011" s="9"/>
      <c r="G1011" s="201">
        <f t="shared" ref="G1011:L1011" si="256">G785*G$6</f>
        <v>0</v>
      </c>
      <c r="H1011" s="111">
        <f t="shared" si="256"/>
        <v>0</v>
      </c>
      <c r="I1011" s="111">
        <f t="shared" si="256"/>
        <v>0</v>
      </c>
      <c r="J1011" s="111">
        <f t="shared" si="256"/>
        <v>0</v>
      </c>
      <c r="K1011" s="111">
        <f t="shared" si="256"/>
        <v>0</v>
      </c>
      <c r="L1011" s="111">
        <f t="shared" si="256"/>
        <v>0</v>
      </c>
      <c r="M1011" s="111">
        <f t="shared" ref="M1011" si="257">M785*M$6</f>
        <v>0</v>
      </c>
      <c r="N1011" s="111">
        <f>IF(COUNT($H1011:M1011)&gt;=Input!$Y$7,0,N785*N$6)</f>
        <v>0</v>
      </c>
      <c r="O1011" s="111">
        <f>IF(COUNT($H1011:N1011)&gt;=Input!$Y$7,0,O785*O$6)</f>
        <v>0</v>
      </c>
      <c r="P1011" s="111">
        <f>IF(COUNT($H1011:O1011)&gt;=Input!$Y$7,0,P785*P$6)</f>
        <v>0</v>
      </c>
      <c r="Q1011" s="111">
        <f>IF(COUNT($H1011:P1011)&gt;=Input!$Y$7,0,Q785*Q$6)</f>
        <v>0</v>
      </c>
      <c r="R1011" s="9"/>
      <c r="S1011" s="9"/>
      <c r="T1011" s="9"/>
      <c r="U1011" s="9"/>
      <c r="V1011" s="9"/>
      <c r="W1011" s="9"/>
      <c r="X1011" s="9"/>
      <c r="Y1011" s="9"/>
      <c r="Z1011" s="9"/>
      <c r="AB1011" s="198"/>
      <c r="AC1011" s="198"/>
      <c r="AD1011" s="198"/>
      <c r="AE1011" s="198"/>
      <c r="AF1011" s="198"/>
      <c r="AG1011" s="198"/>
      <c r="AH1011" s="198"/>
      <c r="AI1011" s="198"/>
      <c r="AJ1011" s="198"/>
      <c r="AK1011" s="198"/>
      <c r="AL1011" s="198"/>
      <c r="AM1011" s="198"/>
      <c r="AN1011" s="198"/>
      <c r="AO1011" s="198"/>
      <c r="AP1011" s="198"/>
      <c r="AQ1011" s="198"/>
      <c r="AR1011" s="198"/>
      <c r="AS1011" s="198"/>
      <c r="AT1011" s="198"/>
      <c r="AU1011" s="198"/>
      <c r="AV1011" s="198"/>
      <c r="AW1011" s="198"/>
      <c r="AX1011" s="198"/>
      <c r="AY1011" s="198"/>
      <c r="AZ1011" s="198"/>
      <c r="BA1011" s="198"/>
      <c r="BB1011" s="198"/>
      <c r="BC1011" s="198"/>
      <c r="BD1011" s="9"/>
      <c r="BE1011" s="9"/>
      <c r="BF1011" s="9"/>
      <c r="BG1011" s="9"/>
      <c r="BH1011" s="9"/>
      <c r="BI1011" s="9"/>
      <c r="BJ1011" s="9"/>
      <c r="BK1011" s="9"/>
      <c r="BL1011" s="9"/>
    </row>
    <row r="1012" spans="1:64" hidden="1" outlineLevel="1">
      <c r="A1012" s="9"/>
      <c r="B1012" s="9"/>
      <c r="C1012" s="9"/>
      <c r="D1012" s="270">
        <f>Asset25</f>
        <v>0</v>
      </c>
      <c r="E1012" s="9"/>
      <c r="F1012" s="9"/>
      <c r="G1012" s="201">
        <f t="shared" ref="G1012:L1012" si="258">G786*G$6</f>
        <v>0</v>
      </c>
      <c r="H1012" s="111">
        <f t="shared" si="258"/>
        <v>0</v>
      </c>
      <c r="I1012" s="111">
        <f t="shared" si="258"/>
        <v>0</v>
      </c>
      <c r="J1012" s="111">
        <f t="shared" si="258"/>
        <v>0</v>
      </c>
      <c r="K1012" s="111">
        <f t="shared" si="258"/>
        <v>0</v>
      </c>
      <c r="L1012" s="111">
        <f t="shared" si="258"/>
        <v>0</v>
      </c>
      <c r="M1012" s="111">
        <f t="shared" ref="M1012" si="259">M786*M$6</f>
        <v>0</v>
      </c>
      <c r="N1012" s="111">
        <f>IF(COUNT($H1012:M1012)&gt;=Input!$Y$7,0,N786*N$6)</f>
        <v>0</v>
      </c>
      <c r="O1012" s="111">
        <f>IF(COUNT($H1012:N1012)&gt;=Input!$Y$7,0,O786*O$6)</f>
        <v>0</v>
      </c>
      <c r="P1012" s="111">
        <f>IF(COUNT($H1012:O1012)&gt;=Input!$Y$7,0,P786*P$6)</f>
        <v>0</v>
      </c>
      <c r="Q1012" s="111">
        <f>IF(COUNT($H1012:P1012)&gt;=Input!$Y$7,0,Q786*Q$6)</f>
        <v>0</v>
      </c>
      <c r="R1012" s="9"/>
      <c r="S1012" s="9"/>
      <c r="T1012" s="9"/>
      <c r="U1012" s="9"/>
      <c r="V1012" s="9"/>
      <c r="W1012" s="9"/>
      <c r="X1012" s="9"/>
      <c r="Y1012" s="9"/>
      <c r="Z1012" s="9"/>
      <c r="AB1012" s="198"/>
      <c r="AC1012" s="198"/>
      <c r="AD1012" s="198"/>
      <c r="AE1012" s="198"/>
      <c r="AF1012" s="198"/>
      <c r="AG1012" s="198"/>
      <c r="AH1012" s="198"/>
      <c r="AI1012" s="198"/>
      <c r="AJ1012" s="198"/>
      <c r="AK1012" s="198"/>
      <c r="AL1012" s="198"/>
      <c r="AM1012" s="198"/>
      <c r="AN1012" s="198"/>
      <c r="AO1012" s="198"/>
      <c r="AP1012" s="198"/>
      <c r="AQ1012" s="198"/>
      <c r="AR1012" s="198"/>
      <c r="AS1012" s="198"/>
      <c r="AT1012" s="198"/>
      <c r="AU1012" s="198"/>
      <c r="AV1012" s="198"/>
      <c r="AW1012" s="198"/>
      <c r="AX1012" s="198"/>
      <c r="AY1012" s="198"/>
      <c r="AZ1012" s="198"/>
      <c r="BA1012" s="198"/>
      <c r="BB1012" s="198"/>
      <c r="BC1012" s="198"/>
      <c r="BD1012" s="9"/>
      <c r="BE1012" s="9"/>
      <c r="BF1012" s="9"/>
      <c r="BG1012" s="9"/>
      <c r="BH1012" s="9"/>
      <c r="BI1012" s="9"/>
      <c r="BJ1012" s="9"/>
      <c r="BK1012" s="9"/>
      <c r="BL1012" s="9"/>
    </row>
    <row r="1013" spans="1:64" hidden="1" outlineLevel="1">
      <c r="A1013" s="9"/>
      <c r="B1013" s="9"/>
      <c r="C1013" s="9"/>
      <c r="D1013" s="270">
        <f>Asset26</f>
        <v>0</v>
      </c>
      <c r="E1013" s="9"/>
      <c r="F1013" s="9"/>
      <c r="G1013" s="201">
        <f t="shared" ref="G1013:L1013" si="260">G787*G$6</f>
        <v>0</v>
      </c>
      <c r="H1013" s="111">
        <f t="shared" si="260"/>
        <v>0</v>
      </c>
      <c r="I1013" s="111">
        <f t="shared" si="260"/>
        <v>0</v>
      </c>
      <c r="J1013" s="111">
        <f t="shared" si="260"/>
        <v>0</v>
      </c>
      <c r="K1013" s="111">
        <f t="shared" si="260"/>
        <v>0</v>
      </c>
      <c r="L1013" s="111">
        <f t="shared" si="260"/>
        <v>0</v>
      </c>
      <c r="M1013" s="111">
        <f t="shared" ref="M1013" si="261">M787*M$6</f>
        <v>0</v>
      </c>
      <c r="N1013" s="111">
        <f>IF(COUNT($H1013:M1013)&gt;=Input!$Y$7,0,N787*N$6)</f>
        <v>0</v>
      </c>
      <c r="O1013" s="111">
        <f>IF(COUNT($H1013:N1013)&gt;=Input!$Y$7,0,O787*O$6)</f>
        <v>0</v>
      </c>
      <c r="P1013" s="111">
        <f>IF(COUNT($H1013:O1013)&gt;=Input!$Y$7,0,P787*P$6)</f>
        <v>0</v>
      </c>
      <c r="Q1013" s="111">
        <f>IF(COUNT($H1013:P1013)&gt;=Input!$Y$7,0,Q787*Q$6)</f>
        <v>0</v>
      </c>
      <c r="R1013" s="9"/>
      <c r="S1013" s="9"/>
      <c r="T1013" s="9"/>
      <c r="U1013" s="9"/>
      <c r="V1013" s="9"/>
      <c r="W1013" s="9"/>
      <c r="X1013" s="9"/>
      <c r="Y1013" s="9"/>
      <c r="Z1013" s="9"/>
      <c r="AB1013" s="198"/>
      <c r="AC1013" s="198"/>
      <c r="AD1013" s="198"/>
      <c r="AE1013" s="198"/>
      <c r="AF1013" s="198"/>
      <c r="AG1013" s="198"/>
      <c r="AH1013" s="198"/>
      <c r="AI1013" s="198"/>
      <c r="AJ1013" s="198"/>
      <c r="AK1013" s="198"/>
      <c r="AL1013" s="198"/>
      <c r="AM1013" s="198"/>
      <c r="AN1013" s="198"/>
      <c r="AO1013" s="198"/>
      <c r="AP1013" s="198"/>
      <c r="AQ1013" s="198"/>
      <c r="AR1013" s="198"/>
      <c r="AS1013" s="198"/>
      <c r="AT1013" s="198"/>
      <c r="AU1013" s="198"/>
      <c r="AV1013" s="198"/>
      <c r="AW1013" s="198"/>
      <c r="AX1013" s="198"/>
      <c r="AY1013" s="198"/>
      <c r="AZ1013" s="198"/>
      <c r="BA1013" s="198"/>
      <c r="BB1013" s="198"/>
      <c r="BC1013" s="198"/>
      <c r="BD1013" s="9"/>
      <c r="BE1013" s="9"/>
      <c r="BF1013" s="9"/>
      <c r="BG1013" s="9"/>
      <c r="BH1013" s="9"/>
      <c r="BI1013" s="9"/>
      <c r="BJ1013" s="9"/>
      <c r="BK1013" s="9"/>
      <c r="BL1013" s="9"/>
    </row>
    <row r="1014" spans="1:64" hidden="1" outlineLevel="1">
      <c r="A1014" s="9"/>
      <c r="B1014" s="9"/>
      <c r="C1014" s="9"/>
      <c r="D1014" s="270">
        <f>Asset27</f>
        <v>0</v>
      </c>
      <c r="E1014" s="9"/>
      <c r="F1014" s="9"/>
      <c r="G1014" s="201">
        <f t="shared" ref="G1014:L1014" si="262">G788*G$6</f>
        <v>0</v>
      </c>
      <c r="H1014" s="111">
        <f t="shared" si="262"/>
        <v>0</v>
      </c>
      <c r="I1014" s="111">
        <f t="shared" si="262"/>
        <v>0</v>
      </c>
      <c r="J1014" s="111">
        <f t="shared" si="262"/>
        <v>0</v>
      </c>
      <c r="K1014" s="111">
        <f t="shared" si="262"/>
        <v>0</v>
      </c>
      <c r="L1014" s="111">
        <f t="shared" si="262"/>
        <v>0</v>
      </c>
      <c r="M1014" s="111">
        <f t="shared" ref="M1014" si="263">M788*M$6</f>
        <v>0</v>
      </c>
      <c r="N1014" s="111">
        <f>IF(COUNT($H1014:M1014)&gt;=Input!$Y$7,0,N788*N$6)</f>
        <v>0</v>
      </c>
      <c r="O1014" s="111">
        <f>IF(COUNT($H1014:N1014)&gt;=Input!$Y$7,0,O788*O$6)</f>
        <v>0</v>
      </c>
      <c r="P1014" s="111">
        <f>IF(COUNT($H1014:O1014)&gt;=Input!$Y$7,0,P788*P$6)</f>
        <v>0</v>
      </c>
      <c r="Q1014" s="111">
        <f>IF(COUNT($H1014:P1014)&gt;=Input!$Y$7,0,Q788*Q$6)</f>
        <v>0</v>
      </c>
      <c r="R1014" s="9"/>
      <c r="S1014" s="9"/>
      <c r="T1014" s="9"/>
      <c r="U1014" s="9"/>
      <c r="V1014" s="9"/>
      <c r="W1014" s="9"/>
      <c r="X1014" s="9"/>
      <c r="Y1014" s="9"/>
      <c r="Z1014" s="9"/>
      <c r="AB1014" s="198"/>
      <c r="AC1014" s="198"/>
      <c r="AD1014" s="198"/>
      <c r="AE1014" s="198"/>
      <c r="AF1014" s="198"/>
      <c r="AG1014" s="198"/>
      <c r="AH1014" s="198"/>
      <c r="AI1014" s="198"/>
      <c r="AJ1014" s="198"/>
      <c r="AK1014" s="198"/>
      <c r="AL1014" s="198"/>
      <c r="AM1014" s="198"/>
      <c r="AN1014" s="198"/>
      <c r="AO1014" s="198"/>
      <c r="AP1014" s="198"/>
      <c r="AQ1014" s="198"/>
      <c r="AR1014" s="198"/>
      <c r="AS1014" s="198"/>
      <c r="AT1014" s="198"/>
      <c r="AU1014" s="198"/>
      <c r="AV1014" s="198"/>
      <c r="AW1014" s="198"/>
      <c r="AX1014" s="198"/>
      <c r="AY1014" s="198"/>
      <c r="AZ1014" s="198"/>
      <c r="BA1014" s="198"/>
      <c r="BB1014" s="198"/>
      <c r="BC1014" s="198"/>
      <c r="BD1014" s="9"/>
      <c r="BE1014" s="9"/>
      <c r="BF1014" s="9"/>
      <c r="BG1014" s="9"/>
      <c r="BH1014" s="9"/>
      <c r="BI1014" s="9"/>
      <c r="BJ1014" s="9"/>
      <c r="BK1014" s="9"/>
      <c r="BL1014" s="9"/>
    </row>
    <row r="1015" spans="1:64" hidden="1" outlineLevel="1">
      <c r="A1015" s="9"/>
      <c r="B1015" s="9"/>
      <c r="C1015" s="9"/>
      <c r="D1015" s="270">
        <f>Asset28</f>
        <v>0</v>
      </c>
      <c r="E1015" s="9"/>
      <c r="F1015" s="9"/>
      <c r="G1015" s="201">
        <f t="shared" ref="G1015:L1015" si="264">G789*G$6</f>
        <v>0</v>
      </c>
      <c r="H1015" s="111">
        <f t="shared" si="264"/>
        <v>0</v>
      </c>
      <c r="I1015" s="111">
        <f t="shared" si="264"/>
        <v>0</v>
      </c>
      <c r="J1015" s="111">
        <f t="shared" si="264"/>
        <v>0</v>
      </c>
      <c r="K1015" s="111">
        <f t="shared" si="264"/>
        <v>0</v>
      </c>
      <c r="L1015" s="111">
        <f t="shared" si="264"/>
        <v>0</v>
      </c>
      <c r="M1015" s="111">
        <f t="shared" ref="M1015" si="265">M789*M$6</f>
        <v>0</v>
      </c>
      <c r="N1015" s="111">
        <f>IF(COUNT($H1015:M1015)&gt;=Input!$Y$7,0,N789*N$6)</f>
        <v>0</v>
      </c>
      <c r="O1015" s="111">
        <f>IF(COUNT($H1015:N1015)&gt;=Input!$Y$7,0,O789*O$6)</f>
        <v>0</v>
      </c>
      <c r="P1015" s="111">
        <f>IF(COUNT($H1015:O1015)&gt;=Input!$Y$7,0,P789*P$6)</f>
        <v>0</v>
      </c>
      <c r="Q1015" s="111">
        <f>IF(COUNT($H1015:P1015)&gt;=Input!$Y$7,0,Q789*Q$6)</f>
        <v>0</v>
      </c>
      <c r="R1015" s="9"/>
      <c r="S1015" s="9"/>
      <c r="T1015" s="9"/>
      <c r="U1015" s="9"/>
      <c r="V1015" s="9"/>
      <c r="W1015" s="9"/>
      <c r="X1015" s="9"/>
      <c r="Y1015" s="9"/>
      <c r="Z1015" s="9"/>
      <c r="AB1015" s="198"/>
      <c r="AC1015" s="198"/>
      <c r="AD1015" s="198"/>
      <c r="AE1015" s="198"/>
      <c r="AF1015" s="198"/>
      <c r="AG1015" s="198"/>
      <c r="AH1015" s="198"/>
      <c r="AI1015" s="198"/>
      <c r="AJ1015" s="198"/>
      <c r="AK1015" s="198"/>
      <c r="AL1015" s="198"/>
      <c r="AM1015" s="198"/>
      <c r="AN1015" s="198"/>
      <c r="AO1015" s="198"/>
      <c r="AP1015" s="198"/>
      <c r="AQ1015" s="198"/>
      <c r="AR1015" s="198"/>
      <c r="AS1015" s="198"/>
      <c r="AT1015" s="198"/>
      <c r="AU1015" s="198"/>
      <c r="AV1015" s="198"/>
      <c r="AW1015" s="198"/>
      <c r="AX1015" s="198"/>
      <c r="AY1015" s="198"/>
      <c r="AZ1015" s="198"/>
      <c r="BA1015" s="198"/>
      <c r="BB1015" s="198"/>
      <c r="BC1015" s="198"/>
      <c r="BD1015" s="9"/>
      <c r="BE1015" s="9"/>
      <c r="BF1015" s="9"/>
      <c r="BG1015" s="9"/>
      <c r="BH1015" s="9"/>
      <c r="BI1015" s="9"/>
      <c r="BJ1015" s="9"/>
      <c r="BK1015" s="9"/>
      <c r="BL1015" s="9"/>
    </row>
    <row r="1016" spans="1:64" hidden="1" outlineLevel="1">
      <c r="A1016" s="9"/>
      <c r="B1016" s="9"/>
      <c r="C1016" s="9"/>
      <c r="D1016" s="270">
        <f>Asset29</f>
        <v>0</v>
      </c>
      <c r="E1016" s="9"/>
      <c r="F1016" s="9"/>
      <c r="G1016" s="201">
        <f t="shared" ref="G1016:L1016" si="266">G790*G$6</f>
        <v>0</v>
      </c>
      <c r="H1016" s="111">
        <f t="shared" si="266"/>
        <v>0</v>
      </c>
      <c r="I1016" s="111">
        <f t="shared" si="266"/>
        <v>0</v>
      </c>
      <c r="J1016" s="111">
        <f t="shared" si="266"/>
        <v>0</v>
      </c>
      <c r="K1016" s="111">
        <f t="shared" si="266"/>
        <v>0</v>
      </c>
      <c r="L1016" s="111">
        <f t="shared" si="266"/>
        <v>0</v>
      </c>
      <c r="M1016" s="111">
        <f t="shared" ref="M1016" si="267">M790*M$6</f>
        <v>0</v>
      </c>
      <c r="N1016" s="111">
        <f>IF(COUNT($H1016:M1016)&gt;=Input!$Y$7,0,N790*N$6)</f>
        <v>0</v>
      </c>
      <c r="O1016" s="111">
        <f>IF(COUNT($H1016:N1016)&gt;=Input!$Y$7,0,O790*O$6)</f>
        <v>0</v>
      </c>
      <c r="P1016" s="111">
        <f>IF(COUNT($H1016:O1016)&gt;=Input!$Y$7,0,P790*P$6)</f>
        <v>0</v>
      </c>
      <c r="Q1016" s="111">
        <f>IF(COUNT($H1016:P1016)&gt;=Input!$Y$7,0,Q790*Q$6)</f>
        <v>0</v>
      </c>
      <c r="R1016" s="9"/>
      <c r="S1016" s="9"/>
      <c r="T1016" s="9"/>
      <c r="U1016" s="9"/>
      <c r="V1016" s="9"/>
      <c r="W1016" s="9"/>
      <c r="X1016" s="9"/>
      <c r="Y1016" s="9"/>
      <c r="Z1016" s="9"/>
      <c r="AB1016" s="198"/>
      <c r="AC1016" s="198"/>
      <c r="AD1016" s="198"/>
      <c r="AE1016" s="198"/>
      <c r="AF1016" s="198"/>
      <c r="AG1016" s="198"/>
      <c r="AH1016" s="198"/>
      <c r="AI1016" s="198"/>
      <c r="AJ1016" s="198"/>
      <c r="AK1016" s="198"/>
      <c r="AL1016" s="198"/>
      <c r="AM1016" s="198"/>
      <c r="AN1016" s="198"/>
      <c r="AO1016" s="198"/>
      <c r="AP1016" s="198"/>
      <c r="AQ1016" s="198"/>
      <c r="AR1016" s="198"/>
      <c r="AS1016" s="198"/>
      <c r="AT1016" s="198"/>
      <c r="AU1016" s="198"/>
      <c r="AV1016" s="198"/>
      <c r="AW1016" s="198"/>
      <c r="AX1016" s="198"/>
      <c r="AY1016" s="198"/>
      <c r="AZ1016" s="198"/>
      <c r="BA1016" s="198"/>
      <c r="BB1016" s="198"/>
      <c r="BC1016" s="198"/>
      <c r="BD1016" s="9"/>
      <c r="BE1016" s="9"/>
      <c r="BF1016" s="9"/>
      <c r="BG1016" s="9"/>
      <c r="BH1016" s="9"/>
      <c r="BI1016" s="9"/>
      <c r="BJ1016" s="9"/>
      <c r="BK1016" s="9"/>
      <c r="BL1016" s="9"/>
    </row>
    <row r="1017" spans="1:64" hidden="1" outlineLevel="1">
      <c r="A1017" s="9"/>
      <c r="B1017" s="9"/>
      <c r="C1017" s="9"/>
      <c r="D1017" s="270">
        <f>Asset30</f>
        <v>0</v>
      </c>
      <c r="E1017" s="9"/>
      <c r="F1017" s="9"/>
      <c r="G1017" s="201">
        <f t="shared" ref="G1017:L1017" si="268">G791*G$6</f>
        <v>0</v>
      </c>
      <c r="H1017" s="111">
        <f t="shared" si="268"/>
        <v>0</v>
      </c>
      <c r="I1017" s="111">
        <f t="shared" si="268"/>
        <v>0</v>
      </c>
      <c r="J1017" s="111">
        <f t="shared" si="268"/>
        <v>0</v>
      </c>
      <c r="K1017" s="111">
        <f t="shared" si="268"/>
        <v>0</v>
      </c>
      <c r="L1017" s="111">
        <f t="shared" si="268"/>
        <v>0</v>
      </c>
      <c r="M1017" s="111">
        <f t="shared" ref="M1017" si="269">M791*M$6</f>
        <v>0</v>
      </c>
      <c r="N1017" s="111">
        <f>IF(COUNT($H1017:M1017)&gt;=Input!$Y$7,0,N791*N$6)</f>
        <v>0</v>
      </c>
      <c r="O1017" s="111">
        <f>IF(COUNT($H1017:N1017)&gt;=Input!$Y$7,0,O791*O$6)</f>
        <v>0</v>
      </c>
      <c r="P1017" s="111">
        <f>IF(COUNT($H1017:O1017)&gt;=Input!$Y$7,0,P791*P$6)</f>
        <v>0</v>
      </c>
      <c r="Q1017" s="111">
        <f>IF(COUNT($H1017:P1017)&gt;=Input!$Y$7,0,Q791*Q$6)</f>
        <v>0</v>
      </c>
      <c r="R1017" s="9"/>
      <c r="S1017" s="9"/>
      <c r="T1017" s="9"/>
      <c r="U1017" s="9"/>
      <c r="V1017" s="9"/>
      <c r="W1017" s="9"/>
      <c r="X1017" s="9"/>
      <c r="Y1017" s="9"/>
      <c r="Z1017" s="9"/>
      <c r="AB1017" s="198"/>
      <c r="AC1017" s="198"/>
      <c r="AD1017" s="198"/>
      <c r="AE1017" s="198"/>
      <c r="AF1017" s="198"/>
      <c r="AG1017" s="198"/>
      <c r="AH1017" s="198"/>
      <c r="AI1017" s="198"/>
      <c r="AJ1017" s="198"/>
      <c r="AK1017" s="198"/>
      <c r="AL1017" s="198"/>
      <c r="AM1017" s="198"/>
      <c r="AN1017" s="198"/>
      <c r="AO1017" s="198"/>
      <c r="AP1017" s="198"/>
      <c r="AQ1017" s="198"/>
      <c r="AR1017" s="198"/>
      <c r="AS1017" s="198"/>
      <c r="AT1017" s="198"/>
      <c r="AU1017" s="198"/>
      <c r="AV1017" s="198"/>
      <c r="AW1017" s="198"/>
      <c r="AX1017" s="198"/>
      <c r="AY1017" s="198"/>
      <c r="AZ1017" s="198"/>
      <c r="BA1017" s="198"/>
      <c r="BB1017" s="198"/>
      <c r="BC1017" s="198"/>
      <c r="BD1017" s="9"/>
      <c r="BE1017" s="9"/>
      <c r="BF1017" s="9"/>
      <c r="BG1017" s="9"/>
      <c r="BH1017" s="9"/>
      <c r="BI1017" s="9"/>
      <c r="BJ1017" s="9"/>
      <c r="BK1017" s="9"/>
      <c r="BL1017" s="9"/>
    </row>
    <row r="1018" spans="1:64" collapsed="1">
      <c r="A1018" s="9"/>
      <c r="B1018" s="9"/>
      <c r="C1018" s="9"/>
      <c r="D1018" s="9"/>
      <c r="E1018" s="9"/>
      <c r="F1018" s="9"/>
      <c r="G1018" s="12"/>
      <c r="H1018" s="9"/>
      <c r="I1018" s="9"/>
      <c r="J1018" s="9"/>
      <c r="K1018" s="9"/>
      <c r="L1018" s="9"/>
      <c r="M1018" s="9"/>
      <c r="N1018" s="9"/>
      <c r="O1018" s="9"/>
      <c r="P1018" s="9"/>
      <c r="Q1018" s="9"/>
      <c r="R1018" s="9"/>
      <c r="S1018" s="9"/>
      <c r="T1018" s="9"/>
      <c r="U1018" s="9"/>
      <c r="V1018" s="9"/>
      <c r="W1018" s="9"/>
      <c r="X1018" s="9"/>
      <c r="Y1018" s="9"/>
      <c r="Z1018" s="9"/>
      <c r="AB1018" s="198"/>
      <c r="AC1018" s="198"/>
      <c r="AD1018" s="198"/>
      <c r="AE1018" s="198"/>
      <c r="AF1018" s="198"/>
      <c r="AG1018" s="198"/>
      <c r="AH1018" s="198"/>
      <c r="AI1018" s="198"/>
      <c r="AJ1018" s="198"/>
      <c r="AK1018" s="198"/>
      <c r="AL1018" s="198"/>
      <c r="AM1018" s="198"/>
      <c r="AN1018" s="198"/>
      <c r="AO1018" s="198"/>
      <c r="AP1018" s="198"/>
      <c r="AQ1018" s="198"/>
      <c r="AR1018" s="198"/>
      <c r="AS1018" s="198"/>
      <c r="AT1018" s="198"/>
      <c r="AU1018" s="198"/>
      <c r="AV1018" s="198"/>
      <c r="AW1018" s="198"/>
      <c r="AX1018" s="198"/>
      <c r="AY1018" s="198"/>
      <c r="AZ1018" s="198"/>
      <c r="BA1018" s="198"/>
      <c r="BB1018" s="198"/>
      <c r="BC1018" s="198"/>
      <c r="BD1018" s="9"/>
      <c r="BE1018" s="9"/>
      <c r="BF1018" s="9"/>
      <c r="BG1018" s="9"/>
      <c r="BH1018" s="9"/>
      <c r="BI1018" s="9"/>
      <c r="BJ1018" s="9"/>
      <c r="BK1018" s="9"/>
      <c r="BL1018" s="9"/>
    </row>
    <row r="1019" spans="1:64">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B1019" s="198"/>
      <c r="AC1019" s="198"/>
      <c r="AD1019" s="198"/>
      <c r="AE1019" s="198"/>
      <c r="AF1019" s="198"/>
      <c r="AG1019" s="198"/>
      <c r="AH1019" s="198"/>
      <c r="AI1019" s="198"/>
      <c r="AJ1019" s="198"/>
      <c r="AK1019" s="198"/>
      <c r="AL1019" s="198"/>
      <c r="AM1019" s="198"/>
      <c r="AN1019" s="198"/>
      <c r="AO1019" s="198"/>
      <c r="AP1019" s="198"/>
      <c r="AQ1019" s="198"/>
      <c r="AR1019" s="198"/>
      <c r="AS1019" s="198"/>
      <c r="AT1019" s="198"/>
      <c r="AU1019" s="198"/>
      <c r="AV1019" s="198"/>
      <c r="AW1019" s="198"/>
      <c r="AX1019" s="198"/>
      <c r="AY1019" s="198"/>
      <c r="AZ1019" s="198"/>
      <c r="BA1019" s="198"/>
      <c r="BB1019" s="198"/>
      <c r="BC1019" s="198"/>
    </row>
    <row r="1020" spans="1:64">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B1020" s="198"/>
      <c r="AC1020" s="198"/>
      <c r="AD1020" s="198"/>
      <c r="AE1020" s="198"/>
      <c r="AF1020" s="198"/>
      <c r="AG1020" s="198"/>
      <c r="AH1020" s="198"/>
      <c r="AI1020" s="198"/>
      <c r="AJ1020" s="198"/>
      <c r="AK1020" s="198"/>
      <c r="AL1020" s="198"/>
      <c r="AM1020" s="198"/>
      <c r="AN1020" s="198"/>
      <c r="AO1020" s="198"/>
      <c r="AP1020" s="198"/>
      <c r="AQ1020" s="198"/>
      <c r="AR1020" s="198"/>
      <c r="AS1020" s="198"/>
      <c r="AT1020" s="198"/>
      <c r="AU1020" s="198"/>
      <c r="AV1020" s="198"/>
      <c r="AW1020" s="198"/>
      <c r="AX1020" s="198"/>
      <c r="AY1020" s="198"/>
      <c r="AZ1020" s="198"/>
      <c r="BA1020" s="198"/>
      <c r="BB1020" s="198"/>
      <c r="BC1020" s="198"/>
    </row>
    <row r="1021" spans="1:64">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B1021" s="198"/>
      <c r="AC1021" s="198"/>
      <c r="AD1021" s="198"/>
      <c r="AE1021" s="198"/>
      <c r="AF1021" s="198"/>
      <c r="AG1021" s="198"/>
      <c r="AH1021" s="198"/>
      <c r="AI1021" s="198"/>
      <c r="AJ1021" s="198"/>
      <c r="AK1021" s="198"/>
      <c r="AL1021" s="198"/>
      <c r="AM1021" s="198"/>
      <c r="AN1021" s="198"/>
      <c r="AO1021" s="198"/>
      <c r="AP1021" s="198"/>
      <c r="AQ1021" s="198"/>
      <c r="AR1021" s="198"/>
      <c r="AS1021" s="198"/>
      <c r="AT1021" s="198"/>
      <c r="AU1021" s="198"/>
      <c r="AV1021" s="198"/>
      <c r="AW1021" s="198"/>
      <c r="AX1021" s="198"/>
      <c r="AY1021" s="198"/>
      <c r="AZ1021" s="198"/>
      <c r="BA1021" s="198"/>
      <c r="BB1021" s="198"/>
      <c r="BC1021" s="198"/>
    </row>
    <row r="1022" spans="1:64">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B1022" s="198"/>
      <c r="AC1022" s="198"/>
      <c r="AD1022" s="198"/>
      <c r="AE1022" s="198"/>
      <c r="AF1022" s="198"/>
      <c r="AG1022" s="198"/>
      <c r="AH1022" s="198"/>
      <c r="AI1022" s="198"/>
      <c r="AJ1022" s="198"/>
      <c r="AK1022" s="198"/>
      <c r="AL1022" s="198"/>
      <c r="AM1022" s="198"/>
      <c r="AN1022" s="198"/>
      <c r="AO1022" s="198"/>
      <c r="AP1022" s="198"/>
      <c r="AQ1022" s="198"/>
      <c r="AR1022" s="198"/>
      <c r="AS1022" s="198"/>
      <c r="AT1022" s="198"/>
      <c r="AU1022" s="198"/>
      <c r="AV1022" s="198"/>
      <c r="AW1022" s="198"/>
      <c r="AX1022" s="198"/>
      <c r="AY1022" s="198"/>
      <c r="AZ1022" s="198"/>
      <c r="BA1022" s="198"/>
      <c r="BB1022" s="198"/>
      <c r="BC1022" s="198"/>
    </row>
    <row r="1023" spans="1:64">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B1023" s="198"/>
      <c r="AC1023" s="198"/>
      <c r="AD1023" s="198"/>
      <c r="AE1023" s="198"/>
      <c r="AF1023" s="198"/>
      <c r="AG1023" s="198"/>
      <c r="AH1023" s="198"/>
      <c r="AI1023" s="198"/>
      <c r="AJ1023" s="198"/>
      <c r="AK1023" s="198"/>
      <c r="AL1023" s="198"/>
      <c r="AM1023" s="198"/>
      <c r="AN1023" s="198"/>
      <c r="AO1023" s="198"/>
      <c r="AP1023" s="198"/>
      <c r="AQ1023" s="198"/>
      <c r="AR1023" s="198"/>
      <c r="AS1023" s="198"/>
      <c r="AT1023" s="198"/>
      <c r="AU1023" s="198"/>
      <c r="AV1023" s="198"/>
      <c r="AW1023" s="198"/>
      <c r="AX1023" s="198"/>
      <c r="AY1023" s="198"/>
      <c r="AZ1023" s="198"/>
      <c r="BA1023" s="198"/>
      <c r="BB1023" s="198"/>
      <c r="BC1023" s="198"/>
    </row>
    <row r="1024" spans="1:64">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B1024" s="198"/>
      <c r="AC1024" s="198"/>
      <c r="AD1024" s="198"/>
      <c r="AE1024" s="198"/>
      <c r="AF1024" s="198"/>
      <c r="AG1024" s="198"/>
      <c r="AH1024" s="198"/>
      <c r="AI1024" s="198"/>
      <c r="AJ1024" s="198"/>
      <c r="AK1024" s="198"/>
      <c r="AL1024" s="198"/>
      <c r="AM1024" s="198"/>
      <c r="AN1024" s="198"/>
      <c r="AO1024" s="198"/>
      <c r="AP1024" s="198"/>
      <c r="AQ1024" s="198"/>
      <c r="AR1024" s="198"/>
      <c r="AS1024" s="198"/>
      <c r="AT1024" s="198"/>
      <c r="AU1024" s="198"/>
      <c r="AV1024" s="198"/>
      <c r="AW1024" s="198"/>
      <c r="AX1024" s="198"/>
      <c r="AY1024" s="198"/>
      <c r="AZ1024" s="198"/>
      <c r="BA1024" s="198"/>
      <c r="BB1024" s="198"/>
      <c r="BC1024" s="198"/>
    </row>
    <row r="1025" spans="1:55">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B1025" s="198"/>
      <c r="AC1025" s="198"/>
      <c r="AD1025" s="198"/>
      <c r="AE1025" s="198"/>
      <c r="AF1025" s="198"/>
      <c r="AG1025" s="198"/>
      <c r="AH1025" s="198"/>
      <c r="AI1025" s="198"/>
      <c r="AJ1025" s="198"/>
      <c r="AK1025" s="198"/>
      <c r="AL1025" s="198"/>
      <c r="AM1025" s="198"/>
      <c r="AN1025" s="198"/>
      <c r="AO1025" s="198"/>
      <c r="AP1025" s="198"/>
      <c r="AQ1025" s="198"/>
      <c r="AR1025" s="198"/>
      <c r="AS1025" s="198"/>
      <c r="AT1025" s="198"/>
      <c r="AU1025" s="198"/>
      <c r="AV1025" s="198"/>
      <c r="AW1025" s="198"/>
      <c r="AX1025" s="198"/>
      <c r="AY1025" s="198"/>
      <c r="AZ1025" s="198"/>
      <c r="BA1025" s="198"/>
      <c r="BB1025" s="198"/>
      <c r="BC1025" s="198"/>
    </row>
    <row r="1026" spans="1:55">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B1026" s="198"/>
      <c r="AC1026" s="198"/>
      <c r="AD1026" s="198"/>
      <c r="AE1026" s="198"/>
      <c r="AF1026" s="198"/>
      <c r="AG1026" s="198"/>
      <c r="AH1026" s="198"/>
      <c r="AI1026" s="198"/>
      <c r="AJ1026" s="198"/>
      <c r="AK1026" s="198"/>
      <c r="AL1026" s="198"/>
      <c r="AM1026" s="198"/>
      <c r="AN1026" s="198"/>
      <c r="AO1026" s="198"/>
      <c r="AP1026" s="198"/>
      <c r="AQ1026" s="198"/>
      <c r="AR1026" s="198"/>
      <c r="AS1026" s="198"/>
      <c r="AT1026" s="198"/>
      <c r="AU1026" s="198"/>
      <c r="AV1026" s="198"/>
      <c r="AW1026" s="198"/>
      <c r="AX1026" s="198"/>
      <c r="AY1026" s="198"/>
      <c r="AZ1026" s="198"/>
      <c r="BA1026" s="198"/>
      <c r="BB1026" s="198"/>
      <c r="BC1026" s="198"/>
    </row>
    <row r="1027" spans="1:55">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B1027" s="198"/>
      <c r="AC1027" s="198"/>
      <c r="AD1027" s="198"/>
      <c r="AE1027" s="198"/>
      <c r="AF1027" s="198"/>
      <c r="AG1027" s="198"/>
      <c r="AH1027" s="198"/>
      <c r="AI1027" s="198"/>
      <c r="AJ1027" s="198"/>
      <c r="AK1027" s="198"/>
      <c r="AL1027" s="198"/>
      <c r="AM1027" s="198"/>
      <c r="AN1027" s="198"/>
      <c r="AO1027" s="198"/>
      <c r="AP1027" s="198"/>
      <c r="AQ1027" s="198"/>
      <c r="AR1027" s="198"/>
      <c r="AS1027" s="198"/>
      <c r="AT1027" s="198"/>
      <c r="AU1027" s="198"/>
      <c r="AV1027" s="198"/>
      <c r="AW1027" s="198"/>
      <c r="AX1027" s="198"/>
      <c r="AY1027" s="198"/>
      <c r="AZ1027" s="198"/>
      <c r="BA1027" s="198"/>
      <c r="BB1027" s="198"/>
      <c r="BC1027" s="198"/>
    </row>
    <row r="1028" spans="1:55">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B1028" s="198"/>
      <c r="AC1028" s="198"/>
      <c r="AD1028" s="198"/>
      <c r="AE1028" s="198"/>
      <c r="AF1028" s="198"/>
      <c r="AG1028" s="198"/>
      <c r="AH1028" s="198"/>
      <c r="AI1028" s="198"/>
      <c r="AJ1028" s="198"/>
      <c r="AK1028" s="198"/>
      <c r="AL1028" s="198"/>
      <c r="AM1028" s="198"/>
      <c r="AN1028" s="198"/>
      <c r="AO1028" s="198"/>
      <c r="AP1028" s="198"/>
      <c r="AQ1028" s="198"/>
      <c r="AR1028" s="198"/>
      <c r="AS1028" s="198"/>
      <c r="AT1028" s="198"/>
      <c r="AU1028" s="198"/>
      <c r="AV1028" s="198"/>
      <c r="AW1028" s="198"/>
      <c r="AX1028" s="198"/>
      <c r="AY1028" s="198"/>
      <c r="AZ1028" s="198"/>
      <c r="BA1028" s="198"/>
      <c r="BB1028" s="198"/>
      <c r="BC1028" s="198"/>
    </row>
    <row r="1029" spans="1:55">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B1029" s="198"/>
      <c r="AC1029" s="198"/>
      <c r="AD1029" s="198"/>
      <c r="AE1029" s="198"/>
      <c r="AF1029" s="198"/>
      <c r="AG1029" s="198"/>
      <c r="AH1029" s="198"/>
      <c r="AI1029" s="198"/>
      <c r="AJ1029" s="198"/>
      <c r="AK1029" s="198"/>
      <c r="AL1029" s="198"/>
      <c r="AM1029" s="198"/>
      <c r="AN1029" s="198"/>
      <c r="AO1029" s="198"/>
      <c r="AP1029" s="198"/>
      <c r="AQ1029" s="198"/>
      <c r="AR1029" s="198"/>
      <c r="AS1029" s="198"/>
      <c r="AT1029" s="198"/>
      <c r="AU1029" s="198"/>
      <c r="AV1029" s="198"/>
      <c r="AW1029" s="198"/>
      <c r="AX1029" s="198"/>
      <c r="AY1029" s="198"/>
      <c r="AZ1029" s="198"/>
      <c r="BA1029" s="198"/>
      <c r="BB1029" s="198"/>
      <c r="BC1029" s="198"/>
    </row>
    <row r="1030" spans="1:55">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B1030" s="198"/>
      <c r="AC1030" s="198"/>
      <c r="AD1030" s="198"/>
      <c r="AE1030" s="198"/>
      <c r="AF1030" s="198"/>
      <c r="AG1030" s="198"/>
      <c r="AH1030" s="198"/>
      <c r="AI1030" s="198"/>
      <c r="AJ1030" s="198"/>
      <c r="AK1030" s="198"/>
      <c r="AL1030" s="198"/>
      <c r="AM1030" s="198"/>
      <c r="AN1030" s="198"/>
      <c r="AO1030" s="198"/>
      <c r="AP1030" s="198"/>
      <c r="AQ1030" s="198"/>
      <c r="AR1030" s="198"/>
      <c r="AS1030" s="198"/>
      <c r="AT1030" s="198"/>
      <c r="AU1030" s="198"/>
      <c r="AV1030" s="198"/>
      <c r="AW1030" s="198"/>
      <c r="AX1030" s="198"/>
      <c r="AY1030" s="198"/>
      <c r="AZ1030" s="198"/>
      <c r="BA1030" s="198"/>
      <c r="BB1030" s="198"/>
      <c r="BC1030" s="198"/>
    </row>
    <row r="1031" spans="1:55">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B1031" s="198"/>
      <c r="AC1031" s="198"/>
      <c r="AD1031" s="198"/>
      <c r="AE1031" s="198"/>
      <c r="AF1031" s="198"/>
      <c r="AG1031" s="198"/>
      <c r="AH1031" s="198"/>
      <c r="AI1031" s="198"/>
      <c r="AJ1031" s="198"/>
      <c r="AK1031" s="198"/>
      <c r="AL1031" s="198"/>
      <c r="AM1031" s="198"/>
      <c r="AN1031" s="198"/>
      <c r="AO1031" s="198"/>
      <c r="AP1031" s="198"/>
      <c r="AQ1031" s="198"/>
      <c r="AR1031" s="198"/>
      <c r="AS1031" s="198"/>
      <c r="AT1031" s="198"/>
      <c r="AU1031" s="198"/>
      <c r="AV1031" s="198"/>
      <c r="AW1031" s="198"/>
      <c r="AX1031" s="198"/>
      <c r="AY1031" s="198"/>
      <c r="AZ1031" s="198"/>
      <c r="BA1031" s="198"/>
      <c r="BB1031" s="198"/>
      <c r="BC1031" s="198"/>
    </row>
    <row r="1032" spans="1:55">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B1032" s="198"/>
      <c r="AC1032" s="198"/>
      <c r="AD1032" s="198"/>
      <c r="AE1032" s="198"/>
      <c r="AF1032" s="198"/>
      <c r="AG1032" s="198"/>
      <c r="AH1032" s="198"/>
      <c r="AI1032" s="198"/>
      <c r="AJ1032" s="198"/>
      <c r="AK1032" s="198"/>
      <c r="AL1032" s="198"/>
      <c r="AM1032" s="198"/>
      <c r="AN1032" s="198"/>
      <c r="AO1032" s="198"/>
      <c r="AP1032" s="198"/>
      <c r="AQ1032" s="198"/>
      <c r="AR1032" s="198"/>
      <c r="AS1032" s="198"/>
      <c r="AT1032" s="198"/>
      <c r="AU1032" s="198"/>
      <c r="AV1032" s="198"/>
      <c r="AW1032" s="198"/>
      <c r="AX1032" s="198"/>
      <c r="AY1032" s="198"/>
      <c r="AZ1032" s="198"/>
      <c r="BA1032" s="198"/>
      <c r="BB1032" s="198"/>
      <c r="BC1032" s="198"/>
    </row>
    <row r="1033" spans="1:55">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B1033" s="198"/>
      <c r="AC1033" s="198"/>
      <c r="AD1033" s="198"/>
      <c r="AE1033" s="198"/>
      <c r="AF1033" s="198"/>
      <c r="AG1033" s="198"/>
      <c r="AH1033" s="198"/>
      <c r="AI1033" s="198"/>
      <c r="AJ1033" s="198"/>
      <c r="AK1033" s="198"/>
      <c r="AL1033" s="198"/>
      <c r="AM1033" s="198"/>
      <c r="AN1033" s="198"/>
      <c r="AO1033" s="198"/>
      <c r="AP1033" s="198"/>
      <c r="AQ1033" s="198"/>
      <c r="AR1033" s="198"/>
      <c r="AS1033" s="198"/>
      <c r="AT1033" s="198"/>
      <c r="AU1033" s="198"/>
      <c r="AV1033" s="198"/>
      <c r="AW1033" s="198"/>
      <c r="AX1033" s="198"/>
      <c r="AY1033" s="198"/>
      <c r="AZ1033" s="198"/>
      <c r="BA1033" s="198"/>
      <c r="BB1033" s="198"/>
      <c r="BC1033" s="198"/>
    </row>
    <row r="1034" spans="1:55">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B1034" s="198"/>
      <c r="AC1034" s="198"/>
      <c r="AD1034" s="198"/>
      <c r="AE1034" s="198"/>
      <c r="AF1034" s="198"/>
      <c r="AG1034" s="198"/>
      <c r="AH1034" s="198"/>
      <c r="AI1034" s="198"/>
      <c r="AJ1034" s="198"/>
      <c r="AK1034" s="198"/>
      <c r="AL1034" s="198"/>
      <c r="AM1034" s="198"/>
      <c r="AN1034" s="198"/>
      <c r="AO1034" s="198"/>
      <c r="AP1034" s="198"/>
      <c r="AQ1034" s="198"/>
      <c r="AR1034" s="198"/>
      <c r="AS1034" s="198"/>
      <c r="AT1034" s="198"/>
      <c r="AU1034" s="198"/>
      <c r="AV1034" s="198"/>
      <c r="AW1034" s="198"/>
      <c r="AX1034" s="198"/>
      <c r="AY1034" s="198"/>
      <c r="AZ1034" s="198"/>
      <c r="BA1034" s="198"/>
      <c r="BB1034" s="198"/>
      <c r="BC1034" s="198"/>
    </row>
    <row r="1035" spans="1:55">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B1035" s="198"/>
      <c r="AC1035" s="198"/>
      <c r="AD1035" s="198"/>
      <c r="AE1035" s="198"/>
      <c r="AF1035" s="198"/>
      <c r="AG1035" s="198"/>
      <c r="AH1035" s="198"/>
      <c r="AI1035" s="198"/>
      <c r="AJ1035" s="198"/>
      <c r="AK1035" s="198"/>
      <c r="AL1035" s="198"/>
      <c r="AM1035" s="198"/>
      <c r="AN1035" s="198"/>
      <c r="AO1035" s="198"/>
      <c r="AP1035" s="198"/>
      <c r="AQ1035" s="198"/>
      <c r="AR1035" s="198"/>
      <c r="AS1035" s="198"/>
      <c r="AT1035" s="198"/>
      <c r="AU1035" s="198"/>
      <c r="AV1035" s="198"/>
      <c r="AW1035" s="198"/>
      <c r="AX1035" s="198"/>
      <c r="AY1035" s="198"/>
      <c r="AZ1035" s="198"/>
      <c r="BA1035" s="198"/>
      <c r="BB1035" s="198"/>
      <c r="BC1035" s="198"/>
    </row>
    <row r="1036" spans="1:55">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B1036" s="198"/>
      <c r="AC1036" s="198"/>
      <c r="AD1036" s="198"/>
      <c r="AE1036" s="198"/>
      <c r="AF1036" s="198"/>
      <c r="AG1036" s="198"/>
      <c r="AH1036" s="198"/>
      <c r="AI1036" s="198"/>
      <c r="AJ1036" s="198"/>
      <c r="AK1036" s="198"/>
      <c r="AL1036" s="198"/>
      <c r="AM1036" s="198"/>
      <c r="AN1036" s="198"/>
      <c r="AO1036" s="198"/>
      <c r="AP1036" s="198"/>
      <c r="AQ1036" s="198"/>
      <c r="AR1036" s="198"/>
      <c r="AS1036" s="198"/>
      <c r="AT1036" s="198"/>
      <c r="AU1036" s="198"/>
      <c r="AV1036" s="198"/>
      <c r="AW1036" s="198"/>
      <c r="AX1036" s="198"/>
      <c r="AY1036" s="198"/>
      <c r="AZ1036" s="198"/>
      <c r="BA1036" s="198"/>
      <c r="BB1036" s="198"/>
      <c r="BC1036" s="198"/>
    </row>
    <row r="1037" spans="1:55">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B1037" s="198"/>
      <c r="AC1037" s="198"/>
      <c r="AD1037" s="198"/>
      <c r="AE1037" s="198"/>
      <c r="AF1037" s="198"/>
      <c r="AG1037" s="198"/>
      <c r="AH1037" s="198"/>
      <c r="AI1037" s="198"/>
      <c r="AJ1037" s="198"/>
      <c r="AK1037" s="198"/>
      <c r="AL1037" s="198"/>
      <c r="AM1037" s="198"/>
      <c r="AN1037" s="198"/>
      <c r="AO1037" s="198"/>
      <c r="AP1037" s="198"/>
      <c r="AQ1037" s="198"/>
      <c r="AR1037" s="198"/>
      <c r="AS1037" s="198"/>
      <c r="AT1037" s="198"/>
      <c r="AU1037" s="198"/>
      <c r="AV1037" s="198"/>
      <c r="AW1037" s="198"/>
      <c r="AX1037" s="198"/>
      <c r="AY1037" s="198"/>
      <c r="AZ1037" s="198"/>
      <c r="BA1037" s="198"/>
      <c r="BB1037" s="198"/>
      <c r="BC1037" s="198"/>
    </row>
    <row r="1038" spans="1:55">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B1038" s="198"/>
      <c r="AC1038" s="198"/>
      <c r="AD1038" s="198"/>
      <c r="AE1038" s="198"/>
      <c r="AF1038" s="198"/>
      <c r="AG1038" s="198"/>
      <c r="AH1038" s="198"/>
      <c r="AI1038" s="198"/>
      <c r="AJ1038" s="198"/>
      <c r="AK1038" s="198"/>
      <c r="AL1038" s="198"/>
      <c r="AM1038" s="198"/>
      <c r="AN1038" s="198"/>
      <c r="AO1038" s="198"/>
      <c r="AP1038" s="198"/>
      <c r="AQ1038" s="198"/>
      <c r="AR1038" s="198"/>
      <c r="AS1038" s="198"/>
      <c r="AT1038" s="198"/>
      <c r="AU1038" s="198"/>
      <c r="AV1038" s="198"/>
      <c r="AW1038" s="198"/>
      <c r="AX1038" s="198"/>
      <c r="AY1038" s="198"/>
      <c r="AZ1038" s="198"/>
      <c r="BA1038" s="198"/>
      <c r="BB1038" s="198"/>
      <c r="BC1038" s="198"/>
    </row>
    <row r="1039" spans="1:55">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B1039" s="198"/>
      <c r="AC1039" s="198"/>
      <c r="AD1039" s="198"/>
      <c r="AE1039" s="198"/>
      <c r="AF1039" s="198"/>
      <c r="AG1039" s="198"/>
      <c r="AH1039" s="198"/>
      <c r="AI1039" s="198"/>
      <c r="AJ1039" s="198"/>
      <c r="AK1039" s="198"/>
      <c r="AL1039" s="198"/>
      <c r="AM1039" s="198"/>
      <c r="AN1039" s="198"/>
      <c r="AO1039" s="198"/>
      <c r="AP1039" s="198"/>
      <c r="AQ1039" s="198"/>
      <c r="AR1039" s="198"/>
      <c r="AS1039" s="198"/>
      <c r="AT1039" s="198"/>
      <c r="AU1039" s="198"/>
      <c r="AV1039" s="198"/>
      <c r="AW1039" s="198"/>
      <c r="AX1039" s="198"/>
      <c r="AY1039" s="198"/>
      <c r="AZ1039" s="198"/>
      <c r="BA1039" s="198"/>
      <c r="BB1039" s="198"/>
      <c r="BC1039" s="198"/>
    </row>
    <row r="1040" spans="1:55">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B1040" s="198"/>
      <c r="AC1040" s="198"/>
      <c r="AD1040" s="198"/>
      <c r="AE1040" s="198"/>
      <c r="AF1040" s="198"/>
      <c r="AG1040" s="198"/>
      <c r="AH1040" s="198"/>
      <c r="AI1040" s="198"/>
      <c r="AJ1040" s="198"/>
      <c r="AK1040" s="198"/>
      <c r="AL1040" s="198"/>
      <c r="AM1040" s="198"/>
      <c r="AN1040" s="198"/>
      <c r="AO1040" s="198"/>
      <c r="AP1040" s="198"/>
      <c r="AQ1040" s="198"/>
      <c r="AR1040" s="198"/>
      <c r="AS1040" s="198"/>
      <c r="AT1040" s="198"/>
      <c r="AU1040" s="198"/>
      <c r="AV1040" s="198"/>
      <c r="AW1040" s="198"/>
      <c r="AX1040" s="198"/>
      <c r="AY1040" s="198"/>
      <c r="AZ1040" s="198"/>
      <c r="BA1040" s="198"/>
      <c r="BB1040" s="198"/>
      <c r="BC1040" s="198"/>
    </row>
    <row r="1041" spans="1:26">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1:26">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1:26">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1:26">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1:26">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1:26">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1:26">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1:26">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1:26">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1:26">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1:26">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1:26">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1:26">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1:26">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1:26">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1:26">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1:26">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1:26">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1:26">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1:26">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1:26">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1:26">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1:26">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1: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1: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1: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1: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1: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1: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1: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1: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1: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row r="1201" spans="2:26">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row>
    <row r="1202" spans="2:26">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row>
    <row r="1203" spans="2:26">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row>
    <row r="1204" spans="2:26">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row>
    <row r="1205" spans="2:26">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row>
    <row r="1206" spans="2:26">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row>
    <row r="1207" spans="2:26">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row>
    <row r="1208" spans="2:26">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row>
    <row r="1209" spans="2:26">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row>
    <row r="1210" spans="2:26">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row>
    <row r="1211" spans="2:26">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row>
    <row r="1212" spans="2:26">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row>
    <row r="1213" spans="2:26">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row>
    <row r="1214" spans="2:26">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row>
    <row r="1215" spans="2:26">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row>
    <row r="1216" spans="2:26">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row>
    <row r="1217" spans="2:26">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row>
    <row r="1218" spans="2:26">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row>
    <row r="1219" spans="2:26">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row>
    <row r="1220" spans="2:26">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row>
    <row r="1221" spans="2:26">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row>
    <row r="1222" spans="2:26">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row>
    <row r="1223" spans="2:26">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row>
    <row r="1224" spans="2:26">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row>
    <row r="1225" spans="2:26">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row>
    <row r="1226" spans="2:26">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row>
    <row r="1227" spans="2:26">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row>
    <row r="1228" spans="2:26">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row>
    <row r="1229" spans="2:26">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row>
    <row r="1230" spans="2:26">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row>
    <row r="1231" spans="2:26">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row>
    <row r="1232" spans="2:26">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row>
    <row r="1233" spans="2:26">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row>
    <row r="1234" spans="2:26">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row>
    <row r="1235" spans="2:26">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row>
    <row r="1236" spans="2:26">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row>
    <row r="1237" spans="2:26">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row>
    <row r="1238" spans="2:26">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row>
    <row r="1239" spans="2:26">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row>
    <row r="1240" spans="2:26">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row>
    <row r="1241" spans="2:26">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row>
    <row r="1242" spans="2:26">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row>
    <row r="1243" spans="2:26">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row>
    <row r="1244" spans="2:26">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row>
    <row r="1245" spans="2:26">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row>
    <row r="1246" spans="2:26">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row>
    <row r="1247" spans="2:26">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row>
    <row r="1248" spans="2:26">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row>
    <row r="1249" spans="2:26">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row>
    <row r="1250" spans="2:26">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row>
    <row r="1251" spans="2:26">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row>
    <row r="1252" spans="2:26">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row>
    <row r="1253" spans="2:26">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row>
    <row r="1254" spans="2:26">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row>
    <row r="1255" spans="2:26">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row>
    <row r="1256" spans="2:26">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row>
    <row r="1257" spans="2:26">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row>
    <row r="1258" spans="2:26">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row>
    <row r="1259" spans="2:26">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row>
    <row r="1260" spans="2:26">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row>
    <row r="1261" spans="2:26">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row>
    <row r="1262" spans="2:26">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row>
    <row r="1263" spans="2:26">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row>
    <row r="1264" spans="2:26">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row>
  </sheetData>
  <mergeCells count="30">
    <mergeCell ref="E441:E451"/>
    <mergeCell ref="E454:E464"/>
    <mergeCell ref="E389:E399"/>
    <mergeCell ref="E402:E412"/>
    <mergeCell ref="E415:E425"/>
    <mergeCell ref="E428:E438"/>
    <mergeCell ref="E363:E373"/>
    <mergeCell ref="E376:E386"/>
    <mergeCell ref="E181:E191"/>
    <mergeCell ref="E194:E204"/>
    <mergeCell ref="E129:E139"/>
    <mergeCell ref="E142:E152"/>
    <mergeCell ref="E155:E165"/>
    <mergeCell ref="E168:E178"/>
    <mergeCell ref="E259:E269"/>
    <mergeCell ref="E272:E282"/>
    <mergeCell ref="E285:E295"/>
    <mergeCell ref="E298:E308"/>
    <mergeCell ref="E311:E321"/>
    <mergeCell ref="E324:E334"/>
    <mergeCell ref="E337:E347"/>
    <mergeCell ref="E350:E360"/>
    <mergeCell ref="E233:E243"/>
    <mergeCell ref="E246:E256"/>
    <mergeCell ref="E77:E87"/>
    <mergeCell ref="E90:E100"/>
    <mergeCell ref="E103:E113"/>
    <mergeCell ref="E116:E126"/>
    <mergeCell ref="E207:E217"/>
    <mergeCell ref="E220:E230"/>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1018" max="16383" man="1"/>
  </rowBreaks>
  <colBreaks count="1" manualBreakCount="1">
    <brk id="19" max="1048575" man="1"/>
  </colBreaks>
  <legacyDrawing r:id="rId2"/>
</worksheet>
</file>

<file path=xl/worksheets/sheet6.xml><?xml version="1.0" encoding="utf-8"?>
<worksheet xmlns="http://schemas.openxmlformats.org/spreadsheetml/2006/main" xmlns:r="http://schemas.openxmlformats.org/officeDocument/2006/relationships">
  <sheetPr codeName="Sheet5" enableFormatConditionsCalculation="0"/>
  <dimension ref="A1:IV964"/>
  <sheetViews>
    <sheetView zoomScaleNormal="100" workbookViewId="0">
      <pane ySplit="4" topLeftCell="A5" activePane="bottomLeft" state="frozen"/>
      <selection pane="bottomLeft" activeCell="J852" sqref="J852"/>
    </sheetView>
  </sheetViews>
  <sheetFormatPr defaultRowHeight="12.75" outlineLevelRow="1"/>
  <cols>
    <col min="1" max="1" width="1.85546875" customWidth="1"/>
    <col min="2" max="2" width="2.42578125" customWidth="1"/>
    <col min="3" max="3" width="24.7109375" customWidth="1"/>
    <col min="4" max="4" width="20" customWidth="1"/>
    <col min="5" max="5" width="3.7109375" customWidth="1"/>
    <col min="6" max="6" width="3.5703125" customWidth="1"/>
    <col min="7" max="7" width="12.7109375" bestFit="1" customWidth="1"/>
    <col min="8" max="8" width="10" customWidth="1"/>
    <col min="9" max="9" width="9.7109375" customWidth="1"/>
    <col min="10" max="11" width="10" customWidth="1"/>
    <col min="12" max="12" width="10.7109375" customWidth="1"/>
    <col min="13" max="13" width="11" customWidth="1"/>
    <col min="14" max="14" width="10.28515625" bestFit="1" customWidth="1"/>
    <col min="15" max="15" width="10" bestFit="1" customWidth="1"/>
    <col min="16" max="26" width="9.5703125" bestFit="1" customWidth="1"/>
    <col min="27" max="27" width="9.5703125" style="198" bestFit="1" customWidth="1"/>
    <col min="28" max="62" width="9.5703125" bestFit="1" customWidth="1"/>
  </cols>
  <sheetData>
    <row r="1" spans="1:256" ht="15.75">
      <c r="A1" s="9"/>
      <c r="B1" s="9"/>
      <c r="C1" s="296" t="s">
        <v>144</v>
      </c>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1"/>
      <c r="BL1" s="221"/>
    </row>
    <row r="2" spans="1:256" ht="15.75">
      <c r="A2" s="9"/>
      <c r="B2" s="9"/>
      <c r="C2" s="57"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6"/>
      <c r="BL3" s="226"/>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4" customFormat="1" ht="15.75">
      <c r="A4" s="82"/>
      <c r="B4" s="82"/>
      <c r="C4" s="83" t="s">
        <v>3</v>
      </c>
      <c r="D4" s="82"/>
      <c r="E4" s="82"/>
      <c r="F4" s="82"/>
      <c r="G4" s="144" t="str">
        <f>Input!G40</f>
        <v>2007-08</v>
      </c>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c r="S4" s="17"/>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1"/>
      <c r="BL4" s="22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247"/>
      <c r="B5" s="247"/>
      <c r="C5" s="178" t="s">
        <v>96</v>
      </c>
      <c r="D5" s="247"/>
      <c r="E5" s="247"/>
      <c r="F5" s="247"/>
      <c r="G5" s="247"/>
      <c r="H5" s="247"/>
      <c r="I5" s="247"/>
      <c r="J5" s="247"/>
      <c r="K5" s="247"/>
      <c r="L5" s="247"/>
      <c r="M5" s="247"/>
      <c r="N5" s="247"/>
      <c r="O5" s="247"/>
      <c r="P5" s="247"/>
      <c r="Q5" s="247"/>
      <c r="R5" s="247"/>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1"/>
      <c r="BL5" s="22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4"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21"/>
      <c r="BL6" s="221"/>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4" t="s">
        <v>86</v>
      </c>
      <c r="D7" s="9"/>
      <c r="E7" s="9"/>
      <c r="F7" s="9"/>
      <c r="G7" s="309">
        <f>SUM(G8:G37)</f>
        <v>1956.232102585243</v>
      </c>
      <c r="H7" s="330">
        <f>SUM(H8:H37)</f>
        <v>2191.2022382795412</v>
      </c>
      <c r="I7" s="138">
        <f t="shared" ref="I7:P7" si="1">SUM(I8:I37)</f>
        <v>2260.6505132977918</v>
      </c>
      <c r="J7" s="138">
        <f t="shared" si="1"/>
        <v>2310.8275393247645</v>
      </c>
      <c r="K7" s="138">
        <f t="shared" si="1"/>
        <v>2366.9009282775273</v>
      </c>
      <c r="L7" s="138">
        <f t="shared" si="1"/>
        <v>2453.9571044789645</v>
      </c>
      <c r="M7" s="138">
        <f t="shared" si="1"/>
        <v>2552.3518830385533</v>
      </c>
      <c r="N7" s="138">
        <f t="shared" si="1"/>
        <v>0</v>
      </c>
      <c r="O7" s="138">
        <f t="shared" si="1"/>
        <v>0</v>
      </c>
      <c r="P7" s="138">
        <f t="shared" si="1"/>
        <v>0</v>
      </c>
      <c r="Q7" s="138">
        <f>SUM(Q8:Q37)</f>
        <v>0</v>
      </c>
      <c r="R7" s="138"/>
      <c r="S7" s="137"/>
      <c r="T7" s="137"/>
      <c r="U7" s="137"/>
      <c r="V7" s="137"/>
      <c r="W7" s="137"/>
      <c r="X7" s="137"/>
      <c r="Y7" s="137"/>
      <c r="Z7" s="13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1"/>
      <c r="BL7" s="221"/>
    </row>
    <row r="8" spans="1:256" hidden="1" outlineLevel="1">
      <c r="A8" s="9"/>
      <c r="B8" s="9"/>
      <c r="C8" s="9"/>
      <c r="D8" s="270" t="str">
        <f>Asset1</f>
        <v>Secondary</v>
      </c>
      <c r="E8" s="9"/>
      <c r="F8" s="9"/>
      <c r="G8" s="201">
        <f>'Actual RAB roll forward'!G470</f>
        <v>132.02570901226696</v>
      </c>
      <c r="H8" s="111">
        <f>G8+G40+G72+G104+G136+G168+G200</f>
        <v>149.09855703295875</v>
      </c>
      <c r="I8" s="111">
        <f>H8+H40+H72</f>
        <v>148.09246395499585</v>
      </c>
      <c r="J8" s="111">
        <f t="shared" ref="J8:M8" si="2">I8+I40+I72</f>
        <v>140.57618745560214</v>
      </c>
      <c r="K8" s="111">
        <f t="shared" si="2"/>
        <v>137.74842339189263</v>
      </c>
      <c r="L8" s="111">
        <f t="shared" si="2"/>
        <v>139.98175238307149</v>
      </c>
      <c r="M8" s="111">
        <f t="shared" si="2"/>
        <v>158.0147813810334</v>
      </c>
      <c r="N8" s="111">
        <f>IF(COUNT($H8:M8)&gt;=Input!$Y$7,0,M8+M40+M72)</f>
        <v>0</v>
      </c>
      <c r="O8" s="111">
        <f>IF(COUNT($H8:N8)&gt;=Input!$Y$7,0,N8+N40+N72)</f>
        <v>0</v>
      </c>
      <c r="P8" s="111">
        <f>IF(COUNT($H8:O8)&gt;=Input!$Y$7,0,O8+O40+O72)</f>
        <v>0</v>
      </c>
      <c r="Q8" s="111">
        <f>IF(COUNT($H8:P8)&gt;=Input!$Y$7,0,P8+P40+P72)</f>
        <v>0</v>
      </c>
      <c r="R8" s="111"/>
      <c r="S8" s="9"/>
      <c r="T8" s="9"/>
      <c r="U8" s="9"/>
      <c r="V8" s="9"/>
      <c r="W8" s="9"/>
      <c r="X8" s="9"/>
      <c r="Y8" s="9"/>
      <c r="Z8" s="9"/>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row>
    <row r="9" spans="1:256" hidden="1" outlineLevel="1">
      <c r="A9" s="9"/>
      <c r="B9" s="9"/>
      <c r="C9" s="44"/>
      <c r="D9" s="270" t="str">
        <f>Asset2</f>
        <v>Switchgear</v>
      </c>
      <c r="E9" s="9"/>
      <c r="F9" s="9"/>
      <c r="G9" s="201">
        <f>'Actual RAB roll forward'!G471</f>
        <v>248.91247950836242</v>
      </c>
      <c r="H9" s="111">
        <f t="shared" ref="H9:H24" si="3">G9+G41+G73+G105+G137+G169+G201</f>
        <v>354.76480248198641</v>
      </c>
      <c r="I9" s="111">
        <f t="shared" ref="I9:M37" si="4">H9+H41+H73</f>
        <v>379.87245297092682</v>
      </c>
      <c r="J9" s="111">
        <f t="shared" si="4"/>
        <v>409.19733180017533</v>
      </c>
      <c r="K9" s="111">
        <f t="shared" si="4"/>
        <v>431.68371028230138</v>
      </c>
      <c r="L9" s="111">
        <f t="shared" si="4"/>
        <v>452.70948875538687</v>
      </c>
      <c r="M9" s="111">
        <f t="shared" si="4"/>
        <v>481.1586232710398</v>
      </c>
      <c r="N9" s="111">
        <f>IF(COUNT($H9:M9)&gt;=Input!$Y$7,0,M9+M41+M73)</f>
        <v>0</v>
      </c>
      <c r="O9" s="111">
        <f>IF(COUNT($H9:N9)&gt;=Input!$Y$7,0,N9+N41+N73)</f>
        <v>0</v>
      </c>
      <c r="P9" s="111">
        <f>IF(COUNT($H9:O9)&gt;=Input!$Y$7,0,O9+O41+O73)</f>
        <v>0</v>
      </c>
      <c r="Q9" s="111">
        <f>IF(COUNT($H9:P9)&gt;=Input!$Y$7,0,P9+P41+P73)</f>
        <v>0</v>
      </c>
      <c r="R9" s="111"/>
      <c r="S9" s="100"/>
      <c r="T9" s="100"/>
      <c r="U9" s="100"/>
      <c r="V9" s="100"/>
      <c r="W9" s="100"/>
      <c r="X9" s="100"/>
      <c r="Y9" s="100"/>
      <c r="Z9" s="100"/>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1"/>
      <c r="BL9" s="221"/>
    </row>
    <row r="10" spans="1:256" hidden="1" outlineLevel="1">
      <c r="A10" s="9"/>
      <c r="B10" s="9"/>
      <c r="C10" s="44"/>
      <c r="D10" s="270" t="str">
        <f>Asset3</f>
        <v>Transformers</v>
      </c>
      <c r="E10" s="9"/>
      <c r="F10" s="9"/>
      <c r="G10" s="201">
        <f>'Actual RAB roll forward'!G472</f>
        <v>154.11914424024289</v>
      </c>
      <c r="H10" s="111">
        <f t="shared" si="3"/>
        <v>167.05795975892104</v>
      </c>
      <c r="I10" s="111">
        <f t="shared" si="4"/>
        <v>171.59913569948725</v>
      </c>
      <c r="J10" s="111">
        <f t="shared" si="4"/>
        <v>168.82972528837934</v>
      </c>
      <c r="K10" s="111">
        <f t="shared" si="4"/>
        <v>176.50440200754466</v>
      </c>
      <c r="L10" s="111">
        <f t="shared" si="4"/>
        <v>191.64386717940701</v>
      </c>
      <c r="M10" s="111">
        <f t="shared" si="4"/>
        <v>214.97100664077112</v>
      </c>
      <c r="N10" s="111">
        <f>IF(COUNT($H10:M10)&gt;=Input!$Y$7,0,M10+M42+M74)</f>
        <v>0</v>
      </c>
      <c r="O10" s="111">
        <f>IF(COUNT($H10:N10)&gt;=Input!$Y$7,0,N10+N42+N74)</f>
        <v>0</v>
      </c>
      <c r="P10" s="111">
        <f>IF(COUNT($H10:O10)&gt;=Input!$Y$7,0,O10+O42+O74)</f>
        <v>0</v>
      </c>
      <c r="Q10" s="111">
        <f>IF(COUNT($H10:P10)&gt;=Input!$Y$7,0,P10+P42+P74)</f>
        <v>0</v>
      </c>
      <c r="R10" s="111"/>
      <c r="S10" s="100"/>
      <c r="T10" s="100"/>
      <c r="U10" s="100"/>
      <c r="V10" s="100"/>
      <c r="W10" s="100"/>
      <c r="X10" s="100"/>
      <c r="Y10" s="100"/>
      <c r="Z10" s="100"/>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1"/>
      <c r="BL10" s="221"/>
    </row>
    <row r="11" spans="1:256" hidden="1" outlineLevel="1">
      <c r="A11" s="9"/>
      <c r="B11" s="9"/>
      <c r="C11" s="44"/>
      <c r="D11" s="270" t="str">
        <f>Asset4</f>
        <v>Reactive</v>
      </c>
      <c r="E11" s="9"/>
      <c r="F11" s="9"/>
      <c r="G11" s="201">
        <f>'Actual RAB roll forward'!G473</f>
        <v>83.253732687574384</v>
      </c>
      <c r="H11" s="111">
        <f t="shared" si="3"/>
        <v>87.678038523711535</v>
      </c>
      <c r="I11" s="111">
        <f t="shared" si="4"/>
        <v>88.469875763215654</v>
      </c>
      <c r="J11" s="111">
        <f t="shared" si="4"/>
        <v>87.495692367126736</v>
      </c>
      <c r="K11" s="111">
        <f t="shared" si="4"/>
        <v>85.578624042900202</v>
      </c>
      <c r="L11" s="111">
        <f t="shared" si="4"/>
        <v>85.060218018164875</v>
      </c>
      <c r="M11" s="111">
        <f t="shared" si="4"/>
        <v>82.905969365585491</v>
      </c>
      <c r="N11" s="111">
        <f>IF(COUNT($H11:M11)&gt;=Input!$Y$7,0,M11+M43+M75)</f>
        <v>0</v>
      </c>
      <c r="O11" s="111">
        <f>IF(COUNT($H11:N11)&gt;=Input!$Y$7,0,N11+N43+N75)</f>
        <v>0</v>
      </c>
      <c r="P11" s="111">
        <f>IF(COUNT($H11:O11)&gt;=Input!$Y$7,0,O11+O43+O75)</f>
        <v>0</v>
      </c>
      <c r="Q11" s="111">
        <f>IF(COUNT($H11:P11)&gt;=Input!$Y$7,0,P11+P43+P75)</f>
        <v>0</v>
      </c>
      <c r="R11" s="111"/>
      <c r="S11" s="100"/>
      <c r="T11" s="100"/>
      <c r="U11" s="100"/>
      <c r="V11" s="100"/>
      <c r="W11" s="100"/>
      <c r="X11" s="100"/>
      <c r="Y11" s="100"/>
      <c r="Z11" s="100"/>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1"/>
      <c r="BL11" s="221"/>
    </row>
    <row r="12" spans="1:256" hidden="1" outlineLevel="1">
      <c r="A12" s="9"/>
      <c r="B12" s="9"/>
      <c r="C12" s="44"/>
      <c r="D12" s="270" t="str">
        <f>Asset5</f>
        <v>Towers and Conductor</v>
      </c>
      <c r="E12" s="9"/>
      <c r="F12" s="9"/>
      <c r="G12" s="201">
        <f>'Actual RAB roll forward'!G474</f>
        <v>984.93801110802451</v>
      </c>
      <c r="H12" s="111">
        <f t="shared" si="3"/>
        <v>1044.452748092953</v>
      </c>
      <c r="I12" s="111">
        <f t="shared" si="4"/>
        <v>1053.8828413021693</v>
      </c>
      <c r="J12" s="111">
        <f t="shared" si="4"/>
        <v>1052.9299642250808</v>
      </c>
      <c r="K12" s="111">
        <f t="shared" si="4"/>
        <v>1067.3607744629628</v>
      </c>
      <c r="L12" s="111">
        <f t="shared" si="4"/>
        <v>1093.4699750601903</v>
      </c>
      <c r="M12" s="111">
        <f t="shared" si="4"/>
        <v>1099.6901477398671</v>
      </c>
      <c r="N12" s="111">
        <f>IF(COUNT($H12:M12)&gt;=Input!$Y$7,0,M12+M44+M76)</f>
        <v>0</v>
      </c>
      <c r="O12" s="111">
        <f>IF(COUNT($H12:N12)&gt;=Input!$Y$7,0,N12+N44+N76)</f>
        <v>0</v>
      </c>
      <c r="P12" s="111">
        <f>IF(COUNT($H12:O12)&gt;=Input!$Y$7,0,O12+O44+O76)</f>
        <v>0</v>
      </c>
      <c r="Q12" s="111">
        <f>IF(COUNT($H12:P12)&gt;=Input!$Y$7,0,P12+P44+P76)</f>
        <v>0</v>
      </c>
      <c r="R12" s="111"/>
      <c r="S12" s="100"/>
      <c r="T12" s="100"/>
      <c r="U12" s="100"/>
      <c r="V12" s="100"/>
      <c r="W12" s="100"/>
      <c r="X12" s="100"/>
      <c r="Y12" s="100"/>
      <c r="Z12" s="100"/>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1"/>
      <c r="BL12" s="221"/>
    </row>
    <row r="13" spans="1:256" hidden="1" outlineLevel="1">
      <c r="A13" s="9"/>
      <c r="B13" s="9"/>
      <c r="C13" s="44"/>
      <c r="D13" s="270" t="str">
        <f>Asset6</f>
        <v>Establishment</v>
      </c>
      <c r="E13" s="9"/>
      <c r="F13" s="9"/>
      <c r="G13" s="201">
        <f>'Actual RAB roll forward'!G475</f>
        <v>79.839482548432514</v>
      </c>
      <c r="H13" s="111">
        <f t="shared" si="3"/>
        <v>99.813803729564498</v>
      </c>
      <c r="I13" s="111">
        <f t="shared" si="4"/>
        <v>111.15579706185812</v>
      </c>
      <c r="J13" s="111">
        <f t="shared" si="4"/>
        <v>120.52611952435421</v>
      </c>
      <c r="K13" s="111">
        <f t="shared" si="4"/>
        <v>123.13302893792525</v>
      </c>
      <c r="L13" s="111">
        <f t="shared" si="4"/>
        <v>134.00858801397573</v>
      </c>
      <c r="M13" s="111">
        <f t="shared" si="4"/>
        <v>141.88231645875879</v>
      </c>
      <c r="N13" s="111">
        <f>IF(COUNT($H13:M13)&gt;=Input!$Y$7,0,M13+M45+M77)</f>
        <v>0</v>
      </c>
      <c r="O13" s="111">
        <f>IF(COUNT($H13:N13)&gt;=Input!$Y$7,0,N13+N45+N77)</f>
        <v>0</v>
      </c>
      <c r="P13" s="111">
        <f>IF(COUNT($H13:O13)&gt;=Input!$Y$7,0,O13+O45+O77)</f>
        <v>0</v>
      </c>
      <c r="Q13" s="111">
        <f>IF(COUNT($H13:P13)&gt;=Input!$Y$7,0,P13+P45+P77)</f>
        <v>0</v>
      </c>
      <c r="R13" s="111"/>
      <c r="S13" s="100"/>
      <c r="T13" s="100"/>
      <c r="U13" s="100"/>
      <c r="V13" s="100"/>
      <c r="W13" s="100"/>
      <c r="X13" s="100"/>
      <c r="Y13" s="100"/>
      <c r="Z13" s="100"/>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1"/>
      <c r="BL13" s="221"/>
    </row>
    <row r="14" spans="1:256" hidden="1" outlineLevel="1">
      <c r="A14" s="9"/>
      <c r="B14" s="9"/>
      <c r="C14" s="44"/>
      <c r="D14" s="270" t="str">
        <f>Asset7</f>
        <v>Communications</v>
      </c>
      <c r="E14" s="9"/>
      <c r="F14" s="9"/>
      <c r="G14" s="201">
        <f>'Actual RAB roll forward'!G476</f>
        <v>36.743106530439206</v>
      </c>
      <c r="H14" s="111">
        <f t="shared" si="3"/>
        <v>8.1938315503739449</v>
      </c>
      <c r="I14" s="111">
        <f t="shared" si="4"/>
        <v>14.895757964189402</v>
      </c>
      <c r="J14" s="111">
        <f t="shared" si="4"/>
        <v>33.75557812710997</v>
      </c>
      <c r="K14" s="111">
        <f t="shared" si="4"/>
        <v>37.705923588405803</v>
      </c>
      <c r="L14" s="111">
        <f t="shared" si="4"/>
        <v>40.080073198758392</v>
      </c>
      <c r="M14" s="111">
        <f t="shared" si="4"/>
        <v>42.39955469901313</v>
      </c>
      <c r="N14" s="111">
        <f>IF(COUNT($H14:M14)&gt;=Input!$Y$7,0,M14+M46+M78)</f>
        <v>0</v>
      </c>
      <c r="O14" s="111">
        <f>IF(COUNT($H14:N14)&gt;=Input!$Y$7,0,N14+N46+N78)</f>
        <v>0</v>
      </c>
      <c r="P14" s="111">
        <f>IF(COUNT($H14:O14)&gt;=Input!$Y$7,0,O14+O46+O78)</f>
        <v>0</v>
      </c>
      <c r="Q14" s="111">
        <f>IF(COUNT($H14:P14)&gt;=Input!$Y$7,0,P14+P46+P78)</f>
        <v>0</v>
      </c>
      <c r="R14" s="111"/>
      <c r="S14" s="100"/>
      <c r="T14" s="100"/>
      <c r="U14" s="100"/>
      <c r="V14" s="100"/>
      <c r="W14" s="100"/>
      <c r="X14" s="100"/>
      <c r="Y14" s="100"/>
      <c r="Z14" s="100"/>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1"/>
      <c r="BL14" s="221"/>
    </row>
    <row r="15" spans="1:256" hidden="1" outlineLevel="1">
      <c r="A15" s="9"/>
      <c r="B15" s="9"/>
      <c r="C15" s="44"/>
      <c r="D15" s="270" t="str">
        <f>Asset8</f>
        <v>Inventory</v>
      </c>
      <c r="E15" s="9"/>
      <c r="F15" s="9"/>
      <c r="G15" s="201">
        <f>'Actual RAB roll forward'!G477</f>
        <v>4.7007864066062357</v>
      </c>
      <c r="H15" s="111">
        <f t="shared" si="3"/>
        <v>7.3396858953920949</v>
      </c>
      <c r="I15" s="111">
        <f t="shared" si="4"/>
        <v>7.6101677616182872</v>
      </c>
      <c r="J15" s="111">
        <f t="shared" si="4"/>
        <v>7.770623105989757</v>
      </c>
      <c r="K15" s="111">
        <f t="shared" si="4"/>
        <v>7.9769228344673619</v>
      </c>
      <c r="L15" s="111">
        <f t="shared" si="4"/>
        <v>8.2244825086404862</v>
      </c>
      <c r="M15" s="111">
        <f t="shared" si="4"/>
        <v>8.4057837262658293</v>
      </c>
      <c r="N15" s="111">
        <f>IF(COUNT($H15:M15)&gt;=Input!$Y$7,0,M15+M47+M79)</f>
        <v>0</v>
      </c>
      <c r="O15" s="111">
        <f>IF(COUNT($H15:N15)&gt;=Input!$Y$7,0,N15+N47+N79)</f>
        <v>0</v>
      </c>
      <c r="P15" s="111">
        <f>IF(COUNT($H15:O15)&gt;=Input!$Y$7,0,O15+O47+O79)</f>
        <v>0</v>
      </c>
      <c r="Q15" s="111">
        <f>IF(COUNT($H15:P15)&gt;=Input!$Y$7,0,P15+P47+P79)</f>
        <v>0</v>
      </c>
      <c r="R15" s="111"/>
      <c r="S15" s="100"/>
      <c r="T15" s="100"/>
      <c r="U15" s="100"/>
      <c r="V15" s="100"/>
      <c r="W15" s="100"/>
      <c r="X15" s="100"/>
      <c r="Y15" s="100"/>
      <c r="Z15" s="100"/>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1"/>
      <c r="BL15" s="221"/>
    </row>
    <row r="16" spans="1:256" hidden="1" outlineLevel="1">
      <c r="A16" s="9"/>
      <c r="B16" s="9"/>
      <c r="C16" s="44"/>
      <c r="D16" s="270" t="str">
        <f>Asset9</f>
        <v>IT</v>
      </c>
      <c r="E16" s="9"/>
      <c r="F16" s="9"/>
      <c r="G16" s="201">
        <f>'Actual RAB roll forward'!G478</f>
        <v>16.14271263150075</v>
      </c>
      <c r="H16" s="111">
        <f t="shared" si="3"/>
        <v>42.630945805012978</v>
      </c>
      <c r="I16" s="111">
        <f t="shared" si="4"/>
        <v>45.733824261653368</v>
      </c>
      <c r="J16" s="111">
        <f t="shared" si="4"/>
        <v>46.335260292747563</v>
      </c>
      <c r="K16" s="111">
        <f t="shared" si="4"/>
        <v>50.878058083326529</v>
      </c>
      <c r="L16" s="111">
        <f t="shared" si="4"/>
        <v>55.253162612062127</v>
      </c>
      <c r="M16" s="111">
        <f t="shared" si="4"/>
        <v>63.512346243522224</v>
      </c>
      <c r="N16" s="111">
        <f>IF(COUNT($H16:M16)&gt;=Input!$Y$7,0,M16+M48+M80)</f>
        <v>0</v>
      </c>
      <c r="O16" s="111">
        <f>IF(COUNT($H16:N16)&gt;=Input!$Y$7,0,N16+N48+N80)</f>
        <v>0</v>
      </c>
      <c r="P16" s="111">
        <f>IF(COUNT($H16:O16)&gt;=Input!$Y$7,0,O16+O48+O80)</f>
        <v>0</v>
      </c>
      <c r="Q16" s="111">
        <f>IF(COUNT($H16:P16)&gt;=Input!$Y$7,0,P16+P48+P80)</f>
        <v>0</v>
      </c>
      <c r="R16" s="111"/>
      <c r="S16" s="100"/>
      <c r="T16" s="100"/>
      <c r="U16" s="100"/>
      <c r="V16" s="100"/>
      <c r="W16" s="100"/>
      <c r="X16" s="100"/>
      <c r="Y16" s="100"/>
      <c r="Z16" s="100"/>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1"/>
      <c r="BL16" s="221"/>
    </row>
    <row r="17" spans="1:64" hidden="1" outlineLevel="1">
      <c r="A17" s="9"/>
      <c r="B17" s="9"/>
      <c r="C17" s="44"/>
      <c r="D17" s="270" t="str">
        <f>Asset10</f>
        <v>Vehicles</v>
      </c>
      <c r="E17" s="9"/>
      <c r="F17" s="9"/>
      <c r="G17" s="201">
        <f>'Actual RAB roll forward'!G479</f>
        <v>3.8998256791301116</v>
      </c>
      <c r="H17" s="111">
        <f t="shared" si="3"/>
        <v>4.1948540252504873</v>
      </c>
      <c r="I17" s="111">
        <f t="shared" si="4"/>
        <v>3.9193820079226485</v>
      </c>
      <c r="J17" s="111">
        <f t="shared" si="4"/>
        <v>3.3026536189901927</v>
      </c>
      <c r="K17" s="111">
        <f t="shared" si="4"/>
        <v>2.3518553018032087</v>
      </c>
      <c r="L17" s="111">
        <f t="shared" si="4"/>
        <v>2.3109094017920619</v>
      </c>
      <c r="M17" s="111">
        <f t="shared" si="4"/>
        <v>3.6772597945514116</v>
      </c>
      <c r="N17" s="111">
        <f>IF(COUNT($H17:M17)&gt;=Input!$Y$7,0,M17+M49+M81)</f>
        <v>0</v>
      </c>
      <c r="O17" s="111">
        <f>IF(COUNT($H17:N17)&gt;=Input!$Y$7,0,N17+N49+N81)</f>
        <v>0</v>
      </c>
      <c r="P17" s="111">
        <f>IF(COUNT($H17:O17)&gt;=Input!$Y$7,0,O17+O49+O81)</f>
        <v>0</v>
      </c>
      <c r="Q17" s="111">
        <f>IF(COUNT($H17:P17)&gt;=Input!$Y$7,0,P17+P49+P81)</f>
        <v>0</v>
      </c>
      <c r="R17" s="111"/>
      <c r="S17" s="100"/>
      <c r="T17" s="100"/>
      <c r="U17" s="100"/>
      <c r="V17" s="100"/>
      <c r="W17" s="100"/>
      <c r="X17" s="100"/>
      <c r="Y17" s="100"/>
      <c r="Z17" s="100"/>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1"/>
      <c r="BL17" s="221"/>
    </row>
    <row r="18" spans="1:64" hidden="1" outlineLevel="1">
      <c r="A18" s="9"/>
      <c r="B18" s="9"/>
      <c r="C18" s="44"/>
      <c r="D18" s="270" t="str">
        <f>Asset11</f>
        <v>other</v>
      </c>
      <c r="E18" s="9"/>
      <c r="F18" s="9"/>
      <c r="G18" s="201">
        <f>'Actual RAB roll forward'!G480</f>
        <v>3.8757526879064059</v>
      </c>
      <c r="H18" s="111">
        <f t="shared" si="3"/>
        <v>12.83862977015842</v>
      </c>
      <c r="I18" s="111">
        <f t="shared" si="4"/>
        <v>15.59783132462011</v>
      </c>
      <c r="J18" s="111">
        <f t="shared" si="4"/>
        <v>16.888229264966313</v>
      </c>
      <c r="K18" s="111">
        <f t="shared" si="4"/>
        <v>18.612538678813451</v>
      </c>
      <c r="L18" s="111">
        <f t="shared" si="4"/>
        <v>18.786129295236577</v>
      </c>
      <c r="M18" s="111">
        <f t="shared" si="4"/>
        <v>19.203861963060486</v>
      </c>
      <c r="N18" s="111">
        <f>IF(COUNT($H18:M18)&gt;=Input!$Y$7,0,M18+M50+M82)</f>
        <v>0</v>
      </c>
      <c r="O18" s="111">
        <f>IF(COUNT($H18:N18)&gt;=Input!$Y$7,0,N18+N50+N82)</f>
        <v>0</v>
      </c>
      <c r="P18" s="111">
        <f>IF(COUNT($H18:O18)&gt;=Input!$Y$7,0,O18+O50+O82)</f>
        <v>0</v>
      </c>
      <c r="Q18" s="111">
        <f>IF(COUNT($H18:P18)&gt;=Input!$Y$7,0,P18+P50+P82)</f>
        <v>0</v>
      </c>
      <c r="R18" s="111"/>
      <c r="S18" s="100"/>
      <c r="T18" s="100"/>
      <c r="U18" s="100"/>
      <c r="V18" s="100"/>
      <c r="W18" s="100"/>
      <c r="X18" s="100"/>
      <c r="Y18" s="100"/>
      <c r="Z18" s="100"/>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1"/>
      <c r="BL18" s="221"/>
    </row>
    <row r="19" spans="1:64" hidden="1" outlineLevel="1">
      <c r="A19" s="9"/>
      <c r="B19" s="9"/>
      <c r="C19" s="44"/>
      <c r="D19" s="270" t="str">
        <f>Asset12</f>
        <v>premises</v>
      </c>
      <c r="E19" s="9"/>
      <c r="F19" s="9"/>
      <c r="G19" s="201">
        <f>'Actual RAB roll forward'!G481</f>
        <v>5.2657279599188227</v>
      </c>
      <c r="H19" s="111">
        <f t="shared" si="3"/>
        <v>8.4078322708407711</v>
      </c>
      <c r="I19" s="111">
        <f t="shared" si="4"/>
        <v>7.5457103279380924</v>
      </c>
      <c r="J19" s="111">
        <f t="shared" si="4"/>
        <v>6.4692178923447372</v>
      </c>
      <c r="K19" s="111">
        <f t="shared" si="4"/>
        <v>5.358020565222839</v>
      </c>
      <c r="L19" s="111">
        <f t="shared" si="4"/>
        <v>4.5465837928136903</v>
      </c>
      <c r="M19" s="111">
        <f t="shared" si="4"/>
        <v>3.6249093656521296</v>
      </c>
      <c r="N19" s="111">
        <f>IF(COUNT($H19:M19)&gt;=Input!$Y$7,0,M19+M51+M83)</f>
        <v>0</v>
      </c>
      <c r="O19" s="111">
        <f>IF(COUNT($H19:N19)&gt;=Input!$Y$7,0,N19+N51+N83)</f>
        <v>0</v>
      </c>
      <c r="P19" s="111">
        <f>IF(COUNT($H19:O19)&gt;=Input!$Y$7,0,O19+O51+O83)</f>
        <v>0</v>
      </c>
      <c r="Q19" s="111">
        <f>IF(COUNT($H19:P19)&gt;=Input!$Y$7,0,P19+P51+P83)</f>
        <v>0</v>
      </c>
      <c r="R19" s="111"/>
      <c r="S19" s="100"/>
      <c r="T19" s="100"/>
      <c r="U19" s="100"/>
      <c r="V19" s="100"/>
      <c r="W19" s="100"/>
      <c r="X19" s="100"/>
      <c r="Y19" s="100"/>
      <c r="Z19" s="100"/>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1"/>
      <c r="BL19" s="221"/>
    </row>
    <row r="20" spans="1:64" hidden="1" outlineLevel="1">
      <c r="A20" s="9"/>
      <c r="B20" s="9"/>
      <c r="C20" s="44"/>
      <c r="D20" s="270" t="str">
        <f>Asset13</f>
        <v>Land</v>
      </c>
      <c r="E20" s="9"/>
      <c r="F20" s="9"/>
      <c r="G20" s="201">
        <f>'Actual RAB roll forward'!G482</f>
        <v>96.385254729241879</v>
      </c>
      <c r="H20" s="111">
        <f t="shared" si="3"/>
        <v>95.756770018212507</v>
      </c>
      <c r="I20" s="111">
        <f t="shared" si="4"/>
        <v>99.285595396772493</v>
      </c>
      <c r="J20" s="111">
        <f t="shared" si="4"/>
        <v>101.37896638405384</v>
      </c>
      <c r="K20" s="111">
        <f t="shared" si="4"/>
        <v>103.57368293686469</v>
      </c>
      <c r="L20" s="111">
        <f t="shared" si="4"/>
        <v>105.77134327406523</v>
      </c>
      <c r="M20" s="111">
        <f t="shared" si="4"/>
        <v>108.10297609173001</v>
      </c>
      <c r="N20" s="111">
        <f>IF(COUNT($H20:M20)&gt;=Input!$Y$7,0,M20+M52+M84)</f>
        <v>0</v>
      </c>
      <c r="O20" s="111">
        <f>IF(COUNT($H20:N20)&gt;=Input!$Y$7,0,N20+N52+N84)</f>
        <v>0</v>
      </c>
      <c r="P20" s="111">
        <f>IF(COUNT($H20:O20)&gt;=Input!$Y$7,0,O20+O52+O84)</f>
        <v>0</v>
      </c>
      <c r="Q20" s="111">
        <f>IF(COUNT($H20:P20)&gt;=Input!$Y$7,0,P20+P52+P84)</f>
        <v>0</v>
      </c>
      <c r="R20" s="111"/>
      <c r="S20" s="100"/>
      <c r="T20" s="100"/>
      <c r="U20" s="100"/>
      <c r="V20" s="100"/>
      <c r="W20" s="100"/>
      <c r="X20" s="100"/>
      <c r="Y20" s="100"/>
      <c r="Z20" s="100"/>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1"/>
      <c r="BL20" s="221"/>
    </row>
    <row r="21" spans="1:64" hidden="1" outlineLevel="1">
      <c r="A21" s="9"/>
      <c r="B21" s="9"/>
      <c r="C21" s="44"/>
      <c r="D21" s="270" t="str">
        <f>Asset14</f>
        <v>Easements</v>
      </c>
      <c r="E21" s="9"/>
      <c r="F21" s="9"/>
      <c r="G21" s="201">
        <f>'Actual RAB roll forward'!G483</f>
        <v>106.13037685559563</v>
      </c>
      <c r="H21" s="111">
        <f t="shared" si="3"/>
        <v>108.97377932420517</v>
      </c>
      <c r="I21" s="111">
        <f t="shared" si="4"/>
        <v>112.9896775004251</v>
      </c>
      <c r="J21" s="111">
        <f t="shared" si="4"/>
        <v>115.37198997784371</v>
      </c>
      <c r="K21" s="111">
        <f t="shared" si="4"/>
        <v>118.4349631630962</v>
      </c>
      <c r="L21" s="111">
        <f t="shared" si="4"/>
        <v>122.11053098539918</v>
      </c>
      <c r="M21" s="111">
        <f t="shared" si="4"/>
        <v>124.80234629770258</v>
      </c>
      <c r="N21" s="111">
        <f>IF(COUNT($H21:M21)&gt;=Input!$Y$7,0,M21+M53+M85)</f>
        <v>0</v>
      </c>
      <c r="O21" s="111">
        <f>IF(COUNT($H21:N21)&gt;=Input!$Y$7,0,N21+N53+N85)</f>
        <v>0</v>
      </c>
      <c r="P21" s="111">
        <f>IF(COUNT($H21:O21)&gt;=Input!$Y$7,0,O21+O53+O85)</f>
        <v>0</v>
      </c>
      <c r="Q21" s="111">
        <f>IF(COUNT($H21:P21)&gt;=Input!$Y$7,0,P21+P53+P85)</f>
        <v>0</v>
      </c>
      <c r="R21" s="111"/>
      <c r="S21" s="100"/>
      <c r="T21" s="100"/>
      <c r="U21" s="100"/>
      <c r="V21" s="100"/>
      <c r="W21" s="100"/>
      <c r="X21" s="100"/>
      <c r="Y21" s="100"/>
      <c r="Z21" s="100"/>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1"/>
      <c r="BL21" s="221"/>
    </row>
    <row r="22" spans="1:64" hidden="1" outlineLevel="1">
      <c r="A22" s="9"/>
      <c r="B22" s="9"/>
      <c r="C22" s="44"/>
      <c r="D22" s="270">
        <f>Asset15</f>
        <v>0</v>
      </c>
      <c r="E22" s="9"/>
      <c r="F22" s="9"/>
      <c r="G22" s="201">
        <f>'Actual RAB roll forward'!G484</f>
        <v>0</v>
      </c>
      <c r="H22" s="111">
        <f t="shared" si="3"/>
        <v>0</v>
      </c>
      <c r="I22" s="111">
        <f t="shared" si="4"/>
        <v>0</v>
      </c>
      <c r="J22" s="111">
        <f t="shared" si="4"/>
        <v>0</v>
      </c>
      <c r="K22" s="111">
        <f t="shared" si="4"/>
        <v>0</v>
      </c>
      <c r="L22" s="111">
        <f t="shared" si="4"/>
        <v>0</v>
      </c>
      <c r="M22" s="111">
        <f t="shared" si="4"/>
        <v>0</v>
      </c>
      <c r="N22" s="111">
        <f>IF(COUNT($H22:M22)&gt;=Input!$Y$7,0,M22+M54+M86)</f>
        <v>0</v>
      </c>
      <c r="O22" s="111">
        <f>IF(COUNT($H22:N22)&gt;=Input!$Y$7,0,N22+N54+N86)</f>
        <v>0</v>
      </c>
      <c r="P22" s="111">
        <f>IF(COUNT($H22:O22)&gt;=Input!$Y$7,0,O22+O54+O86)</f>
        <v>0</v>
      </c>
      <c r="Q22" s="111">
        <f>IF(COUNT($H22:P22)&gt;=Input!$Y$7,0,P22+P54+P86)</f>
        <v>0</v>
      </c>
      <c r="R22" s="111"/>
      <c r="S22" s="100"/>
      <c r="T22" s="100"/>
      <c r="U22" s="100"/>
      <c r="V22" s="100"/>
      <c r="W22" s="100"/>
      <c r="X22" s="100"/>
      <c r="Y22" s="100"/>
      <c r="Z22" s="100"/>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1"/>
      <c r="BL22" s="221"/>
    </row>
    <row r="23" spans="1:64" hidden="1" outlineLevel="1">
      <c r="A23" s="9"/>
      <c r="B23" s="9"/>
      <c r="C23" s="44"/>
      <c r="D23" s="270">
        <f>Asset16</f>
        <v>0</v>
      </c>
      <c r="E23" s="9"/>
      <c r="F23" s="9"/>
      <c r="G23" s="201">
        <f>'Actual RAB roll forward'!G485</f>
        <v>0</v>
      </c>
      <c r="H23" s="111">
        <f t="shared" si="3"/>
        <v>0</v>
      </c>
      <c r="I23" s="111">
        <f t="shared" si="4"/>
        <v>0</v>
      </c>
      <c r="J23" s="111">
        <f t="shared" si="4"/>
        <v>0</v>
      </c>
      <c r="K23" s="111">
        <f t="shared" si="4"/>
        <v>0</v>
      </c>
      <c r="L23" s="111">
        <f t="shared" si="4"/>
        <v>0</v>
      </c>
      <c r="M23" s="111">
        <f t="shared" si="4"/>
        <v>0</v>
      </c>
      <c r="N23" s="111">
        <f>IF(COUNT($H23:M23)&gt;=Input!$Y$7,0,M23+M55+M87)</f>
        <v>0</v>
      </c>
      <c r="O23" s="111">
        <f>IF(COUNT($H23:N23)&gt;=Input!$Y$7,0,N23+N55+N87)</f>
        <v>0</v>
      </c>
      <c r="P23" s="111">
        <f>IF(COUNT($H23:O23)&gt;=Input!$Y$7,0,O23+O55+O87)</f>
        <v>0</v>
      </c>
      <c r="Q23" s="111">
        <f>IF(COUNT($H23:P23)&gt;=Input!$Y$7,0,P23+P55+P87)</f>
        <v>0</v>
      </c>
      <c r="R23" s="111"/>
      <c r="S23" s="100"/>
      <c r="T23" s="100"/>
      <c r="U23" s="100"/>
      <c r="V23" s="100"/>
      <c r="W23" s="100"/>
      <c r="X23" s="100"/>
      <c r="Y23" s="100"/>
      <c r="Z23" s="100"/>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1"/>
      <c r="BL23" s="221"/>
    </row>
    <row r="24" spans="1:64" hidden="1" outlineLevel="1">
      <c r="A24" s="9"/>
      <c r="B24" s="9"/>
      <c r="C24" s="44"/>
      <c r="D24" s="270">
        <f>Asset17</f>
        <v>0</v>
      </c>
      <c r="E24" s="9"/>
      <c r="F24" s="9"/>
      <c r="G24" s="201">
        <f>'Actual RAB roll forward'!G486</f>
        <v>0</v>
      </c>
      <c r="H24" s="111">
        <f t="shared" si="3"/>
        <v>0</v>
      </c>
      <c r="I24" s="111">
        <f t="shared" si="4"/>
        <v>0</v>
      </c>
      <c r="J24" s="111">
        <f t="shared" si="4"/>
        <v>0</v>
      </c>
      <c r="K24" s="111">
        <f t="shared" si="4"/>
        <v>0</v>
      </c>
      <c r="L24" s="111">
        <f t="shared" si="4"/>
        <v>0</v>
      </c>
      <c r="M24" s="111">
        <f t="shared" si="4"/>
        <v>0</v>
      </c>
      <c r="N24" s="111">
        <f>IF(COUNT($H24:M24)&gt;=Input!$Y$7,0,M24+M56+M88)</f>
        <v>0</v>
      </c>
      <c r="O24" s="111">
        <f>IF(COUNT($H24:N24)&gt;=Input!$Y$7,0,N24+N56+N88)</f>
        <v>0</v>
      </c>
      <c r="P24" s="111">
        <f>IF(COUNT($H24:O24)&gt;=Input!$Y$7,0,O24+O56+O88)</f>
        <v>0</v>
      </c>
      <c r="Q24" s="111">
        <f>IF(COUNT($H24:P24)&gt;=Input!$Y$7,0,P24+P56+P88)</f>
        <v>0</v>
      </c>
      <c r="R24" s="111"/>
      <c r="S24" s="100"/>
      <c r="T24" s="100"/>
      <c r="U24" s="100"/>
      <c r="V24" s="100"/>
      <c r="W24" s="100"/>
      <c r="X24" s="100"/>
      <c r="Y24" s="100"/>
      <c r="Z24" s="100"/>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1"/>
      <c r="BL24" s="221"/>
    </row>
    <row r="25" spans="1:64" hidden="1" outlineLevel="1">
      <c r="A25" s="9"/>
      <c r="B25" s="9"/>
      <c r="C25" s="44"/>
      <c r="D25" s="270">
        <f>Asset18</f>
        <v>0</v>
      </c>
      <c r="E25" s="9"/>
      <c r="F25" s="9"/>
      <c r="G25" s="201">
        <f>'Actual RAB roll forward'!G487</f>
        <v>0</v>
      </c>
      <c r="H25" s="111">
        <f t="shared" ref="H25:H37" si="5">G25+G57+G89+G121+G153+G185+G217</f>
        <v>0</v>
      </c>
      <c r="I25" s="111">
        <f t="shared" si="4"/>
        <v>0</v>
      </c>
      <c r="J25" s="111">
        <f t="shared" si="4"/>
        <v>0</v>
      </c>
      <c r="K25" s="111">
        <f t="shared" si="4"/>
        <v>0</v>
      </c>
      <c r="L25" s="111">
        <f t="shared" si="4"/>
        <v>0</v>
      </c>
      <c r="M25" s="111">
        <f t="shared" si="4"/>
        <v>0</v>
      </c>
      <c r="N25" s="111">
        <f>IF(COUNT($H25:M25)&gt;=Input!$Y$7,0,M25+M57+M89)</f>
        <v>0</v>
      </c>
      <c r="O25" s="111">
        <f>IF(COUNT($H25:N25)&gt;=Input!$Y$7,0,N25+N57+N89)</f>
        <v>0</v>
      </c>
      <c r="P25" s="111">
        <f>IF(COUNT($H25:O25)&gt;=Input!$Y$7,0,O25+O57+O89)</f>
        <v>0</v>
      </c>
      <c r="Q25" s="111">
        <f>IF(COUNT($H25:P25)&gt;=Input!$Y$7,0,P25+P57+P89)</f>
        <v>0</v>
      </c>
      <c r="R25" s="111"/>
      <c r="S25" s="100"/>
      <c r="T25" s="100"/>
      <c r="U25" s="100"/>
      <c r="V25" s="100"/>
      <c r="W25" s="100"/>
      <c r="X25" s="100"/>
      <c r="Y25" s="100"/>
      <c r="Z25" s="100"/>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1"/>
      <c r="BL25" s="221"/>
    </row>
    <row r="26" spans="1:64" hidden="1" outlineLevel="1">
      <c r="A26" s="9"/>
      <c r="B26" s="9"/>
      <c r="C26" s="44"/>
      <c r="D26" s="270">
        <f>Asset19</f>
        <v>0</v>
      </c>
      <c r="E26" s="9"/>
      <c r="F26" s="9"/>
      <c r="G26" s="201">
        <f>'Actual RAB roll forward'!G488</f>
        <v>0</v>
      </c>
      <c r="H26" s="111">
        <f t="shared" si="5"/>
        <v>0</v>
      </c>
      <c r="I26" s="111">
        <f t="shared" si="4"/>
        <v>0</v>
      </c>
      <c r="J26" s="111">
        <f t="shared" si="4"/>
        <v>0</v>
      </c>
      <c r="K26" s="111">
        <f t="shared" si="4"/>
        <v>0</v>
      </c>
      <c r="L26" s="111">
        <f t="shared" si="4"/>
        <v>0</v>
      </c>
      <c r="M26" s="111">
        <f t="shared" si="4"/>
        <v>0</v>
      </c>
      <c r="N26" s="111">
        <f>IF(COUNT($H26:M26)&gt;=Input!$Y$7,0,M26+M58+M90)</f>
        <v>0</v>
      </c>
      <c r="O26" s="111">
        <f>IF(COUNT($H26:N26)&gt;=Input!$Y$7,0,N26+N58+N90)</f>
        <v>0</v>
      </c>
      <c r="P26" s="111">
        <f>IF(COUNT($H26:O26)&gt;=Input!$Y$7,0,O26+O58+O90)</f>
        <v>0</v>
      </c>
      <c r="Q26" s="111">
        <f>IF(COUNT($H26:P26)&gt;=Input!$Y$7,0,P26+P58+P90)</f>
        <v>0</v>
      </c>
      <c r="R26" s="111"/>
      <c r="S26" s="100"/>
      <c r="T26" s="100"/>
      <c r="U26" s="100"/>
      <c r="V26" s="100"/>
      <c r="W26" s="100"/>
      <c r="X26" s="100"/>
      <c r="Y26" s="100"/>
      <c r="Z26" s="100"/>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1"/>
      <c r="BL26" s="221"/>
    </row>
    <row r="27" spans="1:64" hidden="1" outlineLevel="1">
      <c r="A27" s="9"/>
      <c r="B27" s="9"/>
      <c r="C27" s="44"/>
      <c r="D27" s="270">
        <f>Asset20</f>
        <v>0</v>
      </c>
      <c r="E27" s="9"/>
      <c r="F27" s="9"/>
      <c r="G27" s="201">
        <f>'Actual RAB roll forward'!G489</f>
        <v>0</v>
      </c>
      <c r="H27" s="111">
        <f t="shared" si="5"/>
        <v>0</v>
      </c>
      <c r="I27" s="111">
        <f t="shared" si="4"/>
        <v>0</v>
      </c>
      <c r="J27" s="111">
        <f t="shared" si="4"/>
        <v>0</v>
      </c>
      <c r="K27" s="111">
        <f t="shared" si="4"/>
        <v>0</v>
      </c>
      <c r="L27" s="111">
        <f t="shared" si="4"/>
        <v>0</v>
      </c>
      <c r="M27" s="111">
        <f t="shared" si="4"/>
        <v>0</v>
      </c>
      <c r="N27" s="111">
        <f>IF(COUNT($H27:M27)&gt;=Input!$Y$7,0,M27+M59+M91)</f>
        <v>0</v>
      </c>
      <c r="O27" s="111">
        <f>IF(COUNT($H27:N27)&gt;=Input!$Y$7,0,N27+N59+N91)</f>
        <v>0</v>
      </c>
      <c r="P27" s="111">
        <f>IF(COUNT($H27:O27)&gt;=Input!$Y$7,0,O27+O59+O91)</f>
        <v>0</v>
      </c>
      <c r="Q27" s="111">
        <f>IF(COUNT($H27:P27)&gt;=Input!$Y$7,0,P27+P59+P91)</f>
        <v>0</v>
      </c>
      <c r="R27" s="111"/>
      <c r="S27" s="100"/>
      <c r="T27" s="100"/>
      <c r="U27" s="100"/>
      <c r="V27" s="100"/>
      <c r="W27" s="100"/>
      <c r="X27" s="100"/>
      <c r="Y27" s="100"/>
      <c r="Z27" s="100"/>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1"/>
      <c r="BL27" s="221"/>
    </row>
    <row r="28" spans="1:64" hidden="1" outlineLevel="1">
      <c r="A28" s="9"/>
      <c r="B28" s="9"/>
      <c r="C28" s="44"/>
      <c r="D28" s="270">
        <f>Asset21</f>
        <v>0</v>
      </c>
      <c r="E28" s="9"/>
      <c r="F28" s="9"/>
      <c r="G28" s="201">
        <f>'Actual RAB roll forward'!G490</f>
        <v>0</v>
      </c>
      <c r="H28" s="111">
        <f t="shared" si="5"/>
        <v>0</v>
      </c>
      <c r="I28" s="111">
        <f t="shared" si="4"/>
        <v>0</v>
      </c>
      <c r="J28" s="111">
        <f t="shared" si="4"/>
        <v>0</v>
      </c>
      <c r="K28" s="111">
        <f t="shared" si="4"/>
        <v>0</v>
      </c>
      <c r="L28" s="111">
        <f t="shared" si="4"/>
        <v>0</v>
      </c>
      <c r="M28" s="111">
        <f t="shared" si="4"/>
        <v>0</v>
      </c>
      <c r="N28" s="111">
        <f>IF(COUNT($H28:M28)&gt;=Input!$Y$7,0,M28+M60+M92)</f>
        <v>0</v>
      </c>
      <c r="O28" s="111">
        <f>IF(COUNT($H28:N28)&gt;=Input!$Y$7,0,N28+N60+N92)</f>
        <v>0</v>
      </c>
      <c r="P28" s="111">
        <f>IF(COUNT($H28:O28)&gt;=Input!$Y$7,0,O28+O60+O92)</f>
        <v>0</v>
      </c>
      <c r="Q28" s="111">
        <f>IF(COUNT($H28:P28)&gt;=Input!$Y$7,0,P28+P60+P92)</f>
        <v>0</v>
      </c>
      <c r="R28" s="111"/>
      <c r="S28" s="100"/>
      <c r="T28" s="100"/>
      <c r="U28" s="100"/>
      <c r="V28" s="100"/>
      <c r="W28" s="100"/>
      <c r="X28" s="100"/>
      <c r="Y28" s="100"/>
      <c r="Z28" s="100"/>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1"/>
      <c r="BL28" s="221"/>
    </row>
    <row r="29" spans="1:64" hidden="1" outlineLevel="1">
      <c r="A29" s="9"/>
      <c r="B29" s="9"/>
      <c r="C29" s="44"/>
      <c r="D29" s="270">
        <f>Asset22</f>
        <v>0</v>
      </c>
      <c r="E29" s="9"/>
      <c r="F29" s="9"/>
      <c r="G29" s="201">
        <f>'Actual RAB roll forward'!G491</f>
        <v>0</v>
      </c>
      <c r="H29" s="111">
        <f t="shared" si="5"/>
        <v>0</v>
      </c>
      <c r="I29" s="111">
        <f t="shared" si="4"/>
        <v>0</v>
      </c>
      <c r="J29" s="111">
        <f t="shared" si="4"/>
        <v>0</v>
      </c>
      <c r="K29" s="111">
        <f t="shared" si="4"/>
        <v>0</v>
      </c>
      <c r="L29" s="111">
        <f t="shared" si="4"/>
        <v>0</v>
      </c>
      <c r="M29" s="111">
        <f t="shared" si="4"/>
        <v>0</v>
      </c>
      <c r="N29" s="111">
        <f>IF(COUNT($H29:M29)&gt;=Input!$Y$7,0,M29+M61+M93)</f>
        <v>0</v>
      </c>
      <c r="O29" s="111">
        <f>IF(COUNT($H29:N29)&gt;=Input!$Y$7,0,N29+N61+N93)</f>
        <v>0</v>
      </c>
      <c r="P29" s="111">
        <f>IF(COUNT($H29:O29)&gt;=Input!$Y$7,0,O29+O61+O93)</f>
        <v>0</v>
      </c>
      <c r="Q29" s="111">
        <f>IF(COUNT($H29:P29)&gt;=Input!$Y$7,0,P29+P61+P93)</f>
        <v>0</v>
      </c>
      <c r="R29" s="111"/>
      <c r="S29" s="100"/>
      <c r="T29" s="100"/>
      <c r="U29" s="100"/>
      <c r="V29" s="100"/>
      <c r="W29" s="100"/>
      <c r="X29" s="100"/>
      <c r="Y29" s="100"/>
      <c r="Z29" s="100"/>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1"/>
      <c r="BL29" s="221"/>
    </row>
    <row r="30" spans="1:64" hidden="1" outlineLevel="1">
      <c r="A30" s="9"/>
      <c r="B30" s="9"/>
      <c r="C30" s="44"/>
      <c r="D30" s="270">
        <f>Asset23</f>
        <v>0</v>
      </c>
      <c r="E30" s="9"/>
      <c r="F30" s="9"/>
      <c r="G30" s="201">
        <f>'Actual RAB roll forward'!G492</f>
        <v>0</v>
      </c>
      <c r="H30" s="111">
        <f t="shared" si="5"/>
        <v>0</v>
      </c>
      <c r="I30" s="111">
        <f t="shared" si="4"/>
        <v>0</v>
      </c>
      <c r="J30" s="111">
        <f t="shared" si="4"/>
        <v>0</v>
      </c>
      <c r="K30" s="111">
        <f t="shared" si="4"/>
        <v>0</v>
      </c>
      <c r="L30" s="111">
        <f t="shared" si="4"/>
        <v>0</v>
      </c>
      <c r="M30" s="111">
        <f t="shared" si="4"/>
        <v>0</v>
      </c>
      <c r="N30" s="111">
        <f>IF(COUNT($H30:M30)&gt;=Input!$Y$7,0,M30+M62+M94)</f>
        <v>0</v>
      </c>
      <c r="O30" s="111">
        <f>IF(COUNT($H30:N30)&gt;=Input!$Y$7,0,N30+N62+N94)</f>
        <v>0</v>
      </c>
      <c r="P30" s="111">
        <f>IF(COUNT($H30:O30)&gt;=Input!$Y$7,0,O30+O62+O94)</f>
        <v>0</v>
      </c>
      <c r="Q30" s="111">
        <f>IF(COUNT($H30:P30)&gt;=Input!$Y$7,0,P30+P62+P94)</f>
        <v>0</v>
      </c>
      <c r="R30" s="111"/>
      <c r="S30" s="100"/>
      <c r="T30" s="100"/>
      <c r="U30" s="100"/>
      <c r="V30" s="100"/>
      <c r="W30" s="100"/>
      <c r="X30" s="100"/>
      <c r="Y30" s="100"/>
      <c r="Z30" s="100"/>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1"/>
      <c r="BL30" s="221"/>
    </row>
    <row r="31" spans="1:64" hidden="1" outlineLevel="1">
      <c r="A31" s="9"/>
      <c r="B31" s="9"/>
      <c r="C31" s="44"/>
      <c r="D31" s="270">
        <f>Asset24</f>
        <v>0</v>
      </c>
      <c r="E31" s="9"/>
      <c r="F31" s="9"/>
      <c r="G31" s="201">
        <f>'Actual RAB roll forward'!G493</f>
        <v>0</v>
      </c>
      <c r="H31" s="111">
        <f t="shared" si="5"/>
        <v>0</v>
      </c>
      <c r="I31" s="111">
        <f t="shared" si="4"/>
        <v>0</v>
      </c>
      <c r="J31" s="111">
        <f t="shared" si="4"/>
        <v>0</v>
      </c>
      <c r="K31" s="111">
        <f t="shared" si="4"/>
        <v>0</v>
      </c>
      <c r="L31" s="111">
        <f t="shared" si="4"/>
        <v>0</v>
      </c>
      <c r="M31" s="111">
        <f t="shared" si="4"/>
        <v>0</v>
      </c>
      <c r="N31" s="111">
        <f>IF(COUNT($H31:M31)&gt;=Input!$Y$7,0,M31+M63+M95)</f>
        <v>0</v>
      </c>
      <c r="O31" s="111">
        <f>IF(COUNT($H31:N31)&gt;=Input!$Y$7,0,N31+N63+N95)</f>
        <v>0</v>
      </c>
      <c r="P31" s="111">
        <f>IF(COUNT($H31:O31)&gt;=Input!$Y$7,0,O31+O63+O95)</f>
        <v>0</v>
      </c>
      <c r="Q31" s="111">
        <f>IF(COUNT($H31:P31)&gt;=Input!$Y$7,0,P31+P63+P95)</f>
        <v>0</v>
      </c>
      <c r="R31" s="111"/>
      <c r="S31" s="100"/>
      <c r="T31" s="100"/>
      <c r="U31" s="100"/>
      <c r="V31" s="100"/>
      <c r="W31" s="100"/>
      <c r="X31" s="100"/>
      <c r="Y31" s="100"/>
      <c r="Z31" s="100"/>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1"/>
      <c r="BL31" s="221"/>
    </row>
    <row r="32" spans="1:64" hidden="1" outlineLevel="1">
      <c r="A32" s="9"/>
      <c r="B32" s="9"/>
      <c r="C32" s="44"/>
      <c r="D32" s="270">
        <f>Asset25</f>
        <v>0</v>
      </c>
      <c r="E32" s="9"/>
      <c r="F32" s="9"/>
      <c r="G32" s="201">
        <f>'Actual RAB roll forward'!G494</f>
        <v>0</v>
      </c>
      <c r="H32" s="111">
        <f t="shared" si="5"/>
        <v>0</v>
      </c>
      <c r="I32" s="111">
        <f t="shared" si="4"/>
        <v>0</v>
      </c>
      <c r="J32" s="111">
        <f t="shared" si="4"/>
        <v>0</v>
      </c>
      <c r="K32" s="111">
        <f t="shared" si="4"/>
        <v>0</v>
      </c>
      <c r="L32" s="111">
        <f t="shared" si="4"/>
        <v>0</v>
      </c>
      <c r="M32" s="111">
        <f t="shared" si="4"/>
        <v>0</v>
      </c>
      <c r="N32" s="111">
        <f>IF(COUNT($H32:M32)&gt;=Input!$Y$7,0,M32+M64+M96)</f>
        <v>0</v>
      </c>
      <c r="O32" s="111">
        <f>IF(COUNT($H32:N32)&gt;=Input!$Y$7,0,N32+N64+N96)</f>
        <v>0</v>
      </c>
      <c r="P32" s="111">
        <f>IF(COUNT($H32:O32)&gt;=Input!$Y$7,0,O32+O64+O96)</f>
        <v>0</v>
      </c>
      <c r="Q32" s="111">
        <f>IF(COUNT($H32:P32)&gt;=Input!$Y$7,0,P32+P64+P96)</f>
        <v>0</v>
      </c>
      <c r="R32" s="111"/>
      <c r="S32" s="100"/>
      <c r="T32" s="100"/>
      <c r="U32" s="100"/>
      <c r="V32" s="100"/>
      <c r="W32" s="100"/>
      <c r="X32" s="100"/>
      <c r="Y32" s="100"/>
      <c r="Z32" s="100"/>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1"/>
      <c r="BL32" s="221"/>
    </row>
    <row r="33" spans="1:64" hidden="1" outlineLevel="1">
      <c r="A33" s="9"/>
      <c r="B33" s="9"/>
      <c r="C33" s="44"/>
      <c r="D33" s="270">
        <f>Asset26</f>
        <v>0</v>
      </c>
      <c r="E33" s="9"/>
      <c r="F33" s="9"/>
      <c r="G33" s="201">
        <f>'Actual RAB roll forward'!G495</f>
        <v>0</v>
      </c>
      <c r="H33" s="111">
        <f t="shared" si="5"/>
        <v>0</v>
      </c>
      <c r="I33" s="111">
        <f t="shared" si="4"/>
        <v>0</v>
      </c>
      <c r="J33" s="111">
        <f t="shared" si="4"/>
        <v>0</v>
      </c>
      <c r="K33" s="111">
        <f t="shared" si="4"/>
        <v>0</v>
      </c>
      <c r="L33" s="111">
        <f t="shared" si="4"/>
        <v>0</v>
      </c>
      <c r="M33" s="111">
        <f t="shared" si="4"/>
        <v>0</v>
      </c>
      <c r="N33" s="111">
        <f>IF(COUNT($H33:M33)&gt;=Input!$Y$7,0,M33+M65+M97)</f>
        <v>0</v>
      </c>
      <c r="O33" s="111">
        <f>IF(COUNT($H33:N33)&gt;=Input!$Y$7,0,N33+N65+N97)</f>
        <v>0</v>
      </c>
      <c r="P33" s="111">
        <f>IF(COUNT($H33:O33)&gt;=Input!$Y$7,0,O33+O65+O97)</f>
        <v>0</v>
      </c>
      <c r="Q33" s="111">
        <f>IF(COUNT($H33:P33)&gt;=Input!$Y$7,0,P33+P65+P97)</f>
        <v>0</v>
      </c>
      <c r="R33" s="111"/>
      <c r="S33" s="100"/>
      <c r="T33" s="100"/>
      <c r="U33" s="100"/>
      <c r="V33" s="100"/>
      <c r="W33" s="100"/>
      <c r="X33" s="100"/>
      <c r="Y33" s="100"/>
      <c r="Z33" s="100"/>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1"/>
      <c r="BL33" s="221"/>
    </row>
    <row r="34" spans="1:64" hidden="1" outlineLevel="1">
      <c r="A34" s="9"/>
      <c r="B34" s="9"/>
      <c r="C34" s="44"/>
      <c r="D34" s="270">
        <f>Asset27</f>
        <v>0</v>
      </c>
      <c r="E34" s="9"/>
      <c r="F34" s="9"/>
      <c r="G34" s="201">
        <f>'Actual RAB roll forward'!G496</f>
        <v>0</v>
      </c>
      <c r="H34" s="111">
        <f t="shared" si="5"/>
        <v>0</v>
      </c>
      <c r="I34" s="111">
        <f t="shared" si="4"/>
        <v>0</v>
      </c>
      <c r="J34" s="111">
        <f t="shared" si="4"/>
        <v>0</v>
      </c>
      <c r="K34" s="111">
        <f t="shared" si="4"/>
        <v>0</v>
      </c>
      <c r="L34" s="111">
        <f t="shared" si="4"/>
        <v>0</v>
      </c>
      <c r="M34" s="111">
        <f t="shared" si="4"/>
        <v>0</v>
      </c>
      <c r="N34" s="111">
        <f>IF(COUNT($H34:M34)&gt;=Input!$Y$7,0,M34+M66+M98)</f>
        <v>0</v>
      </c>
      <c r="O34" s="111">
        <f>IF(COUNT($H34:N34)&gt;=Input!$Y$7,0,N34+N66+N98)</f>
        <v>0</v>
      </c>
      <c r="P34" s="111">
        <f>IF(COUNT($H34:O34)&gt;=Input!$Y$7,0,O34+O66+O98)</f>
        <v>0</v>
      </c>
      <c r="Q34" s="111">
        <f>IF(COUNT($H34:P34)&gt;=Input!$Y$7,0,P34+P66+P98)</f>
        <v>0</v>
      </c>
      <c r="R34" s="111"/>
      <c r="S34" s="100"/>
      <c r="T34" s="100"/>
      <c r="U34" s="100"/>
      <c r="V34" s="100"/>
      <c r="W34" s="100"/>
      <c r="X34" s="100"/>
      <c r="Y34" s="100"/>
      <c r="Z34" s="100"/>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1"/>
      <c r="BL34" s="221"/>
    </row>
    <row r="35" spans="1:64" hidden="1" outlineLevel="1">
      <c r="A35" s="9"/>
      <c r="B35" s="9"/>
      <c r="C35" s="44"/>
      <c r="D35" s="270">
        <f>Asset28</f>
        <v>0</v>
      </c>
      <c r="E35" s="9"/>
      <c r="F35" s="9"/>
      <c r="G35" s="201">
        <f>'Actual RAB roll forward'!G497</f>
        <v>0</v>
      </c>
      <c r="H35" s="111">
        <f t="shared" si="5"/>
        <v>0</v>
      </c>
      <c r="I35" s="111">
        <f t="shared" si="4"/>
        <v>0</v>
      </c>
      <c r="J35" s="111">
        <f t="shared" si="4"/>
        <v>0</v>
      </c>
      <c r="K35" s="111">
        <f t="shared" si="4"/>
        <v>0</v>
      </c>
      <c r="L35" s="111">
        <f t="shared" si="4"/>
        <v>0</v>
      </c>
      <c r="M35" s="111">
        <f t="shared" si="4"/>
        <v>0</v>
      </c>
      <c r="N35" s="111">
        <f>IF(COUNT($H35:M35)&gt;=Input!$Y$7,0,M35+M67+M99)</f>
        <v>0</v>
      </c>
      <c r="O35" s="111">
        <f>IF(COUNT($H35:N35)&gt;=Input!$Y$7,0,N35+N67+N99)</f>
        <v>0</v>
      </c>
      <c r="P35" s="111">
        <f>IF(COUNT($H35:O35)&gt;=Input!$Y$7,0,O35+O67+O99)</f>
        <v>0</v>
      </c>
      <c r="Q35" s="111">
        <f>IF(COUNT($H35:P35)&gt;=Input!$Y$7,0,P35+P67+P99)</f>
        <v>0</v>
      </c>
      <c r="R35" s="111"/>
      <c r="S35" s="100"/>
      <c r="T35" s="100"/>
      <c r="U35" s="100"/>
      <c r="V35" s="100"/>
      <c r="W35" s="100"/>
      <c r="X35" s="100"/>
      <c r="Y35" s="100"/>
      <c r="Z35" s="100"/>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1"/>
      <c r="BL35" s="221"/>
    </row>
    <row r="36" spans="1:64" hidden="1" outlineLevel="1">
      <c r="A36" s="9"/>
      <c r="B36" s="9"/>
      <c r="C36" s="44"/>
      <c r="D36" s="270">
        <f>Asset29</f>
        <v>0</v>
      </c>
      <c r="E36" s="9"/>
      <c r="F36" s="9"/>
      <c r="G36" s="201">
        <f>'Actual RAB roll forward'!G498</f>
        <v>0</v>
      </c>
      <c r="H36" s="111">
        <f t="shared" si="5"/>
        <v>0</v>
      </c>
      <c r="I36" s="111">
        <f t="shared" si="4"/>
        <v>0</v>
      </c>
      <c r="J36" s="111">
        <f t="shared" si="4"/>
        <v>0</v>
      </c>
      <c r="K36" s="111">
        <f t="shared" si="4"/>
        <v>0</v>
      </c>
      <c r="L36" s="111">
        <f t="shared" si="4"/>
        <v>0</v>
      </c>
      <c r="M36" s="111">
        <f t="shared" si="4"/>
        <v>0</v>
      </c>
      <c r="N36" s="111">
        <f>IF(COUNT($H36:M36)&gt;=Input!$Y$7,0,M36+M68+M100)</f>
        <v>0</v>
      </c>
      <c r="O36" s="111">
        <f>IF(COUNT($H36:N36)&gt;=Input!$Y$7,0,N36+N68+N100)</f>
        <v>0</v>
      </c>
      <c r="P36" s="111">
        <f>IF(COUNT($H36:O36)&gt;=Input!$Y$7,0,O36+O68+O100)</f>
        <v>0</v>
      </c>
      <c r="Q36" s="111">
        <f>IF(COUNT($H36:P36)&gt;=Input!$Y$7,0,P36+P68+P100)</f>
        <v>0</v>
      </c>
      <c r="R36" s="111"/>
      <c r="S36" s="100"/>
      <c r="T36" s="100"/>
      <c r="U36" s="100"/>
      <c r="V36" s="100"/>
      <c r="W36" s="100"/>
      <c r="X36" s="100"/>
      <c r="Y36" s="100"/>
      <c r="Z36" s="100"/>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1"/>
      <c r="BL36" s="221"/>
    </row>
    <row r="37" spans="1:64" hidden="1" outlineLevel="1">
      <c r="A37" s="9"/>
      <c r="B37" s="9"/>
      <c r="C37" s="44"/>
      <c r="D37" s="270">
        <f>Asset30</f>
        <v>0</v>
      </c>
      <c r="E37" s="9"/>
      <c r="F37" s="9"/>
      <c r="G37" s="201">
        <f>'Actual RAB roll forward'!G499</f>
        <v>0</v>
      </c>
      <c r="H37" s="111">
        <f t="shared" si="5"/>
        <v>0</v>
      </c>
      <c r="I37" s="111">
        <f t="shared" si="4"/>
        <v>0</v>
      </c>
      <c r="J37" s="111">
        <f t="shared" si="4"/>
        <v>0</v>
      </c>
      <c r="K37" s="111">
        <f t="shared" si="4"/>
        <v>0</v>
      </c>
      <c r="L37" s="111">
        <f t="shared" si="4"/>
        <v>0</v>
      </c>
      <c r="M37" s="111">
        <f t="shared" si="4"/>
        <v>0</v>
      </c>
      <c r="N37" s="111">
        <f>IF(COUNT($H37:M37)&gt;=Input!$Y$7,0,M37+M69+M101)</f>
        <v>0</v>
      </c>
      <c r="O37" s="111">
        <f>IF(COUNT($H37:N37)&gt;=Input!$Y$7,0,N37+N69+N101)</f>
        <v>0</v>
      </c>
      <c r="P37" s="111">
        <f>IF(COUNT($H37:O37)&gt;=Input!$Y$7,0,O37+O69+O101)</f>
        <v>0</v>
      </c>
      <c r="Q37" s="111">
        <f>IF(COUNT($H37:P37)&gt;=Input!$Y$7,0,P37+P69+P101)</f>
        <v>0</v>
      </c>
      <c r="R37" s="111"/>
      <c r="S37" s="100"/>
      <c r="T37" s="100"/>
      <c r="U37" s="100"/>
      <c r="V37" s="100"/>
      <c r="W37" s="100"/>
      <c r="X37" s="100"/>
      <c r="Y37" s="100"/>
      <c r="Z37" s="100"/>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1"/>
      <c r="BL37" s="221"/>
    </row>
    <row r="38" spans="1:64" collapsed="1">
      <c r="A38" s="9"/>
      <c r="B38" s="9"/>
      <c r="C38" s="44"/>
      <c r="D38" s="113"/>
      <c r="E38" s="9"/>
      <c r="F38" s="9"/>
      <c r="G38" s="210"/>
      <c r="H38" s="35"/>
      <c r="I38" s="35"/>
      <c r="J38" s="35"/>
      <c r="K38" s="35"/>
      <c r="L38" s="35"/>
      <c r="M38" s="35"/>
      <c r="N38" s="100"/>
      <c r="O38" s="29"/>
      <c r="P38" s="29"/>
      <c r="Q38" s="29"/>
      <c r="R38" s="29"/>
      <c r="S38" s="100"/>
      <c r="T38" s="100"/>
      <c r="U38" s="100"/>
      <c r="V38" s="100"/>
      <c r="W38" s="100"/>
      <c r="X38" s="100"/>
      <c r="Y38" s="100"/>
      <c r="Z38" s="100"/>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1"/>
      <c r="BL38" s="221"/>
    </row>
    <row r="39" spans="1:64">
      <c r="A39" s="9"/>
      <c r="B39" s="9"/>
      <c r="C39" s="44" t="s">
        <v>31</v>
      </c>
      <c r="D39" s="9"/>
      <c r="E39" s="9"/>
      <c r="F39" s="9"/>
      <c r="G39" s="202">
        <f>SUM(G40:G69)</f>
        <v>85.232652528569361</v>
      </c>
      <c r="H39" s="35">
        <f>SUM(H40:H69)</f>
        <v>95.714331267037892</v>
      </c>
      <c r="I39" s="35">
        <f t="shared" ref="I39:P39" si="6">SUM(I40:I69)</f>
        <v>115.27392403614901</v>
      </c>
      <c r="J39" s="35">
        <f t="shared" si="6"/>
        <v>113.54235649014853</v>
      </c>
      <c r="K39" s="35">
        <f t="shared" si="6"/>
        <v>137.26393314693607</v>
      </c>
      <c r="L39" s="35">
        <f t="shared" si="6"/>
        <v>173.83789126844454</v>
      </c>
      <c r="M39" s="35">
        <f t="shared" si="6"/>
        <v>141.53848969445835</v>
      </c>
      <c r="N39" s="35">
        <f t="shared" si="6"/>
        <v>0</v>
      </c>
      <c r="O39" s="35">
        <f t="shared" si="6"/>
        <v>0</v>
      </c>
      <c r="P39" s="35">
        <f t="shared" si="6"/>
        <v>0</v>
      </c>
      <c r="Q39" s="35">
        <f>SUM(Q40:Q69)</f>
        <v>0</v>
      </c>
      <c r="R39" s="29"/>
      <c r="S39" s="100"/>
      <c r="T39" s="100"/>
      <c r="U39" s="100"/>
      <c r="V39" s="100"/>
      <c r="W39" s="100"/>
      <c r="X39" s="100"/>
      <c r="Y39" s="100"/>
      <c r="Z39" s="100"/>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1"/>
      <c r="BL39" s="221"/>
    </row>
    <row r="40" spans="1:64" hidden="1" outlineLevel="1">
      <c r="A40" s="9"/>
      <c r="B40" s="9"/>
      <c r="C40" s="44"/>
      <c r="D40" s="270" t="str">
        <f>Asset1</f>
        <v>Secondary</v>
      </c>
      <c r="E40" s="9"/>
      <c r="F40" s="9"/>
      <c r="G40" s="201">
        <f>'Actual RAB roll forward'!G502</f>
        <v>14.463151023717792</v>
      </c>
      <c r="H40" s="111">
        <f>'Actual RAB roll forward'!H502</f>
        <v>12.088237581288125</v>
      </c>
      <c r="I40" s="111">
        <f>'Actual RAB roll forward'!I502</f>
        <v>9.152659361757058</v>
      </c>
      <c r="J40" s="111">
        <f>'Actual RAB roll forward'!J502</f>
        <v>13.859183430935365</v>
      </c>
      <c r="K40" s="111">
        <f>'Actual RAB roll forward'!K502</f>
        <v>19.684524960953144</v>
      </c>
      <c r="L40" s="111">
        <f>'Actual RAB roll forward'!L502</f>
        <v>34.94700276273943</v>
      </c>
      <c r="M40" s="111">
        <f>'Actual RAB roll forward'!M502</f>
        <v>20.049049730985125</v>
      </c>
      <c r="N40" s="111">
        <f>'Actual RAB roll forward'!N502</f>
        <v>0</v>
      </c>
      <c r="O40" s="111">
        <f>'Actual RAB roll forward'!O502</f>
        <v>0</v>
      </c>
      <c r="P40" s="111">
        <f>'Actual RAB roll forward'!P502</f>
        <v>0</v>
      </c>
      <c r="Q40" s="111">
        <f>'Actual RAB roll forward'!Q502</f>
        <v>0</v>
      </c>
      <c r="R40" s="29"/>
      <c r="S40" s="100"/>
      <c r="T40" s="100"/>
      <c r="U40" s="100"/>
      <c r="V40" s="100"/>
      <c r="W40" s="100"/>
      <c r="X40" s="100"/>
      <c r="Y40" s="100"/>
      <c r="Z40" s="100"/>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1"/>
      <c r="BL40" s="221"/>
    </row>
    <row r="41" spans="1:64" hidden="1" outlineLevel="1">
      <c r="A41" s="9"/>
      <c r="B41" s="9"/>
      <c r="C41" s="44"/>
      <c r="D41" s="270" t="str">
        <f>Asset2</f>
        <v>Switchgear</v>
      </c>
      <c r="E41" s="9"/>
      <c r="F41" s="9"/>
      <c r="G41" s="201">
        <f>'Actual RAB roll forward'!G503</f>
        <v>40.012027975872329</v>
      </c>
      <c r="H41" s="111">
        <f>'Actual RAB roll forward'!H503</f>
        <v>30.244748263404926</v>
      </c>
      <c r="I41" s="111">
        <f>'Actual RAB roll forward'!I503</f>
        <v>40.348173371165032</v>
      </c>
      <c r="J41" s="111">
        <f>'Actual RAB roll forward'!J503</f>
        <v>31.681915364339229</v>
      </c>
      <c r="K41" s="111">
        <f>'Actual RAB roll forward'!K503</f>
        <v>29.384239315310325</v>
      </c>
      <c r="L41" s="111">
        <f>'Actual RAB roll forward'!L503</f>
        <v>41.689374238642159</v>
      </c>
      <c r="M41" s="111">
        <f>'Actual RAB roll forward'!M503</f>
        <v>43.44487427432292</v>
      </c>
      <c r="N41" s="111">
        <f>'Actual RAB roll forward'!N503</f>
        <v>0</v>
      </c>
      <c r="O41" s="111">
        <f>'Actual RAB roll forward'!O503</f>
        <v>0</v>
      </c>
      <c r="P41" s="111">
        <f>'Actual RAB roll forward'!P503</f>
        <v>0</v>
      </c>
      <c r="Q41" s="111">
        <f>'Actual RAB roll forward'!Q503</f>
        <v>0</v>
      </c>
      <c r="R41" s="29"/>
      <c r="S41" s="100"/>
      <c r="T41" s="100"/>
      <c r="U41" s="100"/>
      <c r="V41" s="100"/>
      <c r="W41" s="100"/>
      <c r="X41" s="100"/>
      <c r="Y41" s="100"/>
      <c r="Z41" s="100"/>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1"/>
      <c r="BL41" s="221"/>
    </row>
    <row r="42" spans="1:64" hidden="1" outlineLevel="1">
      <c r="A42" s="9"/>
      <c r="B42" s="9"/>
      <c r="C42" s="44"/>
      <c r="D42" s="270" t="str">
        <f>Asset3</f>
        <v>Transformers</v>
      </c>
      <c r="E42" s="9"/>
      <c r="F42" s="9"/>
      <c r="G42" s="201">
        <f>'Actual RAB roll forward'!G504</f>
        <v>7.479869950034308</v>
      </c>
      <c r="H42" s="111">
        <f>'Actual RAB roll forward'!H504</f>
        <v>11.346962790102502</v>
      </c>
      <c r="I42" s="111">
        <f>'Actual RAB roll forward'!I504</f>
        <v>7.1676554738503215</v>
      </c>
      <c r="J42" s="111">
        <f>'Actual RAB roll forward'!J504</f>
        <v>17.178687877875738</v>
      </c>
      <c r="K42" s="111">
        <f>'Actual RAB roll forward'!K504</f>
        <v>24.276029228253289</v>
      </c>
      <c r="L42" s="111">
        <f>'Actual RAB roll forward'!L504</f>
        <v>34.385967776302515</v>
      </c>
      <c r="M42" s="111">
        <f>'Actual RAB roll forward'!M504</f>
        <v>34.995092485693505</v>
      </c>
      <c r="N42" s="111">
        <f>'Actual RAB roll forward'!N504</f>
        <v>0</v>
      </c>
      <c r="O42" s="111">
        <f>'Actual RAB roll forward'!O504</f>
        <v>0</v>
      </c>
      <c r="P42" s="111">
        <f>'Actual RAB roll forward'!P504</f>
        <v>0</v>
      </c>
      <c r="Q42" s="111">
        <f>'Actual RAB roll forward'!Q504</f>
        <v>0</v>
      </c>
      <c r="R42" s="29"/>
      <c r="S42" s="100"/>
      <c r="T42" s="100"/>
      <c r="U42" s="100"/>
      <c r="V42" s="100"/>
      <c r="W42" s="100"/>
      <c r="X42" s="100"/>
      <c r="Y42" s="100"/>
      <c r="Z42" s="100"/>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1"/>
      <c r="BL42" s="221"/>
    </row>
    <row r="43" spans="1:64" hidden="1" outlineLevel="1">
      <c r="A43" s="9"/>
      <c r="B43" s="9"/>
      <c r="C43" s="44"/>
      <c r="D43" s="270" t="str">
        <f>Asset4</f>
        <v>Reactive</v>
      </c>
      <c r="E43" s="9"/>
      <c r="F43" s="9"/>
      <c r="G43" s="201">
        <f>'Actual RAB roll forward'!G505</f>
        <v>0.62073609543853181</v>
      </c>
      <c r="H43" s="111">
        <f>'Actual RAB roll forward'!H505</f>
        <v>1.9989121107679773</v>
      </c>
      <c r="I43" s="111">
        <f>'Actual RAB roll forward'!I505</f>
        <v>1.7623908130567203</v>
      </c>
      <c r="J43" s="111">
        <f>'Actual RAB roll forward'!J505</f>
        <v>0.48539752056331725</v>
      </c>
      <c r="K43" s="111">
        <f>'Actual RAB roll forward'!K505</f>
        <v>1.6777834140882568</v>
      </c>
      <c r="L43" s="111">
        <f>'Actual RAB roll forward'!L505</f>
        <v>0.98750152938871161</v>
      </c>
      <c r="M43" s="111">
        <f>'Actual RAB roll forward'!M505</f>
        <v>0.88976931453972929</v>
      </c>
      <c r="N43" s="111">
        <f>'Actual RAB roll forward'!N505</f>
        <v>0</v>
      </c>
      <c r="O43" s="111">
        <f>'Actual RAB roll forward'!O505</f>
        <v>0</v>
      </c>
      <c r="P43" s="111">
        <f>'Actual RAB roll forward'!P505</f>
        <v>0</v>
      </c>
      <c r="Q43" s="111">
        <f>'Actual RAB roll forward'!Q505</f>
        <v>0</v>
      </c>
      <c r="R43" s="29"/>
      <c r="S43" s="100"/>
      <c r="T43" s="100"/>
      <c r="U43" s="100"/>
      <c r="V43" s="100"/>
      <c r="W43" s="100"/>
      <c r="X43" s="100"/>
      <c r="Y43" s="100"/>
      <c r="Z43" s="100"/>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1"/>
      <c r="BL43" s="221"/>
    </row>
    <row r="44" spans="1:64" hidden="1" outlineLevel="1">
      <c r="A44" s="9"/>
      <c r="B44" s="9"/>
      <c r="C44" s="44"/>
      <c r="D44" s="270" t="str">
        <f>Asset5</f>
        <v>Towers and Conductor</v>
      </c>
      <c r="E44" s="9"/>
      <c r="F44" s="9"/>
      <c r="G44" s="201">
        <f>'Actual RAB roll forward'!G506</f>
        <v>1.7484066688185314</v>
      </c>
      <c r="H44" s="111">
        <f>'Actual RAB roll forward'!H506</f>
        <v>8.1300102947956976</v>
      </c>
      <c r="I44" s="111">
        <f>'Actual RAB roll forward'!I506</f>
        <v>15.484960226551722</v>
      </c>
      <c r="J44" s="111">
        <f>'Actual RAB roll forward'!J506</f>
        <v>26.288964559847479</v>
      </c>
      <c r="K44" s="111">
        <f>'Actual RAB roll forward'!K506</f>
        <v>34.015639022544036</v>
      </c>
      <c r="L44" s="111">
        <f>'Actual RAB roll forward'!L506</f>
        <v>25.150714844245954</v>
      </c>
      <c r="M44" s="111">
        <f>'Actual RAB roll forward'!M506</f>
        <v>5.0570564541130922</v>
      </c>
      <c r="N44" s="111">
        <f>'Actual RAB roll forward'!N506</f>
        <v>0</v>
      </c>
      <c r="O44" s="111">
        <f>'Actual RAB roll forward'!O506</f>
        <v>0</v>
      </c>
      <c r="P44" s="111">
        <f>'Actual RAB roll forward'!P506</f>
        <v>0</v>
      </c>
      <c r="Q44" s="111">
        <f>'Actual RAB roll forward'!Q506</f>
        <v>0</v>
      </c>
      <c r="R44" s="29"/>
      <c r="S44" s="100"/>
      <c r="T44" s="100"/>
      <c r="U44" s="100"/>
      <c r="V44" s="100"/>
      <c r="W44" s="100"/>
      <c r="X44" s="100"/>
      <c r="Y44" s="100"/>
      <c r="Z44" s="100"/>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1"/>
      <c r="BL44" s="221"/>
    </row>
    <row r="45" spans="1:64" hidden="1" outlineLevel="1">
      <c r="A45" s="9"/>
      <c r="B45" s="9"/>
      <c r="C45" s="44"/>
      <c r="D45" s="270" t="str">
        <f>Asset6</f>
        <v>Establishment</v>
      </c>
      <c r="E45" s="9"/>
      <c r="F45" s="9"/>
      <c r="G45" s="201">
        <f>'Actual RAB roll forward'!G507</f>
        <v>13.314789247156508</v>
      </c>
      <c r="H45" s="111">
        <f>'Actual RAB roll forward'!H507</f>
        <v>11.585565496229279</v>
      </c>
      <c r="I45" s="111">
        <f>'Actual RAB roll forward'!I507</f>
        <v>11.389097118668237</v>
      </c>
      <c r="J45" s="111">
        <f>'Actual RAB roll forward'!J507</f>
        <v>4.1264810003788526</v>
      </c>
      <c r="K45" s="111">
        <f>'Actual RAB roll forward'!K507</f>
        <v>12.054212719803077</v>
      </c>
      <c r="L45" s="111">
        <f>'Actual RAB roll forward'!L507</f>
        <v>10.199775396009017</v>
      </c>
      <c r="M45" s="111">
        <f>'Actual RAB roll forward'!M507</f>
        <v>9.4221821180808796</v>
      </c>
      <c r="N45" s="111">
        <f>'Actual RAB roll forward'!N507</f>
        <v>0</v>
      </c>
      <c r="O45" s="111">
        <f>'Actual RAB roll forward'!O507</f>
        <v>0</v>
      </c>
      <c r="P45" s="111">
        <f>'Actual RAB roll forward'!P507</f>
        <v>0</v>
      </c>
      <c r="Q45" s="111">
        <f>'Actual RAB roll forward'!Q507</f>
        <v>0</v>
      </c>
      <c r="R45" s="29"/>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1"/>
      <c r="BL45" s="221"/>
    </row>
    <row r="46" spans="1:64" hidden="1" outlineLevel="1">
      <c r="A46" s="9"/>
      <c r="B46" s="9"/>
      <c r="C46" s="44"/>
      <c r="D46" s="270" t="str">
        <f>Asset7</f>
        <v>Communications</v>
      </c>
      <c r="E46" s="9"/>
      <c r="F46" s="9"/>
      <c r="G46" s="201">
        <f>'Actual RAB roll forward'!G508</f>
        <v>3.465776532865136</v>
      </c>
      <c r="H46" s="111">
        <f>'Actual RAB roll forward'!H508</f>
        <v>8.2052393701768889</v>
      </c>
      <c r="I46" s="111">
        <f>'Actual RAB roll forward'!I508</f>
        <v>20.442128366976981</v>
      </c>
      <c r="J46" s="111">
        <f>'Actual RAB roll forward'!J508</f>
        <v>5.1379827120911328</v>
      </c>
      <c r="K46" s="111">
        <f>'Actual RAB roll forward'!K508</f>
        <v>4.1868624230565494</v>
      </c>
      <c r="L46" s="111">
        <f>'Actual RAB roll forward'!L508</f>
        <v>4.846922111964644</v>
      </c>
      <c r="M46" s="111">
        <f>'Actual RAB roll forward'!M508</f>
        <v>5.6727717048479374</v>
      </c>
      <c r="N46" s="111">
        <f>'Actual RAB roll forward'!N508</f>
        <v>0</v>
      </c>
      <c r="O46" s="111">
        <f>'Actual RAB roll forward'!O508</f>
        <v>0</v>
      </c>
      <c r="P46" s="111">
        <f>'Actual RAB roll forward'!P508</f>
        <v>0</v>
      </c>
      <c r="Q46" s="111">
        <f>'Actual RAB roll forward'!Q508</f>
        <v>0</v>
      </c>
      <c r="R46" s="29"/>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1"/>
      <c r="BL46" s="221"/>
    </row>
    <row r="47" spans="1:64" hidden="1" outlineLevel="1">
      <c r="A47" s="9"/>
      <c r="B47" s="9"/>
      <c r="C47" s="44"/>
      <c r="D47" s="270" t="str">
        <f>Asset8</f>
        <v>Inventory</v>
      </c>
      <c r="E47" s="9"/>
      <c r="F47" s="9"/>
      <c r="G47" s="201">
        <f>'Actual RAB roll forward'!G509</f>
        <v>0.29219122749760001</v>
      </c>
      <c r="H47" s="111">
        <f>'Actual RAB roll forward'!H509</f>
        <v>0</v>
      </c>
      <c r="I47" s="111">
        <f>'Actual RAB roll forward'!I509</f>
        <v>0</v>
      </c>
      <c r="J47" s="111">
        <f>'Actual RAB roll forward'!J509</f>
        <v>0</v>
      </c>
      <c r="K47" s="111">
        <f>'Actual RAB roll forward'!K509</f>
        <v>0</v>
      </c>
      <c r="L47" s="111">
        <f>'Actual RAB roll forward'!L509</f>
        <v>0</v>
      </c>
      <c r="M47" s="111">
        <f>'Actual RAB roll forward'!M509</f>
        <v>0</v>
      </c>
      <c r="N47" s="111">
        <f>'Actual RAB roll forward'!N509</f>
        <v>0</v>
      </c>
      <c r="O47" s="111">
        <f>'Actual RAB roll forward'!O509</f>
        <v>0</v>
      </c>
      <c r="P47" s="111">
        <f>'Actual RAB roll forward'!P509</f>
        <v>0</v>
      </c>
      <c r="Q47" s="111">
        <f>'Actual RAB roll forward'!Q509</f>
        <v>0</v>
      </c>
      <c r="R47" s="29"/>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1"/>
      <c r="BL47" s="221"/>
    </row>
    <row r="48" spans="1:64" hidden="1" outlineLevel="1">
      <c r="A48" s="9"/>
      <c r="B48" s="9"/>
      <c r="C48" s="44"/>
      <c r="D48" s="270" t="str">
        <f>Asset9</f>
        <v>IT</v>
      </c>
      <c r="E48" s="9"/>
      <c r="F48" s="9"/>
      <c r="G48" s="201">
        <f>'Actual RAB roll forward'!G510</f>
        <v>2.3183776984613531</v>
      </c>
      <c r="H48" s="111">
        <f>'Actual RAB roll forward'!H510</f>
        <v>7.3996478512430288</v>
      </c>
      <c r="I48" s="111">
        <f>'Actual RAB roll forward'!I510</f>
        <v>6.2858420175921728</v>
      </c>
      <c r="J48" s="111">
        <f>'Actual RAB roll forward'!J510</f>
        <v>12.178803035821065</v>
      </c>
      <c r="K48" s="111">
        <f>'Actual RAB roll forward'!K510</f>
        <v>11.331673889676635</v>
      </c>
      <c r="L48" s="111">
        <f>'Actual RAB roll forward'!L510</f>
        <v>17.568026484590561</v>
      </c>
      <c r="M48" s="111">
        <f>'Actual RAB roll forward'!M510</f>
        <v>18.358849747921258</v>
      </c>
      <c r="N48" s="111">
        <f>'Actual RAB roll forward'!N510</f>
        <v>0</v>
      </c>
      <c r="O48" s="111">
        <f>'Actual RAB roll forward'!O510</f>
        <v>0</v>
      </c>
      <c r="P48" s="111">
        <f>'Actual RAB roll forward'!P510</f>
        <v>0</v>
      </c>
      <c r="Q48" s="111">
        <f>'Actual RAB roll forward'!Q510</f>
        <v>0</v>
      </c>
      <c r="R48" s="29"/>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1"/>
      <c r="BL48" s="221"/>
    </row>
    <row r="49" spans="1:64" hidden="1" outlineLevel="1">
      <c r="A49" s="9"/>
      <c r="B49" s="9"/>
      <c r="C49" s="44"/>
      <c r="D49" s="270" t="str">
        <f>Asset10</f>
        <v>Vehicles</v>
      </c>
      <c r="E49" s="9"/>
      <c r="F49" s="9"/>
      <c r="G49" s="201">
        <f>'Actual RAB roll forward'!G511</f>
        <v>0.31500994680163003</v>
      </c>
      <c r="H49" s="111">
        <f>'Actual RAB roll forward'!H511</f>
        <v>0.51594205280522987</v>
      </c>
      <c r="I49" s="111">
        <f>'Actual RAB roll forward'!I511</f>
        <v>0.27401574403535234</v>
      </c>
      <c r="J49" s="111">
        <f>'Actual RAB roll forward'!J511</f>
        <v>-0.15878381242087061</v>
      </c>
      <c r="K49" s="111">
        <f>'Actual RAB roll forward'!K511</f>
        <v>0.18107644395338571</v>
      </c>
      <c r="L49" s="111">
        <f>'Actual RAB roll forward'!L511</f>
        <v>1.6470024829303653</v>
      </c>
      <c r="M49" s="111">
        <f>'Actual RAB roll forward'!M511</f>
        <v>1.7009132647820038</v>
      </c>
      <c r="N49" s="111">
        <f>'Actual RAB roll forward'!N511</f>
        <v>0</v>
      </c>
      <c r="O49" s="111">
        <f>'Actual RAB roll forward'!O511</f>
        <v>0</v>
      </c>
      <c r="P49" s="111">
        <f>'Actual RAB roll forward'!P511</f>
        <v>0</v>
      </c>
      <c r="Q49" s="111">
        <f>'Actual RAB roll forward'!Q511</f>
        <v>0</v>
      </c>
      <c r="R49" s="29"/>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1"/>
      <c r="BL49" s="221"/>
    </row>
    <row r="50" spans="1:64" hidden="1" outlineLevel="1">
      <c r="A50" s="9"/>
      <c r="B50" s="9"/>
      <c r="C50" s="44"/>
      <c r="D50" s="270" t="str">
        <f>Asset11</f>
        <v>other</v>
      </c>
      <c r="E50" s="9"/>
      <c r="F50" s="9"/>
      <c r="G50" s="201">
        <f>'Actual RAB roll forward'!G512</f>
        <v>0.56364122439537223</v>
      </c>
      <c r="H50" s="111">
        <f>'Actual RAB roll forward'!H512</f>
        <v>3.9489361152607332</v>
      </c>
      <c r="I50" s="111">
        <f>'Actual RAB roll forward'!I512</f>
        <v>2.7302293077472415</v>
      </c>
      <c r="J50" s="111">
        <f>'Actual RAB roll forward'!J512</f>
        <v>3.1238456132649302</v>
      </c>
      <c r="K50" s="111">
        <f>'Actual RAB roll forward'!K512</f>
        <v>1.3745171397379281</v>
      </c>
      <c r="L50" s="111">
        <f>'Actual RAB roll forward'!L512</f>
        <v>2.1960033105738201</v>
      </c>
      <c r="M50" s="111">
        <f>'Actual RAB roll forward'!M512</f>
        <v>1.7211421638676176</v>
      </c>
      <c r="N50" s="111">
        <f>'Actual RAB roll forward'!N512</f>
        <v>0</v>
      </c>
      <c r="O50" s="111">
        <f>'Actual RAB roll forward'!O512</f>
        <v>0</v>
      </c>
      <c r="P50" s="111">
        <f>'Actual RAB roll forward'!P512</f>
        <v>0</v>
      </c>
      <c r="Q50" s="111">
        <f>'Actual RAB roll forward'!Q512</f>
        <v>0</v>
      </c>
      <c r="R50" s="29"/>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1"/>
      <c r="BL50" s="221"/>
    </row>
    <row r="51" spans="1:64" hidden="1" outlineLevel="1">
      <c r="A51" s="9"/>
      <c r="B51" s="9"/>
      <c r="C51" s="44"/>
      <c r="D51" s="270" t="str">
        <f>Asset12</f>
        <v>premises</v>
      </c>
      <c r="E51" s="9"/>
      <c r="F51" s="9"/>
      <c r="G51" s="201">
        <f>'Actual RAB roll forward'!G513</f>
        <v>0.63867493751028093</v>
      </c>
      <c r="H51" s="111">
        <f>'Actual RAB roll forward'!H513</f>
        <v>0.25012934096350947</v>
      </c>
      <c r="I51" s="111">
        <f>'Actual RAB roll forward'!I513</f>
        <v>0.23677223474816644</v>
      </c>
      <c r="J51" s="111">
        <f>'Actual RAB roll forward'!J513</f>
        <v>0.13663961828890619</v>
      </c>
      <c r="K51" s="111">
        <f>'Actual RAB roll forward'!K513</f>
        <v>0.1140699297099033</v>
      </c>
      <c r="L51" s="111">
        <f>'Actual RAB roll forward'!L513</f>
        <v>0.21960033105738203</v>
      </c>
      <c r="M51" s="111">
        <f>'Actual RAB roll forward'!M513</f>
        <v>0.22678843530426721</v>
      </c>
      <c r="N51" s="111">
        <f>'Actual RAB roll forward'!N513</f>
        <v>0</v>
      </c>
      <c r="O51" s="111">
        <f>'Actual RAB roll forward'!O513</f>
        <v>0</v>
      </c>
      <c r="P51" s="111">
        <f>'Actual RAB roll forward'!P513</f>
        <v>0</v>
      </c>
      <c r="Q51" s="111">
        <f>'Actual RAB roll forward'!Q513</f>
        <v>0</v>
      </c>
      <c r="R51" s="29"/>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1"/>
      <c r="BL51" s="221"/>
    </row>
    <row r="52" spans="1:64" hidden="1" outlineLevel="1">
      <c r="A52" s="9"/>
      <c r="B52" s="9"/>
      <c r="C52" s="44"/>
      <c r="D52" s="270" t="str">
        <f>Asset13</f>
        <v>Land</v>
      </c>
      <c r="E52" s="9"/>
      <c r="F52" s="9"/>
      <c r="G52" s="201">
        <f>'Actual RAB roll forward'!G514</f>
        <v>0</v>
      </c>
      <c r="H52" s="111">
        <f>'Actual RAB roll forward'!H514</f>
        <v>0</v>
      </c>
      <c r="I52" s="111">
        <f>'Actual RAB roll forward'!I514</f>
        <v>0</v>
      </c>
      <c r="J52" s="111">
        <f>'Actual RAB roll forward'!J514</f>
        <v>-0.49676043083659671</v>
      </c>
      <c r="K52" s="111">
        <f>'Actual RAB roll forward'!K514</f>
        <v>-1.0166953401504202</v>
      </c>
      <c r="L52" s="111">
        <f>'Actual RAB roll forward'!L514</f>
        <v>0</v>
      </c>
      <c r="M52" s="111">
        <f>'Actual RAB roll forward'!M514</f>
        <v>0</v>
      </c>
      <c r="N52" s="111">
        <f>'Actual RAB roll forward'!N514</f>
        <v>0</v>
      </c>
      <c r="O52" s="111">
        <f>'Actual RAB roll forward'!O514</f>
        <v>0</v>
      </c>
      <c r="P52" s="111">
        <f>'Actual RAB roll forward'!P514</f>
        <v>0</v>
      </c>
      <c r="Q52" s="111">
        <f>'Actual RAB roll forward'!Q514</f>
        <v>0</v>
      </c>
      <c r="R52" s="29"/>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1"/>
      <c r="BL52" s="221"/>
    </row>
    <row r="53" spans="1:64" hidden="1" outlineLevel="1">
      <c r="A53" s="9"/>
      <c r="B53" s="9"/>
      <c r="C53" s="44"/>
      <c r="D53" s="270" t="str">
        <f>Asset14</f>
        <v>Easements</v>
      </c>
      <c r="E53" s="9"/>
      <c r="F53" s="9"/>
      <c r="G53" s="201">
        <f>'Actual RAB roll forward'!G515</f>
        <v>0</v>
      </c>
      <c r="H53" s="111">
        <f>'Actual RAB roll forward'!H515</f>
        <v>0</v>
      </c>
      <c r="I53" s="111">
        <f>'Actual RAB roll forward'!I515</f>
        <v>0</v>
      </c>
      <c r="J53" s="111">
        <f>'Actual RAB roll forward'!J515</f>
        <v>0</v>
      </c>
      <c r="K53" s="111">
        <f>'Actual RAB roll forward'!K515</f>
        <v>0</v>
      </c>
      <c r="L53" s="111">
        <f>'Actual RAB roll forward'!L515</f>
        <v>0</v>
      </c>
      <c r="M53" s="111">
        <f>'Actual RAB roll forward'!M515</f>
        <v>0</v>
      </c>
      <c r="N53" s="111">
        <f>'Actual RAB roll forward'!N515</f>
        <v>0</v>
      </c>
      <c r="O53" s="111">
        <f>'Actual RAB roll forward'!O515</f>
        <v>0</v>
      </c>
      <c r="P53" s="111">
        <f>'Actual RAB roll forward'!P515</f>
        <v>0</v>
      </c>
      <c r="Q53" s="111">
        <f>'Actual RAB roll forward'!Q515</f>
        <v>0</v>
      </c>
      <c r="R53" s="29"/>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1"/>
      <c r="BL53" s="221"/>
    </row>
    <row r="54" spans="1:64" hidden="1" outlineLevel="1">
      <c r="A54" s="9"/>
      <c r="B54" s="9"/>
      <c r="C54" s="44"/>
      <c r="D54" s="270">
        <f>Asset15</f>
        <v>0</v>
      </c>
      <c r="E54" s="9"/>
      <c r="F54" s="9"/>
      <c r="G54" s="201">
        <f>'Actual RAB roll forward'!G516</f>
        <v>0</v>
      </c>
      <c r="H54" s="111">
        <f>'Actual RAB roll forward'!H516</f>
        <v>0</v>
      </c>
      <c r="I54" s="111">
        <f>'Actual RAB roll forward'!I516</f>
        <v>0</v>
      </c>
      <c r="J54" s="111">
        <f>'Actual RAB roll forward'!J516</f>
        <v>0</v>
      </c>
      <c r="K54" s="111">
        <f>'Actual RAB roll forward'!K516</f>
        <v>0</v>
      </c>
      <c r="L54" s="111">
        <f>'Actual RAB roll forward'!L516</f>
        <v>0</v>
      </c>
      <c r="M54" s="111">
        <f>'Actual RAB roll forward'!M516</f>
        <v>0</v>
      </c>
      <c r="N54" s="111">
        <f>'Actual RAB roll forward'!N516</f>
        <v>0</v>
      </c>
      <c r="O54" s="111">
        <f>'Actual RAB roll forward'!O516</f>
        <v>0</v>
      </c>
      <c r="P54" s="111">
        <f>'Actual RAB roll forward'!P516</f>
        <v>0</v>
      </c>
      <c r="Q54" s="111">
        <f>'Actual RAB roll forward'!Q516</f>
        <v>0</v>
      </c>
      <c r="R54" s="29"/>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1"/>
      <c r="BL54" s="221"/>
    </row>
    <row r="55" spans="1:64" hidden="1" outlineLevel="1">
      <c r="A55" s="9"/>
      <c r="B55" s="9"/>
      <c r="C55" s="44"/>
      <c r="D55" s="270">
        <f>Asset16</f>
        <v>0</v>
      </c>
      <c r="E55" s="9"/>
      <c r="F55" s="9"/>
      <c r="G55" s="201">
        <f>'Actual RAB roll forward'!G517</f>
        <v>0</v>
      </c>
      <c r="H55" s="111">
        <f>'Actual RAB roll forward'!H517</f>
        <v>0</v>
      </c>
      <c r="I55" s="111">
        <f>'Actual RAB roll forward'!I517</f>
        <v>0</v>
      </c>
      <c r="J55" s="111">
        <f>'Actual RAB roll forward'!J517</f>
        <v>0</v>
      </c>
      <c r="K55" s="111">
        <f>'Actual RAB roll forward'!K517</f>
        <v>0</v>
      </c>
      <c r="L55" s="111">
        <f>'Actual RAB roll forward'!L517</f>
        <v>0</v>
      </c>
      <c r="M55" s="111">
        <f>'Actual RAB roll forward'!M517</f>
        <v>0</v>
      </c>
      <c r="N55" s="111">
        <f>'Actual RAB roll forward'!N517</f>
        <v>0</v>
      </c>
      <c r="O55" s="111">
        <f>'Actual RAB roll forward'!O517</f>
        <v>0</v>
      </c>
      <c r="P55" s="111">
        <f>'Actual RAB roll forward'!P517</f>
        <v>0</v>
      </c>
      <c r="Q55" s="111">
        <f>'Actual RAB roll forward'!Q517</f>
        <v>0</v>
      </c>
      <c r="R55" s="29"/>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1"/>
      <c r="BL55" s="221"/>
    </row>
    <row r="56" spans="1:64" hidden="1" outlineLevel="1">
      <c r="A56" s="9"/>
      <c r="B56" s="9"/>
      <c r="C56" s="44"/>
      <c r="D56" s="270">
        <f>Asset17</f>
        <v>0</v>
      </c>
      <c r="E56" s="9"/>
      <c r="F56" s="9"/>
      <c r="G56" s="201">
        <f>'Actual RAB roll forward'!G518</f>
        <v>0</v>
      </c>
      <c r="H56" s="111">
        <f>'Actual RAB roll forward'!H518</f>
        <v>0</v>
      </c>
      <c r="I56" s="111">
        <f>'Actual RAB roll forward'!I518</f>
        <v>0</v>
      </c>
      <c r="J56" s="111">
        <f>'Actual RAB roll forward'!J518</f>
        <v>0</v>
      </c>
      <c r="K56" s="111">
        <f>'Actual RAB roll forward'!K518</f>
        <v>0</v>
      </c>
      <c r="L56" s="111">
        <f>'Actual RAB roll forward'!L518</f>
        <v>0</v>
      </c>
      <c r="M56" s="111">
        <f>'Actual RAB roll forward'!M518</f>
        <v>0</v>
      </c>
      <c r="N56" s="111">
        <f>'Actual RAB roll forward'!N518</f>
        <v>0</v>
      </c>
      <c r="O56" s="111">
        <f>'Actual RAB roll forward'!O518</f>
        <v>0</v>
      </c>
      <c r="P56" s="111">
        <f>'Actual RAB roll forward'!P518</f>
        <v>0</v>
      </c>
      <c r="Q56" s="111">
        <f>'Actual RAB roll forward'!Q518</f>
        <v>0</v>
      </c>
      <c r="R56" s="29"/>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1"/>
      <c r="BL56" s="221"/>
    </row>
    <row r="57" spans="1:64" hidden="1" outlineLevel="1">
      <c r="A57" s="9"/>
      <c r="B57" s="9"/>
      <c r="C57" s="44"/>
      <c r="D57" s="270">
        <f>Asset18</f>
        <v>0</v>
      </c>
      <c r="E57" s="9"/>
      <c r="F57" s="9"/>
      <c r="G57" s="201">
        <f>'Actual RAB roll forward'!G519</f>
        <v>0</v>
      </c>
      <c r="H57" s="111">
        <f>'Actual RAB roll forward'!H519</f>
        <v>0</v>
      </c>
      <c r="I57" s="111">
        <f>'Actual RAB roll forward'!I519</f>
        <v>0</v>
      </c>
      <c r="J57" s="111">
        <f>'Actual RAB roll forward'!J519</f>
        <v>0</v>
      </c>
      <c r="K57" s="111">
        <f>'Actual RAB roll forward'!K519</f>
        <v>0</v>
      </c>
      <c r="L57" s="111">
        <f>'Actual RAB roll forward'!L519</f>
        <v>0</v>
      </c>
      <c r="M57" s="111">
        <f>'Actual RAB roll forward'!M519</f>
        <v>0</v>
      </c>
      <c r="N57" s="111">
        <f>'Actual RAB roll forward'!N519</f>
        <v>0</v>
      </c>
      <c r="O57" s="111">
        <f>'Actual RAB roll forward'!O519</f>
        <v>0</v>
      </c>
      <c r="P57" s="111">
        <f>'Actual RAB roll forward'!P519</f>
        <v>0</v>
      </c>
      <c r="Q57" s="111">
        <f>'Actual RAB roll forward'!Q519</f>
        <v>0</v>
      </c>
      <c r="R57" s="29"/>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1"/>
      <c r="BL57" s="221"/>
    </row>
    <row r="58" spans="1:64" hidden="1" outlineLevel="1">
      <c r="A58" s="9"/>
      <c r="B58" s="9"/>
      <c r="C58" s="44"/>
      <c r="D58" s="270">
        <f>Asset19</f>
        <v>0</v>
      </c>
      <c r="E58" s="9"/>
      <c r="F58" s="9"/>
      <c r="G58" s="201">
        <f>'Actual RAB roll forward'!G520</f>
        <v>0</v>
      </c>
      <c r="H58" s="111">
        <f>'Actual RAB roll forward'!H520</f>
        <v>0</v>
      </c>
      <c r="I58" s="111">
        <f>'Actual RAB roll forward'!I520</f>
        <v>0</v>
      </c>
      <c r="J58" s="111">
        <f>'Actual RAB roll forward'!J520</f>
        <v>0</v>
      </c>
      <c r="K58" s="111">
        <f>'Actual RAB roll forward'!K520</f>
        <v>0</v>
      </c>
      <c r="L58" s="111">
        <f>'Actual RAB roll forward'!L520</f>
        <v>0</v>
      </c>
      <c r="M58" s="111">
        <f>'Actual RAB roll forward'!M520</f>
        <v>0</v>
      </c>
      <c r="N58" s="111">
        <f>'Actual RAB roll forward'!N520</f>
        <v>0</v>
      </c>
      <c r="O58" s="111">
        <f>'Actual RAB roll forward'!O520</f>
        <v>0</v>
      </c>
      <c r="P58" s="111">
        <f>'Actual RAB roll forward'!P520</f>
        <v>0</v>
      </c>
      <c r="Q58" s="111">
        <f>'Actual RAB roll forward'!Q520</f>
        <v>0</v>
      </c>
      <c r="R58" s="29"/>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1"/>
      <c r="BL58" s="221"/>
    </row>
    <row r="59" spans="1:64" hidden="1" outlineLevel="1">
      <c r="A59" s="9"/>
      <c r="B59" s="9"/>
      <c r="C59" s="44"/>
      <c r="D59" s="270">
        <f>Asset20</f>
        <v>0</v>
      </c>
      <c r="E59" s="9"/>
      <c r="F59" s="9"/>
      <c r="G59" s="201">
        <f>'Actual RAB roll forward'!G521</f>
        <v>0</v>
      </c>
      <c r="H59" s="111">
        <f>'Actual RAB roll forward'!H521</f>
        <v>0</v>
      </c>
      <c r="I59" s="111">
        <f>'Actual RAB roll forward'!I521</f>
        <v>0</v>
      </c>
      <c r="J59" s="111">
        <f>'Actual RAB roll forward'!J521</f>
        <v>0</v>
      </c>
      <c r="K59" s="111">
        <f>'Actual RAB roll forward'!K521</f>
        <v>0</v>
      </c>
      <c r="L59" s="111">
        <f>'Actual RAB roll forward'!L521</f>
        <v>0</v>
      </c>
      <c r="M59" s="111">
        <f>'Actual RAB roll forward'!M521</f>
        <v>0</v>
      </c>
      <c r="N59" s="111">
        <f>'Actual RAB roll forward'!N521</f>
        <v>0</v>
      </c>
      <c r="O59" s="111">
        <f>'Actual RAB roll forward'!O521</f>
        <v>0</v>
      </c>
      <c r="P59" s="111">
        <f>'Actual RAB roll forward'!P521</f>
        <v>0</v>
      </c>
      <c r="Q59" s="111">
        <f>'Actual RAB roll forward'!Q521</f>
        <v>0</v>
      </c>
      <c r="R59" s="29"/>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1"/>
      <c r="BL59" s="221"/>
    </row>
    <row r="60" spans="1:64" hidden="1" outlineLevel="1">
      <c r="A60" s="9"/>
      <c r="B60" s="9"/>
      <c r="C60" s="44"/>
      <c r="D60" s="270">
        <f>Asset21</f>
        <v>0</v>
      </c>
      <c r="E60" s="9"/>
      <c r="F60" s="9"/>
      <c r="G60" s="201">
        <f>'Actual RAB roll forward'!G522</f>
        <v>0</v>
      </c>
      <c r="H60" s="111">
        <f>'Actual RAB roll forward'!H522</f>
        <v>0</v>
      </c>
      <c r="I60" s="111">
        <f>'Actual RAB roll forward'!I522</f>
        <v>0</v>
      </c>
      <c r="J60" s="111">
        <f>'Actual RAB roll forward'!J522</f>
        <v>0</v>
      </c>
      <c r="K60" s="111">
        <f>'Actual RAB roll forward'!K522</f>
        <v>0</v>
      </c>
      <c r="L60" s="111">
        <f>'Actual RAB roll forward'!L522</f>
        <v>0</v>
      </c>
      <c r="M60" s="111">
        <f>'Actual RAB roll forward'!M522</f>
        <v>0</v>
      </c>
      <c r="N60" s="111">
        <f>'Actual RAB roll forward'!N522</f>
        <v>0</v>
      </c>
      <c r="O60" s="111">
        <f>'Actual RAB roll forward'!O522</f>
        <v>0</v>
      </c>
      <c r="P60" s="111">
        <f>'Actual RAB roll forward'!P522</f>
        <v>0</v>
      </c>
      <c r="Q60" s="111">
        <f>'Actual RAB roll forward'!Q522</f>
        <v>0</v>
      </c>
      <c r="R60" s="29"/>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1"/>
      <c r="BL60" s="221"/>
    </row>
    <row r="61" spans="1:64" hidden="1" outlineLevel="1">
      <c r="A61" s="9"/>
      <c r="B61" s="9"/>
      <c r="C61" s="44"/>
      <c r="D61" s="270">
        <f>Asset22</f>
        <v>0</v>
      </c>
      <c r="E61" s="9"/>
      <c r="F61" s="9"/>
      <c r="G61" s="201">
        <f>'Actual RAB roll forward'!G523</f>
        <v>0</v>
      </c>
      <c r="H61" s="111">
        <f>'Actual RAB roll forward'!H523</f>
        <v>0</v>
      </c>
      <c r="I61" s="111">
        <f>'Actual RAB roll forward'!I523</f>
        <v>0</v>
      </c>
      <c r="J61" s="111">
        <f>'Actual RAB roll forward'!J523</f>
        <v>0</v>
      </c>
      <c r="K61" s="111">
        <f>'Actual RAB roll forward'!K523</f>
        <v>0</v>
      </c>
      <c r="L61" s="111">
        <f>'Actual RAB roll forward'!L523</f>
        <v>0</v>
      </c>
      <c r="M61" s="111">
        <f>'Actual RAB roll forward'!M523</f>
        <v>0</v>
      </c>
      <c r="N61" s="111">
        <f>'Actual RAB roll forward'!N523</f>
        <v>0</v>
      </c>
      <c r="O61" s="111">
        <f>'Actual RAB roll forward'!O523</f>
        <v>0</v>
      </c>
      <c r="P61" s="111">
        <f>'Actual RAB roll forward'!P523</f>
        <v>0</v>
      </c>
      <c r="Q61" s="111">
        <f>'Actual RAB roll forward'!Q523</f>
        <v>0</v>
      </c>
      <c r="R61" s="29"/>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1"/>
      <c r="BL61" s="221"/>
    </row>
    <row r="62" spans="1:64" hidden="1" outlineLevel="1">
      <c r="A62" s="9"/>
      <c r="B62" s="9"/>
      <c r="C62" s="44"/>
      <c r="D62" s="270">
        <f>Asset23</f>
        <v>0</v>
      </c>
      <c r="E62" s="9"/>
      <c r="F62" s="9"/>
      <c r="G62" s="201">
        <f>'Actual RAB roll forward'!G524</f>
        <v>0</v>
      </c>
      <c r="H62" s="111">
        <f>'Actual RAB roll forward'!H524</f>
        <v>0</v>
      </c>
      <c r="I62" s="111">
        <f>'Actual RAB roll forward'!I524</f>
        <v>0</v>
      </c>
      <c r="J62" s="111">
        <f>'Actual RAB roll forward'!J524</f>
        <v>0</v>
      </c>
      <c r="K62" s="111">
        <f>'Actual RAB roll forward'!K524</f>
        <v>0</v>
      </c>
      <c r="L62" s="111">
        <f>'Actual RAB roll forward'!L524</f>
        <v>0</v>
      </c>
      <c r="M62" s="111">
        <f>'Actual RAB roll forward'!M524</f>
        <v>0</v>
      </c>
      <c r="N62" s="111">
        <f>'Actual RAB roll forward'!N524</f>
        <v>0</v>
      </c>
      <c r="O62" s="111">
        <f>'Actual RAB roll forward'!O524</f>
        <v>0</v>
      </c>
      <c r="P62" s="111">
        <f>'Actual RAB roll forward'!P524</f>
        <v>0</v>
      </c>
      <c r="Q62" s="111">
        <f>'Actual RAB roll forward'!Q524</f>
        <v>0</v>
      </c>
      <c r="R62" s="29"/>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1"/>
      <c r="BL62" s="221"/>
    </row>
    <row r="63" spans="1:64" hidden="1" outlineLevel="1">
      <c r="A63" s="9"/>
      <c r="B63" s="9"/>
      <c r="C63" s="44"/>
      <c r="D63" s="270">
        <f>Asset24</f>
        <v>0</v>
      </c>
      <c r="E63" s="9"/>
      <c r="F63" s="9"/>
      <c r="G63" s="201">
        <f>'Actual RAB roll forward'!G525</f>
        <v>0</v>
      </c>
      <c r="H63" s="111">
        <f>'Actual RAB roll forward'!H525</f>
        <v>0</v>
      </c>
      <c r="I63" s="111">
        <f>'Actual RAB roll forward'!I525</f>
        <v>0</v>
      </c>
      <c r="J63" s="111">
        <f>'Actual RAB roll forward'!J525</f>
        <v>0</v>
      </c>
      <c r="K63" s="111">
        <f>'Actual RAB roll forward'!K525</f>
        <v>0</v>
      </c>
      <c r="L63" s="111">
        <f>'Actual RAB roll forward'!L525</f>
        <v>0</v>
      </c>
      <c r="M63" s="111">
        <f>'Actual RAB roll forward'!M525</f>
        <v>0</v>
      </c>
      <c r="N63" s="111">
        <f>'Actual RAB roll forward'!N525</f>
        <v>0</v>
      </c>
      <c r="O63" s="111">
        <f>'Actual RAB roll forward'!O525</f>
        <v>0</v>
      </c>
      <c r="P63" s="111">
        <f>'Actual RAB roll forward'!P525</f>
        <v>0</v>
      </c>
      <c r="Q63" s="111">
        <f>'Actual RAB roll forward'!Q525</f>
        <v>0</v>
      </c>
      <c r="R63" s="29"/>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1"/>
      <c r="BL63" s="221"/>
    </row>
    <row r="64" spans="1:64" hidden="1" outlineLevel="1">
      <c r="A64" s="9"/>
      <c r="B64" s="9"/>
      <c r="C64" s="44"/>
      <c r="D64" s="270">
        <f>Asset25</f>
        <v>0</v>
      </c>
      <c r="E64" s="9"/>
      <c r="F64" s="9"/>
      <c r="G64" s="201">
        <f>'Actual RAB roll forward'!G526</f>
        <v>0</v>
      </c>
      <c r="H64" s="111">
        <f>'Actual RAB roll forward'!H526</f>
        <v>0</v>
      </c>
      <c r="I64" s="111">
        <f>'Actual RAB roll forward'!I526</f>
        <v>0</v>
      </c>
      <c r="J64" s="111">
        <f>'Actual RAB roll forward'!J526</f>
        <v>0</v>
      </c>
      <c r="K64" s="111">
        <f>'Actual RAB roll forward'!K526</f>
        <v>0</v>
      </c>
      <c r="L64" s="111">
        <f>'Actual RAB roll forward'!L526</f>
        <v>0</v>
      </c>
      <c r="M64" s="111">
        <f>'Actual RAB roll forward'!M526</f>
        <v>0</v>
      </c>
      <c r="N64" s="111">
        <f>'Actual RAB roll forward'!N526</f>
        <v>0</v>
      </c>
      <c r="O64" s="111">
        <f>'Actual RAB roll forward'!O526</f>
        <v>0</v>
      </c>
      <c r="P64" s="111">
        <f>'Actual RAB roll forward'!P526</f>
        <v>0</v>
      </c>
      <c r="Q64" s="111">
        <f>'Actual RAB roll forward'!Q526</f>
        <v>0</v>
      </c>
      <c r="R64" s="29"/>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1"/>
      <c r="BL64" s="221"/>
    </row>
    <row r="65" spans="1:64" hidden="1" outlineLevel="1">
      <c r="A65" s="9"/>
      <c r="B65" s="9"/>
      <c r="C65" s="44"/>
      <c r="D65" s="270">
        <f>Asset26</f>
        <v>0</v>
      </c>
      <c r="E65" s="9"/>
      <c r="F65" s="9"/>
      <c r="G65" s="201">
        <f>'Actual RAB roll forward'!G527</f>
        <v>0</v>
      </c>
      <c r="H65" s="111">
        <f>'Actual RAB roll forward'!H527</f>
        <v>0</v>
      </c>
      <c r="I65" s="111">
        <f>'Actual RAB roll forward'!I527</f>
        <v>0</v>
      </c>
      <c r="J65" s="111">
        <f>'Actual RAB roll forward'!J527</f>
        <v>0</v>
      </c>
      <c r="K65" s="111">
        <f>'Actual RAB roll forward'!K527</f>
        <v>0</v>
      </c>
      <c r="L65" s="111">
        <f>'Actual RAB roll forward'!L527</f>
        <v>0</v>
      </c>
      <c r="M65" s="111">
        <f>'Actual RAB roll forward'!M527</f>
        <v>0</v>
      </c>
      <c r="N65" s="111">
        <f>'Actual RAB roll forward'!N527</f>
        <v>0</v>
      </c>
      <c r="O65" s="111">
        <f>'Actual RAB roll forward'!O527</f>
        <v>0</v>
      </c>
      <c r="P65" s="111">
        <f>'Actual RAB roll forward'!P527</f>
        <v>0</v>
      </c>
      <c r="Q65" s="111">
        <f>'Actual RAB roll forward'!Q527</f>
        <v>0</v>
      </c>
      <c r="R65" s="29"/>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1"/>
      <c r="BL65" s="221"/>
    </row>
    <row r="66" spans="1:64" hidden="1" outlineLevel="1">
      <c r="A66" s="9"/>
      <c r="B66" s="9"/>
      <c r="C66" s="44"/>
      <c r="D66" s="270">
        <f>Asset27</f>
        <v>0</v>
      </c>
      <c r="E66" s="9"/>
      <c r="F66" s="9"/>
      <c r="G66" s="201">
        <f>'Actual RAB roll forward'!G528</f>
        <v>0</v>
      </c>
      <c r="H66" s="111">
        <f>'Actual RAB roll forward'!H528</f>
        <v>0</v>
      </c>
      <c r="I66" s="111">
        <f>'Actual RAB roll forward'!I528</f>
        <v>0</v>
      </c>
      <c r="J66" s="111">
        <f>'Actual RAB roll forward'!J528</f>
        <v>0</v>
      </c>
      <c r="K66" s="111">
        <f>'Actual RAB roll forward'!K528</f>
        <v>0</v>
      </c>
      <c r="L66" s="111">
        <f>'Actual RAB roll forward'!L528</f>
        <v>0</v>
      </c>
      <c r="M66" s="111">
        <f>'Actual RAB roll forward'!M528</f>
        <v>0</v>
      </c>
      <c r="N66" s="111">
        <f>'Actual RAB roll forward'!N528</f>
        <v>0</v>
      </c>
      <c r="O66" s="111">
        <f>'Actual RAB roll forward'!O528</f>
        <v>0</v>
      </c>
      <c r="P66" s="111">
        <f>'Actual RAB roll forward'!P528</f>
        <v>0</v>
      </c>
      <c r="Q66" s="111">
        <f>'Actual RAB roll forward'!Q528</f>
        <v>0</v>
      </c>
      <c r="R66" s="29"/>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1"/>
      <c r="BL66" s="221"/>
    </row>
    <row r="67" spans="1:64" hidden="1" outlineLevel="1">
      <c r="A67" s="9"/>
      <c r="B67" s="9"/>
      <c r="C67" s="44"/>
      <c r="D67" s="270">
        <f>Asset28</f>
        <v>0</v>
      </c>
      <c r="E67" s="9"/>
      <c r="F67" s="9"/>
      <c r="G67" s="201">
        <f>'Actual RAB roll forward'!G529</f>
        <v>0</v>
      </c>
      <c r="H67" s="111">
        <f>'Actual RAB roll forward'!H529</f>
        <v>0</v>
      </c>
      <c r="I67" s="111">
        <f>'Actual RAB roll forward'!I529</f>
        <v>0</v>
      </c>
      <c r="J67" s="111">
        <f>'Actual RAB roll forward'!J529</f>
        <v>0</v>
      </c>
      <c r="K67" s="111">
        <f>'Actual RAB roll forward'!K529</f>
        <v>0</v>
      </c>
      <c r="L67" s="111">
        <f>'Actual RAB roll forward'!L529</f>
        <v>0</v>
      </c>
      <c r="M67" s="111">
        <f>'Actual RAB roll forward'!M529</f>
        <v>0</v>
      </c>
      <c r="N67" s="111">
        <f>'Actual RAB roll forward'!N529</f>
        <v>0</v>
      </c>
      <c r="O67" s="111">
        <f>'Actual RAB roll forward'!O529</f>
        <v>0</v>
      </c>
      <c r="P67" s="111">
        <f>'Actual RAB roll forward'!P529</f>
        <v>0</v>
      </c>
      <c r="Q67" s="111">
        <f>'Actual RAB roll forward'!Q529</f>
        <v>0</v>
      </c>
      <c r="R67" s="29"/>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1"/>
      <c r="BL67" s="221"/>
    </row>
    <row r="68" spans="1:64" hidden="1" outlineLevel="1">
      <c r="A68" s="9"/>
      <c r="B68" s="9"/>
      <c r="C68" s="44"/>
      <c r="D68" s="270">
        <f>Asset29</f>
        <v>0</v>
      </c>
      <c r="E68" s="9"/>
      <c r="F68" s="9"/>
      <c r="G68" s="201">
        <f>'Actual RAB roll forward'!G530</f>
        <v>0</v>
      </c>
      <c r="H68" s="111">
        <f>'Actual RAB roll forward'!H530</f>
        <v>0</v>
      </c>
      <c r="I68" s="111">
        <f>'Actual RAB roll forward'!I530</f>
        <v>0</v>
      </c>
      <c r="J68" s="111">
        <f>'Actual RAB roll forward'!J530</f>
        <v>0</v>
      </c>
      <c r="K68" s="111">
        <f>'Actual RAB roll forward'!K530</f>
        <v>0</v>
      </c>
      <c r="L68" s="111">
        <f>'Actual RAB roll forward'!L530</f>
        <v>0</v>
      </c>
      <c r="M68" s="111">
        <f>'Actual RAB roll forward'!M530</f>
        <v>0</v>
      </c>
      <c r="N68" s="111">
        <f>'Actual RAB roll forward'!N530</f>
        <v>0</v>
      </c>
      <c r="O68" s="111">
        <f>'Actual RAB roll forward'!O530</f>
        <v>0</v>
      </c>
      <c r="P68" s="111">
        <f>'Actual RAB roll forward'!P530</f>
        <v>0</v>
      </c>
      <c r="Q68" s="111">
        <f>'Actual RAB roll forward'!Q530</f>
        <v>0</v>
      </c>
      <c r="R68" s="29"/>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1"/>
      <c r="BL68" s="221"/>
    </row>
    <row r="69" spans="1:64" hidden="1" outlineLevel="1">
      <c r="A69" s="9"/>
      <c r="B69" s="9"/>
      <c r="C69" s="44"/>
      <c r="D69" s="270">
        <f>Asset30</f>
        <v>0</v>
      </c>
      <c r="E69" s="9"/>
      <c r="F69" s="9"/>
      <c r="G69" s="201">
        <f>'Actual RAB roll forward'!G531</f>
        <v>0</v>
      </c>
      <c r="H69" s="111">
        <f>'Actual RAB roll forward'!H531</f>
        <v>0</v>
      </c>
      <c r="I69" s="111">
        <f>'Actual RAB roll forward'!I531</f>
        <v>0</v>
      </c>
      <c r="J69" s="111">
        <f>'Actual RAB roll forward'!J531</f>
        <v>0</v>
      </c>
      <c r="K69" s="111">
        <f>'Actual RAB roll forward'!K531</f>
        <v>0</v>
      </c>
      <c r="L69" s="111">
        <f>'Actual RAB roll forward'!L531</f>
        <v>0</v>
      </c>
      <c r="M69" s="111">
        <f>'Actual RAB roll forward'!M531</f>
        <v>0</v>
      </c>
      <c r="N69" s="111">
        <f>'Actual RAB roll forward'!N531</f>
        <v>0</v>
      </c>
      <c r="O69" s="111">
        <f>'Actual RAB roll forward'!O531</f>
        <v>0</v>
      </c>
      <c r="P69" s="111">
        <f>'Actual RAB roll forward'!P531</f>
        <v>0</v>
      </c>
      <c r="Q69" s="111">
        <f>'Actual RAB roll forward'!Q531</f>
        <v>0</v>
      </c>
      <c r="R69" s="29"/>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1"/>
      <c r="BL69" s="221"/>
    </row>
    <row r="70" spans="1:64" collapsed="1">
      <c r="A70" s="9"/>
      <c r="B70" s="9"/>
      <c r="C70" s="44"/>
      <c r="D70" s="113"/>
      <c r="E70" s="9"/>
      <c r="F70" s="9"/>
      <c r="G70" s="210"/>
      <c r="H70" s="35"/>
      <c r="I70" s="35"/>
      <c r="J70" s="35"/>
      <c r="K70" s="35"/>
      <c r="L70" s="35"/>
      <c r="M70" s="35"/>
      <c r="N70" s="100"/>
      <c r="O70" s="29"/>
      <c r="P70" s="29"/>
      <c r="Q70" s="29"/>
      <c r="R70" s="29"/>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1"/>
      <c r="BL70" s="221"/>
    </row>
    <row r="71" spans="1:64">
      <c r="A71" s="9"/>
      <c r="B71" s="9"/>
      <c r="C71" s="226" t="s">
        <v>72</v>
      </c>
      <c r="D71" s="12"/>
      <c r="E71" s="9"/>
      <c r="F71" s="9"/>
      <c r="G71" s="202">
        <f>SUM(G72:G101)</f>
        <v>-45.523352281960584</v>
      </c>
      <c r="H71" s="35">
        <f>SUM(H72:H101)</f>
        <v>-26.266056248787152</v>
      </c>
      <c r="I71" s="35">
        <f t="shared" ref="I71:P71" si="7">SUM(I72:I101)</f>
        <v>-65.096898009176812</v>
      </c>
      <c r="J71" s="35">
        <f t="shared" si="7"/>
        <v>-57.468967537386213</v>
      </c>
      <c r="K71" s="35">
        <f t="shared" si="7"/>
        <v>-50.207756945499071</v>
      </c>
      <c r="L71" s="35">
        <f t="shared" si="7"/>
        <v>-75.443112708855125</v>
      </c>
      <c r="M71" s="35">
        <f t="shared" si="7"/>
        <v>-65.355982076058893</v>
      </c>
      <c r="N71" s="35">
        <f t="shared" si="7"/>
        <v>0</v>
      </c>
      <c r="O71" s="35">
        <f t="shared" si="7"/>
        <v>0</v>
      </c>
      <c r="P71" s="35">
        <f t="shared" si="7"/>
        <v>0</v>
      </c>
      <c r="Q71" s="35">
        <f>SUM(Q72:Q101)</f>
        <v>0</v>
      </c>
      <c r="R71" s="29"/>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1"/>
      <c r="BL71" s="221"/>
    </row>
    <row r="72" spans="1:64" hidden="1" outlineLevel="1">
      <c r="A72" s="9"/>
      <c r="B72" s="9"/>
      <c r="C72" s="44"/>
      <c r="D72" s="270" t="str">
        <f>Asset1</f>
        <v>Secondary</v>
      </c>
      <c r="E72" s="9"/>
      <c r="F72" s="9"/>
      <c r="G72" s="201">
        <f>'Actual RAB roll forward'!G534</f>
        <v>-5.009896309442194</v>
      </c>
      <c r="H72" s="111">
        <f>'Actual RAB roll forward'!H534</f>
        <v>-13.094330659251032</v>
      </c>
      <c r="I72" s="111">
        <f>'Actual RAB roll forward'!I534</f>
        <v>-16.668935861150768</v>
      </c>
      <c r="J72" s="111">
        <f>'Actual RAB roll forward'!J534</f>
        <v>-16.686947494644862</v>
      </c>
      <c r="K72" s="111">
        <f>'Actual RAB roll forward'!K534</f>
        <v>-17.451195969774282</v>
      </c>
      <c r="L72" s="111">
        <f>'Actual RAB roll forward'!L534</f>
        <v>-16.913973764777538</v>
      </c>
      <c r="M72" s="111">
        <f>'Actual RAB roll forward'!M534</f>
        <v>-8.601294091485526</v>
      </c>
      <c r="N72" s="111">
        <f>'Actual RAB roll forward'!N534</f>
        <v>0</v>
      </c>
      <c r="O72" s="111">
        <f>'Actual RAB roll forward'!O534</f>
        <v>0</v>
      </c>
      <c r="P72" s="111">
        <f>'Actual RAB roll forward'!P534</f>
        <v>0</v>
      </c>
      <c r="Q72" s="111">
        <f>'Actual RAB roll forward'!Q534</f>
        <v>0</v>
      </c>
      <c r="R72" s="29"/>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1"/>
      <c r="BL72" s="221"/>
    </row>
    <row r="73" spans="1:64" hidden="1" outlineLevel="1">
      <c r="A73" s="9"/>
      <c r="B73" s="9"/>
      <c r="C73" s="44"/>
      <c r="D73" s="270" t="str">
        <f>Asset2</f>
        <v>Switchgear</v>
      </c>
      <c r="E73" s="9"/>
      <c r="F73" s="9"/>
      <c r="G73" s="201">
        <f>'Actual RAB roll forward'!G535</f>
        <v>-9.9700462083033674</v>
      </c>
      <c r="H73" s="111">
        <f>'Actual RAB roll forward'!H535</f>
        <v>-5.137097774464495</v>
      </c>
      <c r="I73" s="111">
        <f>'Actual RAB roll forward'!I535</f>
        <v>-11.023294541916524</v>
      </c>
      <c r="J73" s="111">
        <f>'Actual RAB roll forward'!J535</f>
        <v>-9.1955368822131689</v>
      </c>
      <c r="K73" s="111">
        <f>'Actual RAB roll forward'!K535</f>
        <v>-8.358460842224833</v>
      </c>
      <c r="L73" s="111">
        <f>'Actual RAB roll forward'!L535</f>
        <v>-13.240239722989237</v>
      </c>
      <c r="M73" s="111">
        <f>'Actual RAB roll forward'!M535</f>
        <v>-12.358790291224921</v>
      </c>
      <c r="N73" s="111">
        <f>'Actual RAB roll forward'!N535</f>
        <v>0</v>
      </c>
      <c r="O73" s="111">
        <f>'Actual RAB roll forward'!O535</f>
        <v>0</v>
      </c>
      <c r="P73" s="111">
        <f>'Actual RAB roll forward'!P535</f>
        <v>0</v>
      </c>
      <c r="Q73" s="111">
        <f>'Actual RAB roll forward'!Q535</f>
        <v>0</v>
      </c>
      <c r="R73" s="29"/>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1"/>
      <c r="BL73" s="221"/>
    </row>
    <row r="74" spans="1:64" hidden="1" outlineLevel="1">
      <c r="A74" s="9"/>
      <c r="B74" s="9"/>
      <c r="C74" s="44"/>
      <c r="D74" s="270" t="str">
        <f>Asset3</f>
        <v>Transformers</v>
      </c>
      <c r="E74" s="9"/>
      <c r="F74" s="9"/>
      <c r="G74" s="201">
        <f>'Actual RAB roll forward'!G536</f>
        <v>-9.0020269407922626</v>
      </c>
      <c r="H74" s="111">
        <f>'Actual RAB roll forward'!H536</f>
        <v>-6.8057868495363012</v>
      </c>
      <c r="I74" s="111">
        <f>'Actual RAB roll forward'!I536</f>
        <v>-9.9370658849582405</v>
      </c>
      <c r="J74" s="111">
        <f>'Actual RAB roll forward'!J536</f>
        <v>-9.5040111587104192</v>
      </c>
      <c r="K74" s="111">
        <f>'Actual RAB roll forward'!K536</f>
        <v>-9.1365640563909487</v>
      </c>
      <c r="L74" s="111">
        <f>'Actual RAB roll forward'!L536</f>
        <v>-11.05882831493842</v>
      </c>
      <c r="M74" s="111">
        <f>'Actual RAB roll forward'!M536</f>
        <v>-10.834585827782256</v>
      </c>
      <c r="N74" s="111">
        <f>'Actual RAB roll forward'!N536</f>
        <v>0</v>
      </c>
      <c r="O74" s="111">
        <f>'Actual RAB roll forward'!O536</f>
        <v>0</v>
      </c>
      <c r="P74" s="111">
        <f>'Actual RAB roll forward'!P536</f>
        <v>0</v>
      </c>
      <c r="Q74" s="111">
        <f>'Actual RAB roll forward'!Q536</f>
        <v>0</v>
      </c>
      <c r="R74" s="29"/>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1"/>
      <c r="BL74" s="221"/>
    </row>
    <row r="75" spans="1:64" hidden="1" outlineLevel="1">
      <c r="A75" s="9"/>
      <c r="B75" s="9"/>
      <c r="C75" s="44"/>
      <c r="D75" s="270" t="str">
        <f>Asset4</f>
        <v>Reactive</v>
      </c>
      <c r="E75" s="9"/>
      <c r="F75" s="9"/>
      <c r="G75" s="201">
        <f>'Actual RAB roll forward'!G537</f>
        <v>-1.9565416146037446</v>
      </c>
      <c r="H75" s="111">
        <f>'Actual RAB roll forward'!H537</f>
        <v>-1.2070748712638504</v>
      </c>
      <c r="I75" s="111">
        <f>'Actual RAB roll forward'!I537</f>
        <v>-2.7365742091456484</v>
      </c>
      <c r="J75" s="111">
        <f>'Actual RAB roll forward'!J537</f>
        <v>-2.4024658447898486</v>
      </c>
      <c r="K75" s="111">
        <f>'Actual RAB roll forward'!K537</f>
        <v>-2.1961894388235828</v>
      </c>
      <c r="L75" s="111">
        <f>'Actual RAB roll forward'!L537</f>
        <v>-3.1417501819680993</v>
      </c>
      <c r="M75" s="111">
        <f>'Actual RAB roll forward'!M537</f>
        <v>-3.0801097144920981</v>
      </c>
      <c r="N75" s="111">
        <f>'Actual RAB roll forward'!N537</f>
        <v>0</v>
      </c>
      <c r="O75" s="111">
        <f>'Actual RAB roll forward'!O537</f>
        <v>0</v>
      </c>
      <c r="P75" s="111">
        <f>'Actual RAB roll forward'!P537</f>
        <v>0</v>
      </c>
      <c r="Q75" s="111">
        <f>'Actual RAB roll forward'!Q537</f>
        <v>0</v>
      </c>
      <c r="R75" s="29"/>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1"/>
      <c r="BL75" s="221"/>
    </row>
    <row r="76" spans="1:64" hidden="1" outlineLevel="1">
      <c r="A76" s="9"/>
      <c r="B76" s="9"/>
      <c r="C76" s="44"/>
      <c r="D76" s="270" t="str">
        <f>Asset5</f>
        <v>Towers and Conductor</v>
      </c>
      <c r="E76" s="9"/>
      <c r="F76" s="9"/>
      <c r="G76" s="201">
        <f>'Actual RAB roll forward'!G538</f>
        <v>-9.3974643039723151</v>
      </c>
      <c r="H76" s="111">
        <f>'Actual RAB roll forward'!H538</f>
        <v>1.3000829144204431</v>
      </c>
      <c r="I76" s="111">
        <f>'Actual RAB roll forward'!I538</f>
        <v>-16.437837303640151</v>
      </c>
      <c r="J76" s="111">
        <f>'Actual RAB roll forward'!J538</f>
        <v>-11.858154321965529</v>
      </c>
      <c r="K76" s="111">
        <f>'Actual RAB roll forward'!K538</f>
        <v>-7.9064384253165372</v>
      </c>
      <c r="L76" s="111">
        <f>'Actual RAB roll forward'!L538</f>
        <v>-18.930542164569186</v>
      </c>
      <c r="M76" s="111">
        <f>'Actual RAB roll forward'!M538</f>
        <v>-16.915992975566404</v>
      </c>
      <c r="N76" s="111">
        <f>'Actual RAB roll forward'!N538</f>
        <v>0</v>
      </c>
      <c r="O76" s="111">
        <f>'Actual RAB roll forward'!O538</f>
        <v>0</v>
      </c>
      <c r="P76" s="111">
        <f>'Actual RAB roll forward'!P538</f>
        <v>0</v>
      </c>
      <c r="Q76" s="111">
        <f>'Actual RAB roll forward'!Q538</f>
        <v>0</v>
      </c>
      <c r="R76" s="29"/>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1"/>
      <c r="BL76" s="221"/>
    </row>
    <row r="77" spans="1:64" hidden="1" outlineLevel="1">
      <c r="A77" s="9"/>
      <c r="B77" s="9"/>
      <c r="C77" s="44"/>
      <c r="D77" s="270" t="str">
        <f>Asset6</f>
        <v>Establishment</v>
      </c>
      <c r="E77" s="9"/>
      <c r="F77" s="9"/>
      <c r="G77" s="201">
        <f>'Actual RAB roll forward'!G539</f>
        <v>-1.9292989819905269</v>
      </c>
      <c r="H77" s="111">
        <f>'Actual RAB roll forward'!H539</f>
        <v>-0.24357216393564984</v>
      </c>
      <c r="I77" s="111">
        <f>'Actual RAB roll forward'!I539</f>
        <v>-2.018774656172138</v>
      </c>
      <c r="J77" s="111">
        <f>'Actual RAB roll forward'!J539</f>
        <v>-1.5195715868078197</v>
      </c>
      <c r="K77" s="111">
        <f>'Actual RAB roll forward'!K539</f>
        <v>-1.1786536437525825</v>
      </c>
      <c r="L77" s="111">
        <f>'Actual RAB roll forward'!L539</f>
        <v>-2.3260469512259343</v>
      </c>
      <c r="M77" s="111">
        <f>'Actual RAB roll forward'!M539</f>
        <v>-2.0296953578525985</v>
      </c>
      <c r="N77" s="111">
        <f>'Actual RAB roll forward'!N539</f>
        <v>0</v>
      </c>
      <c r="O77" s="111">
        <f>'Actual RAB roll forward'!O539</f>
        <v>0</v>
      </c>
      <c r="P77" s="111">
        <f>'Actual RAB roll forward'!P539</f>
        <v>0</v>
      </c>
      <c r="Q77" s="111">
        <f>'Actual RAB roll forward'!Q539</f>
        <v>0</v>
      </c>
      <c r="R77" s="29"/>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1"/>
      <c r="BL77" s="221"/>
    </row>
    <row r="78" spans="1:64" hidden="1" outlineLevel="1">
      <c r="A78" s="9"/>
      <c r="B78" s="9"/>
      <c r="C78" s="44"/>
      <c r="D78" s="270" t="str">
        <f>Asset7</f>
        <v>Communications</v>
      </c>
      <c r="E78" s="9"/>
      <c r="F78" s="9"/>
      <c r="G78" s="201">
        <f>'Actual RAB roll forward'!G540</f>
        <v>-6.3024287901060712</v>
      </c>
      <c r="H78" s="111">
        <f>'Actual RAB roll forward'!H540</f>
        <v>-1.503312956361432</v>
      </c>
      <c r="I78" s="111">
        <f>'Actual RAB roll forward'!I540</f>
        <v>-1.5823082040564107</v>
      </c>
      <c r="J78" s="111">
        <f>'Actual RAB roll forward'!J540</f>
        <v>-1.1876372507952981</v>
      </c>
      <c r="K78" s="111">
        <f>'Actual RAB roll forward'!K540</f>
        <v>-1.8127128127039573</v>
      </c>
      <c r="L78" s="111">
        <f>'Actual RAB roll forward'!L540</f>
        <v>-2.5274406117099031</v>
      </c>
      <c r="M78" s="111">
        <f>'Actual RAB roll forward'!M540</f>
        <v>-2.3135638827257772</v>
      </c>
      <c r="N78" s="111">
        <f>'Actual RAB roll forward'!N540</f>
        <v>0</v>
      </c>
      <c r="O78" s="111">
        <f>'Actual RAB roll forward'!O540</f>
        <v>0</v>
      </c>
      <c r="P78" s="111">
        <f>'Actual RAB roll forward'!P540</f>
        <v>0</v>
      </c>
      <c r="Q78" s="111">
        <f>'Actual RAB roll forward'!Q540</f>
        <v>0</v>
      </c>
      <c r="R78" s="29"/>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1"/>
      <c r="BL78" s="221"/>
    </row>
    <row r="79" spans="1:64" hidden="1" outlineLevel="1">
      <c r="A79" s="9"/>
      <c r="B79" s="9"/>
      <c r="C79" s="44"/>
      <c r="D79" s="270" t="str">
        <f>Asset8</f>
        <v>Inventory</v>
      </c>
      <c r="E79" s="9"/>
      <c r="F79" s="9"/>
      <c r="G79" s="201">
        <f>'Actual RAB roll forward'!G541</f>
        <v>0.1190149191478946</v>
      </c>
      <c r="H79" s="111">
        <f>'Actual RAB roll forward'!H541</f>
        <v>0.27048186622619236</v>
      </c>
      <c r="I79" s="111">
        <f>'Actual RAB roll forward'!I541</f>
        <v>0.16045534437147022</v>
      </c>
      <c r="J79" s="111">
        <f>'Actual RAB roll forward'!J541</f>
        <v>0.2062997284776045</v>
      </c>
      <c r="K79" s="111">
        <f>'Actual RAB roll forward'!K541</f>
        <v>0.24755967417312463</v>
      </c>
      <c r="L79" s="111">
        <f>'Actual RAB roll forward'!L541</f>
        <v>0.18130121762534249</v>
      </c>
      <c r="M79" s="111">
        <f>'Actual RAB roll forward'!M541</f>
        <v>0.21014459315664574</v>
      </c>
      <c r="N79" s="111">
        <f>'Actual RAB roll forward'!N541</f>
        <v>0</v>
      </c>
      <c r="O79" s="111">
        <f>'Actual RAB roll forward'!O541</f>
        <v>0</v>
      </c>
      <c r="P79" s="111">
        <f>'Actual RAB roll forward'!P541</f>
        <v>0</v>
      </c>
      <c r="Q79" s="111">
        <f>'Actual RAB roll forward'!Q541</f>
        <v>0</v>
      </c>
      <c r="R79" s="29"/>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1"/>
      <c r="BL79" s="221"/>
    </row>
    <row r="80" spans="1:64" hidden="1" outlineLevel="1">
      <c r="A80" s="9"/>
      <c r="B80" s="9"/>
      <c r="C80" s="44"/>
      <c r="D80" s="270" t="str">
        <f>Asset9</f>
        <v>IT</v>
      </c>
      <c r="E80" s="9"/>
      <c r="F80" s="9"/>
      <c r="G80" s="201">
        <f>'Actual RAB roll forward'!G542</f>
        <v>-3.9008862920846168</v>
      </c>
      <c r="H80" s="111">
        <f>'Actual RAB roll forward'!H542</f>
        <v>-4.2967693946026442</v>
      </c>
      <c r="I80" s="111">
        <f>'Actual RAB roll forward'!I542</f>
        <v>-5.684405986497981</v>
      </c>
      <c r="J80" s="111">
        <f>'Actual RAB roll forward'!J542</f>
        <v>-7.6360052452420968</v>
      </c>
      <c r="K80" s="111">
        <f>'Actual RAB roll forward'!K542</f>
        <v>-6.9565693609410406</v>
      </c>
      <c r="L80" s="111">
        <f>'Actual RAB roll forward'!L542</f>
        <v>-9.3088428531304643</v>
      </c>
      <c r="M80" s="111">
        <f>'Actual RAB roll forward'!M542</f>
        <v>-11.704034496008829</v>
      </c>
      <c r="N80" s="111">
        <f>'Actual RAB roll forward'!N542</f>
        <v>0</v>
      </c>
      <c r="O80" s="111">
        <f>'Actual RAB roll forward'!O542</f>
        <v>0</v>
      </c>
      <c r="P80" s="111">
        <f>'Actual RAB roll forward'!P542</f>
        <v>0</v>
      </c>
      <c r="Q80" s="111">
        <f>'Actual RAB roll forward'!Q542</f>
        <v>0</v>
      </c>
      <c r="R80" s="29"/>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1"/>
      <c r="BL80" s="221"/>
    </row>
    <row r="81" spans="1:64" hidden="1" outlineLevel="1">
      <c r="A81" s="9"/>
      <c r="B81" s="9"/>
      <c r="C81" s="44"/>
      <c r="D81" s="270" t="str">
        <f>Asset10</f>
        <v>Vehicles</v>
      </c>
      <c r="E81" s="9"/>
      <c r="F81" s="9"/>
      <c r="G81" s="201">
        <f>'Actual RAB roll forward'!G543</f>
        <v>-0.14566511533793916</v>
      </c>
      <c r="H81" s="111">
        <f>'Actual RAB roll forward'!H543</f>
        <v>-0.7914140701330683</v>
      </c>
      <c r="I81" s="111">
        <f>'Actual RAB roll forward'!I543</f>
        <v>-0.89074413296780786</v>
      </c>
      <c r="J81" s="111">
        <f>'Actual RAB roll forward'!J543</f>
        <v>-0.79201450476611324</v>
      </c>
      <c r="K81" s="111">
        <f>'Actual RAB roll forward'!K543</f>
        <v>-0.22202234396453246</v>
      </c>
      <c r="L81" s="111">
        <f>'Actual RAB roll forward'!L543</f>
        <v>-0.28065209017101567</v>
      </c>
      <c r="M81" s="111">
        <f>'Actual RAB roll forward'!M543</f>
        <v>-0.53475960901729713</v>
      </c>
      <c r="N81" s="111">
        <f>'Actual RAB roll forward'!N543</f>
        <v>0</v>
      </c>
      <c r="O81" s="111">
        <f>'Actual RAB roll forward'!O543</f>
        <v>0</v>
      </c>
      <c r="P81" s="111">
        <f>'Actual RAB roll forward'!P543</f>
        <v>0</v>
      </c>
      <c r="Q81" s="111">
        <f>'Actual RAB roll forward'!Q543</f>
        <v>0</v>
      </c>
      <c r="R81" s="29"/>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1"/>
      <c r="BL81" s="221"/>
    </row>
    <row r="82" spans="1:64" hidden="1" outlineLevel="1">
      <c r="A82" s="9"/>
      <c r="B82" s="9"/>
      <c r="C82" s="44"/>
      <c r="D82" s="270" t="str">
        <f>Asset11</f>
        <v>other</v>
      </c>
      <c r="E82" s="9"/>
      <c r="F82" s="9"/>
      <c r="G82" s="201">
        <f>'Actual RAB roll forward'!G544</f>
        <v>-1.5380787381567749</v>
      </c>
      <c r="H82" s="111">
        <f>'Actual RAB roll forward'!H544</f>
        <v>-1.1897345607990433</v>
      </c>
      <c r="I82" s="111">
        <f>'Actual RAB roll forward'!I544</f>
        <v>-1.4398313674010372</v>
      </c>
      <c r="J82" s="111">
        <f>'Actual RAB roll forward'!J544</f>
        <v>-1.3995361994177933</v>
      </c>
      <c r="K82" s="111">
        <f>'Actual RAB roll forward'!K544</f>
        <v>-1.200926523314801</v>
      </c>
      <c r="L82" s="111">
        <f>'Actual RAB roll forward'!L544</f>
        <v>-1.7782706427499144</v>
      </c>
      <c r="M82" s="111">
        <f>'Actual RAB roll forward'!M544</f>
        <v>-1.9073746780615324</v>
      </c>
      <c r="N82" s="111">
        <f>'Actual RAB roll forward'!N544</f>
        <v>0</v>
      </c>
      <c r="O82" s="111">
        <f>'Actual RAB roll forward'!O544</f>
        <v>0</v>
      </c>
      <c r="P82" s="111">
        <f>'Actual RAB roll forward'!P544</f>
        <v>0</v>
      </c>
      <c r="Q82" s="111">
        <f>'Actual RAB roll forward'!Q544</f>
        <v>0</v>
      </c>
      <c r="R82" s="29"/>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1"/>
      <c r="BL82" s="221"/>
    </row>
    <row r="83" spans="1:64" hidden="1" outlineLevel="1">
      <c r="A83" s="9"/>
      <c r="B83" s="9"/>
      <c r="C83" s="44"/>
      <c r="D83" s="270" t="str">
        <f>Asset12</f>
        <v>premises</v>
      </c>
      <c r="E83" s="9"/>
      <c r="F83" s="9"/>
      <c r="G83" s="201">
        <f>'Actual RAB roll forward'!G545</f>
        <v>-1.7554403275244403</v>
      </c>
      <c r="H83" s="111">
        <f>'Actual RAB roll forward'!H545</f>
        <v>-1.1122512838661884</v>
      </c>
      <c r="I83" s="111">
        <f>'Actual RAB roll forward'!I545</f>
        <v>-1.3132646703415209</v>
      </c>
      <c r="J83" s="111">
        <f>'Actual RAB roll forward'!J545</f>
        <v>-1.247836945410804</v>
      </c>
      <c r="K83" s="111">
        <f>'Actual RAB roll forward'!K545</f>
        <v>-0.92550670211905239</v>
      </c>
      <c r="L83" s="111">
        <f>'Actual RAB roll forward'!L545</f>
        <v>-1.1412747582189429</v>
      </c>
      <c r="M83" s="111">
        <f>'Actual RAB roll forward'!M545</f>
        <v>-1.1085588047341342</v>
      </c>
      <c r="N83" s="111">
        <f>'Actual RAB roll forward'!N545</f>
        <v>0</v>
      </c>
      <c r="O83" s="111">
        <f>'Actual RAB roll forward'!O545</f>
        <v>0</v>
      </c>
      <c r="P83" s="111">
        <f>'Actual RAB roll forward'!P545</f>
        <v>0</v>
      </c>
      <c r="Q83" s="111">
        <f>'Actual RAB roll forward'!Q545</f>
        <v>0</v>
      </c>
      <c r="R83" s="29"/>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1"/>
      <c r="BL83" s="221"/>
    </row>
    <row r="84" spans="1:64" hidden="1" outlineLevel="1">
      <c r="A84" s="9"/>
      <c r="B84" s="9"/>
      <c r="C84" s="44"/>
      <c r="D84" s="270" t="str">
        <f>Asset13</f>
        <v>Land</v>
      </c>
      <c r="E84" s="9"/>
      <c r="F84" s="9"/>
      <c r="G84" s="201">
        <f>'Actual RAB roll forward'!G546</f>
        <v>2.5060166229602889</v>
      </c>
      <c r="H84" s="111">
        <f>'Actual RAB roll forward'!H546</f>
        <v>3.528825378559989</v>
      </c>
      <c r="I84" s="111">
        <f>'Actual RAB roll forward'!I546</f>
        <v>2.0933709872813515</v>
      </c>
      <c r="J84" s="111">
        <f>'Actual RAB roll forward'!J546</f>
        <v>2.6914769836474512</v>
      </c>
      <c r="K84" s="111">
        <f>'Actual RAB roll forward'!K546</f>
        <v>3.2143556773509681</v>
      </c>
      <c r="L84" s="111">
        <f>'Actual RAB roll forward'!L546</f>
        <v>2.3316328176647785</v>
      </c>
      <c r="M84" s="111">
        <f>'Actual RAB roll forward'!M546</f>
        <v>2.7025744022932505</v>
      </c>
      <c r="N84" s="111">
        <f>'Actual RAB roll forward'!N546</f>
        <v>0</v>
      </c>
      <c r="O84" s="111">
        <f>'Actual RAB roll forward'!O546</f>
        <v>0</v>
      </c>
      <c r="P84" s="111">
        <f>'Actual RAB roll forward'!P546</f>
        <v>0</v>
      </c>
      <c r="Q84" s="111">
        <f>'Actual RAB roll forward'!Q546</f>
        <v>0</v>
      </c>
      <c r="R84" s="29"/>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1"/>
      <c r="BL84" s="221"/>
    </row>
    <row r="85" spans="1:64" hidden="1" outlineLevel="1">
      <c r="A85" s="9"/>
      <c r="B85" s="9"/>
      <c r="C85" s="44"/>
      <c r="D85" s="270" t="str">
        <f>Asset14</f>
        <v>Easements</v>
      </c>
      <c r="E85" s="9"/>
      <c r="F85" s="9"/>
      <c r="G85" s="201">
        <f>'Actual RAB roll forward'!G547</f>
        <v>2.7593897982454862</v>
      </c>
      <c r="H85" s="111">
        <f>'Actual RAB roll forward'!H547</f>
        <v>4.0158981762199319</v>
      </c>
      <c r="I85" s="111">
        <f>'Actual RAB roll forward'!I547</f>
        <v>2.3823124774186062</v>
      </c>
      <c r="J85" s="111">
        <f>'Actual RAB roll forward'!J547</f>
        <v>3.0629731852524928</v>
      </c>
      <c r="K85" s="111">
        <f>'Actual RAB roll forward'!K547</f>
        <v>3.6755678223029795</v>
      </c>
      <c r="L85" s="111">
        <f>'Actual RAB roll forward'!L547</f>
        <v>2.691815312303405</v>
      </c>
      <c r="M85" s="111">
        <f>'Actual RAB roll forward'!M547</f>
        <v>3.1200586574425646</v>
      </c>
      <c r="N85" s="111">
        <f>'Actual RAB roll forward'!N547</f>
        <v>0</v>
      </c>
      <c r="O85" s="111">
        <f>'Actual RAB roll forward'!O547</f>
        <v>0</v>
      </c>
      <c r="P85" s="111">
        <f>'Actual RAB roll forward'!P547</f>
        <v>0</v>
      </c>
      <c r="Q85" s="111">
        <f>'Actual RAB roll forward'!Q547</f>
        <v>0</v>
      </c>
      <c r="R85" s="29"/>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1"/>
      <c r="BL85" s="221"/>
    </row>
    <row r="86" spans="1:64" hidden="1" outlineLevel="1">
      <c r="A86" s="9"/>
      <c r="B86" s="9"/>
      <c r="C86" s="44"/>
      <c r="D86" s="270">
        <f>Asset15</f>
        <v>0</v>
      </c>
      <c r="E86" s="9"/>
      <c r="F86" s="9"/>
      <c r="G86" s="201">
        <f>'Actual RAB roll forward'!G548</f>
        <v>0</v>
      </c>
      <c r="H86" s="111">
        <f>'Actual RAB roll forward'!H548</f>
        <v>0</v>
      </c>
      <c r="I86" s="111">
        <f>'Actual RAB roll forward'!I548</f>
        <v>0</v>
      </c>
      <c r="J86" s="111">
        <f>'Actual RAB roll forward'!J548</f>
        <v>0</v>
      </c>
      <c r="K86" s="111">
        <f>'Actual RAB roll forward'!K548</f>
        <v>0</v>
      </c>
      <c r="L86" s="111">
        <f>'Actual RAB roll forward'!L548</f>
        <v>0</v>
      </c>
      <c r="M86" s="111">
        <f>'Actual RAB roll forward'!M548</f>
        <v>0</v>
      </c>
      <c r="N86" s="111">
        <f>'Actual RAB roll forward'!N548</f>
        <v>0</v>
      </c>
      <c r="O86" s="111">
        <f>'Actual RAB roll forward'!O548</f>
        <v>0</v>
      </c>
      <c r="P86" s="111">
        <f>'Actual RAB roll forward'!P548</f>
        <v>0</v>
      </c>
      <c r="Q86" s="111">
        <f>'Actual RAB roll forward'!Q548</f>
        <v>0</v>
      </c>
      <c r="R86" s="29"/>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1"/>
      <c r="BL86" s="221"/>
    </row>
    <row r="87" spans="1:64" hidden="1" outlineLevel="1">
      <c r="A87" s="9"/>
      <c r="B87" s="9"/>
      <c r="C87" s="44"/>
      <c r="D87" s="270">
        <f>Asset16</f>
        <v>0</v>
      </c>
      <c r="E87" s="9"/>
      <c r="F87" s="9"/>
      <c r="G87" s="201">
        <f>'Actual RAB roll forward'!G549</f>
        <v>0</v>
      </c>
      <c r="H87" s="111">
        <f>'Actual RAB roll forward'!H549</f>
        <v>0</v>
      </c>
      <c r="I87" s="111">
        <f>'Actual RAB roll forward'!I549</f>
        <v>0</v>
      </c>
      <c r="J87" s="111">
        <f>'Actual RAB roll forward'!J549</f>
        <v>0</v>
      </c>
      <c r="K87" s="111">
        <f>'Actual RAB roll forward'!K549</f>
        <v>0</v>
      </c>
      <c r="L87" s="111">
        <f>'Actual RAB roll forward'!L549</f>
        <v>0</v>
      </c>
      <c r="M87" s="111">
        <f>'Actual RAB roll forward'!M549</f>
        <v>0</v>
      </c>
      <c r="N87" s="111">
        <f>'Actual RAB roll forward'!N549</f>
        <v>0</v>
      </c>
      <c r="O87" s="111">
        <f>'Actual RAB roll forward'!O549</f>
        <v>0</v>
      </c>
      <c r="P87" s="111">
        <f>'Actual RAB roll forward'!P549</f>
        <v>0</v>
      </c>
      <c r="Q87" s="111">
        <f>'Actual RAB roll forward'!Q549</f>
        <v>0</v>
      </c>
      <c r="R87" s="29"/>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1"/>
      <c r="BL87" s="221"/>
    </row>
    <row r="88" spans="1:64" hidden="1" outlineLevel="1">
      <c r="A88" s="9"/>
      <c r="B88" s="9"/>
      <c r="C88" s="44"/>
      <c r="D88" s="270">
        <f>Asset17</f>
        <v>0</v>
      </c>
      <c r="E88" s="9"/>
      <c r="F88" s="9"/>
      <c r="G88" s="201">
        <f>'Actual RAB roll forward'!G550</f>
        <v>0</v>
      </c>
      <c r="H88" s="111">
        <f>'Actual RAB roll forward'!H550</f>
        <v>0</v>
      </c>
      <c r="I88" s="111">
        <f>'Actual RAB roll forward'!I550</f>
        <v>0</v>
      </c>
      <c r="J88" s="111">
        <f>'Actual RAB roll forward'!J550</f>
        <v>0</v>
      </c>
      <c r="K88" s="111">
        <f>'Actual RAB roll forward'!K550</f>
        <v>0</v>
      </c>
      <c r="L88" s="111">
        <f>'Actual RAB roll forward'!L550</f>
        <v>0</v>
      </c>
      <c r="M88" s="111">
        <f>'Actual RAB roll forward'!M550</f>
        <v>0</v>
      </c>
      <c r="N88" s="111">
        <f>'Actual RAB roll forward'!N550</f>
        <v>0</v>
      </c>
      <c r="O88" s="111">
        <f>'Actual RAB roll forward'!O550</f>
        <v>0</v>
      </c>
      <c r="P88" s="111">
        <f>'Actual RAB roll forward'!P550</f>
        <v>0</v>
      </c>
      <c r="Q88" s="111">
        <f>'Actual RAB roll forward'!Q550</f>
        <v>0</v>
      </c>
      <c r="R88" s="29"/>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1"/>
      <c r="BL88" s="221"/>
    </row>
    <row r="89" spans="1:64" hidden="1" outlineLevel="1">
      <c r="A89" s="9"/>
      <c r="B89" s="9"/>
      <c r="C89" s="44"/>
      <c r="D89" s="270">
        <f>Asset18</f>
        <v>0</v>
      </c>
      <c r="E89" s="9"/>
      <c r="F89" s="9"/>
      <c r="G89" s="201">
        <f>'Actual RAB roll forward'!G551</f>
        <v>0</v>
      </c>
      <c r="H89" s="111">
        <f>'Actual RAB roll forward'!H551</f>
        <v>0</v>
      </c>
      <c r="I89" s="111">
        <f>'Actual RAB roll forward'!I551</f>
        <v>0</v>
      </c>
      <c r="J89" s="111">
        <f>'Actual RAB roll forward'!J551</f>
        <v>0</v>
      </c>
      <c r="K89" s="111">
        <f>'Actual RAB roll forward'!K551</f>
        <v>0</v>
      </c>
      <c r="L89" s="111">
        <f>'Actual RAB roll forward'!L551</f>
        <v>0</v>
      </c>
      <c r="M89" s="111">
        <f>'Actual RAB roll forward'!M551</f>
        <v>0</v>
      </c>
      <c r="N89" s="111">
        <f>'Actual RAB roll forward'!N551</f>
        <v>0</v>
      </c>
      <c r="O89" s="111">
        <f>'Actual RAB roll forward'!O551</f>
        <v>0</v>
      </c>
      <c r="P89" s="111">
        <f>'Actual RAB roll forward'!P551</f>
        <v>0</v>
      </c>
      <c r="Q89" s="111">
        <f>'Actual RAB roll forward'!Q551</f>
        <v>0</v>
      </c>
      <c r="R89" s="29"/>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1"/>
      <c r="BL89" s="221"/>
    </row>
    <row r="90" spans="1:64" hidden="1" outlineLevel="1">
      <c r="A90" s="9"/>
      <c r="B90" s="9"/>
      <c r="C90" s="44"/>
      <c r="D90" s="270">
        <f>Asset19</f>
        <v>0</v>
      </c>
      <c r="E90" s="9"/>
      <c r="F90" s="9"/>
      <c r="G90" s="201">
        <f>'Actual RAB roll forward'!G552</f>
        <v>0</v>
      </c>
      <c r="H90" s="111">
        <f>'Actual RAB roll forward'!H552</f>
        <v>0</v>
      </c>
      <c r="I90" s="111">
        <f>'Actual RAB roll forward'!I552</f>
        <v>0</v>
      </c>
      <c r="J90" s="111">
        <f>'Actual RAB roll forward'!J552</f>
        <v>0</v>
      </c>
      <c r="K90" s="111">
        <f>'Actual RAB roll forward'!K552</f>
        <v>0</v>
      </c>
      <c r="L90" s="111">
        <f>'Actual RAB roll forward'!L552</f>
        <v>0</v>
      </c>
      <c r="M90" s="111">
        <f>'Actual RAB roll forward'!M552</f>
        <v>0</v>
      </c>
      <c r="N90" s="111">
        <f>'Actual RAB roll forward'!N552</f>
        <v>0</v>
      </c>
      <c r="O90" s="111">
        <f>'Actual RAB roll forward'!O552</f>
        <v>0</v>
      </c>
      <c r="P90" s="111">
        <f>'Actual RAB roll forward'!P552</f>
        <v>0</v>
      </c>
      <c r="Q90" s="111">
        <f>'Actual RAB roll forward'!Q552</f>
        <v>0</v>
      </c>
      <c r="R90" s="29"/>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1"/>
      <c r="BL90" s="221"/>
    </row>
    <row r="91" spans="1:64" hidden="1" outlineLevel="1">
      <c r="A91" s="9"/>
      <c r="B91" s="9"/>
      <c r="C91" s="44"/>
      <c r="D91" s="270">
        <f>Asset20</f>
        <v>0</v>
      </c>
      <c r="E91" s="9"/>
      <c r="F91" s="9"/>
      <c r="G91" s="201">
        <f>'Actual RAB roll forward'!G553</f>
        <v>0</v>
      </c>
      <c r="H91" s="111">
        <f>'Actual RAB roll forward'!H553</f>
        <v>0</v>
      </c>
      <c r="I91" s="111">
        <f>'Actual RAB roll forward'!I553</f>
        <v>0</v>
      </c>
      <c r="J91" s="111">
        <f>'Actual RAB roll forward'!J553</f>
        <v>0</v>
      </c>
      <c r="K91" s="111">
        <f>'Actual RAB roll forward'!K553</f>
        <v>0</v>
      </c>
      <c r="L91" s="111">
        <f>'Actual RAB roll forward'!L553</f>
        <v>0</v>
      </c>
      <c r="M91" s="111">
        <f>'Actual RAB roll forward'!M553</f>
        <v>0</v>
      </c>
      <c r="N91" s="111">
        <f>'Actual RAB roll forward'!N553</f>
        <v>0</v>
      </c>
      <c r="O91" s="111">
        <f>'Actual RAB roll forward'!O553</f>
        <v>0</v>
      </c>
      <c r="P91" s="111">
        <f>'Actual RAB roll forward'!P553</f>
        <v>0</v>
      </c>
      <c r="Q91" s="111">
        <f>'Actual RAB roll forward'!Q553</f>
        <v>0</v>
      </c>
      <c r="R91" s="29"/>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1"/>
      <c r="BL91" s="221"/>
    </row>
    <row r="92" spans="1:64" hidden="1" outlineLevel="1">
      <c r="A92" s="9"/>
      <c r="B92" s="9"/>
      <c r="C92" s="44"/>
      <c r="D92" s="270">
        <f>Asset21</f>
        <v>0</v>
      </c>
      <c r="E92" s="9"/>
      <c r="F92" s="9"/>
      <c r="G92" s="201">
        <f>'Actual RAB roll forward'!G554</f>
        <v>0</v>
      </c>
      <c r="H92" s="111">
        <f>'Actual RAB roll forward'!H554</f>
        <v>0</v>
      </c>
      <c r="I92" s="111">
        <f>'Actual RAB roll forward'!I554</f>
        <v>0</v>
      </c>
      <c r="J92" s="111">
        <f>'Actual RAB roll forward'!J554</f>
        <v>0</v>
      </c>
      <c r="K92" s="111">
        <f>'Actual RAB roll forward'!K554</f>
        <v>0</v>
      </c>
      <c r="L92" s="111">
        <f>'Actual RAB roll forward'!L554</f>
        <v>0</v>
      </c>
      <c r="M92" s="111">
        <f>'Actual RAB roll forward'!M554</f>
        <v>0</v>
      </c>
      <c r="N92" s="111">
        <f>'Actual RAB roll forward'!N554</f>
        <v>0</v>
      </c>
      <c r="O92" s="111">
        <f>'Actual RAB roll forward'!O554</f>
        <v>0</v>
      </c>
      <c r="P92" s="111">
        <f>'Actual RAB roll forward'!P554</f>
        <v>0</v>
      </c>
      <c r="Q92" s="111">
        <f>'Actual RAB roll forward'!Q554</f>
        <v>0</v>
      </c>
      <c r="R92" s="29"/>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1"/>
      <c r="BL92" s="221"/>
    </row>
    <row r="93" spans="1:64" hidden="1" outlineLevel="1">
      <c r="A93" s="9"/>
      <c r="B93" s="9"/>
      <c r="C93" s="44"/>
      <c r="D93" s="270">
        <f>Asset22</f>
        <v>0</v>
      </c>
      <c r="E93" s="9"/>
      <c r="F93" s="9"/>
      <c r="G93" s="201">
        <f>'Actual RAB roll forward'!G555</f>
        <v>0</v>
      </c>
      <c r="H93" s="111">
        <f>'Actual RAB roll forward'!H555</f>
        <v>0</v>
      </c>
      <c r="I93" s="111">
        <f>'Actual RAB roll forward'!I555</f>
        <v>0</v>
      </c>
      <c r="J93" s="111">
        <f>'Actual RAB roll forward'!J555</f>
        <v>0</v>
      </c>
      <c r="K93" s="111">
        <f>'Actual RAB roll forward'!K555</f>
        <v>0</v>
      </c>
      <c r="L93" s="111">
        <f>'Actual RAB roll forward'!L555</f>
        <v>0</v>
      </c>
      <c r="M93" s="111">
        <f>'Actual RAB roll forward'!M555</f>
        <v>0</v>
      </c>
      <c r="N93" s="111">
        <f>'Actual RAB roll forward'!N555</f>
        <v>0</v>
      </c>
      <c r="O93" s="111">
        <f>'Actual RAB roll forward'!O555</f>
        <v>0</v>
      </c>
      <c r="P93" s="111">
        <f>'Actual RAB roll forward'!P555</f>
        <v>0</v>
      </c>
      <c r="Q93" s="111">
        <f>'Actual RAB roll forward'!Q555</f>
        <v>0</v>
      </c>
      <c r="R93" s="29"/>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1"/>
      <c r="BL93" s="221"/>
    </row>
    <row r="94" spans="1:64" hidden="1" outlineLevel="1">
      <c r="A94" s="9"/>
      <c r="B94" s="9"/>
      <c r="C94" s="44"/>
      <c r="D94" s="270">
        <f>Asset23</f>
        <v>0</v>
      </c>
      <c r="E94" s="9"/>
      <c r="F94" s="9"/>
      <c r="G94" s="201">
        <f>'Actual RAB roll forward'!G556</f>
        <v>0</v>
      </c>
      <c r="H94" s="111">
        <f>'Actual RAB roll forward'!H556</f>
        <v>0</v>
      </c>
      <c r="I94" s="111">
        <f>'Actual RAB roll forward'!I556</f>
        <v>0</v>
      </c>
      <c r="J94" s="111">
        <f>'Actual RAB roll forward'!J556</f>
        <v>0</v>
      </c>
      <c r="K94" s="111">
        <f>'Actual RAB roll forward'!K556</f>
        <v>0</v>
      </c>
      <c r="L94" s="111">
        <f>'Actual RAB roll forward'!L556</f>
        <v>0</v>
      </c>
      <c r="M94" s="111">
        <f>'Actual RAB roll forward'!M556</f>
        <v>0</v>
      </c>
      <c r="N94" s="111">
        <f>'Actual RAB roll forward'!N556</f>
        <v>0</v>
      </c>
      <c r="O94" s="111">
        <f>'Actual RAB roll forward'!O556</f>
        <v>0</v>
      </c>
      <c r="P94" s="111">
        <f>'Actual RAB roll forward'!P556</f>
        <v>0</v>
      </c>
      <c r="Q94" s="111">
        <f>'Actual RAB roll forward'!Q556</f>
        <v>0</v>
      </c>
      <c r="R94" s="29"/>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1"/>
      <c r="BL94" s="221"/>
    </row>
    <row r="95" spans="1:64" hidden="1" outlineLevel="1">
      <c r="A95" s="9"/>
      <c r="B95" s="9"/>
      <c r="C95" s="44"/>
      <c r="D95" s="270">
        <f>Asset24</f>
        <v>0</v>
      </c>
      <c r="E95" s="9"/>
      <c r="F95" s="9"/>
      <c r="G95" s="201">
        <f>'Actual RAB roll forward'!G557</f>
        <v>0</v>
      </c>
      <c r="H95" s="111">
        <f>'Actual RAB roll forward'!H557</f>
        <v>0</v>
      </c>
      <c r="I95" s="111">
        <f>'Actual RAB roll forward'!I557</f>
        <v>0</v>
      </c>
      <c r="J95" s="111">
        <f>'Actual RAB roll forward'!J557</f>
        <v>0</v>
      </c>
      <c r="K95" s="111">
        <f>'Actual RAB roll forward'!K557</f>
        <v>0</v>
      </c>
      <c r="L95" s="111">
        <f>'Actual RAB roll forward'!L557</f>
        <v>0</v>
      </c>
      <c r="M95" s="111">
        <f>'Actual RAB roll forward'!M557</f>
        <v>0</v>
      </c>
      <c r="N95" s="111">
        <f>'Actual RAB roll forward'!N557</f>
        <v>0</v>
      </c>
      <c r="O95" s="111">
        <f>'Actual RAB roll forward'!O557</f>
        <v>0</v>
      </c>
      <c r="P95" s="111">
        <f>'Actual RAB roll forward'!P557</f>
        <v>0</v>
      </c>
      <c r="Q95" s="111">
        <f>'Actual RAB roll forward'!Q557</f>
        <v>0</v>
      </c>
      <c r="R95" s="29"/>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1"/>
      <c r="BL95" s="221"/>
    </row>
    <row r="96" spans="1:64" hidden="1" outlineLevel="1">
      <c r="A96" s="9"/>
      <c r="B96" s="9"/>
      <c r="C96" s="44"/>
      <c r="D96" s="270">
        <f>Asset25</f>
        <v>0</v>
      </c>
      <c r="E96" s="9"/>
      <c r="F96" s="9"/>
      <c r="G96" s="201">
        <f>'Actual RAB roll forward'!G558</f>
        <v>0</v>
      </c>
      <c r="H96" s="111">
        <f>'Actual RAB roll forward'!H558</f>
        <v>0</v>
      </c>
      <c r="I96" s="111">
        <f>'Actual RAB roll forward'!I558</f>
        <v>0</v>
      </c>
      <c r="J96" s="111">
        <f>'Actual RAB roll forward'!J558</f>
        <v>0</v>
      </c>
      <c r="K96" s="111">
        <f>'Actual RAB roll forward'!K558</f>
        <v>0</v>
      </c>
      <c r="L96" s="111">
        <f>'Actual RAB roll forward'!L558</f>
        <v>0</v>
      </c>
      <c r="M96" s="111">
        <f>'Actual RAB roll forward'!M558</f>
        <v>0</v>
      </c>
      <c r="N96" s="111">
        <f>'Actual RAB roll forward'!N558</f>
        <v>0</v>
      </c>
      <c r="O96" s="111">
        <f>'Actual RAB roll forward'!O558</f>
        <v>0</v>
      </c>
      <c r="P96" s="111">
        <f>'Actual RAB roll forward'!P558</f>
        <v>0</v>
      </c>
      <c r="Q96" s="111">
        <f>'Actual RAB roll forward'!Q558</f>
        <v>0</v>
      </c>
      <c r="R96" s="29"/>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1"/>
      <c r="BL96" s="221"/>
    </row>
    <row r="97" spans="1:64" hidden="1" outlineLevel="1">
      <c r="A97" s="9"/>
      <c r="B97" s="9"/>
      <c r="C97" s="44"/>
      <c r="D97" s="270">
        <f>Asset26</f>
        <v>0</v>
      </c>
      <c r="E97" s="9"/>
      <c r="F97" s="9"/>
      <c r="G97" s="201">
        <f>'Actual RAB roll forward'!G559</f>
        <v>0</v>
      </c>
      <c r="H97" s="111">
        <f>'Actual RAB roll forward'!H559</f>
        <v>0</v>
      </c>
      <c r="I97" s="111">
        <f>'Actual RAB roll forward'!I559</f>
        <v>0</v>
      </c>
      <c r="J97" s="111">
        <f>'Actual RAB roll forward'!J559</f>
        <v>0</v>
      </c>
      <c r="K97" s="111">
        <f>'Actual RAB roll forward'!K559</f>
        <v>0</v>
      </c>
      <c r="L97" s="111">
        <f>'Actual RAB roll forward'!L559</f>
        <v>0</v>
      </c>
      <c r="M97" s="111">
        <f>'Actual RAB roll forward'!M559</f>
        <v>0</v>
      </c>
      <c r="N97" s="111">
        <f>'Actual RAB roll forward'!N559</f>
        <v>0</v>
      </c>
      <c r="O97" s="111">
        <f>'Actual RAB roll forward'!O559</f>
        <v>0</v>
      </c>
      <c r="P97" s="111">
        <f>'Actual RAB roll forward'!P559</f>
        <v>0</v>
      </c>
      <c r="Q97" s="111">
        <f>'Actual RAB roll forward'!Q559</f>
        <v>0</v>
      </c>
      <c r="R97" s="29"/>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1"/>
      <c r="BL97" s="221"/>
    </row>
    <row r="98" spans="1:64" hidden="1" outlineLevel="1">
      <c r="A98" s="9"/>
      <c r="B98" s="9"/>
      <c r="C98" s="44"/>
      <c r="D98" s="270">
        <f>Asset27</f>
        <v>0</v>
      </c>
      <c r="E98" s="9"/>
      <c r="F98" s="9"/>
      <c r="G98" s="201">
        <f>'Actual RAB roll forward'!G560</f>
        <v>0</v>
      </c>
      <c r="H98" s="111">
        <f>'Actual RAB roll forward'!H560</f>
        <v>0</v>
      </c>
      <c r="I98" s="111">
        <f>'Actual RAB roll forward'!I560</f>
        <v>0</v>
      </c>
      <c r="J98" s="111">
        <f>'Actual RAB roll forward'!J560</f>
        <v>0</v>
      </c>
      <c r="K98" s="111">
        <f>'Actual RAB roll forward'!K560</f>
        <v>0</v>
      </c>
      <c r="L98" s="111">
        <f>'Actual RAB roll forward'!L560</f>
        <v>0</v>
      </c>
      <c r="M98" s="111">
        <f>'Actual RAB roll forward'!M560</f>
        <v>0</v>
      </c>
      <c r="N98" s="111">
        <f>'Actual RAB roll forward'!N560</f>
        <v>0</v>
      </c>
      <c r="O98" s="111">
        <f>'Actual RAB roll forward'!O560</f>
        <v>0</v>
      </c>
      <c r="P98" s="111">
        <f>'Actual RAB roll forward'!P560</f>
        <v>0</v>
      </c>
      <c r="Q98" s="111">
        <f>'Actual RAB roll forward'!Q560</f>
        <v>0</v>
      </c>
      <c r="R98" s="29"/>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1"/>
      <c r="BL98" s="221"/>
    </row>
    <row r="99" spans="1:64" hidden="1" outlineLevel="1">
      <c r="A99" s="9"/>
      <c r="B99" s="9"/>
      <c r="C99" s="44"/>
      <c r="D99" s="270">
        <f>Asset28</f>
        <v>0</v>
      </c>
      <c r="E99" s="9"/>
      <c r="F99" s="9"/>
      <c r="G99" s="201">
        <f>'Actual RAB roll forward'!G561</f>
        <v>0</v>
      </c>
      <c r="H99" s="111">
        <f>'Actual RAB roll forward'!H561</f>
        <v>0</v>
      </c>
      <c r="I99" s="111">
        <f>'Actual RAB roll forward'!I561</f>
        <v>0</v>
      </c>
      <c r="J99" s="111">
        <f>'Actual RAB roll forward'!J561</f>
        <v>0</v>
      </c>
      <c r="K99" s="111">
        <f>'Actual RAB roll forward'!K561</f>
        <v>0</v>
      </c>
      <c r="L99" s="111">
        <f>'Actual RAB roll forward'!L561</f>
        <v>0</v>
      </c>
      <c r="M99" s="111">
        <f>'Actual RAB roll forward'!M561</f>
        <v>0</v>
      </c>
      <c r="N99" s="111">
        <f>'Actual RAB roll forward'!N561</f>
        <v>0</v>
      </c>
      <c r="O99" s="111">
        <f>'Actual RAB roll forward'!O561</f>
        <v>0</v>
      </c>
      <c r="P99" s="111">
        <f>'Actual RAB roll forward'!P561</f>
        <v>0</v>
      </c>
      <c r="Q99" s="111">
        <f>'Actual RAB roll forward'!Q561</f>
        <v>0</v>
      </c>
      <c r="R99" s="29"/>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1"/>
      <c r="BL99" s="221"/>
    </row>
    <row r="100" spans="1:64" hidden="1" outlineLevel="1">
      <c r="A100" s="9"/>
      <c r="B100" s="9"/>
      <c r="C100" s="44"/>
      <c r="D100" s="270">
        <f>Asset29</f>
        <v>0</v>
      </c>
      <c r="E100" s="9"/>
      <c r="F100" s="9"/>
      <c r="G100" s="201">
        <f>'Actual RAB roll forward'!G562</f>
        <v>0</v>
      </c>
      <c r="H100" s="111">
        <f>'Actual RAB roll forward'!H562</f>
        <v>0</v>
      </c>
      <c r="I100" s="111">
        <f>'Actual RAB roll forward'!I562</f>
        <v>0</v>
      </c>
      <c r="J100" s="111">
        <f>'Actual RAB roll forward'!J562</f>
        <v>0</v>
      </c>
      <c r="K100" s="111">
        <f>'Actual RAB roll forward'!K562</f>
        <v>0</v>
      </c>
      <c r="L100" s="111">
        <f>'Actual RAB roll forward'!L562</f>
        <v>0</v>
      </c>
      <c r="M100" s="111">
        <f>'Actual RAB roll forward'!M562</f>
        <v>0</v>
      </c>
      <c r="N100" s="111">
        <f>'Actual RAB roll forward'!N562</f>
        <v>0</v>
      </c>
      <c r="O100" s="111">
        <f>'Actual RAB roll forward'!O562</f>
        <v>0</v>
      </c>
      <c r="P100" s="111">
        <f>'Actual RAB roll forward'!P562</f>
        <v>0</v>
      </c>
      <c r="Q100" s="111">
        <f>'Actual RAB roll forward'!Q562</f>
        <v>0</v>
      </c>
      <c r="R100" s="29"/>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1"/>
      <c r="BL100" s="221"/>
    </row>
    <row r="101" spans="1:64" hidden="1" outlineLevel="1">
      <c r="A101" s="9"/>
      <c r="B101" s="9"/>
      <c r="C101" s="44"/>
      <c r="D101" s="270">
        <f>Asset30</f>
        <v>0</v>
      </c>
      <c r="E101" s="9"/>
      <c r="F101" s="9"/>
      <c r="G101" s="201">
        <f>'Actual RAB roll forward'!G563</f>
        <v>0</v>
      </c>
      <c r="H101" s="111">
        <f>'Actual RAB roll forward'!H563</f>
        <v>0</v>
      </c>
      <c r="I101" s="111">
        <f>'Actual RAB roll forward'!I563</f>
        <v>0</v>
      </c>
      <c r="J101" s="111">
        <f>'Actual RAB roll forward'!J563</f>
        <v>0</v>
      </c>
      <c r="K101" s="111">
        <f>'Actual RAB roll forward'!K563</f>
        <v>0</v>
      </c>
      <c r="L101" s="111">
        <f>'Actual RAB roll forward'!L563</f>
        <v>0</v>
      </c>
      <c r="M101" s="111">
        <f>'Actual RAB roll forward'!M563</f>
        <v>0</v>
      </c>
      <c r="N101" s="111">
        <f>'Actual RAB roll forward'!N563</f>
        <v>0</v>
      </c>
      <c r="O101" s="111">
        <f>'Actual RAB roll forward'!O563</f>
        <v>0</v>
      </c>
      <c r="P101" s="111">
        <f>'Actual RAB roll forward'!P563</f>
        <v>0</v>
      </c>
      <c r="Q101" s="111">
        <f>'Actual RAB roll forward'!Q563</f>
        <v>0</v>
      </c>
      <c r="R101" s="29"/>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1"/>
      <c r="BL101" s="221"/>
    </row>
    <row r="102" spans="1:64" collapsed="1">
      <c r="A102" s="9"/>
      <c r="B102" s="9"/>
      <c r="C102" s="44"/>
      <c r="D102" s="127"/>
      <c r="E102" s="9"/>
      <c r="F102" s="9"/>
      <c r="G102" s="210"/>
      <c r="H102" s="111"/>
      <c r="I102" s="111"/>
      <c r="J102" s="111"/>
      <c r="K102" s="111"/>
      <c r="L102" s="111"/>
      <c r="M102" s="111"/>
      <c r="N102" s="100"/>
      <c r="O102" s="29"/>
      <c r="P102" s="29"/>
      <c r="Q102" s="29"/>
      <c r="R102" s="29"/>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1"/>
      <c r="BL102" s="221"/>
    </row>
    <row r="103" spans="1:64">
      <c r="A103" s="9"/>
      <c r="B103" s="9"/>
      <c r="C103" s="44" t="s">
        <v>49</v>
      </c>
      <c r="D103" s="113"/>
      <c r="E103" s="9"/>
      <c r="F103" s="9"/>
      <c r="G103" s="310">
        <f>SUM(G104:G133)</f>
        <v>81.395520835936082</v>
      </c>
      <c r="H103" s="35"/>
      <c r="I103" s="35"/>
      <c r="J103" s="35"/>
      <c r="K103" s="35"/>
      <c r="L103" s="35"/>
      <c r="M103" s="35"/>
      <c r="N103" s="100"/>
      <c r="O103" s="29"/>
      <c r="P103" s="29"/>
      <c r="Q103" s="29"/>
      <c r="R103" s="29"/>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1"/>
      <c r="BL103" s="221"/>
    </row>
    <row r="104" spans="1:64" hidden="1" outlineLevel="1">
      <c r="A104" s="9"/>
      <c r="B104" s="9"/>
      <c r="C104" s="9"/>
      <c r="D104" s="270" t="str">
        <f>Asset1</f>
        <v>Secondary</v>
      </c>
      <c r="E104" s="9"/>
      <c r="F104" s="9"/>
      <c r="G104" s="204">
        <f>'Actual RAB roll forward'!G566</f>
        <v>-4.1510932628817514</v>
      </c>
      <c r="H104" s="35"/>
      <c r="I104" s="35"/>
      <c r="J104" s="35"/>
      <c r="K104" s="35"/>
      <c r="L104" s="35"/>
      <c r="M104" s="35"/>
      <c r="N104" s="100"/>
      <c r="O104" s="29"/>
      <c r="P104" s="29"/>
      <c r="Q104" s="29"/>
      <c r="R104" s="29"/>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1"/>
      <c r="BL104" s="221"/>
    </row>
    <row r="105" spans="1:64" hidden="1" outlineLevel="1">
      <c r="A105" s="9"/>
      <c r="B105" s="9"/>
      <c r="C105" s="44"/>
      <c r="D105" s="270" t="str">
        <f>Asset2</f>
        <v>Switchgear</v>
      </c>
      <c r="E105" s="9"/>
      <c r="F105" s="9"/>
      <c r="G105" s="204">
        <f>'Actual RAB roll forward'!G567</f>
        <v>13.423609217639783</v>
      </c>
      <c r="H105" s="35"/>
      <c r="I105" s="35"/>
      <c r="J105" s="35"/>
      <c r="K105" s="35"/>
      <c r="L105" s="35"/>
      <c r="M105" s="35"/>
      <c r="N105" s="100"/>
      <c r="O105" s="29"/>
      <c r="P105" s="29"/>
      <c r="Q105" s="29"/>
      <c r="R105" s="29"/>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1"/>
      <c r="BL105" s="221"/>
    </row>
    <row r="106" spans="1:64" hidden="1" outlineLevel="1">
      <c r="A106" s="9"/>
      <c r="B106" s="9"/>
      <c r="C106" s="44"/>
      <c r="D106" s="270" t="str">
        <f>Asset3</f>
        <v>Transformers</v>
      </c>
      <c r="E106" s="9"/>
      <c r="F106" s="9"/>
      <c r="G106" s="204">
        <f>'Actual RAB roll forward'!G568</f>
        <v>4.4844492725845431</v>
      </c>
      <c r="H106" s="35"/>
      <c r="I106" s="35"/>
      <c r="J106" s="35"/>
      <c r="K106" s="35"/>
      <c r="L106" s="35"/>
      <c r="M106" s="35"/>
      <c r="N106" s="100"/>
      <c r="O106" s="29"/>
      <c r="P106" s="29"/>
      <c r="Q106" s="29"/>
      <c r="R106" s="29"/>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1"/>
      <c r="BL106" s="221"/>
    </row>
    <row r="107" spans="1:64" hidden="1" outlineLevel="1">
      <c r="A107" s="9"/>
      <c r="B107" s="9"/>
      <c r="C107" s="44"/>
      <c r="D107" s="270" t="str">
        <f>Asset4</f>
        <v>Reactive</v>
      </c>
      <c r="E107" s="9"/>
      <c r="F107" s="9"/>
      <c r="G107" s="204">
        <f>'Actual RAB roll forward'!G569</f>
        <v>-5.2786908582716139</v>
      </c>
      <c r="H107" s="35"/>
      <c r="I107" s="35"/>
      <c r="J107" s="35"/>
      <c r="K107" s="35"/>
      <c r="L107" s="35"/>
      <c r="M107" s="35"/>
      <c r="N107" s="100"/>
      <c r="O107" s="29"/>
      <c r="P107" s="29"/>
      <c r="Q107" s="29"/>
      <c r="R107" s="29"/>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1"/>
      <c r="BL107" s="221"/>
    </row>
    <row r="108" spans="1:64" hidden="1" outlineLevel="1">
      <c r="A108" s="9"/>
      <c r="B108" s="9"/>
      <c r="C108" s="44"/>
      <c r="D108" s="270" t="str">
        <f>Asset5</f>
        <v>Towers and Conductor</v>
      </c>
      <c r="E108" s="9"/>
      <c r="F108" s="9"/>
      <c r="G108" s="204">
        <f>'Actual RAB roll forward'!G570</f>
        <v>43.78033030015623</v>
      </c>
      <c r="H108" s="35"/>
      <c r="I108" s="35"/>
      <c r="J108" s="35"/>
      <c r="K108" s="35"/>
      <c r="L108" s="35"/>
      <c r="M108" s="35"/>
      <c r="N108" s="100"/>
      <c r="O108" s="29"/>
      <c r="P108" s="29"/>
      <c r="Q108" s="29"/>
      <c r="R108" s="29"/>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1"/>
      <c r="BL108" s="221"/>
    </row>
    <row r="109" spans="1:64" hidden="1" outlineLevel="1">
      <c r="A109" s="9"/>
      <c r="B109" s="9"/>
      <c r="C109" s="44"/>
      <c r="D109" s="270" t="str">
        <f>Asset6</f>
        <v>Establishment</v>
      </c>
      <c r="E109" s="9"/>
      <c r="F109" s="9"/>
      <c r="G109" s="204">
        <f>'Actual RAB roll forward'!G571</f>
        <v>8.3654138145799326</v>
      </c>
      <c r="H109" s="35"/>
      <c r="I109" s="35"/>
      <c r="J109" s="35"/>
      <c r="K109" s="35"/>
      <c r="L109" s="35"/>
      <c r="M109" s="35"/>
      <c r="N109" s="100"/>
      <c r="O109" s="29"/>
      <c r="P109" s="29"/>
      <c r="Q109" s="29"/>
      <c r="R109" s="29"/>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1"/>
      <c r="BL109" s="221"/>
    </row>
    <row r="110" spans="1:64" hidden="1" outlineLevel="1">
      <c r="A110" s="9"/>
      <c r="B110" s="9"/>
      <c r="C110" s="44"/>
      <c r="D110" s="270" t="str">
        <f>Asset7</f>
        <v>Communications</v>
      </c>
      <c r="E110" s="9"/>
      <c r="F110" s="9"/>
      <c r="G110" s="204">
        <f>'Actual RAB roll forward'!G572</f>
        <v>-15.18343373681337</v>
      </c>
      <c r="H110" s="35"/>
      <c r="I110" s="35"/>
      <c r="J110" s="35"/>
      <c r="K110" s="35"/>
      <c r="L110" s="35"/>
      <c r="M110" s="35"/>
      <c r="N110" s="100"/>
      <c r="O110" s="29"/>
      <c r="P110" s="29"/>
      <c r="Q110" s="29"/>
      <c r="R110" s="29"/>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1"/>
      <c r="BL110" s="221"/>
    </row>
    <row r="111" spans="1:64" hidden="1" outlineLevel="1">
      <c r="A111" s="9"/>
      <c r="B111" s="9"/>
      <c r="C111" s="44"/>
      <c r="D111" s="270" t="str">
        <f>Asset8</f>
        <v>Inventory</v>
      </c>
      <c r="E111" s="9"/>
      <c r="F111" s="9"/>
      <c r="G111" s="204">
        <f>'Actual RAB roll forward'!G573</f>
        <v>1.5261711059192087</v>
      </c>
      <c r="H111" s="35"/>
      <c r="I111" s="35"/>
      <c r="J111" s="35"/>
      <c r="K111" s="35"/>
      <c r="L111" s="35"/>
      <c r="M111" s="35"/>
      <c r="N111" s="100"/>
      <c r="O111" s="29"/>
      <c r="P111" s="29"/>
      <c r="Q111" s="29"/>
      <c r="R111" s="29"/>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1"/>
      <c r="BL111" s="221"/>
    </row>
    <row r="112" spans="1:64" hidden="1" outlineLevel="1">
      <c r="A112" s="9"/>
      <c r="B112" s="9"/>
      <c r="C112" s="44"/>
      <c r="D112" s="270" t="str">
        <f>Asset9</f>
        <v>IT</v>
      </c>
      <c r="E112" s="9"/>
      <c r="F112" s="9"/>
      <c r="G112" s="204">
        <f>'Actual RAB roll forward'!G574</f>
        <v>24.968912459906932</v>
      </c>
      <c r="H112" s="35"/>
      <c r="I112" s="35"/>
      <c r="J112" s="35"/>
      <c r="K112" s="35"/>
      <c r="L112" s="35"/>
      <c r="M112" s="35"/>
      <c r="N112" s="100"/>
      <c r="O112" s="29"/>
      <c r="P112" s="29"/>
      <c r="Q112" s="29"/>
      <c r="R112" s="29"/>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1"/>
      <c r="BL112" s="221"/>
    </row>
    <row r="113" spans="1:64" hidden="1" outlineLevel="1">
      <c r="A113" s="9"/>
      <c r="B113" s="9"/>
      <c r="C113" s="44"/>
      <c r="D113" s="270" t="str">
        <f>Asset10</f>
        <v>Vehicles</v>
      </c>
      <c r="E113" s="9"/>
      <c r="F113" s="9"/>
      <c r="G113" s="204">
        <f>'Actual RAB roll forward'!G575</f>
        <v>0.47844527194667513</v>
      </c>
      <c r="H113" s="35"/>
      <c r="I113" s="35"/>
      <c r="J113" s="35"/>
      <c r="K113" s="35"/>
      <c r="L113" s="35"/>
      <c r="M113" s="35"/>
      <c r="N113" s="100"/>
      <c r="O113" s="29"/>
      <c r="P113" s="29"/>
      <c r="Q113" s="29"/>
      <c r="R113" s="29"/>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1"/>
      <c r="BL113" s="221"/>
    </row>
    <row r="114" spans="1:64" hidden="1" outlineLevel="1">
      <c r="A114" s="9"/>
      <c r="B114" s="9"/>
      <c r="C114" s="44"/>
      <c r="D114" s="270" t="str">
        <f>Asset11</f>
        <v>other</v>
      </c>
      <c r="E114" s="9"/>
      <c r="F114" s="9"/>
      <c r="G114" s="204">
        <f>'Actual RAB roll forward'!G576</f>
        <v>7.8062479102810922</v>
      </c>
      <c r="H114" s="35"/>
      <c r="I114" s="35"/>
      <c r="J114" s="35"/>
      <c r="K114" s="35"/>
      <c r="L114" s="35"/>
      <c r="M114" s="35"/>
      <c r="N114" s="100"/>
      <c r="O114" s="29"/>
      <c r="P114" s="29"/>
      <c r="Q114" s="29"/>
      <c r="R114" s="29"/>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1"/>
      <c r="BL114" s="221"/>
    </row>
    <row r="115" spans="1:64" hidden="1" outlineLevel="1">
      <c r="A115" s="9"/>
      <c r="B115" s="9"/>
      <c r="C115" s="44"/>
      <c r="D115" s="270" t="str">
        <f>Asset12</f>
        <v>premises</v>
      </c>
      <c r="E115" s="9"/>
      <c r="F115" s="9"/>
      <c r="G115" s="204">
        <f>'Actual RAB roll forward'!G577</f>
        <v>3.5830352175562075</v>
      </c>
      <c r="H115" s="35"/>
      <c r="I115" s="35"/>
      <c r="J115" s="35"/>
      <c r="K115" s="35"/>
      <c r="L115" s="35"/>
      <c r="M115" s="35"/>
      <c r="N115" s="100"/>
      <c r="O115" s="29"/>
      <c r="P115" s="29"/>
      <c r="Q115" s="29"/>
      <c r="R115" s="29"/>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1"/>
      <c r="BL115" s="221"/>
    </row>
    <row r="116" spans="1:64" hidden="1" outlineLevel="1">
      <c r="A116" s="9"/>
      <c r="B116" s="9"/>
      <c r="C116" s="44"/>
      <c r="D116" s="270" t="str">
        <f>Asset13</f>
        <v>Land</v>
      </c>
      <c r="E116" s="9"/>
      <c r="F116" s="9"/>
      <c r="G116" s="204">
        <f>'Actual RAB roll forward'!G578</f>
        <v>-2.4674295714323651</v>
      </c>
      <c r="H116" s="35"/>
      <c r="I116" s="35"/>
      <c r="J116" s="35"/>
      <c r="K116" s="35"/>
      <c r="L116" s="35"/>
      <c r="M116" s="35"/>
      <c r="N116" s="100"/>
      <c r="O116" s="29"/>
      <c r="P116" s="29"/>
      <c r="Q116" s="29"/>
      <c r="R116" s="29"/>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1"/>
      <c r="BL116" s="221"/>
    </row>
    <row r="117" spans="1:64" hidden="1" outlineLevel="1">
      <c r="A117" s="9"/>
      <c r="B117" s="9"/>
      <c r="C117" s="44"/>
      <c r="D117" s="270" t="str">
        <f>Asset14</f>
        <v>Easements</v>
      </c>
      <c r="E117" s="9"/>
      <c r="F117" s="9"/>
      <c r="G117" s="204">
        <f>'Actual RAB roll forward'!G579</f>
        <v>5.9553694764592276E-2</v>
      </c>
      <c r="H117" s="35"/>
      <c r="I117" s="35"/>
      <c r="J117" s="35"/>
      <c r="K117" s="35"/>
      <c r="L117" s="35"/>
      <c r="M117" s="35"/>
      <c r="N117" s="100"/>
      <c r="O117" s="29"/>
      <c r="P117" s="29"/>
      <c r="Q117" s="29"/>
      <c r="R117" s="29"/>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1"/>
      <c r="BL117" s="221"/>
    </row>
    <row r="118" spans="1:64" hidden="1" outlineLevel="1">
      <c r="A118" s="9"/>
      <c r="B118" s="9"/>
      <c r="C118" s="44"/>
      <c r="D118" s="270">
        <f>Asset15</f>
        <v>0</v>
      </c>
      <c r="E118" s="9"/>
      <c r="F118" s="9"/>
      <c r="G118" s="204">
        <f>'Actual RAB roll forward'!G580</f>
        <v>0</v>
      </c>
      <c r="H118" s="35"/>
      <c r="I118" s="35"/>
      <c r="J118" s="35"/>
      <c r="K118" s="35"/>
      <c r="L118" s="35"/>
      <c r="M118" s="35"/>
      <c r="N118" s="100"/>
      <c r="O118" s="29"/>
      <c r="P118" s="29"/>
      <c r="Q118" s="29"/>
      <c r="R118" s="29"/>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1"/>
      <c r="BL118" s="221"/>
    </row>
    <row r="119" spans="1:64" hidden="1" outlineLevel="1">
      <c r="A119" s="9"/>
      <c r="B119" s="9"/>
      <c r="C119" s="44"/>
      <c r="D119" s="270">
        <f>Asset16</f>
        <v>0</v>
      </c>
      <c r="E119" s="9"/>
      <c r="F119" s="9"/>
      <c r="G119" s="204">
        <f>'Actual RAB roll forward'!G581</f>
        <v>0</v>
      </c>
      <c r="H119" s="35"/>
      <c r="I119" s="35"/>
      <c r="J119" s="35"/>
      <c r="K119" s="35"/>
      <c r="L119" s="35"/>
      <c r="M119" s="35"/>
      <c r="N119" s="100"/>
      <c r="O119" s="29"/>
      <c r="P119" s="29"/>
      <c r="Q119" s="29"/>
      <c r="R119" s="29"/>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1"/>
      <c r="BL119" s="221"/>
    </row>
    <row r="120" spans="1:64" hidden="1" outlineLevel="1">
      <c r="A120" s="9"/>
      <c r="B120" s="9"/>
      <c r="C120" s="44"/>
      <c r="D120" s="270">
        <f>Asset17</f>
        <v>0</v>
      </c>
      <c r="E120" s="9"/>
      <c r="F120" s="9"/>
      <c r="G120" s="204">
        <f>'Actual RAB roll forward'!G582</f>
        <v>0</v>
      </c>
      <c r="H120" s="35"/>
      <c r="I120" s="35"/>
      <c r="J120" s="35"/>
      <c r="K120" s="35"/>
      <c r="L120" s="35"/>
      <c r="M120" s="35"/>
      <c r="N120" s="100"/>
      <c r="O120" s="29"/>
      <c r="P120" s="29"/>
      <c r="Q120" s="29"/>
      <c r="R120" s="29"/>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1"/>
      <c r="BL120" s="221"/>
    </row>
    <row r="121" spans="1:64" hidden="1" outlineLevel="1">
      <c r="A121" s="9"/>
      <c r="B121" s="9"/>
      <c r="C121" s="44"/>
      <c r="D121" s="270">
        <f>Asset18</f>
        <v>0</v>
      </c>
      <c r="E121" s="9"/>
      <c r="F121" s="9"/>
      <c r="G121" s="204">
        <f>'Actual RAB roll forward'!G583</f>
        <v>0</v>
      </c>
      <c r="H121" s="35"/>
      <c r="I121" s="35"/>
      <c r="J121" s="35"/>
      <c r="K121" s="35"/>
      <c r="L121" s="35"/>
      <c r="M121" s="35"/>
      <c r="N121" s="100"/>
      <c r="O121" s="29"/>
      <c r="P121" s="29"/>
      <c r="Q121" s="29"/>
      <c r="R121" s="29"/>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1"/>
      <c r="BL121" s="221"/>
    </row>
    <row r="122" spans="1:64" hidden="1" outlineLevel="1">
      <c r="A122" s="9"/>
      <c r="B122" s="9"/>
      <c r="C122" s="44"/>
      <c r="D122" s="270">
        <f>Asset19</f>
        <v>0</v>
      </c>
      <c r="E122" s="9"/>
      <c r="F122" s="9"/>
      <c r="G122" s="204">
        <f>'Actual RAB roll forward'!G584</f>
        <v>0</v>
      </c>
      <c r="H122" s="35"/>
      <c r="I122" s="35"/>
      <c r="J122" s="35"/>
      <c r="K122" s="35"/>
      <c r="L122" s="35"/>
      <c r="M122" s="35"/>
      <c r="N122" s="100"/>
      <c r="O122" s="29"/>
      <c r="P122" s="29"/>
      <c r="Q122" s="29"/>
      <c r="R122" s="29"/>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1"/>
      <c r="BL122" s="221"/>
    </row>
    <row r="123" spans="1:64" hidden="1" outlineLevel="1">
      <c r="A123" s="9"/>
      <c r="B123" s="9"/>
      <c r="C123" s="44"/>
      <c r="D123" s="270">
        <f>Asset20</f>
        <v>0</v>
      </c>
      <c r="E123" s="9"/>
      <c r="F123" s="9"/>
      <c r="G123" s="204">
        <f>'Actual RAB roll forward'!G585</f>
        <v>0</v>
      </c>
      <c r="H123" s="35"/>
      <c r="I123" s="35"/>
      <c r="J123" s="35"/>
      <c r="K123" s="35"/>
      <c r="L123" s="35"/>
      <c r="M123" s="35"/>
      <c r="N123" s="100"/>
      <c r="O123" s="29"/>
      <c r="P123" s="29"/>
      <c r="Q123" s="29"/>
      <c r="R123" s="29"/>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1"/>
      <c r="BL123" s="221"/>
    </row>
    <row r="124" spans="1:64" hidden="1" outlineLevel="1">
      <c r="A124" s="9"/>
      <c r="B124" s="9"/>
      <c r="C124" s="44"/>
      <c r="D124" s="270">
        <f>Asset21</f>
        <v>0</v>
      </c>
      <c r="E124" s="9"/>
      <c r="F124" s="9"/>
      <c r="G124" s="204">
        <f>'Actual RAB roll forward'!G586</f>
        <v>0</v>
      </c>
      <c r="H124" s="35"/>
      <c r="I124" s="35"/>
      <c r="J124" s="35"/>
      <c r="K124" s="35"/>
      <c r="L124" s="35"/>
      <c r="M124" s="35"/>
      <c r="N124" s="100"/>
      <c r="O124" s="29"/>
      <c r="P124" s="29"/>
      <c r="Q124" s="29"/>
      <c r="R124" s="29"/>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1"/>
      <c r="BL124" s="221"/>
    </row>
    <row r="125" spans="1:64" hidden="1" outlineLevel="1">
      <c r="A125" s="9"/>
      <c r="B125" s="9"/>
      <c r="C125" s="44"/>
      <c r="D125" s="270">
        <f>Asset22</f>
        <v>0</v>
      </c>
      <c r="E125" s="9"/>
      <c r="F125" s="9"/>
      <c r="G125" s="204">
        <f>'Actual RAB roll forward'!G587</f>
        <v>0</v>
      </c>
      <c r="H125" s="35"/>
      <c r="I125" s="35"/>
      <c r="J125" s="35"/>
      <c r="K125" s="35"/>
      <c r="L125" s="35"/>
      <c r="M125" s="35"/>
      <c r="N125" s="100"/>
      <c r="O125" s="29"/>
      <c r="P125" s="29"/>
      <c r="Q125" s="29"/>
      <c r="R125" s="29"/>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1"/>
      <c r="BL125" s="221"/>
    </row>
    <row r="126" spans="1:64" hidden="1" outlineLevel="1">
      <c r="A126" s="9"/>
      <c r="B126" s="9"/>
      <c r="C126" s="44"/>
      <c r="D126" s="270">
        <f>Asset23</f>
        <v>0</v>
      </c>
      <c r="E126" s="9"/>
      <c r="F126" s="9"/>
      <c r="G126" s="204">
        <f>'Actual RAB roll forward'!G588</f>
        <v>0</v>
      </c>
      <c r="H126" s="35"/>
      <c r="I126" s="35"/>
      <c r="J126" s="35"/>
      <c r="K126" s="35"/>
      <c r="L126" s="35"/>
      <c r="M126" s="35"/>
      <c r="N126" s="100"/>
      <c r="O126" s="29"/>
      <c r="P126" s="29"/>
      <c r="Q126" s="29"/>
      <c r="R126" s="29"/>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1"/>
      <c r="BL126" s="221"/>
    </row>
    <row r="127" spans="1:64" hidden="1" outlineLevel="1">
      <c r="A127" s="9"/>
      <c r="B127" s="9"/>
      <c r="C127" s="44"/>
      <c r="D127" s="270">
        <f>Asset24</f>
        <v>0</v>
      </c>
      <c r="E127" s="9"/>
      <c r="F127" s="9"/>
      <c r="G127" s="204">
        <f>'Actual RAB roll forward'!G589</f>
        <v>0</v>
      </c>
      <c r="H127" s="35"/>
      <c r="I127" s="35"/>
      <c r="J127" s="35"/>
      <c r="K127" s="35"/>
      <c r="L127" s="35"/>
      <c r="M127" s="35"/>
      <c r="N127" s="100"/>
      <c r="O127" s="29"/>
      <c r="P127" s="29"/>
      <c r="Q127" s="29"/>
      <c r="R127" s="29"/>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1"/>
      <c r="BL127" s="221"/>
    </row>
    <row r="128" spans="1:64" hidden="1" outlineLevel="1">
      <c r="A128" s="9"/>
      <c r="B128" s="9"/>
      <c r="C128" s="44"/>
      <c r="D128" s="270">
        <f>Asset25</f>
        <v>0</v>
      </c>
      <c r="E128" s="9"/>
      <c r="F128" s="9"/>
      <c r="G128" s="204">
        <f>'Actual RAB roll forward'!G590</f>
        <v>0</v>
      </c>
      <c r="H128" s="35"/>
      <c r="I128" s="35"/>
      <c r="J128" s="35"/>
      <c r="K128" s="35"/>
      <c r="L128" s="35"/>
      <c r="M128" s="35"/>
      <c r="N128" s="100"/>
      <c r="O128" s="29"/>
      <c r="P128" s="29"/>
      <c r="Q128" s="29"/>
      <c r="R128" s="29"/>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1"/>
      <c r="BL128" s="221"/>
    </row>
    <row r="129" spans="1:64" hidden="1" outlineLevel="1">
      <c r="A129" s="9"/>
      <c r="B129" s="9"/>
      <c r="C129" s="44"/>
      <c r="D129" s="270">
        <f>Asset26</f>
        <v>0</v>
      </c>
      <c r="E129" s="9"/>
      <c r="F129" s="9"/>
      <c r="G129" s="204">
        <f>'Actual RAB roll forward'!G591</f>
        <v>0</v>
      </c>
      <c r="H129" s="35"/>
      <c r="I129" s="35"/>
      <c r="J129" s="35"/>
      <c r="K129" s="35"/>
      <c r="L129" s="35"/>
      <c r="M129" s="35"/>
      <c r="N129" s="100"/>
      <c r="O129" s="29"/>
      <c r="P129" s="29"/>
      <c r="Q129" s="29"/>
      <c r="R129" s="29"/>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1"/>
      <c r="BL129" s="221"/>
    </row>
    <row r="130" spans="1:64" hidden="1" outlineLevel="1">
      <c r="A130" s="9"/>
      <c r="B130" s="9"/>
      <c r="C130" s="44"/>
      <c r="D130" s="270">
        <f>Asset27</f>
        <v>0</v>
      </c>
      <c r="E130" s="9"/>
      <c r="F130" s="9"/>
      <c r="G130" s="204">
        <f>'Actual RAB roll forward'!G592</f>
        <v>0</v>
      </c>
      <c r="H130" s="35"/>
      <c r="I130" s="35"/>
      <c r="J130" s="35"/>
      <c r="K130" s="35"/>
      <c r="L130" s="35"/>
      <c r="M130" s="35"/>
      <c r="N130" s="100"/>
      <c r="O130" s="29"/>
      <c r="P130" s="29"/>
      <c r="Q130" s="29"/>
      <c r="R130" s="29"/>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1"/>
      <c r="BL130" s="221"/>
    </row>
    <row r="131" spans="1:64" hidden="1" outlineLevel="1">
      <c r="A131" s="9"/>
      <c r="B131" s="9"/>
      <c r="C131" s="44"/>
      <c r="D131" s="270">
        <f>Asset28</f>
        <v>0</v>
      </c>
      <c r="E131" s="9"/>
      <c r="F131" s="9"/>
      <c r="G131" s="204">
        <f>'Actual RAB roll forward'!G593</f>
        <v>0</v>
      </c>
      <c r="H131" s="35"/>
      <c r="I131" s="35"/>
      <c r="J131" s="35"/>
      <c r="K131" s="35"/>
      <c r="L131" s="35"/>
      <c r="M131" s="35"/>
      <c r="N131" s="100"/>
      <c r="O131" s="29"/>
      <c r="P131" s="29"/>
      <c r="Q131" s="29"/>
      <c r="R131" s="29"/>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1"/>
      <c r="BL131" s="221"/>
    </row>
    <row r="132" spans="1:64" hidden="1" outlineLevel="1">
      <c r="A132" s="9"/>
      <c r="B132" s="9"/>
      <c r="C132" s="44"/>
      <c r="D132" s="270">
        <f>Asset29</f>
        <v>0</v>
      </c>
      <c r="E132" s="9"/>
      <c r="F132" s="9"/>
      <c r="G132" s="204">
        <f>'Actual RAB roll forward'!G594</f>
        <v>0</v>
      </c>
      <c r="H132" s="35"/>
      <c r="I132" s="35"/>
      <c r="J132" s="35"/>
      <c r="K132" s="35"/>
      <c r="L132" s="35"/>
      <c r="M132" s="35"/>
      <c r="N132" s="100"/>
      <c r="O132" s="29"/>
      <c r="P132" s="29"/>
      <c r="Q132" s="29"/>
      <c r="R132" s="29"/>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1"/>
      <c r="BL132" s="221"/>
    </row>
    <row r="133" spans="1:64" hidden="1" outlineLevel="1">
      <c r="A133" s="9"/>
      <c r="B133" s="9"/>
      <c r="C133" s="44"/>
      <c r="D133" s="270">
        <f>Asset30</f>
        <v>0</v>
      </c>
      <c r="E133" s="9"/>
      <c r="F133" s="9"/>
      <c r="G133" s="204">
        <f>'Actual RAB roll forward'!G595</f>
        <v>0</v>
      </c>
      <c r="H133" s="35"/>
      <c r="I133" s="35"/>
      <c r="J133" s="35"/>
      <c r="K133" s="35"/>
      <c r="L133" s="35"/>
      <c r="M133" s="35"/>
      <c r="N133" s="100"/>
      <c r="O133" s="29"/>
      <c r="P133" s="29"/>
      <c r="Q133" s="29"/>
      <c r="R133" s="29"/>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1"/>
      <c r="BL133" s="221"/>
    </row>
    <row r="134" spans="1:64" s="9" customFormat="1" collapsed="1">
      <c r="G134" s="209"/>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row>
    <row r="135" spans="1:64">
      <c r="A135" s="9"/>
      <c r="B135" s="9"/>
      <c r="C135" s="44" t="s">
        <v>61</v>
      </c>
      <c r="D135" s="113"/>
      <c r="E135" s="9"/>
      <c r="F135" s="9"/>
      <c r="G135" s="310">
        <f>SUM(G136:G165)</f>
        <v>-18.986894388246089</v>
      </c>
      <c r="H135" s="35"/>
      <c r="I135" s="35"/>
      <c r="J135" s="35"/>
      <c r="K135" s="35"/>
      <c r="L135" s="35"/>
      <c r="M135" s="35"/>
      <c r="N135" s="100"/>
      <c r="O135" s="29"/>
      <c r="P135" s="29"/>
      <c r="Q135" s="29"/>
      <c r="R135" s="29"/>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1"/>
      <c r="BL135" s="221"/>
    </row>
    <row r="136" spans="1:64" hidden="1" outlineLevel="1">
      <c r="A136" s="9"/>
      <c r="B136" s="9"/>
      <c r="C136" s="9"/>
      <c r="D136" s="270" t="str">
        <f>Asset1</f>
        <v>Secondary</v>
      </c>
      <c r="E136" s="9"/>
      <c r="F136" s="9"/>
      <c r="G136" s="204">
        <f>'Actual RAB roll forward'!G598</f>
        <v>-12.351417430702048</v>
      </c>
      <c r="H136" s="35"/>
      <c r="I136" s="35"/>
      <c r="J136" s="35"/>
      <c r="K136" s="35"/>
      <c r="L136" s="35"/>
      <c r="M136" s="35"/>
      <c r="N136" s="100"/>
      <c r="O136" s="29"/>
      <c r="P136" s="29"/>
      <c r="Q136" s="29"/>
      <c r="R136" s="29"/>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1"/>
      <c r="BL136" s="221"/>
    </row>
    <row r="137" spans="1:64" hidden="1" outlineLevel="1">
      <c r="A137" s="9"/>
      <c r="B137" s="9"/>
      <c r="C137" s="44"/>
      <c r="D137" s="270" t="str">
        <f>Asset2</f>
        <v>Switchgear</v>
      </c>
      <c r="E137" s="9"/>
      <c r="F137" s="9"/>
      <c r="G137" s="204">
        <f>'Actual RAB roll forward'!G599</f>
        <v>-1.428515011584818</v>
      </c>
      <c r="H137" s="35"/>
      <c r="I137" s="35"/>
      <c r="J137" s="35"/>
      <c r="K137" s="35"/>
      <c r="L137" s="35"/>
      <c r="M137" s="35"/>
      <c r="N137" s="100"/>
      <c r="O137" s="29"/>
      <c r="P137" s="29"/>
      <c r="Q137" s="29"/>
      <c r="R137" s="29"/>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1"/>
      <c r="BL137" s="221"/>
    </row>
    <row r="138" spans="1:64" hidden="1" outlineLevel="1">
      <c r="A138" s="9"/>
      <c r="B138" s="9"/>
      <c r="C138" s="44"/>
      <c r="D138" s="270" t="str">
        <f>Asset3</f>
        <v>Transformers</v>
      </c>
      <c r="E138" s="9"/>
      <c r="F138" s="9"/>
      <c r="G138" s="204">
        <f>'Actual RAB roll forward'!G600</f>
        <v>-5.1534767631484444</v>
      </c>
      <c r="H138" s="35"/>
      <c r="I138" s="35"/>
      <c r="J138" s="35"/>
      <c r="K138" s="35"/>
      <c r="L138" s="35"/>
      <c r="M138" s="35"/>
      <c r="N138" s="100"/>
      <c r="O138" s="29"/>
      <c r="P138" s="29"/>
      <c r="Q138" s="29"/>
      <c r="R138" s="29"/>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1"/>
      <c r="BL138" s="221"/>
    </row>
    <row r="139" spans="1:64" hidden="1" outlineLevel="1">
      <c r="A139" s="9"/>
      <c r="B139" s="9"/>
      <c r="C139" s="44"/>
      <c r="D139" s="270" t="str">
        <f>Asset4</f>
        <v>Reactive</v>
      </c>
      <c r="E139" s="9"/>
      <c r="F139" s="9"/>
      <c r="G139" s="204">
        <f>'Actual RAB roll forward'!G601</f>
        <v>-1.474197786426011</v>
      </c>
      <c r="H139" s="35"/>
      <c r="I139" s="35"/>
      <c r="J139" s="35"/>
      <c r="K139" s="35"/>
      <c r="L139" s="35"/>
      <c r="M139" s="35"/>
      <c r="N139" s="100"/>
      <c r="O139" s="29"/>
      <c r="P139" s="29"/>
      <c r="Q139" s="29"/>
      <c r="R139" s="29"/>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1"/>
      <c r="BL139" s="221"/>
    </row>
    <row r="140" spans="1:64" hidden="1" outlineLevel="1">
      <c r="A140" s="9"/>
      <c r="B140" s="9"/>
      <c r="C140" s="44"/>
      <c r="D140" s="270" t="str">
        <f>Asset5</f>
        <v>Towers and Conductor</v>
      </c>
      <c r="E140" s="9"/>
      <c r="F140" s="9"/>
      <c r="G140" s="204">
        <f>'Actual RAB roll forward'!G602</f>
        <v>13.319989319926002</v>
      </c>
      <c r="H140" s="35"/>
      <c r="I140" s="35"/>
      <c r="J140" s="35"/>
      <c r="K140" s="35"/>
      <c r="L140" s="35"/>
      <c r="M140" s="35"/>
      <c r="N140" s="100"/>
      <c r="O140" s="29"/>
      <c r="P140" s="29"/>
      <c r="Q140" s="29"/>
      <c r="R140" s="29"/>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1"/>
      <c r="BL140" s="221"/>
    </row>
    <row r="141" spans="1:64" hidden="1" outlineLevel="1">
      <c r="A141" s="9"/>
      <c r="B141" s="9"/>
      <c r="C141" s="44"/>
      <c r="D141" s="270" t="str">
        <f>Asset6</f>
        <v>Establishment</v>
      </c>
      <c r="E141" s="9"/>
      <c r="F141" s="9"/>
      <c r="G141" s="204">
        <f>'Actual RAB roll forward'!G603</f>
        <v>-3.8615828986139329</v>
      </c>
      <c r="H141" s="35"/>
      <c r="I141" s="35"/>
      <c r="J141" s="35"/>
      <c r="K141" s="35"/>
      <c r="L141" s="35"/>
      <c r="M141" s="35"/>
      <c r="N141" s="100"/>
      <c r="O141" s="29"/>
      <c r="P141" s="29"/>
      <c r="Q141" s="29"/>
      <c r="R141" s="29"/>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1"/>
      <c r="BL141" s="221"/>
    </row>
    <row r="142" spans="1:64" hidden="1" outlineLevel="1">
      <c r="A142" s="9"/>
      <c r="B142" s="9"/>
      <c r="C142" s="44"/>
      <c r="D142" s="270" t="str">
        <f>Asset7</f>
        <v>Communications</v>
      </c>
      <c r="E142" s="9"/>
      <c r="F142" s="9"/>
      <c r="G142" s="204">
        <f>'Actual RAB roll forward'!G604</f>
        <v>-13.219881986010956</v>
      </c>
      <c r="H142" s="35"/>
      <c r="I142" s="35"/>
      <c r="J142" s="35"/>
      <c r="K142" s="35"/>
      <c r="L142" s="35"/>
      <c r="M142" s="35"/>
      <c r="N142" s="100"/>
      <c r="O142" s="29"/>
      <c r="P142" s="29"/>
      <c r="Q142" s="29"/>
      <c r="R142" s="29"/>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1"/>
      <c r="BL142" s="221"/>
    </row>
    <row r="143" spans="1:64" hidden="1" outlineLevel="1">
      <c r="A143" s="9"/>
      <c r="B143" s="9"/>
      <c r="C143" s="44"/>
      <c r="D143" s="270" t="str">
        <f>Asset8</f>
        <v>Inventory</v>
      </c>
      <c r="E143" s="9"/>
      <c r="F143" s="9"/>
      <c r="G143" s="204">
        <f>'Actual RAB roll forward'!G605</f>
        <v>0.70152223622115595</v>
      </c>
      <c r="H143" s="35"/>
      <c r="I143" s="35"/>
      <c r="J143" s="35"/>
      <c r="K143" s="35"/>
      <c r="L143" s="35"/>
      <c r="M143" s="35"/>
      <c r="N143" s="100"/>
      <c r="O143" s="29"/>
      <c r="P143" s="29"/>
      <c r="Q143" s="29"/>
      <c r="R143" s="29"/>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1"/>
      <c r="BL143" s="221"/>
    </row>
    <row r="144" spans="1:64" hidden="1" outlineLevel="1">
      <c r="A144" s="9"/>
      <c r="B144" s="9"/>
      <c r="C144" s="44"/>
      <c r="D144" s="270" t="str">
        <f>Asset9</f>
        <v>IT</v>
      </c>
      <c r="E144" s="9"/>
      <c r="F144" s="9"/>
      <c r="G144" s="204">
        <f>'Actual RAB roll forward'!G606</f>
        <v>3.1018293072285652</v>
      </c>
      <c r="H144" s="35"/>
      <c r="I144" s="35"/>
      <c r="J144" s="35"/>
      <c r="K144" s="35"/>
      <c r="L144" s="35"/>
      <c r="M144" s="35"/>
      <c r="N144" s="100"/>
      <c r="O144" s="29"/>
      <c r="P144" s="29"/>
      <c r="Q144" s="29"/>
      <c r="R144" s="29"/>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1"/>
      <c r="BL144" s="221"/>
    </row>
    <row r="145" spans="1:64" hidden="1" outlineLevel="1">
      <c r="A145" s="9"/>
      <c r="B145" s="9"/>
      <c r="C145" s="44"/>
      <c r="D145" s="270" t="str">
        <f>Asset10</f>
        <v>Vehicles</v>
      </c>
      <c r="E145" s="9"/>
      <c r="F145" s="9"/>
      <c r="G145" s="204">
        <f>'Actual RAB roll forward'!G607</f>
        <v>-0.35276175728998993</v>
      </c>
      <c r="H145" s="35"/>
      <c r="I145" s="35"/>
      <c r="J145" s="35"/>
      <c r="K145" s="35"/>
      <c r="L145" s="35"/>
      <c r="M145" s="35"/>
      <c r="N145" s="100"/>
      <c r="O145" s="29"/>
      <c r="P145" s="29"/>
      <c r="Q145" s="29"/>
      <c r="R145" s="29"/>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1"/>
      <c r="BL145" s="221"/>
    </row>
    <row r="146" spans="1:64" hidden="1" outlineLevel="1">
      <c r="A146" s="9"/>
      <c r="B146" s="9"/>
      <c r="C146" s="44"/>
      <c r="D146" s="270" t="str">
        <f>Asset11</f>
        <v>other</v>
      </c>
      <c r="E146" s="9"/>
      <c r="F146" s="9"/>
      <c r="G146" s="204">
        <f>'Actual RAB roll forward'!G608</f>
        <v>1.6983766857323237</v>
      </c>
      <c r="H146" s="35"/>
      <c r="I146" s="35"/>
      <c r="J146" s="35"/>
      <c r="K146" s="35"/>
      <c r="L146" s="35"/>
      <c r="M146" s="35"/>
      <c r="N146" s="100"/>
      <c r="O146" s="29"/>
      <c r="P146" s="29"/>
      <c r="Q146" s="29"/>
      <c r="R146" s="29"/>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1"/>
      <c r="BL146" s="221"/>
    </row>
    <row r="147" spans="1:64" hidden="1" outlineLevel="1">
      <c r="A147" s="9"/>
      <c r="B147" s="9"/>
      <c r="C147" s="44"/>
      <c r="D147" s="270" t="str">
        <f>Asset12</f>
        <v>premises</v>
      </c>
      <c r="E147" s="9"/>
      <c r="F147" s="9"/>
      <c r="G147" s="204">
        <f>'Actual RAB roll forward'!G609</f>
        <v>0.67583448337990049</v>
      </c>
      <c r="H147" s="35"/>
      <c r="I147" s="35"/>
      <c r="J147" s="35"/>
      <c r="K147" s="35"/>
      <c r="L147" s="35"/>
      <c r="M147" s="35"/>
      <c r="N147" s="100"/>
      <c r="O147" s="29"/>
      <c r="P147" s="29"/>
      <c r="Q147" s="29"/>
      <c r="R147" s="29"/>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1"/>
      <c r="BL147" s="221"/>
    </row>
    <row r="148" spans="1:64" hidden="1" outlineLevel="1">
      <c r="A148" s="9"/>
      <c r="B148" s="9"/>
      <c r="C148" s="44"/>
      <c r="D148" s="270" t="str">
        <f>Asset13</f>
        <v>Land</v>
      </c>
      <c r="E148" s="9"/>
      <c r="F148" s="9"/>
      <c r="G148" s="204">
        <f>'Actual RAB roll forward'!G610</f>
        <v>-0.66707176255729972</v>
      </c>
      <c r="H148" s="35"/>
      <c r="I148" s="35"/>
      <c r="J148" s="35"/>
      <c r="K148" s="35"/>
      <c r="L148" s="35"/>
      <c r="M148" s="35"/>
      <c r="N148" s="100"/>
      <c r="O148" s="29"/>
      <c r="P148" s="29"/>
      <c r="Q148" s="29"/>
      <c r="R148" s="29"/>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1"/>
      <c r="BL148" s="221"/>
    </row>
    <row r="149" spans="1:64" hidden="1" outlineLevel="1">
      <c r="A149" s="9"/>
      <c r="B149" s="9"/>
      <c r="C149" s="44"/>
      <c r="D149" s="270" t="str">
        <f>Asset14</f>
        <v>Easements</v>
      </c>
      <c r="E149" s="9"/>
      <c r="F149" s="9"/>
      <c r="G149" s="204">
        <f>'Actual RAB roll forward'!G611</f>
        <v>2.4458975599457162E-2</v>
      </c>
      <c r="H149" s="35"/>
      <c r="I149" s="35"/>
      <c r="J149" s="35"/>
      <c r="K149" s="35"/>
      <c r="L149" s="35"/>
      <c r="M149" s="35"/>
      <c r="N149" s="100"/>
      <c r="O149" s="29"/>
      <c r="P149" s="29"/>
      <c r="Q149" s="29"/>
      <c r="R149" s="29"/>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1"/>
      <c r="BL149" s="221"/>
    </row>
    <row r="150" spans="1:64" hidden="1" outlineLevel="1">
      <c r="A150" s="9"/>
      <c r="B150" s="9"/>
      <c r="C150" s="44"/>
      <c r="D150" s="270">
        <f>Asset15</f>
        <v>0</v>
      </c>
      <c r="E150" s="9"/>
      <c r="F150" s="9"/>
      <c r="G150" s="204">
        <f>'Actual RAB roll forward'!G612</f>
        <v>0</v>
      </c>
      <c r="H150" s="35"/>
      <c r="I150" s="35"/>
      <c r="J150" s="35"/>
      <c r="K150" s="35"/>
      <c r="L150" s="35"/>
      <c r="M150" s="35"/>
      <c r="N150" s="100"/>
      <c r="O150" s="29"/>
      <c r="P150" s="29"/>
      <c r="Q150" s="29"/>
      <c r="R150" s="29"/>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1"/>
      <c r="BL150" s="221"/>
    </row>
    <row r="151" spans="1:64" hidden="1" outlineLevel="1">
      <c r="A151" s="9"/>
      <c r="B151" s="9"/>
      <c r="C151" s="44"/>
      <c r="D151" s="270">
        <f>Asset16</f>
        <v>0</v>
      </c>
      <c r="E151" s="9"/>
      <c r="F151" s="9"/>
      <c r="G151" s="204">
        <f>'Actual RAB roll forward'!G613</f>
        <v>0</v>
      </c>
      <c r="H151" s="35"/>
      <c r="I151" s="35"/>
      <c r="J151" s="35"/>
      <c r="K151" s="35"/>
      <c r="L151" s="35"/>
      <c r="M151" s="35"/>
      <c r="N151" s="100"/>
      <c r="O151" s="29"/>
      <c r="P151" s="29"/>
      <c r="Q151" s="29"/>
      <c r="R151" s="29"/>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1"/>
      <c r="BL151" s="221"/>
    </row>
    <row r="152" spans="1:64" hidden="1" outlineLevel="1">
      <c r="A152" s="9"/>
      <c r="B152" s="9"/>
      <c r="C152" s="44"/>
      <c r="D152" s="270">
        <f>Asset17</f>
        <v>0</v>
      </c>
      <c r="E152" s="9"/>
      <c r="F152" s="9"/>
      <c r="G152" s="204">
        <f>'Actual RAB roll forward'!G614</f>
        <v>0</v>
      </c>
      <c r="H152" s="35"/>
      <c r="I152" s="35"/>
      <c r="J152" s="35"/>
      <c r="K152" s="35"/>
      <c r="L152" s="35"/>
      <c r="M152" s="35"/>
      <c r="N152" s="100"/>
      <c r="O152" s="29"/>
      <c r="P152" s="29"/>
      <c r="Q152" s="29"/>
      <c r="R152" s="29"/>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1"/>
      <c r="BL152" s="221"/>
    </row>
    <row r="153" spans="1:64" hidden="1" outlineLevel="1">
      <c r="A153" s="9"/>
      <c r="B153" s="9"/>
      <c r="C153" s="44"/>
      <c r="D153" s="270">
        <f>Asset18</f>
        <v>0</v>
      </c>
      <c r="E153" s="9"/>
      <c r="F153" s="9"/>
      <c r="G153" s="204">
        <f>'Actual RAB roll forward'!G615</f>
        <v>0</v>
      </c>
      <c r="H153" s="35"/>
      <c r="I153" s="35"/>
      <c r="J153" s="35"/>
      <c r="K153" s="35"/>
      <c r="L153" s="35"/>
      <c r="M153" s="35"/>
      <c r="N153" s="100"/>
      <c r="O153" s="29"/>
      <c r="P153" s="29"/>
      <c r="Q153" s="29"/>
      <c r="R153" s="29"/>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1"/>
      <c r="BL153" s="221"/>
    </row>
    <row r="154" spans="1:64" hidden="1" outlineLevel="1">
      <c r="A154" s="9"/>
      <c r="B154" s="9"/>
      <c r="C154" s="44"/>
      <c r="D154" s="270">
        <f>Asset19</f>
        <v>0</v>
      </c>
      <c r="E154" s="9"/>
      <c r="F154" s="9"/>
      <c r="G154" s="204">
        <f>'Actual RAB roll forward'!G616</f>
        <v>0</v>
      </c>
      <c r="H154" s="35"/>
      <c r="I154" s="35"/>
      <c r="J154" s="35"/>
      <c r="K154" s="35"/>
      <c r="L154" s="35"/>
      <c r="M154" s="35"/>
      <c r="N154" s="100"/>
      <c r="O154" s="29"/>
      <c r="P154" s="29"/>
      <c r="Q154" s="29"/>
      <c r="R154" s="29"/>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1"/>
      <c r="BL154" s="221"/>
    </row>
    <row r="155" spans="1:64" hidden="1" outlineLevel="1">
      <c r="A155" s="9"/>
      <c r="B155" s="9"/>
      <c r="C155" s="44"/>
      <c r="D155" s="270">
        <f>Asset20</f>
        <v>0</v>
      </c>
      <c r="E155" s="9"/>
      <c r="F155" s="9"/>
      <c r="G155" s="204">
        <f>'Actual RAB roll forward'!G617</f>
        <v>0</v>
      </c>
      <c r="H155" s="35"/>
      <c r="I155" s="35"/>
      <c r="J155" s="35"/>
      <c r="K155" s="35"/>
      <c r="L155" s="35"/>
      <c r="M155" s="35"/>
      <c r="N155" s="100"/>
      <c r="O155" s="29"/>
      <c r="P155" s="29"/>
      <c r="Q155" s="29"/>
      <c r="R155" s="29"/>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1"/>
      <c r="BL155" s="221"/>
    </row>
    <row r="156" spans="1:64" hidden="1" outlineLevel="1">
      <c r="A156" s="9"/>
      <c r="B156" s="9"/>
      <c r="C156" s="44"/>
      <c r="D156" s="270">
        <f>Asset21</f>
        <v>0</v>
      </c>
      <c r="E156" s="9"/>
      <c r="F156" s="9"/>
      <c r="G156" s="204">
        <f>'Actual RAB roll forward'!G618</f>
        <v>0</v>
      </c>
      <c r="H156" s="35"/>
      <c r="I156" s="35"/>
      <c r="J156" s="35"/>
      <c r="K156" s="35"/>
      <c r="L156" s="35"/>
      <c r="M156" s="35"/>
      <c r="N156" s="100"/>
      <c r="O156" s="29"/>
      <c r="P156" s="29"/>
      <c r="Q156" s="29"/>
      <c r="R156" s="29"/>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1"/>
      <c r="BL156" s="221"/>
    </row>
    <row r="157" spans="1:64" hidden="1" outlineLevel="1">
      <c r="A157" s="9"/>
      <c r="B157" s="9"/>
      <c r="C157" s="44"/>
      <c r="D157" s="270">
        <f>Asset22</f>
        <v>0</v>
      </c>
      <c r="E157" s="9"/>
      <c r="F157" s="9"/>
      <c r="G157" s="204">
        <f>'Actual RAB roll forward'!G619</f>
        <v>0</v>
      </c>
      <c r="H157" s="35"/>
      <c r="I157" s="35"/>
      <c r="J157" s="35"/>
      <c r="K157" s="35"/>
      <c r="L157" s="35"/>
      <c r="M157" s="35"/>
      <c r="N157" s="100"/>
      <c r="O157" s="29"/>
      <c r="P157" s="29"/>
      <c r="Q157" s="29"/>
      <c r="R157" s="29"/>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1"/>
      <c r="BL157" s="221"/>
    </row>
    <row r="158" spans="1:64" hidden="1" outlineLevel="1">
      <c r="A158" s="9"/>
      <c r="B158" s="9"/>
      <c r="C158" s="44"/>
      <c r="D158" s="270">
        <f>Asset23</f>
        <v>0</v>
      </c>
      <c r="E158" s="9"/>
      <c r="F158" s="9"/>
      <c r="G158" s="204">
        <f>'Actual RAB roll forward'!G620</f>
        <v>0</v>
      </c>
      <c r="H158" s="35"/>
      <c r="I158" s="35"/>
      <c r="J158" s="35"/>
      <c r="K158" s="35"/>
      <c r="L158" s="35"/>
      <c r="M158" s="35"/>
      <c r="N158" s="100"/>
      <c r="O158" s="29"/>
      <c r="P158" s="29"/>
      <c r="Q158" s="29"/>
      <c r="R158" s="29"/>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1"/>
      <c r="BL158" s="221"/>
    </row>
    <row r="159" spans="1:64" hidden="1" outlineLevel="1">
      <c r="A159" s="9"/>
      <c r="B159" s="9"/>
      <c r="C159" s="44"/>
      <c r="D159" s="270">
        <f>Asset24</f>
        <v>0</v>
      </c>
      <c r="E159" s="9"/>
      <c r="F159" s="9"/>
      <c r="G159" s="204">
        <f>'Actual RAB roll forward'!G621</f>
        <v>0</v>
      </c>
      <c r="H159" s="35"/>
      <c r="I159" s="35"/>
      <c r="J159" s="35"/>
      <c r="K159" s="35"/>
      <c r="L159" s="35"/>
      <c r="M159" s="35"/>
      <c r="N159" s="100"/>
      <c r="O159" s="29"/>
      <c r="P159" s="29"/>
      <c r="Q159" s="29"/>
      <c r="R159" s="29"/>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1"/>
      <c r="BL159" s="221"/>
    </row>
    <row r="160" spans="1:64" hidden="1" outlineLevel="1">
      <c r="A160" s="9"/>
      <c r="B160" s="9"/>
      <c r="C160" s="44"/>
      <c r="D160" s="270">
        <f>Asset25</f>
        <v>0</v>
      </c>
      <c r="E160" s="9"/>
      <c r="F160" s="9"/>
      <c r="G160" s="204">
        <f>'Actual RAB roll forward'!G622</f>
        <v>0</v>
      </c>
      <c r="H160" s="35"/>
      <c r="I160" s="35"/>
      <c r="J160" s="35"/>
      <c r="K160" s="35"/>
      <c r="L160" s="35"/>
      <c r="M160" s="35"/>
      <c r="N160" s="100"/>
      <c r="O160" s="29"/>
      <c r="P160" s="29"/>
      <c r="Q160" s="29"/>
      <c r="R160" s="29"/>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1"/>
      <c r="BL160" s="221"/>
    </row>
    <row r="161" spans="1:64" hidden="1" outlineLevel="1">
      <c r="A161" s="9"/>
      <c r="B161" s="9"/>
      <c r="C161" s="44"/>
      <c r="D161" s="270">
        <f>Asset26</f>
        <v>0</v>
      </c>
      <c r="E161" s="9"/>
      <c r="F161" s="9"/>
      <c r="G161" s="204">
        <f>'Actual RAB roll forward'!G623</f>
        <v>0</v>
      </c>
      <c r="H161" s="35"/>
      <c r="I161" s="35"/>
      <c r="J161" s="35"/>
      <c r="K161" s="35"/>
      <c r="L161" s="35"/>
      <c r="M161" s="35"/>
      <c r="N161" s="100"/>
      <c r="O161" s="29"/>
      <c r="P161" s="29"/>
      <c r="Q161" s="29"/>
      <c r="R161" s="29"/>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1"/>
      <c r="BL161" s="221"/>
    </row>
    <row r="162" spans="1:64" hidden="1" outlineLevel="1">
      <c r="A162" s="9"/>
      <c r="B162" s="9"/>
      <c r="C162" s="44"/>
      <c r="D162" s="270">
        <f>Asset27</f>
        <v>0</v>
      </c>
      <c r="E162" s="9"/>
      <c r="F162" s="9"/>
      <c r="G162" s="204">
        <f>'Actual RAB roll forward'!G624</f>
        <v>0</v>
      </c>
      <c r="H162" s="35"/>
      <c r="I162" s="35"/>
      <c r="J162" s="35"/>
      <c r="K162" s="35"/>
      <c r="L162" s="35"/>
      <c r="M162" s="35"/>
      <c r="N162" s="100"/>
      <c r="O162" s="29"/>
      <c r="P162" s="29"/>
      <c r="Q162" s="29"/>
      <c r="R162" s="29"/>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1"/>
      <c r="BL162" s="221"/>
    </row>
    <row r="163" spans="1:64" hidden="1" outlineLevel="1">
      <c r="A163" s="9"/>
      <c r="B163" s="9"/>
      <c r="C163" s="44"/>
      <c r="D163" s="270">
        <f>Asset28</f>
        <v>0</v>
      </c>
      <c r="E163" s="9"/>
      <c r="F163" s="9"/>
      <c r="G163" s="204">
        <f>'Actual RAB roll forward'!G625</f>
        <v>0</v>
      </c>
      <c r="H163" s="35"/>
      <c r="I163" s="35"/>
      <c r="J163" s="35"/>
      <c r="K163" s="35"/>
      <c r="L163" s="35"/>
      <c r="M163" s="35"/>
      <c r="N163" s="100"/>
      <c r="O163" s="29"/>
      <c r="P163" s="29"/>
      <c r="Q163" s="29"/>
      <c r="R163" s="29"/>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1"/>
      <c r="BL163" s="221"/>
    </row>
    <row r="164" spans="1:64" hidden="1" outlineLevel="1">
      <c r="A164" s="9"/>
      <c r="B164" s="9"/>
      <c r="C164" s="44"/>
      <c r="D164" s="270">
        <f>Asset29</f>
        <v>0</v>
      </c>
      <c r="E164" s="9"/>
      <c r="F164" s="9"/>
      <c r="G164" s="204">
        <f>'Actual RAB roll forward'!G626</f>
        <v>0</v>
      </c>
      <c r="H164" s="35"/>
      <c r="I164" s="35"/>
      <c r="J164" s="35"/>
      <c r="K164" s="35"/>
      <c r="L164" s="35"/>
      <c r="M164" s="35"/>
      <c r="N164" s="100"/>
      <c r="O164" s="29"/>
      <c r="P164" s="29"/>
      <c r="Q164" s="29"/>
      <c r="R164" s="29"/>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1"/>
      <c r="BL164" s="221"/>
    </row>
    <row r="165" spans="1:64" hidden="1" outlineLevel="1">
      <c r="A165" s="9"/>
      <c r="B165" s="9"/>
      <c r="C165" s="44"/>
      <c r="D165" s="270">
        <f>Asset30</f>
        <v>0</v>
      </c>
      <c r="E165" s="9"/>
      <c r="F165" s="9"/>
      <c r="G165" s="204">
        <f>'Actual RAB roll forward'!G627</f>
        <v>0</v>
      </c>
      <c r="H165" s="35"/>
      <c r="I165" s="35"/>
      <c r="J165" s="35"/>
      <c r="K165" s="35"/>
      <c r="L165" s="35"/>
      <c r="M165" s="35"/>
      <c r="N165" s="100"/>
      <c r="O165" s="29"/>
      <c r="P165" s="29"/>
      <c r="Q165" s="29"/>
      <c r="R165" s="29"/>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1"/>
      <c r="BL165" s="221"/>
    </row>
    <row r="166" spans="1:64" collapsed="1">
      <c r="A166" s="9"/>
      <c r="B166" s="9"/>
      <c r="C166" s="44"/>
      <c r="D166" s="113"/>
      <c r="E166" s="9"/>
      <c r="F166" s="9"/>
      <c r="G166" s="210"/>
      <c r="H166" s="35"/>
      <c r="I166" s="35"/>
      <c r="J166" s="35"/>
      <c r="K166" s="35"/>
      <c r="L166" s="35"/>
      <c r="M166" s="35"/>
      <c r="N166" s="100"/>
      <c r="O166" s="29"/>
      <c r="P166" s="29"/>
      <c r="Q166" s="29"/>
      <c r="R166" s="29"/>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1"/>
      <c r="BL166" s="221"/>
    </row>
    <row r="167" spans="1:64">
      <c r="A167" s="9"/>
      <c r="B167" s="9"/>
      <c r="C167" s="44" t="s">
        <v>58</v>
      </c>
      <c r="D167" s="127"/>
      <c r="E167" s="9"/>
      <c r="F167" s="9"/>
      <c r="G167" s="310">
        <f>SUM(G168:G197)</f>
        <v>17.003209000000002</v>
      </c>
      <c r="H167" s="111"/>
      <c r="I167" s="111"/>
      <c r="J167" s="111"/>
      <c r="K167" s="111"/>
      <c r="L167" s="111"/>
      <c r="M167" s="111"/>
      <c r="N167" s="100"/>
      <c r="O167" s="29"/>
      <c r="P167" s="29"/>
      <c r="Q167" s="29"/>
      <c r="R167" s="29"/>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1"/>
      <c r="BL167" s="221"/>
    </row>
    <row r="168" spans="1:64" hidden="1" outlineLevel="1">
      <c r="A168" s="9"/>
      <c r="B168" s="9"/>
      <c r="C168" s="44"/>
      <c r="D168" s="270" t="str">
        <f>Asset1</f>
        <v>Secondary</v>
      </c>
      <c r="E168" s="9"/>
      <c r="F168" s="9"/>
      <c r="G168" s="204">
        <f>'Actual RAB roll forward'!G630</f>
        <v>6.3991040000000003</v>
      </c>
      <c r="H168" s="111"/>
      <c r="I168" s="111"/>
      <c r="J168" s="111"/>
      <c r="K168" s="111"/>
      <c r="L168" s="111"/>
      <c r="M168" s="111"/>
      <c r="N168" s="100"/>
      <c r="O168" s="29"/>
      <c r="P168" s="29"/>
      <c r="Q168" s="29"/>
      <c r="R168" s="29"/>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1"/>
      <c r="BL168" s="221"/>
    </row>
    <row r="169" spans="1:64" hidden="1" outlineLevel="1">
      <c r="A169" s="9"/>
      <c r="B169" s="9"/>
      <c r="C169" s="44"/>
      <c r="D169" s="270" t="str">
        <f>Asset2</f>
        <v>Switchgear</v>
      </c>
      <c r="E169" s="9"/>
      <c r="F169" s="9"/>
      <c r="G169" s="204">
        <f>'Actual RAB roll forward'!G631</f>
        <v>4.6862470000000007</v>
      </c>
      <c r="H169" s="111"/>
      <c r="I169" s="111"/>
      <c r="J169" s="111"/>
      <c r="K169" s="111"/>
      <c r="L169" s="111"/>
      <c r="M169" s="111"/>
      <c r="N169" s="100"/>
      <c r="O169" s="29"/>
      <c r="P169" s="29"/>
      <c r="Q169" s="29"/>
      <c r="R169" s="29"/>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1"/>
      <c r="BL169" s="221"/>
    </row>
    <row r="170" spans="1:64" hidden="1" outlineLevel="1">
      <c r="A170" s="9"/>
      <c r="B170" s="9"/>
      <c r="C170" s="44"/>
      <c r="D170" s="270" t="str">
        <f>Asset3</f>
        <v>Transformers</v>
      </c>
      <c r="E170" s="9"/>
      <c r="F170" s="9"/>
      <c r="G170" s="204">
        <f>'Actual RAB roll forward'!G632</f>
        <v>0</v>
      </c>
      <c r="H170" s="111"/>
      <c r="I170" s="111"/>
      <c r="J170" s="111"/>
      <c r="K170" s="111"/>
      <c r="L170" s="111"/>
      <c r="M170" s="111"/>
      <c r="N170" s="100"/>
      <c r="O170" s="29"/>
      <c r="P170" s="29"/>
      <c r="Q170" s="29"/>
      <c r="R170" s="29"/>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1"/>
      <c r="BL170" s="221"/>
    </row>
    <row r="171" spans="1:64" hidden="1" outlineLevel="1">
      <c r="A171" s="9"/>
      <c r="B171" s="9"/>
      <c r="C171" s="44"/>
      <c r="D171" s="270" t="str">
        <f>Asset4</f>
        <v>Reactive</v>
      </c>
      <c r="E171" s="9"/>
      <c r="F171" s="9"/>
      <c r="G171" s="204">
        <f>'Actual RAB roll forward'!G633</f>
        <v>0</v>
      </c>
      <c r="H171" s="111"/>
      <c r="I171" s="111"/>
      <c r="J171" s="111"/>
      <c r="K171" s="111"/>
      <c r="L171" s="111"/>
      <c r="M171" s="111"/>
      <c r="N171" s="100"/>
      <c r="O171" s="29"/>
      <c r="P171" s="29"/>
      <c r="Q171" s="29"/>
      <c r="R171" s="29"/>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1"/>
      <c r="BL171" s="221"/>
    </row>
    <row r="172" spans="1:64" hidden="1" outlineLevel="1">
      <c r="A172" s="9"/>
      <c r="B172" s="9"/>
      <c r="C172" s="44"/>
      <c r="D172" s="270" t="str">
        <f>Asset5</f>
        <v>Towers and Conductor</v>
      </c>
      <c r="E172" s="9"/>
      <c r="F172" s="9"/>
      <c r="G172" s="204">
        <f>'Actual RAB roll forward'!G634</f>
        <v>4.1564750000000004</v>
      </c>
      <c r="H172" s="111"/>
      <c r="I172" s="111"/>
      <c r="J172" s="111"/>
      <c r="K172" s="111"/>
      <c r="L172" s="111"/>
      <c r="M172" s="111"/>
      <c r="N172" s="100"/>
      <c r="O172" s="29"/>
      <c r="P172" s="29"/>
      <c r="Q172" s="29"/>
      <c r="R172" s="29"/>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1"/>
      <c r="BL172" s="221"/>
    </row>
    <row r="173" spans="1:64" hidden="1" outlineLevel="1">
      <c r="A173" s="9"/>
      <c r="B173" s="9"/>
      <c r="C173" s="44"/>
      <c r="D173" s="270" t="str">
        <f>Asset6</f>
        <v>Establishment</v>
      </c>
      <c r="E173" s="9"/>
      <c r="F173" s="9"/>
      <c r="G173" s="204">
        <f>'Actual RAB roll forward'!G635</f>
        <v>0</v>
      </c>
      <c r="H173" s="111"/>
      <c r="I173" s="111"/>
      <c r="J173" s="111"/>
      <c r="K173" s="111"/>
      <c r="L173" s="111"/>
      <c r="M173" s="111"/>
      <c r="N173" s="100"/>
      <c r="O173" s="29"/>
      <c r="P173" s="29"/>
      <c r="Q173" s="29"/>
      <c r="R173" s="29"/>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1"/>
      <c r="BL173" s="221"/>
    </row>
    <row r="174" spans="1:64" hidden="1" outlineLevel="1">
      <c r="A174" s="9"/>
      <c r="B174" s="9"/>
      <c r="C174" s="44"/>
      <c r="D174" s="270" t="str">
        <f>Asset7</f>
        <v>Communications</v>
      </c>
      <c r="E174" s="9"/>
      <c r="F174" s="9"/>
      <c r="G174" s="204">
        <f>'Actual RAB roll forward'!G636</f>
        <v>1.3286929999999999</v>
      </c>
      <c r="H174" s="111"/>
      <c r="I174" s="111"/>
      <c r="J174" s="111"/>
      <c r="K174" s="111"/>
      <c r="L174" s="111"/>
      <c r="M174" s="111"/>
      <c r="N174" s="100"/>
      <c r="O174" s="29"/>
      <c r="P174" s="29"/>
      <c r="Q174" s="29"/>
      <c r="R174" s="29"/>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1"/>
      <c r="BL174" s="221"/>
    </row>
    <row r="175" spans="1:64" hidden="1" outlineLevel="1">
      <c r="A175" s="9"/>
      <c r="B175" s="9"/>
      <c r="C175" s="44"/>
      <c r="D175" s="270" t="str">
        <f>Asset8</f>
        <v>Inventory</v>
      </c>
      <c r="E175" s="9"/>
      <c r="F175" s="9"/>
      <c r="G175" s="204">
        <f>'Actual RAB roll forward'!G637</f>
        <v>0</v>
      </c>
      <c r="H175" s="111"/>
      <c r="I175" s="111"/>
      <c r="J175" s="111"/>
      <c r="K175" s="111"/>
      <c r="L175" s="111"/>
      <c r="M175" s="111"/>
      <c r="N175" s="100"/>
      <c r="O175" s="29"/>
      <c r="P175" s="29"/>
      <c r="Q175" s="29"/>
      <c r="R175" s="29"/>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1"/>
      <c r="BL175" s="221"/>
    </row>
    <row r="176" spans="1:64" hidden="1" outlineLevel="1">
      <c r="A176" s="9"/>
      <c r="B176" s="9"/>
      <c r="C176" s="44"/>
      <c r="D176" s="270" t="str">
        <f>Asset9</f>
        <v>IT</v>
      </c>
      <c r="E176" s="9"/>
      <c r="F176" s="9"/>
      <c r="G176" s="204">
        <f>'Actual RAB roll forward'!G638</f>
        <v>0</v>
      </c>
      <c r="H176" s="111"/>
      <c r="I176" s="111"/>
      <c r="J176" s="111"/>
      <c r="K176" s="111"/>
      <c r="L176" s="111"/>
      <c r="M176" s="111"/>
      <c r="N176" s="100"/>
      <c r="O176" s="29"/>
      <c r="P176" s="29"/>
      <c r="Q176" s="29"/>
      <c r="R176" s="29"/>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1"/>
      <c r="BL176" s="221"/>
    </row>
    <row r="177" spans="1:64" hidden="1" outlineLevel="1">
      <c r="A177" s="9"/>
      <c r="B177" s="9"/>
      <c r="C177" s="44"/>
      <c r="D177" s="270" t="str">
        <f>Asset10</f>
        <v>Vehicles</v>
      </c>
      <c r="E177" s="9"/>
      <c r="F177" s="9"/>
      <c r="G177" s="204">
        <f>'Actual RAB roll forward'!G639</f>
        <v>0</v>
      </c>
      <c r="H177" s="111"/>
      <c r="I177" s="111"/>
      <c r="J177" s="111"/>
      <c r="K177" s="111"/>
      <c r="L177" s="111"/>
      <c r="M177" s="111"/>
      <c r="N177" s="100"/>
      <c r="O177" s="29"/>
      <c r="P177" s="29"/>
      <c r="Q177" s="29"/>
      <c r="R177" s="29"/>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1"/>
      <c r="BL177" s="221"/>
    </row>
    <row r="178" spans="1:64" hidden="1" outlineLevel="1">
      <c r="A178" s="9"/>
      <c r="B178" s="9"/>
      <c r="C178" s="44"/>
      <c r="D178" s="270" t="str">
        <f>Asset11</f>
        <v>other</v>
      </c>
      <c r="E178" s="9"/>
      <c r="F178" s="9"/>
      <c r="G178" s="204">
        <f>'Actual RAB roll forward'!G640</f>
        <v>0.43269000000000002</v>
      </c>
      <c r="H178" s="111"/>
      <c r="I178" s="111"/>
      <c r="J178" s="111"/>
      <c r="K178" s="111"/>
      <c r="L178" s="111"/>
      <c r="M178" s="111"/>
      <c r="N178" s="100"/>
      <c r="O178" s="29"/>
      <c r="P178" s="29"/>
      <c r="Q178" s="29"/>
      <c r="R178" s="29"/>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1"/>
      <c r="BL178" s="221"/>
    </row>
    <row r="179" spans="1:64" hidden="1" outlineLevel="1">
      <c r="A179" s="9"/>
      <c r="B179" s="9"/>
      <c r="C179" s="44"/>
      <c r="D179" s="270" t="str">
        <f>Asset12</f>
        <v>premises</v>
      </c>
      <c r="E179" s="9"/>
      <c r="F179" s="9"/>
      <c r="G179" s="204">
        <f>'Actual RAB roll forward'!G641</f>
        <v>0</v>
      </c>
      <c r="H179" s="111"/>
      <c r="I179" s="111"/>
      <c r="J179" s="111"/>
      <c r="K179" s="111"/>
      <c r="L179" s="111"/>
      <c r="M179" s="111"/>
      <c r="N179" s="100"/>
      <c r="O179" s="29"/>
      <c r="P179" s="29"/>
      <c r="Q179" s="29"/>
      <c r="R179" s="29"/>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1"/>
      <c r="BL179" s="221"/>
    </row>
    <row r="180" spans="1:64" hidden="1" outlineLevel="1">
      <c r="A180" s="9"/>
      <c r="B180" s="9"/>
      <c r="C180" s="44"/>
      <c r="D180" s="270" t="str">
        <f>Asset13</f>
        <v>Land</v>
      </c>
      <c r="E180" s="9"/>
      <c r="F180" s="9"/>
      <c r="G180" s="204">
        <f>'Actual RAB roll forward'!G642</f>
        <v>0</v>
      </c>
      <c r="H180" s="111"/>
      <c r="I180" s="111"/>
      <c r="J180" s="111"/>
      <c r="K180" s="111"/>
      <c r="L180" s="111"/>
      <c r="M180" s="111"/>
      <c r="N180" s="100"/>
      <c r="O180" s="29"/>
      <c r="P180" s="29"/>
      <c r="Q180" s="29"/>
      <c r="R180" s="29"/>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1"/>
      <c r="BL180" s="221"/>
    </row>
    <row r="181" spans="1:64" hidden="1" outlineLevel="1">
      <c r="A181" s="9"/>
      <c r="B181" s="9"/>
      <c r="C181" s="44"/>
      <c r="D181" s="270" t="str">
        <f>Asset14</f>
        <v>Easements</v>
      </c>
      <c r="E181" s="9"/>
      <c r="F181" s="9"/>
      <c r="G181" s="204">
        <f>'Actual RAB roll forward'!G643</f>
        <v>0</v>
      </c>
      <c r="H181" s="111"/>
      <c r="I181" s="111"/>
      <c r="J181" s="111"/>
      <c r="K181" s="111"/>
      <c r="L181" s="111"/>
      <c r="M181" s="111"/>
      <c r="N181" s="100"/>
      <c r="O181" s="29"/>
      <c r="P181" s="29"/>
      <c r="Q181" s="29"/>
      <c r="R181" s="29"/>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1"/>
      <c r="BL181" s="221"/>
    </row>
    <row r="182" spans="1:64" hidden="1" outlineLevel="1">
      <c r="A182" s="9"/>
      <c r="B182" s="9"/>
      <c r="C182" s="44"/>
      <c r="D182" s="270">
        <f>Asset15</f>
        <v>0</v>
      </c>
      <c r="E182" s="9"/>
      <c r="F182" s="9"/>
      <c r="G182" s="204">
        <f>'Actual RAB roll forward'!G644</f>
        <v>0</v>
      </c>
      <c r="H182" s="111"/>
      <c r="I182" s="111"/>
      <c r="J182" s="111"/>
      <c r="K182" s="111"/>
      <c r="L182" s="111"/>
      <c r="M182" s="111"/>
      <c r="N182" s="100"/>
      <c r="O182" s="29"/>
      <c r="P182" s="29"/>
      <c r="Q182" s="29"/>
      <c r="R182" s="29"/>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1"/>
      <c r="BL182" s="221"/>
    </row>
    <row r="183" spans="1:64" hidden="1" outlineLevel="1">
      <c r="A183" s="9"/>
      <c r="B183" s="9"/>
      <c r="C183" s="44"/>
      <c r="D183" s="270">
        <f>Asset16</f>
        <v>0</v>
      </c>
      <c r="E183" s="9"/>
      <c r="F183" s="9"/>
      <c r="G183" s="204">
        <f>'Actual RAB roll forward'!G645</f>
        <v>0</v>
      </c>
      <c r="H183" s="111"/>
      <c r="I183" s="111"/>
      <c r="J183" s="111"/>
      <c r="K183" s="111"/>
      <c r="L183" s="111"/>
      <c r="M183" s="111"/>
      <c r="N183" s="100"/>
      <c r="O183" s="29"/>
      <c r="P183" s="29"/>
      <c r="Q183" s="29"/>
      <c r="R183" s="29"/>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1"/>
      <c r="BL183" s="221"/>
    </row>
    <row r="184" spans="1:64" hidden="1" outlineLevel="1">
      <c r="A184" s="9"/>
      <c r="B184" s="9"/>
      <c r="C184" s="44"/>
      <c r="D184" s="270">
        <f>Asset17</f>
        <v>0</v>
      </c>
      <c r="E184" s="9"/>
      <c r="F184" s="9"/>
      <c r="G184" s="204">
        <f>'Actual RAB roll forward'!G646</f>
        <v>0</v>
      </c>
      <c r="H184" s="111"/>
      <c r="I184" s="111"/>
      <c r="J184" s="111"/>
      <c r="K184" s="111"/>
      <c r="L184" s="111"/>
      <c r="M184" s="111"/>
      <c r="N184" s="100"/>
      <c r="O184" s="29"/>
      <c r="P184" s="29"/>
      <c r="Q184" s="29"/>
      <c r="R184" s="29"/>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1"/>
      <c r="BL184" s="221"/>
    </row>
    <row r="185" spans="1:64" hidden="1" outlineLevel="1">
      <c r="A185" s="9"/>
      <c r="B185" s="9"/>
      <c r="C185" s="44"/>
      <c r="D185" s="270">
        <f>Asset18</f>
        <v>0</v>
      </c>
      <c r="E185" s="9"/>
      <c r="F185" s="9"/>
      <c r="G185" s="204">
        <f>'Actual RAB roll forward'!G647</f>
        <v>0</v>
      </c>
      <c r="H185" s="111"/>
      <c r="I185" s="111"/>
      <c r="J185" s="111"/>
      <c r="K185" s="111"/>
      <c r="L185" s="111"/>
      <c r="M185" s="111"/>
      <c r="N185" s="100"/>
      <c r="O185" s="29"/>
      <c r="P185" s="29"/>
      <c r="Q185" s="29"/>
      <c r="R185" s="29"/>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1"/>
      <c r="BL185" s="221"/>
    </row>
    <row r="186" spans="1:64" hidden="1" outlineLevel="1">
      <c r="A186" s="9"/>
      <c r="B186" s="9"/>
      <c r="C186" s="44"/>
      <c r="D186" s="270">
        <f>Asset19</f>
        <v>0</v>
      </c>
      <c r="E186" s="9"/>
      <c r="F186" s="9"/>
      <c r="G186" s="204">
        <f>'Actual RAB roll forward'!G648</f>
        <v>0</v>
      </c>
      <c r="H186" s="111"/>
      <c r="I186" s="111"/>
      <c r="J186" s="111"/>
      <c r="K186" s="111"/>
      <c r="L186" s="111"/>
      <c r="M186" s="111"/>
      <c r="N186" s="100"/>
      <c r="O186" s="29"/>
      <c r="P186" s="29"/>
      <c r="Q186" s="29"/>
      <c r="R186" s="29"/>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1"/>
      <c r="BL186" s="221"/>
    </row>
    <row r="187" spans="1:64" hidden="1" outlineLevel="1">
      <c r="A187" s="9"/>
      <c r="B187" s="9"/>
      <c r="C187" s="44"/>
      <c r="D187" s="270">
        <f>Asset20</f>
        <v>0</v>
      </c>
      <c r="E187" s="9"/>
      <c r="F187" s="9"/>
      <c r="G187" s="204">
        <f>'Actual RAB roll forward'!G649</f>
        <v>0</v>
      </c>
      <c r="H187" s="111"/>
      <c r="I187" s="111"/>
      <c r="J187" s="111"/>
      <c r="K187" s="111"/>
      <c r="L187" s="111"/>
      <c r="M187" s="111"/>
      <c r="N187" s="100"/>
      <c r="O187" s="29"/>
      <c r="P187" s="29"/>
      <c r="Q187" s="29"/>
      <c r="R187" s="29"/>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1"/>
      <c r="BL187" s="221"/>
    </row>
    <row r="188" spans="1:64" hidden="1" outlineLevel="1">
      <c r="A188" s="9"/>
      <c r="B188" s="9"/>
      <c r="C188" s="44"/>
      <c r="D188" s="270">
        <f>Asset21</f>
        <v>0</v>
      </c>
      <c r="E188" s="9"/>
      <c r="F188" s="9"/>
      <c r="G188" s="204">
        <f>'Actual RAB roll forward'!G650</f>
        <v>0</v>
      </c>
      <c r="H188" s="111"/>
      <c r="I188" s="111"/>
      <c r="J188" s="111"/>
      <c r="K188" s="111"/>
      <c r="L188" s="111"/>
      <c r="M188" s="111"/>
      <c r="N188" s="100"/>
      <c r="O188" s="29"/>
      <c r="P188" s="29"/>
      <c r="Q188" s="29"/>
      <c r="R188" s="29"/>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1"/>
      <c r="BL188" s="221"/>
    </row>
    <row r="189" spans="1:64" hidden="1" outlineLevel="1">
      <c r="A189" s="9"/>
      <c r="B189" s="9"/>
      <c r="C189" s="44"/>
      <c r="D189" s="270">
        <f>Asset22</f>
        <v>0</v>
      </c>
      <c r="E189" s="9"/>
      <c r="F189" s="9"/>
      <c r="G189" s="204">
        <f>'Actual RAB roll forward'!G651</f>
        <v>0</v>
      </c>
      <c r="H189" s="111"/>
      <c r="I189" s="111"/>
      <c r="J189" s="111"/>
      <c r="K189" s="111"/>
      <c r="L189" s="111"/>
      <c r="M189" s="111"/>
      <c r="N189" s="100"/>
      <c r="O189" s="29"/>
      <c r="P189" s="29"/>
      <c r="Q189" s="29"/>
      <c r="R189" s="29"/>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1"/>
      <c r="BL189" s="221"/>
    </row>
    <row r="190" spans="1:64" hidden="1" outlineLevel="1">
      <c r="A190" s="9"/>
      <c r="B190" s="9"/>
      <c r="C190" s="44"/>
      <c r="D190" s="270">
        <f>Asset23</f>
        <v>0</v>
      </c>
      <c r="E190" s="9"/>
      <c r="F190" s="9"/>
      <c r="G190" s="204">
        <f>'Actual RAB roll forward'!G652</f>
        <v>0</v>
      </c>
      <c r="H190" s="111"/>
      <c r="I190" s="111"/>
      <c r="J190" s="111"/>
      <c r="K190" s="111"/>
      <c r="L190" s="111"/>
      <c r="M190" s="111"/>
      <c r="N190" s="100"/>
      <c r="O190" s="29"/>
      <c r="P190" s="29"/>
      <c r="Q190" s="29"/>
      <c r="R190" s="29"/>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1"/>
      <c r="BL190" s="221"/>
    </row>
    <row r="191" spans="1:64" hidden="1" outlineLevel="1">
      <c r="A191" s="9"/>
      <c r="B191" s="9"/>
      <c r="C191" s="44"/>
      <c r="D191" s="270">
        <f>Asset24</f>
        <v>0</v>
      </c>
      <c r="E191" s="9"/>
      <c r="F191" s="9"/>
      <c r="G191" s="204">
        <f>'Actual RAB roll forward'!G653</f>
        <v>0</v>
      </c>
      <c r="H191" s="111"/>
      <c r="I191" s="111"/>
      <c r="J191" s="111"/>
      <c r="K191" s="111"/>
      <c r="L191" s="111"/>
      <c r="M191" s="111"/>
      <c r="N191" s="100"/>
      <c r="O191" s="29"/>
      <c r="P191" s="29"/>
      <c r="Q191" s="29"/>
      <c r="R191" s="29"/>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1"/>
      <c r="BL191" s="221"/>
    </row>
    <row r="192" spans="1:64" hidden="1" outlineLevel="1">
      <c r="A192" s="9"/>
      <c r="B192" s="9"/>
      <c r="C192" s="44"/>
      <c r="D192" s="270">
        <f>Asset25</f>
        <v>0</v>
      </c>
      <c r="E192" s="9"/>
      <c r="F192" s="9"/>
      <c r="G192" s="204">
        <f>'Actual RAB roll forward'!G654</f>
        <v>0</v>
      </c>
      <c r="H192" s="111"/>
      <c r="I192" s="111"/>
      <c r="J192" s="111"/>
      <c r="K192" s="111"/>
      <c r="L192" s="111"/>
      <c r="M192" s="111"/>
      <c r="N192" s="100"/>
      <c r="O192" s="29"/>
      <c r="P192" s="29"/>
      <c r="Q192" s="29"/>
      <c r="R192" s="29"/>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1"/>
      <c r="BL192" s="221"/>
    </row>
    <row r="193" spans="1:64" hidden="1" outlineLevel="1">
      <c r="A193" s="9"/>
      <c r="B193" s="9"/>
      <c r="C193" s="44"/>
      <c r="D193" s="270">
        <f>Asset26</f>
        <v>0</v>
      </c>
      <c r="E193" s="9"/>
      <c r="F193" s="9"/>
      <c r="G193" s="204">
        <f>'Actual RAB roll forward'!G655</f>
        <v>0</v>
      </c>
      <c r="H193" s="111"/>
      <c r="I193" s="111"/>
      <c r="J193" s="111"/>
      <c r="K193" s="111"/>
      <c r="L193" s="111"/>
      <c r="M193" s="111"/>
      <c r="N193" s="100"/>
      <c r="O193" s="29"/>
      <c r="P193" s="29"/>
      <c r="Q193" s="29"/>
      <c r="R193" s="29"/>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1"/>
      <c r="BL193" s="221"/>
    </row>
    <row r="194" spans="1:64" hidden="1" outlineLevel="1">
      <c r="A194" s="9"/>
      <c r="B194" s="9"/>
      <c r="C194" s="44"/>
      <c r="D194" s="270">
        <f>Asset27</f>
        <v>0</v>
      </c>
      <c r="E194" s="9"/>
      <c r="F194" s="9"/>
      <c r="G194" s="204">
        <f>'Actual RAB roll forward'!G656</f>
        <v>0</v>
      </c>
      <c r="H194" s="111"/>
      <c r="I194" s="111"/>
      <c r="J194" s="111"/>
      <c r="K194" s="111"/>
      <c r="L194" s="111"/>
      <c r="M194" s="111"/>
      <c r="N194" s="100"/>
      <c r="O194" s="29"/>
      <c r="P194" s="29"/>
      <c r="Q194" s="29"/>
      <c r="R194" s="29"/>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1"/>
      <c r="BL194" s="221"/>
    </row>
    <row r="195" spans="1:64" hidden="1" outlineLevel="1">
      <c r="A195" s="9"/>
      <c r="B195" s="9"/>
      <c r="C195" s="44"/>
      <c r="D195" s="270">
        <f>Asset28</f>
        <v>0</v>
      </c>
      <c r="E195" s="9"/>
      <c r="F195" s="9"/>
      <c r="G195" s="204">
        <f>'Actual RAB roll forward'!G657</f>
        <v>0</v>
      </c>
      <c r="H195" s="111"/>
      <c r="I195" s="111"/>
      <c r="J195" s="111"/>
      <c r="K195" s="111"/>
      <c r="L195" s="111"/>
      <c r="M195" s="111"/>
      <c r="N195" s="100"/>
      <c r="O195" s="29"/>
      <c r="P195" s="29"/>
      <c r="Q195" s="29"/>
      <c r="R195" s="29"/>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1"/>
      <c r="BL195" s="221"/>
    </row>
    <row r="196" spans="1:64" hidden="1" outlineLevel="1">
      <c r="A196" s="9"/>
      <c r="B196" s="9"/>
      <c r="C196" s="44"/>
      <c r="D196" s="270">
        <f>Asset29</f>
        <v>0</v>
      </c>
      <c r="E196" s="9"/>
      <c r="F196" s="9"/>
      <c r="G196" s="204">
        <f>'Actual RAB roll forward'!G658</f>
        <v>0</v>
      </c>
      <c r="H196" s="111"/>
      <c r="I196" s="111"/>
      <c r="J196" s="111"/>
      <c r="K196" s="111"/>
      <c r="L196" s="111"/>
      <c r="M196" s="111"/>
      <c r="N196" s="100"/>
      <c r="O196" s="29"/>
      <c r="P196" s="29"/>
      <c r="Q196" s="29"/>
      <c r="R196" s="29"/>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1"/>
      <c r="BL196" s="221"/>
    </row>
    <row r="197" spans="1:64" hidden="1" outlineLevel="1">
      <c r="A197" s="9"/>
      <c r="B197" s="9"/>
      <c r="C197" s="44"/>
      <c r="D197" s="270">
        <f>Asset30</f>
        <v>0</v>
      </c>
      <c r="E197" s="9"/>
      <c r="F197" s="9"/>
      <c r="G197" s="204">
        <f>'Actual RAB roll forward'!G659</f>
        <v>0</v>
      </c>
      <c r="H197" s="111"/>
      <c r="I197" s="111"/>
      <c r="J197" s="111"/>
      <c r="K197" s="111"/>
      <c r="L197" s="111"/>
      <c r="M197" s="111"/>
      <c r="N197" s="100"/>
      <c r="O197" s="29"/>
      <c r="P197" s="29"/>
      <c r="Q197" s="29"/>
      <c r="R197" s="29"/>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1"/>
      <c r="BL197" s="221"/>
    </row>
    <row r="198" spans="1:64" collapsed="1">
      <c r="A198" s="9"/>
      <c r="B198" s="9"/>
      <c r="C198" s="44"/>
      <c r="D198" s="127"/>
      <c r="E198" s="9"/>
      <c r="F198" s="9"/>
      <c r="G198" s="139"/>
      <c r="H198" s="111"/>
      <c r="I198" s="111"/>
      <c r="J198" s="111"/>
      <c r="K198" s="111"/>
      <c r="L198" s="111"/>
      <c r="M198" s="111"/>
      <c r="N198" s="100"/>
      <c r="O198" s="29"/>
      <c r="P198" s="29"/>
      <c r="Q198" s="29"/>
      <c r="R198" s="29"/>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1"/>
      <c r="BL198" s="221"/>
    </row>
    <row r="199" spans="1:64">
      <c r="A199" s="9"/>
      <c r="B199" s="9"/>
      <c r="C199" s="332" t="s">
        <v>160</v>
      </c>
      <c r="D199" s="333"/>
      <c r="E199" s="334"/>
      <c r="F199" s="334"/>
      <c r="G199" s="339">
        <f>SUM(G200:G229)</f>
        <v>115.84899999999999</v>
      </c>
      <c r="H199" s="111"/>
      <c r="I199" s="111"/>
      <c r="J199" s="111"/>
      <c r="K199" s="111"/>
      <c r="L199" s="111"/>
      <c r="M199" s="111"/>
      <c r="N199" s="100"/>
      <c r="O199" s="29"/>
      <c r="P199" s="29"/>
      <c r="Q199" s="29"/>
      <c r="R199" s="29"/>
      <c r="S199" s="100"/>
      <c r="T199" s="100"/>
      <c r="U199" s="100"/>
      <c r="V199" s="100"/>
      <c r="W199" s="100"/>
      <c r="X199" s="100"/>
      <c r="Y199" s="100"/>
      <c r="Z199" s="100"/>
      <c r="AA199" s="100"/>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1"/>
      <c r="BL199" s="221"/>
    </row>
    <row r="200" spans="1:64" hidden="1" outlineLevel="1">
      <c r="A200" s="9"/>
      <c r="B200" s="9"/>
      <c r="C200" s="44"/>
      <c r="D200" s="270" t="str">
        <f>Asset1</f>
        <v>Secondary</v>
      </c>
      <c r="E200" s="9"/>
      <c r="F200" s="9"/>
      <c r="G200" s="204">
        <f>Input!N7</f>
        <v>17.722999999999999</v>
      </c>
      <c r="H200" s="111"/>
      <c r="I200" s="111"/>
      <c r="J200" s="111"/>
      <c r="K200" s="111"/>
      <c r="L200" s="111"/>
      <c r="M200" s="111"/>
      <c r="N200" s="100"/>
      <c r="O200" s="29"/>
      <c r="P200" s="29"/>
      <c r="Q200" s="29"/>
      <c r="R200" s="29"/>
      <c r="S200" s="100"/>
      <c r="T200" s="100"/>
      <c r="U200" s="100"/>
      <c r="V200" s="100"/>
      <c r="W200" s="100"/>
      <c r="X200" s="100"/>
      <c r="Y200" s="100"/>
      <c r="Z200" s="100"/>
      <c r="AA200" s="100"/>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1"/>
      <c r="BL200" s="221"/>
    </row>
    <row r="201" spans="1:64" hidden="1" outlineLevel="1">
      <c r="A201" s="9"/>
      <c r="B201" s="9"/>
      <c r="C201" s="44"/>
      <c r="D201" s="270" t="str">
        <f>Asset2</f>
        <v>Switchgear</v>
      </c>
      <c r="E201" s="9"/>
      <c r="F201" s="9"/>
      <c r="G201" s="204">
        <f>Input!N8</f>
        <v>59.128999999999998</v>
      </c>
      <c r="H201" s="111"/>
      <c r="I201" s="111"/>
      <c r="J201" s="111"/>
      <c r="K201" s="111"/>
      <c r="L201" s="111"/>
      <c r="M201" s="111"/>
      <c r="N201" s="100"/>
      <c r="O201" s="29"/>
      <c r="P201" s="29"/>
      <c r="Q201" s="29"/>
      <c r="R201" s="29"/>
      <c r="S201" s="100"/>
      <c r="T201" s="100"/>
      <c r="U201" s="100"/>
      <c r="V201" s="100"/>
      <c r="W201" s="100"/>
      <c r="X201" s="100"/>
      <c r="Y201" s="100"/>
      <c r="Z201" s="100"/>
      <c r="AA201" s="100"/>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1"/>
      <c r="BL201" s="221"/>
    </row>
    <row r="202" spans="1:64" hidden="1" outlineLevel="1">
      <c r="A202" s="9"/>
      <c r="B202" s="9"/>
      <c r="C202" s="44"/>
      <c r="D202" s="270" t="str">
        <f>Asset3</f>
        <v>Transformers</v>
      </c>
      <c r="E202" s="9"/>
      <c r="F202" s="9"/>
      <c r="G202" s="204">
        <f>Input!N9</f>
        <v>15.13</v>
      </c>
      <c r="H202" s="111"/>
      <c r="I202" s="111"/>
      <c r="J202" s="111"/>
      <c r="K202" s="111"/>
      <c r="L202" s="111"/>
      <c r="M202" s="111"/>
      <c r="N202" s="100"/>
      <c r="O202" s="29"/>
      <c r="P202" s="29"/>
      <c r="Q202" s="29"/>
      <c r="R202" s="29"/>
      <c r="S202" s="100"/>
      <c r="T202" s="100"/>
      <c r="U202" s="100"/>
      <c r="V202" s="100"/>
      <c r="W202" s="100"/>
      <c r="X202" s="100"/>
      <c r="Y202" s="100"/>
      <c r="Z202" s="100"/>
      <c r="AA202" s="100"/>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1"/>
      <c r="BL202" s="221"/>
    </row>
    <row r="203" spans="1:64" hidden="1" outlineLevel="1">
      <c r="A203" s="9"/>
      <c r="B203" s="9"/>
      <c r="C203" s="44"/>
      <c r="D203" s="270" t="str">
        <f>Asset4</f>
        <v>Reactive</v>
      </c>
      <c r="E203" s="9"/>
      <c r="F203" s="9"/>
      <c r="G203" s="204">
        <f>Input!N10</f>
        <v>12.513</v>
      </c>
      <c r="H203" s="111"/>
      <c r="I203" s="111"/>
      <c r="J203" s="111"/>
      <c r="K203" s="111"/>
      <c r="L203" s="111"/>
      <c r="M203" s="111"/>
      <c r="N203" s="100"/>
      <c r="O203" s="29"/>
      <c r="P203" s="29"/>
      <c r="Q203" s="29"/>
      <c r="R203" s="29"/>
      <c r="S203" s="100"/>
      <c r="T203" s="100"/>
      <c r="U203" s="100"/>
      <c r="V203" s="100"/>
      <c r="W203" s="100"/>
      <c r="X203" s="100"/>
      <c r="Y203" s="100"/>
      <c r="Z203" s="100"/>
      <c r="AA203" s="100"/>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1"/>
      <c r="BL203" s="221"/>
    </row>
    <row r="204" spans="1:64" hidden="1" outlineLevel="1">
      <c r="A204" s="9"/>
      <c r="B204" s="9"/>
      <c r="C204" s="44"/>
      <c r="D204" s="270" t="str">
        <f>Asset5</f>
        <v>Towers and Conductor</v>
      </c>
      <c r="E204" s="9"/>
      <c r="F204" s="9"/>
      <c r="G204" s="204">
        <f>Input!N11</f>
        <v>5.907</v>
      </c>
      <c r="H204" s="111"/>
      <c r="I204" s="111"/>
      <c r="J204" s="111"/>
      <c r="K204" s="111"/>
      <c r="L204" s="111"/>
      <c r="M204" s="111"/>
      <c r="N204" s="100"/>
      <c r="O204" s="29"/>
      <c r="P204" s="29"/>
      <c r="Q204" s="29"/>
      <c r="R204" s="29"/>
      <c r="S204" s="100"/>
      <c r="T204" s="100"/>
      <c r="U204" s="100"/>
      <c r="V204" s="100"/>
      <c r="W204" s="100"/>
      <c r="X204" s="100"/>
      <c r="Y204" s="100"/>
      <c r="Z204" s="100"/>
      <c r="AA204" s="100"/>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1"/>
      <c r="BL204" s="221"/>
    </row>
    <row r="205" spans="1:64" hidden="1" outlineLevel="1">
      <c r="A205" s="9"/>
      <c r="B205" s="9"/>
      <c r="C205" s="44"/>
      <c r="D205" s="270" t="str">
        <f>Asset6</f>
        <v>Establishment</v>
      </c>
      <c r="E205" s="9"/>
      <c r="F205" s="9"/>
      <c r="G205" s="204">
        <f>Input!N12</f>
        <v>4.085</v>
      </c>
      <c r="H205" s="111"/>
      <c r="I205" s="111"/>
      <c r="J205" s="111"/>
      <c r="K205" s="111"/>
      <c r="L205" s="111"/>
      <c r="M205" s="111"/>
      <c r="N205" s="100"/>
      <c r="O205" s="29"/>
      <c r="P205" s="29"/>
      <c r="Q205" s="29"/>
      <c r="R205" s="29"/>
      <c r="S205" s="100"/>
      <c r="T205" s="100"/>
      <c r="U205" s="100"/>
      <c r="V205" s="100"/>
      <c r="W205" s="100"/>
      <c r="X205" s="100"/>
      <c r="Y205" s="100"/>
      <c r="Z205" s="100"/>
      <c r="AA205" s="100"/>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1"/>
      <c r="BL205" s="221"/>
    </row>
    <row r="206" spans="1:64" hidden="1" outlineLevel="1">
      <c r="A206" s="9"/>
      <c r="B206" s="9"/>
      <c r="C206" s="44"/>
      <c r="D206" s="270" t="str">
        <f>Asset7</f>
        <v>Communications</v>
      </c>
      <c r="E206" s="9"/>
      <c r="F206" s="9"/>
      <c r="G206" s="204">
        <f>Input!N13</f>
        <v>1.3620000000000001</v>
      </c>
      <c r="H206" s="111"/>
      <c r="I206" s="111"/>
      <c r="J206" s="111"/>
      <c r="K206" s="111"/>
      <c r="L206" s="111"/>
      <c r="M206" s="111"/>
      <c r="N206" s="100"/>
      <c r="O206" s="29"/>
      <c r="P206" s="29"/>
      <c r="Q206" s="29"/>
      <c r="R206" s="29"/>
      <c r="S206" s="100"/>
      <c r="T206" s="100"/>
      <c r="U206" s="100"/>
      <c r="V206" s="100"/>
      <c r="W206" s="100"/>
      <c r="X206" s="100"/>
      <c r="Y206" s="100"/>
      <c r="Z206" s="100"/>
      <c r="AA206" s="100"/>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1"/>
      <c r="BL206" s="221"/>
    </row>
    <row r="207" spans="1:64" hidden="1" outlineLevel="1">
      <c r="A207" s="9"/>
      <c r="B207" s="9"/>
      <c r="C207" s="44"/>
      <c r="D207" s="270" t="str">
        <f>Asset8</f>
        <v>Inventory</v>
      </c>
      <c r="E207" s="9"/>
      <c r="F207" s="9"/>
      <c r="G207" s="204">
        <f>Input!N14</f>
        <v>0</v>
      </c>
      <c r="H207" s="111"/>
      <c r="I207" s="111"/>
      <c r="J207" s="111"/>
      <c r="K207" s="111"/>
      <c r="L207" s="111"/>
      <c r="M207" s="111"/>
      <c r="N207" s="100"/>
      <c r="O207" s="29"/>
      <c r="P207" s="29"/>
      <c r="Q207" s="29"/>
      <c r="R207" s="29"/>
      <c r="S207" s="100"/>
      <c r="T207" s="100"/>
      <c r="U207" s="100"/>
      <c r="V207" s="100"/>
      <c r="W207" s="100"/>
      <c r="X207" s="100"/>
      <c r="Y207" s="100"/>
      <c r="Z207" s="100"/>
      <c r="AA207" s="100"/>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1"/>
      <c r="BL207" s="221"/>
    </row>
    <row r="208" spans="1:64" hidden="1" outlineLevel="1">
      <c r="A208" s="9"/>
      <c r="B208" s="9"/>
      <c r="C208" s="44"/>
      <c r="D208" s="270" t="str">
        <f>Asset9</f>
        <v>IT</v>
      </c>
      <c r="E208" s="9"/>
      <c r="F208" s="9"/>
      <c r="G208" s="204">
        <f>Input!N15</f>
        <v>0</v>
      </c>
      <c r="H208" s="111"/>
      <c r="I208" s="111"/>
      <c r="J208" s="111"/>
      <c r="K208" s="111"/>
      <c r="L208" s="111"/>
      <c r="M208" s="111"/>
      <c r="N208" s="100"/>
      <c r="O208" s="29"/>
      <c r="P208" s="29"/>
      <c r="Q208" s="29"/>
      <c r="R208" s="29"/>
      <c r="S208" s="100"/>
      <c r="T208" s="100"/>
      <c r="U208" s="100"/>
      <c r="V208" s="100"/>
      <c r="W208" s="100"/>
      <c r="X208" s="100"/>
      <c r="Y208" s="100"/>
      <c r="Z208" s="100"/>
      <c r="AA208" s="100"/>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1"/>
      <c r="BL208" s="221"/>
    </row>
    <row r="209" spans="1:64" hidden="1" outlineLevel="1">
      <c r="A209" s="9"/>
      <c r="B209" s="9"/>
      <c r="C209" s="44"/>
      <c r="D209" s="270" t="str">
        <f>Asset10</f>
        <v>Vehicles</v>
      </c>
      <c r="E209" s="9"/>
      <c r="F209" s="9"/>
      <c r="G209" s="204">
        <f>Input!N16</f>
        <v>0</v>
      </c>
      <c r="H209" s="111"/>
      <c r="I209" s="111"/>
      <c r="J209" s="111"/>
      <c r="K209" s="111"/>
      <c r="L209" s="111"/>
      <c r="M209" s="111"/>
      <c r="N209" s="100"/>
      <c r="O209" s="29"/>
      <c r="P209" s="29"/>
      <c r="Q209" s="29"/>
      <c r="R209" s="29"/>
      <c r="S209" s="100"/>
      <c r="T209" s="100"/>
      <c r="U209" s="100"/>
      <c r="V209" s="100"/>
      <c r="W209" s="100"/>
      <c r="X209" s="100"/>
      <c r="Y209" s="100"/>
      <c r="Z209" s="100"/>
      <c r="AA209" s="100"/>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1"/>
      <c r="BL209" s="221"/>
    </row>
    <row r="210" spans="1:64" hidden="1" outlineLevel="1">
      <c r="A210" s="9"/>
      <c r="B210" s="9"/>
      <c r="C210" s="44"/>
      <c r="D210" s="270" t="str">
        <f>Asset11</f>
        <v>other</v>
      </c>
      <c r="E210" s="9"/>
      <c r="F210" s="9"/>
      <c r="G210" s="204">
        <f>Input!N17</f>
        <v>0</v>
      </c>
      <c r="H210" s="111"/>
      <c r="I210" s="111"/>
      <c r="J210" s="111"/>
      <c r="K210" s="111"/>
      <c r="L210" s="111"/>
      <c r="M210" s="111"/>
      <c r="N210" s="100"/>
      <c r="O210" s="29"/>
      <c r="P210" s="29"/>
      <c r="Q210" s="29"/>
      <c r="R210" s="29"/>
      <c r="S210" s="100"/>
      <c r="T210" s="100"/>
      <c r="U210" s="100"/>
      <c r="V210" s="100"/>
      <c r="W210" s="100"/>
      <c r="X210" s="100"/>
      <c r="Y210" s="100"/>
      <c r="Z210" s="100"/>
      <c r="AA210" s="100"/>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1"/>
      <c r="BL210" s="221"/>
    </row>
    <row r="211" spans="1:64" hidden="1" outlineLevel="1">
      <c r="A211" s="9"/>
      <c r="B211" s="9"/>
      <c r="C211" s="44"/>
      <c r="D211" s="270" t="str">
        <f>Asset12</f>
        <v>premises</v>
      </c>
      <c r="E211" s="9"/>
      <c r="F211" s="9"/>
      <c r="G211" s="204">
        <f>Input!N18</f>
        <v>0</v>
      </c>
      <c r="H211" s="111"/>
      <c r="I211" s="111"/>
      <c r="J211" s="111"/>
      <c r="K211" s="111"/>
      <c r="L211" s="111"/>
      <c r="M211" s="111"/>
      <c r="N211" s="100"/>
      <c r="O211" s="29"/>
      <c r="P211" s="29"/>
      <c r="Q211" s="29"/>
      <c r="R211" s="29"/>
      <c r="S211" s="100"/>
      <c r="T211" s="100"/>
      <c r="U211" s="100"/>
      <c r="V211" s="100"/>
      <c r="W211" s="100"/>
      <c r="X211" s="100"/>
      <c r="Y211" s="100"/>
      <c r="Z211" s="100"/>
      <c r="AA211" s="100"/>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1"/>
      <c r="BL211" s="221"/>
    </row>
    <row r="212" spans="1:64" hidden="1" outlineLevel="1">
      <c r="A212" s="9"/>
      <c r="B212" s="9"/>
      <c r="C212" s="44"/>
      <c r="D212" s="270" t="str">
        <f>Asset13</f>
        <v>Land</v>
      </c>
      <c r="E212" s="9"/>
      <c r="F212" s="9"/>
      <c r="G212" s="204">
        <f>Input!N19</f>
        <v>0</v>
      </c>
      <c r="H212" s="111"/>
      <c r="I212" s="111"/>
      <c r="J212" s="111"/>
      <c r="K212" s="111"/>
      <c r="L212" s="111"/>
      <c r="M212" s="111"/>
      <c r="N212" s="100"/>
      <c r="O212" s="29"/>
      <c r="P212" s="29"/>
      <c r="Q212" s="29"/>
      <c r="R212" s="29"/>
      <c r="S212" s="100"/>
      <c r="T212" s="100"/>
      <c r="U212" s="100"/>
      <c r="V212" s="100"/>
      <c r="W212" s="100"/>
      <c r="X212" s="100"/>
      <c r="Y212" s="100"/>
      <c r="Z212" s="100"/>
      <c r="AA212" s="100"/>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1"/>
      <c r="BL212" s="221"/>
    </row>
    <row r="213" spans="1:64" hidden="1" outlineLevel="1">
      <c r="A213" s="9"/>
      <c r="B213" s="9"/>
      <c r="C213" s="44"/>
      <c r="D213" s="270" t="str">
        <f>Asset14</f>
        <v>Easements</v>
      </c>
      <c r="E213" s="9"/>
      <c r="F213" s="9"/>
      <c r="G213" s="204">
        <f>Input!N20</f>
        <v>0</v>
      </c>
      <c r="H213" s="111"/>
      <c r="I213" s="111"/>
      <c r="J213" s="111"/>
      <c r="K213" s="111"/>
      <c r="L213" s="111"/>
      <c r="M213" s="111"/>
      <c r="N213" s="100"/>
      <c r="O213" s="29"/>
      <c r="P213" s="29"/>
      <c r="Q213" s="29"/>
      <c r="R213" s="29"/>
      <c r="S213" s="100"/>
      <c r="T213" s="100"/>
      <c r="U213" s="100"/>
      <c r="V213" s="100"/>
      <c r="W213" s="100"/>
      <c r="X213" s="100"/>
      <c r="Y213" s="100"/>
      <c r="Z213" s="100"/>
      <c r="AA213" s="100"/>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1"/>
      <c r="BL213" s="221"/>
    </row>
    <row r="214" spans="1:64" hidden="1" outlineLevel="1">
      <c r="A214" s="9"/>
      <c r="B214" s="9"/>
      <c r="C214" s="44"/>
      <c r="D214" s="270">
        <f>Asset15</f>
        <v>0</v>
      </c>
      <c r="E214" s="9"/>
      <c r="F214" s="9"/>
      <c r="G214" s="204">
        <f>Input!N21</f>
        <v>0</v>
      </c>
      <c r="H214" s="111"/>
      <c r="I214" s="111"/>
      <c r="J214" s="111"/>
      <c r="K214" s="111"/>
      <c r="L214" s="111"/>
      <c r="M214" s="111"/>
      <c r="N214" s="100"/>
      <c r="O214" s="29"/>
      <c r="P214" s="29"/>
      <c r="Q214" s="29"/>
      <c r="R214" s="29"/>
      <c r="S214" s="100"/>
      <c r="T214" s="100"/>
      <c r="U214" s="100"/>
      <c r="V214" s="100"/>
      <c r="W214" s="100"/>
      <c r="X214" s="100"/>
      <c r="Y214" s="100"/>
      <c r="Z214" s="100"/>
      <c r="AA214" s="100"/>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1"/>
      <c r="BL214" s="221"/>
    </row>
    <row r="215" spans="1:64" hidden="1" outlineLevel="1">
      <c r="A215" s="9"/>
      <c r="B215" s="9"/>
      <c r="C215" s="44"/>
      <c r="D215" s="270">
        <f>Asset16</f>
        <v>0</v>
      </c>
      <c r="E215" s="9"/>
      <c r="F215" s="9"/>
      <c r="G215" s="204">
        <f>Input!N22</f>
        <v>0</v>
      </c>
      <c r="H215" s="111"/>
      <c r="I215" s="111"/>
      <c r="J215" s="111"/>
      <c r="K215" s="111"/>
      <c r="L215" s="111"/>
      <c r="M215" s="111"/>
      <c r="N215" s="100"/>
      <c r="O215" s="29"/>
      <c r="P215" s="29"/>
      <c r="Q215" s="29"/>
      <c r="R215" s="29"/>
      <c r="S215" s="100"/>
      <c r="T215" s="100"/>
      <c r="U215" s="100"/>
      <c r="V215" s="100"/>
      <c r="W215" s="100"/>
      <c r="X215" s="100"/>
      <c r="Y215" s="100"/>
      <c r="Z215" s="100"/>
      <c r="AA215" s="100"/>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1"/>
      <c r="BL215" s="221"/>
    </row>
    <row r="216" spans="1:64" hidden="1" outlineLevel="1">
      <c r="A216" s="9"/>
      <c r="B216" s="9"/>
      <c r="C216" s="44"/>
      <c r="D216" s="270">
        <f>Asset17</f>
        <v>0</v>
      </c>
      <c r="E216" s="9"/>
      <c r="F216" s="9"/>
      <c r="G216" s="204">
        <f>Input!N23</f>
        <v>0</v>
      </c>
      <c r="H216" s="111"/>
      <c r="I216" s="111"/>
      <c r="J216" s="111"/>
      <c r="K216" s="111"/>
      <c r="L216" s="111"/>
      <c r="M216" s="111"/>
      <c r="N216" s="100"/>
      <c r="O216" s="29"/>
      <c r="P216" s="29"/>
      <c r="Q216" s="29"/>
      <c r="R216" s="29"/>
      <c r="S216" s="100"/>
      <c r="T216" s="100"/>
      <c r="U216" s="100"/>
      <c r="V216" s="100"/>
      <c r="W216" s="100"/>
      <c r="X216" s="100"/>
      <c r="Y216" s="100"/>
      <c r="Z216" s="100"/>
      <c r="AA216" s="100"/>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1"/>
      <c r="BL216" s="221"/>
    </row>
    <row r="217" spans="1:64" hidden="1" outlineLevel="1">
      <c r="A217" s="9"/>
      <c r="B217" s="9"/>
      <c r="C217" s="44"/>
      <c r="D217" s="270">
        <f>Asset18</f>
        <v>0</v>
      </c>
      <c r="E217" s="9"/>
      <c r="F217" s="9"/>
      <c r="G217" s="204">
        <f>Input!N24</f>
        <v>0</v>
      </c>
      <c r="H217" s="111"/>
      <c r="I217" s="111"/>
      <c r="J217" s="111"/>
      <c r="K217" s="111"/>
      <c r="L217" s="111"/>
      <c r="M217" s="111"/>
      <c r="N217" s="100"/>
      <c r="O217" s="29"/>
      <c r="P217" s="29"/>
      <c r="Q217" s="29"/>
      <c r="R217" s="29"/>
      <c r="S217" s="100"/>
      <c r="T217" s="100"/>
      <c r="U217" s="100"/>
      <c r="V217" s="100"/>
      <c r="W217" s="100"/>
      <c r="X217" s="100"/>
      <c r="Y217" s="100"/>
      <c r="Z217" s="100"/>
      <c r="AA217" s="100"/>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1"/>
      <c r="BL217" s="221"/>
    </row>
    <row r="218" spans="1:64" hidden="1" outlineLevel="1">
      <c r="A218" s="9"/>
      <c r="B218" s="9"/>
      <c r="C218" s="44"/>
      <c r="D218" s="270">
        <f>Asset19</f>
        <v>0</v>
      </c>
      <c r="E218" s="9"/>
      <c r="F218" s="9"/>
      <c r="G218" s="204">
        <f>Input!N25</f>
        <v>0</v>
      </c>
      <c r="H218" s="111"/>
      <c r="I218" s="111"/>
      <c r="J218" s="111"/>
      <c r="K218" s="111"/>
      <c r="L218" s="111"/>
      <c r="M218" s="111"/>
      <c r="N218" s="100"/>
      <c r="O218" s="29"/>
      <c r="P218" s="29"/>
      <c r="Q218" s="29"/>
      <c r="R218" s="29"/>
      <c r="S218" s="100"/>
      <c r="T218" s="100"/>
      <c r="U218" s="100"/>
      <c r="V218" s="100"/>
      <c r="W218" s="100"/>
      <c r="X218" s="100"/>
      <c r="Y218" s="100"/>
      <c r="Z218" s="100"/>
      <c r="AA218" s="100"/>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1"/>
      <c r="BL218" s="221"/>
    </row>
    <row r="219" spans="1:64" hidden="1" outlineLevel="1">
      <c r="A219" s="9"/>
      <c r="B219" s="9"/>
      <c r="C219" s="44"/>
      <c r="D219" s="270">
        <f>Asset20</f>
        <v>0</v>
      </c>
      <c r="E219" s="9"/>
      <c r="F219" s="9"/>
      <c r="G219" s="204">
        <f>Input!N26</f>
        <v>0</v>
      </c>
      <c r="H219" s="111"/>
      <c r="I219" s="111"/>
      <c r="J219" s="111"/>
      <c r="K219" s="111"/>
      <c r="L219" s="111"/>
      <c r="M219" s="111"/>
      <c r="N219" s="100"/>
      <c r="O219" s="29"/>
      <c r="P219" s="29"/>
      <c r="Q219" s="29"/>
      <c r="R219" s="29"/>
      <c r="S219" s="100"/>
      <c r="T219" s="100"/>
      <c r="U219" s="100"/>
      <c r="V219" s="100"/>
      <c r="W219" s="100"/>
      <c r="X219" s="100"/>
      <c r="Y219" s="100"/>
      <c r="Z219" s="100"/>
      <c r="AA219" s="100"/>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1"/>
      <c r="BL219" s="221"/>
    </row>
    <row r="220" spans="1:64" hidden="1" outlineLevel="1">
      <c r="A220" s="9"/>
      <c r="B220" s="9"/>
      <c r="C220" s="44"/>
      <c r="D220" s="270">
        <f>Asset21</f>
        <v>0</v>
      </c>
      <c r="E220" s="9"/>
      <c r="F220" s="9"/>
      <c r="G220" s="204">
        <f>Input!N27</f>
        <v>0</v>
      </c>
      <c r="H220" s="111"/>
      <c r="I220" s="111"/>
      <c r="J220" s="111"/>
      <c r="K220" s="111"/>
      <c r="L220" s="111"/>
      <c r="M220" s="111"/>
      <c r="N220" s="100"/>
      <c r="O220" s="29"/>
      <c r="P220" s="29"/>
      <c r="Q220" s="29"/>
      <c r="R220" s="29"/>
      <c r="S220" s="100"/>
      <c r="T220" s="100"/>
      <c r="U220" s="100"/>
      <c r="V220" s="100"/>
      <c r="W220" s="100"/>
      <c r="X220" s="100"/>
      <c r="Y220" s="100"/>
      <c r="Z220" s="100"/>
      <c r="AA220" s="100"/>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1"/>
      <c r="BL220" s="221"/>
    </row>
    <row r="221" spans="1:64" hidden="1" outlineLevel="1">
      <c r="A221" s="9"/>
      <c r="B221" s="9"/>
      <c r="C221" s="44"/>
      <c r="D221" s="270">
        <f>Asset22</f>
        <v>0</v>
      </c>
      <c r="E221" s="9"/>
      <c r="F221" s="9"/>
      <c r="G221" s="204">
        <f>Input!N28</f>
        <v>0</v>
      </c>
      <c r="H221" s="111"/>
      <c r="I221" s="111"/>
      <c r="J221" s="111"/>
      <c r="K221" s="111"/>
      <c r="L221" s="111"/>
      <c r="M221" s="111"/>
      <c r="N221" s="100"/>
      <c r="O221" s="29"/>
      <c r="P221" s="29"/>
      <c r="Q221" s="29"/>
      <c r="R221" s="29"/>
      <c r="S221" s="100"/>
      <c r="T221" s="100"/>
      <c r="U221" s="100"/>
      <c r="V221" s="100"/>
      <c r="W221" s="100"/>
      <c r="X221" s="100"/>
      <c r="Y221" s="100"/>
      <c r="Z221" s="100"/>
      <c r="AA221" s="100"/>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1"/>
      <c r="BL221" s="221"/>
    </row>
    <row r="222" spans="1:64" hidden="1" outlineLevel="1">
      <c r="A222" s="9"/>
      <c r="B222" s="9"/>
      <c r="C222" s="44"/>
      <c r="D222" s="270">
        <f>Asset23</f>
        <v>0</v>
      </c>
      <c r="E222" s="9"/>
      <c r="F222" s="9"/>
      <c r="G222" s="204">
        <f>Input!N29</f>
        <v>0</v>
      </c>
      <c r="H222" s="111"/>
      <c r="I222" s="111"/>
      <c r="J222" s="111"/>
      <c r="K222" s="111"/>
      <c r="L222" s="111"/>
      <c r="M222" s="111"/>
      <c r="N222" s="100"/>
      <c r="O222" s="29"/>
      <c r="P222" s="29"/>
      <c r="Q222" s="29"/>
      <c r="R222" s="29"/>
      <c r="S222" s="100"/>
      <c r="T222" s="100"/>
      <c r="U222" s="100"/>
      <c r="V222" s="100"/>
      <c r="W222" s="100"/>
      <c r="X222" s="100"/>
      <c r="Y222" s="100"/>
      <c r="Z222" s="100"/>
      <c r="AA222" s="100"/>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1"/>
      <c r="BL222" s="221"/>
    </row>
    <row r="223" spans="1:64" hidden="1" outlineLevel="1">
      <c r="A223" s="9"/>
      <c r="B223" s="9"/>
      <c r="C223" s="44"/>
      <c r="D223" s="270">
        <f>Asset24</f>
        <v>0</v>
      </c>
      <c r="E223" s="9"/>
      <c r="F223" s="9"/>
      <c r="G223" s="204">
        <f>Input!N30</f>
        <v>0</v>
      </c>
      <c r="H223" s="111"/>
      <c r="I223" s="111"/>
      <c r="J223" s="111"/>
      <c r="K223" s="111"/>
      <c r="L223" s="111"/>
      <c r="M223" s="111"/>
      <c r="N223" s="100"/>
      <c r="O223" s="29"/>
      <c r="P223" s="29"/>
      <c r="Q223" s="29"/>
      <c r="R223" s="29"/>
      <c r="S223" s="100"/>
      <c r="T223" s="100"/>
      <c r="U223" s="100"/>
      <c r="V223" s="100"/>
      <c r="W223" s="100"/>
      <c r="X223" s="100"/>
      <c r="Y223" s="100"/>
      <c r="Z223" s="100"/>
      <c r="AA223" s="100"/>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1"/>
      <c r="BL223" s="221"/>
    </row>
    <row r="224" spans="1:64" hidden="1" outlineLevel="1">
      <c r="A224" s="9"/>
      <c r="B224" s="9"/>
      <c r="C224" s="44"/>
      <c r="D224" s="270">
        <f>Asset25</f>
        <v>0</v>
      </c>
      <c r="E224" s="9"/>
      <c r="F224" s="9"/>
      <c r="G224" s="204">
        <f>Input!N31</f>
        <v>0</v>
      </c>
      <c r="H224" s="111"/>
      <c r="I224" s="111"/>
      <c r="J224" s="111"/>
      <c r="K224" s="111"/>
      <c r="L224" s="111"/>
      <c r="M224" s="111"/>
      <c r="N224" s="100"/>
      <c r="O224" s="29"/>
      <c r="P224" s="29"/>
      <c r="Q224" s="29"/>
      <c r="R224" s="29"/>
      <c r="S224" s="100"/>
      <c r="T224" s="100"/>
      <c r="U224" s="100"/>
      <c r="V224" s="100"/>
      <c r="W224" s="100"/>
      <c r="X224" s="100"/>
      <c r="Y224" s="100"/>
      <c r="Z224" s="100"/>
      <c r="AA224" s="100"/>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1"/>
      <c r="BL224" s="221"/>
    </row>
    <row r="225" spans="1:64" hidden="1" outlineLevel="1">
      <c r="A225" s="9"/>
      <c r="B225" s="9"/>
      <c r="C225" s="44"/>
      <c r="D225" s="270">
        <f>Asset26</f>
        <v>0</v>
      </c>
      <c r="E225" s="9"/>
      <c r="F225" s="9"/>
      <c r="G225" s="204">
        <f>Input!N32</f>
        <v>0</v>
      </c>
      <c r="H225" s="111"/>
      <c r="I225" s="111"/>
      <c r="J225" s="111"/>
      <c r="K225" s="111"/>
      <c r="L225" s="111"/>
      <c r="M225" s="111"/>
      <c r="N225" s="100"/>
      <c r="O225" s="29"/>
      <c r="P225" s="29"/>
      <c r="Q225" s="29"/>
      <c r="R225" s="29"/>
      <c r="S225" s="100"/>
      <c r="T225" s="100"/>
      <c r="U225" s="100"/>
      <c r="V225" s="100"/>
      <c r="W225" s="100"/>
      <c r="X225" s="100"/>
      <c r="Y225" s="100"/>
      <c r="Z225" s="100"/>
      <c r="AA225" s="100"/>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1"/>
      <c r="BL225" s="221"/>
    </row>
    <row r="226" spans="1:64" hidden="1" outlineLevel="1">
      <c r="A226" s="9"/>
      <c r="B226" s="9"/>
      <c r="C226" s="44"/>
      <c r="D226" s="270">
        <f>Asset27</f>
        <v>0</v>
      </c>
      <c r="E226" s="9"/>
      <c r="F226" s="9"/>
      <c r="G226" s="204">
        <f>Input!N33</f>
        <v>0</v>
      </c>
      <c r="H226" s="111"/>
      <c r="I226" s="111"/>
      <c r="J226" s="111"/>
      <c r="K226" s="111"/>
      <c r="L226" s="111"/>
      <c r="M226" s="111"/>
      <c r="N226" s="100"/>
      <c r="O226" s="29"/>
      <c r="P226" s="29"/>
      <c r="Q226" s="29"/>
      <c r="R226" s="29"/>
      <c r="S226" s="100"/>
      <c r="T226" s="100"/>
      <c r="U226" s="100"/>
      <c r="V226" s="100"/>
      <c r="W226" s="100"/>
      <c r="X226" s="100"/>
      <c r="Y226" s="100"/>
      <c r="Z226" s="100"/>
      <c r="AA226" s="100"/>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1"/>
      <c r="BL226" s="221"/>
    </row>
    <row r="227" spans="1:64" hidden="1" outlineLevel="1">
      <c r="A227" s="9"/>
      <c r="B227" s="9"/>
      <c r="C227" s="44"/>
      <c r="D227" s="270">
        <f>Asset28</f>
        <v>0</v>
      </c>
      <c r="E227" s="9"/>
      <c r="F227" s="9"/>
      <c r="G227" s="204">
        <f>Input!N34</f>
        <v>0</v>
      </c>
      <c r="H227" s="111"/>
      <c r="I227" s="111"/>
      <c r="J227" s="111"/>
      <c r="K227" s="111"/>
      <c r="L227" s="111"/>
      <c r="M227" s="111"/>
      <c r="N227" s="100"/>
      <c r="O227" s="29"/>
      <c r="P227" s="29"/>
      <c r="Q227" s="29"/>
      <c r="R227" s="29"/>
      <c r="S227" s="100"/>
      <c r="T227" s="100"/>
      <c r="U227" s="100"/>
      <c r="V227" s="100"/>
      <c r="W227" s="100"/>
      <c r="X227" s="100"/>
      <c r="Y227" s="100"/>
      <c r="Z227" s="100"/>
      <c r="AA227" s="100"/>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1"/>
      <c r="BL227" s="221"/>
    </row>
    <row r="228" spans="1:64" hidden="1" outlineLevel="1">
      <c r="A228" s="9"/>
      <c r="B228" s="9"/>
      <c r="C228" s="44"/>
      <c r="D228" s="270">
        <f>Asset29</f>
        <v>0</v>
      </c>
      <c r="E228" s="9"/>
      <c r="F228" s="9"/>
      <c r="G228" s="204">
        <f>Input!N35</f>
        <v>0</v>
      </c>
      <c r="H228" s="111"/>
      <c r="I228" s="111"/>
      <c r="J228" s="111"/>
      <c r="K228" s="111"/>
      <c r="L228" s="111"/>
      <c r="M228" s="111"/>
      <c r="N228" s="100"/>
      <c r="O228" s="29"/>
      <c r="P228" s="29"/>
      <c r="Q228" s="29"/>
      <c r="R228" s="29"/>
      <c r="S228" s="100"/>
      <c r="T228" s="100"/>
      <c r="U228" s="100"/>
      <c r="V228" s="100"/>
      <c r="W228" s="100"/>
      <c r="X228" s="100"/>
      <c r="Y228" s="100"/>
      <c r="Z228" s="100"/>
      <c r="AA228" s="100"/>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1"/>
      <c r="BL228" s="221"/>
    </row>
    <row r="229" spans="1:64" hidden="1" outlineLevel="1">
      <c r="A229" s="9"/>
      <c r="B229" s="9"/>
      <c r="C229" s="44"/>
      <c r="D229" s="270">
        <f>Asset30</f>
        <v>0</v>
      </c>
      <c r="E229" s="9"/>
      <c r="F229" s="9"/>
      <c r="G229" s="204">
        <f>Input!N36</f>
        <v>0</v>
      </c>
      <c r="H229" s="111"/>
      <c r="I229" s="111"/>
      <c r="J229" s="111"/>
      <c r="K229" s="111"/>
      <c r="L229" s="111"/>
      <c r="M229" s="111"/>
      <c r="N229" s="100"/>
      <c r="O229" s="29"/>
      <c r="P229" s="29"/>
      <c r="Q229" s="29"/>
      <c r="R229" s="29"/>
      <c r="S229" s="100"/>
      <c r="T229" s="100"/>
      <c r="U229" s="100"/>
      <c r="V229" s="100"/>
      <c r="W229" s="100"/>
      <c r="X229" s="100"/>
      <c r="Y229" s="100"/>
      <c r="Z229" s="100"/>
      <c r="AA229" s="100"/>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1"/>
      <c r="BL229" s="221"/>
    </row>
    <row r="230" spans="1:64" collapsed="1">
      <c r="A230" s="9"/>
      <c r="B230" s="9"/>
      <c r="C230" s="44"/>
      <c r="D230" s="127"/>
      <c r="E230" s="9"/>
      <c r="F230" s="9"/>
      <c r="G230" s="139"/>
      <c r="H230" s="111"/>
      <c r="I230" s="111"/>
      <c r="J230" s="111"/>
      <c r="K230" s="111"/>
      <c r="L230" s="111"/>
      <c r="M230" s="111"/>
      <c r="N230" s="100"/>
      <c r="O230" s="29"/>
      <c r="P230" s="29"/>
      <c r="Q230" s="29"/>
      <c r="R230" s="29"/>
      <c r="S230" s="100"/>
      <c r="T230" s="100"/>
      <c r="U230" s="100"/>
      <c r="V230" s="100"/>
      <c r="W230" s="100"/>
      <c r="X230" s="100"/>
      <c r="Y230" s="100"/>
      <c r="Z230" s="100"/>
      <c r="AA230" s="100"/>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8"/>
      <c r="BK230" s="221"/>
      <c r="BL230" s="221"/>
    </row>
    <row r="231" spans="1:64">
      <c r="A231" s="9"/>
      <c r="B231" s="9"/>
      <c r="C231" s="44"/>
      <c r="D231" s="127"/>
      <c r="E231" s="9"/>
      <c r="F231" s="9"/>
      <c r="G231" s="139"/>
      <c r="H231" s="111"/>
      <c r="I231" s="111"/>
      <c r="J231" s="111"/>
      <c r="K231" s="111"/>
      <c r="L231" s="111"/>
      <c r="M231" s="111"/>
      <c r="N231" s="100"/>
      <c r="O231" s="29"/>
      <c r="P231" s="29"/>
      <c r="Q231" s="29"/>
      <c r="R231" s="29"/>
      <c r="S231" s="100"/>
      <c r="T231" s="100"/>
      <c r="U231" s="100"/>
      <c r="V231" s="100"/>
      <c r="W231" s="100"/>
      <c r="X231" s="100"/>
      <c r="Y231" s="100"/>
      <c r="Z231" s="100"/>
      <c r="AA231" s="100"/>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1"/>
      <c r="BL231" s="221"/>
    </row>
    <row r="232" spans="1:64">
      <c r="A232" s="74"/>
      <c r="B232" s="74"/>
      <c r="C232" s="81" t="s">
        <v>88</v>
      </c>
      <c r="D232" s="248"/>
      <c r="E232" s="74"/>
      <c r="F232" s="74"/>
      <c r="G232" s="180"/>
      <c r="H232" s="182"/>
      <c r="I232" s="182"/>
      <c r="J232" s="182"/>
      <c r="K232" s="182"/>
      <c r="L232" s="182"/>
      <c r="M232" s="182"/>
      <c r="N232" s="249"/>
      <c r="O232" s="249"/>
      <c r="P232" s="249"/>
      <c r="Q232" s="249"/>
      <c r="R232" s="249"/>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1"/>
      <c r="BL232" s="221"/>
    </row>
    <row r="233" spans="1:64">
      <c r="A233" s="12"/>
      <c r="B233" s="12"/>
      <c r="C233" s="17"/>
      <c r="D233" s="127"/>
      <c r="E233" s="12"/>
      <c r="F233" s="12"/>
      <c r="G233" s="152"/>
      <c r="H233" s="153"/>
      <c r="I233" s="153"/>
      <c r="J233" s="153"/>
      <c r="K233" s="153"/>
      <c r="L233" s="153"/>
      <c r="M233" s="153"/>
      <c r="N233" s="100"/>
      <c r="O233" s="100"/>
      <c r="P233" s="100"/>
      <c r="Q233" s="100"/>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1"/>
      <c r="BL233" s="221"/>
    </row>
    <row r="234" spans="1:64">
      <c r="A234" s="12"/>
      <c r="B234" s="12"/>
      <c r="C234" s="90" t="s">
        <v>87</v>
      </c>
      <c r="D234" s="250"/>
      <c r="E234" s="17"/>
      <c r="F234" s="17"/>
      <c r="G234" s="341">
        <f>SUM(G235:G264)</f>
        <v>2191.2022382795412</v>
      </c>
      <c r="H234" s="314">
        <f>SUM(H235:H264)</f>
        <v>2260.6505132977918</v>
      </c>
      <c r="I234" s="314">
        <f t="shared" ref="I234:P234" si="8">SUM(I235:I264)</f>
        <v>2310.8275393247645</v>
      </c>
      <c r="J234" s="314">
        <f t="shared" si="8"/>
        <v>2366.9009282775273</v>
      </c>
      <c r="K234" s="314">
        <f t="shared" si="8"/>
        <v>2453.9571044789645</v>
      </c>
      <c r="L234" s="314">
        <f t="shared" si="8"/>
        <v>2552.3518830385533</v>
      </c>
      <c r="M234" s="314">
        <f t="shared" si="8"/>
        <v>2628.5343906569533</v>
      </c>
      <c r="N234" s="314">
        <f t="shared" si="8"/>
        <v>0</v>
      </c>
      <c r="O234" s="314">
        <f t="shared" si="8"/>
        <v>0</v>
      </c>
      <c r="P234" s="314">
        <f t="shared" si="8"/>
        <v>0</v>
      </c>
      <c r="Q234" s="314">
        <f>SUM(Q235:Q264)</f>
        <v>0</v>
      </c>
      <c r="R234" s="251"/>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1"/>
      <c r="BL234" s="221"/>
    </row>
    <row r="235" spans="1:64" hidden="1" outlineLevel="1">
      <c r="A235" s="9"/>
      <c r="B235" s="12"/>
      <c r="C235" s="44"/>
      <c r="D235" s="270" t="str">
        <f>Asset1</f>
        <v>Secondary</v>
      </c>
      <c r="E235" s="12"/>
      <c r="F235" s="12"/>
      <c r="G235" s="201">
        <f t="shared" ref="G235:G248" si="9">G8+G40+G72+G104+G136+G168+G200</f>
        <v>149.09855703295875</v>
      </c>
      <c r="H235" s="153">
        <f t="shared" ref="H235:M244" si="10">H8+H40+H72</f>
        <v>148.09246395499585</v>
      </c>
      <c r="I235" s="153">
        <f t="shared" si="10"/>
        <v>140.57618745560214</v>
      </c>
      <c r="J235" s="153">
        <f t="shared" si="10"/>
        <v>137.74842339189263</v>
      </c>
      <c r="K235" s="153">
        <f t="shared" si="10"/>
        <v>139.98175238307149</v>
      </c>
      <c r="L235" s="153">
        <f t="shared" si="10"/>
        <v>158.0147813810334</v>
      </c>
      <c r="M235" s="153">
        <f t="shared" si="10"/>
        <v>169.46253702053301</v>
      </c>
      <c r="N235" s="153">
        <f>IF(COUNT($H235:M235)&gt;=Input!$Y$7,0, N8+N40+N72)</f>
        <v>0</v>
      </c>
      <c r="O235" s="153">
        <f>IF(COUNT($H235:N235)&gt;=Input!$Y$7,0, O8+O40+O72)</f>
        <v>0</v>
      </c>
      <c r="P235" s="153">
        <f>IF(COUNT($H235:O235)&gt;=Input!$Y$7,0, P8+P40+P72)</f>
        <v>0</v>
      </c>
      <c r="Q235" s="153">
        <f>IF(COUNT($H235:P235)&gt;=Input!$Y$7,0, Q8+Q40+Q72)</f>
        <v>0</v>
      </c>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1"/>
      <c r="BL235" s="221"/>
    </row>
    <row r="236" spans="1:64" hidden="1" outlineLevel="1">
      <c r="A236" s="9"/>
      <c r="B236" s="12"/>
      <c r="C236" s="44"/>
      <c r="D236" s="270" t="str">
        <f>Asset2</f>
        <v>Switchgear</v>
      </c>
      <c r="E236" s="12"/>
      <c r="F236" s="12"/>
      <c r="G236" s="201">
        <f t="shared" si="9"/>
        <v>354.76480248198641</v>
      </c>
      <c r="H236" s="153">
        <f t="shared" si="10"/>
        <v>379.87245297092682</v>
      </c>
      <c r="I236" s="153">
        <f t="shared" si="10"/>
        <v>409.19733180017533</v>
      </c>
      <c r="J236" s="153">
        <f t="shared" si="10"/>
        <v>431.68371028230138</v>
      </c>
      <c r="K236" s="153">
        <f t="shared" si="10"/>
        <v>452.70948875538687</v>
      </c>
      <c r="L236" s="153">
        <f t="shared" si="10"/>
        <v>481.1586232710398</v>
      </c>
      <c r="M236" s="153">
        <f t="shared" si="10"/>
        <v>512.24470725413789</v>
      </c>
      <c r="N236" s="153">
        <f>IF(COUNT($H236:M236)&gt;=Input!$Y$7,0, N9+N41+N73)</f>
        <v>0</v>
      </c>
      <c r="O236" s="153">
        <f>IF(COUNT($H236:N236)&gt;=Input!$Y$7,0, O9+O41+O73)</f>
        <v>0</v>
      </c>
      <c r="P236" s="153">
        <f>IF(COUNT($H236:O236)&gt;=Input!$Y$7,0, P9+P41+P73)</f>
        <v>0</v>
      </c>
      <c r="Q236" s="153">
        <f>IF(COUNT($H236:P236)&gt;=Input!$Y$7,0, Q9+Q41+Q73)</f>
        <v>0</v>
      </c>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1"/>
      <c r="BL236" s="221"/>
    </row>
    <row r="237" spans="1:64" hidden="1" outlineLevel="1">
      <c r="A237" s="9"/>
      <c r="B237" s="12"/>
      <c r="C237" s="44"/>
      <c r="D237" s="270" t="str">
        <f>Asset3</f>
        <v>Transformers</v>
      </c>
      <c r="E237" s="12"/>
      <c r="F237" s="12"/>
      <c r="G237" s="201">
        <f t="shared" si="9"/>
        <v>167.05795975892104</v>
      </c>
      <c r="H237" s="153">
        <f t="shared" si="10"/>
        <v>171.59913569948725</v>
      </c>
      <c r="I237" s="153">
        <f t="shared" si="10"/>
        <v>168.82972528837934</v>
      </c>
      <c r="J237" s="153">
        <f t="shared" si="10"/>
        <v>176.50440200754466</v>
      </c>
      <c r="K237" s="153">
        <f t="shared" si="10"/>
        <v>191.64386717940701</v>
      </c>
      <c r="L237" s="153">
        <f t="shared" si="10"/>
        <v>214.97100664077112</v>
      </c>
      <c r="M237" s="153">
        <f t="shared" si="10"/>
        <v>239.13151329868236</v>
      </c>
      <c r="N237" s="153">
        <f>IF(COUNT($H237:M237)&gt;=Input!$Y$7,0, N10+N42+N74)</f>
        <v>0</v>
      </c>
      <c r="O237" s="153">
        <f>IF(COUNT($H237:N237)&gt;=Input!$Y$7,0, O10+O42+O74)</f>
        <v>0</v>
      </c>
      <c r="P237" s="153">
        <f>IF(COUNT($H237:O237)&gt;=Input!$Y$7,0, P10+P42+P74)</f>
        <v>0</v>
      </c>
      <c r="Q237" s="153">
        <f>IF(COUNT($H237:P237)&gt;=Input!$Y$7,0, Q10+Q42+Q74)</f>
        <v>0</v>
      </c>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1"/>
      <c r="BL237" s="221"/>
    </row>
    <row r="238" spans="1:64" hidden="1" outlineLevel="1">
      <c r="A238" s="9"/>
      <c r="B238" s="12"/>
      <c r="C238" s="44"/>
      <c r="D238" s="270" t="str">
        <f>Asset4</f>
        <v>Reactive</v>
      </c>
      <c r="E238" s="12"/>
      <c r="F238" s="12"/>
      <c r="G238" s="201">
        <f t="shared" si="9"/>
        <v>87.678038523711535</v>
      </c>
      <c r="H238" s="153">
        <f t="shared" si="10"/>
        <v>88.469875763215654</v>
      </c>
      <c r="I238" s="153">
        <f t="shared" si="10"/>
        <v>87.495692367126736</v>
      </c>
      <c r="J238" s="153">
        <f t="shared" si="10"/>
        <v>85.578624042900202</v>
      </c>
      <c r="K238" s="153">
        <f t="shared" si="10"/>
        <v>85.060218018164875</v>
      </c>
      <c r="L238" s="153">
        <f t="shared" si="10"/>
        <v>82.905969365585491</v>
      </c>
      <c r="M238" s="153">
        <f t="shared" si="10"/>
        <v>80.71562896563313</v>
      </c>
      <c r="N238" s="153">
        <f>IF(COUNT($H238:M238)&gt;=Input!$Y$7,0, N11+N43+N75)</f>
        <v>0</v>
      </c>
      <c r="O238" s="153">
        <f>IF(COUNT($H238:N238)&gt;=Input!$Y$7,0, O11+O43+O75)</f>
        <v>0</v>
      </c>
      <c r="P238" s="153">
        <f>IF(COUNT($H238:O238)&gt;=Input!$Y$7,0, P11+P43+P75)</f>
        <v>0</v>
      </c>
      <c r="Q238" s="153">
        <f>IF(COUNT($H238:P238)&gt;=Input!$Y$7,0, Q11+Q43+Q75)</f>
        <v>0</v>
      </c>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1"/>
      <c r="BL238" s="221"/>
    </row>
    <row r="239" spans="1:64" hidden="1" outlineLevel="1">
      <c r="A239" s="9"/>
      <c r="B239" s="12"/>
      <c r="C239" s="44"/>
      <c r="D239" s="270" t="str">
        <f>Asset5</f>
        <v>Towers and Conductor</v>
      </c>
      <c r="E239" s="12"/>
      <c r="F239" s="12"/>
      <c r="G239" s="201">
        <f t="shared" si="9"/>
        <v>1044.452748092953</v>
      </c>
      <c r="H239" s="153">
        <f t="shared" si="10"/>
        <v>1053.8828413021693</v>
      </c>
      <c r="I239" s="153">
        <f t="shared" si="10"/>
        <v>1052.9299642250808</v>
      </c>
      <c r="J239" s="153">
        <f t="shared" si="10"/>
        <v>1067.3607744629628</v>
      </c>
      <c r="K239" s="153">
        <f t="shared" si="10"/>
        <v>1093.4699750601903</v>
      </c>
      <c r="L239" s="153">
        <f t="shared" si="10"/>
        <v>1099.6901477398671</v>
      </c>
      <c r="M239" s="153">
        <f t="shared" si="10"/>
        <v>1087.8312112184137</v>
      </c>
      <c r="N239" s="153">
        <f>IF(COUNT($H239:M239)&gt;=Input!$Y$7,0, N12+N44+N76)</f>
        <v>0</v>
      </c>
      <c r="O239" s="153">
        <f>IF(COUNT($H239:N239)&gt;=Input!$Y$7,0, O12+O44+O76)</f>
        <v>0</v>
      </c>
      <c r="P239" s="153">
        <f>IF(COUNT($H239:O239)&gt;=Input!$Y$7,0, P12+P44+P76)</f>
        <v>0</v>
      </c>
      <c r="Q239" s="153">
        <f>IF(COUNT($H239:P239)&gt;=Input!$Y$7,0, Q12+Q44+Q76)</f>
        <v>0</v>
      </c>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1"/>
      <c r="BL239" s="221"/>
    </row>
    <row r="240" spans="1:64" hidden="1" outlineLevel="1">
      <c r="A240" s="9"/>
      <c r="B240" s="12"/>
      <c r="C240" s="44"/>
      <c r="D240" s="270" t="str">
        <f>Asset6</f>
        <v>Establishment</v>
      </c>
      <c r="E240" s="12"/>
      <c r="F240" s="12"/>
      <c r="G240" s="201">
        <f t="shared" si="9"/>
        <v>99.813803729564498</v>
      </c>
      <c r="H240" s="153">
        <f t="shared" si="10"/>
        <v>111.15579706185812</v>
      </c>
      <c r="I240" s="153">
        <f t="shared" si="10"/>
        <v>120.52611952435421</v>
      </c>
      <c r="J240" s="153">
        <f t="shared" si="10"/>
        <v>123.13302893792525</v>
      </c>
      <c r="K240" s="153">
        <f t="shared" si="10"/>
        <v>134.00858801397573</v>
      </c>
      <c r="L240" s="153">
        <f t="shared" si="10"/>
        <v>141.88231645875879</v>
      </c>
      <c r="M240" s="153">
        <f t="shared" si="10"/>
        <v>149.27480321898707</v>
      </c>
      <c r="N240" s="153">
        <f>IF(COUNT($H240:M240)&gt;=Input!$Y$7,0, N13+N45+N77)</f>
        <v>0</v>
      </c>
      <c r="O240" s="153">
        <f>IF(COUNT($H240:N240)&gt;=Input!$Y$7,0, O13+O45+O77)</f>
        <v>0</v>
      </c>
      <c r="P240" s="153">
        <f>IF(COUNT($H240:O240)&gt;=Input!$Y$7,0, P13+P45+P77)</f>
        <v>0</v>
      </c>
      <c r="Q240" s="153">
        <f>IF(COUNT($H240:P240)&gt;=Input!$Y$7,0, Q13+Q45+Q77)</f>
        <v>0</v>
      </c>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1"/>
      <c r="BL240" s="221"/>
    </row>
    <row r="241" spans="1:64" hidden="1" outlineLevel="1">
      <c r="A241" s="9"/>
      <c r="B241" s="12"/>
      <c r="C241" s="44"/>
      <c r="D241" s="270" t="str">
        <f>Asset7</f>
        <v>Communications</v>
      </c>
      <c r="E241" s="12"/>
      <c r="F241" s="12"/>
      <c r="G241" s="201">
        <f t="shared" si="9"/>
        <v>8.1938315503739449</v>
      </c>
      <c r="H241" s="153">
        <f t="shared" si="10"/>
        <v>14.895757964189402</v>
      </c>
      <c r="I241" s="153">
        <f t="shared" si="10"/>
        <v>33.75557812710997</v>
      </c>
      <c r="J241" s="153">
        <f t="shared" si="10"/>
        <v>37.705923588405803</v>
      </c>
      <c r="K241" s="153">
        <f t="shared" si="10"/>
        <v>40.080073198758392</v>
      </c>
      <c r="L241" s="153">
        <f t="shared" si="10"/>
        <v>42.39955469901313</v>
      </c>
      <c r="M241" s="153">
        <f t="shared" si="10"/>
        <v>45.758762521135296</v>
      </c>
      <c r="N241" s="153">
        <f>IF(COUNT($H241:M241)&gt;=Input!$Y$7,0, N14+N46+N78)</f>
        <v>0</v>
      </c>
      <c r="O241" s="153">
        <f>IF(COUNT($H241:N241)&gt;=Input!$Y$7,0, O14+O46+O78)</f>
        <v>0</v>
      </c>
      <c r="P241" s="153">
        <f>IF(COUNT($H241:O241)&gt;=Input!$Y$7,0, P14+P46+P78)</f>
        <v>0</v>
      </c>
      <c r="Q241" s="153">
        <f>IF(COUNT($H241:P241)&gt;=Input!$Y$7,0, Q14+Q46+Q78)</f>
        <v>0</v>
      </c>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1"/>
      <c r="BL241" s="221"/>
    </row>
    <row r="242" spans="1:64" hidden="1" outlineLevel="1">
      <c r="A242" s="9"/>
      <c r="B242" s="12"/>
      <c r="C242" s="44"/>
      <c r="D242" s="270" t="str">
        <f>Asset8</f>
        <v>Inventory</v>
      </c>
      <c r="E242" s="12"/>
      <c r="F242" s="12"/>
      <c r="G242" s="201">
        <f t="shared" si="9"/>
        <v>7.3396858953920949</v>
      </c>
      <c r="H242" s="153">
        <f t="shared" si="10"/>
        <v>7.6101677616182872</v>
      </c>
      <c r="I242" s="153">
        <f t="shared" si="10"/>
        <v>7.770623105989757</v>
      </c>
      <c r="J242" s="153">
        <f t="shared" si="10"/>
        <v>7.9769228344673619</v>
      </c>
      <c r="K242" s="153">
        <f t="shared" si="10"/>
        <v>8.2244825086404862</v>
      </c>
      <c r="L242" s="153">
        <f t="shared" si="10"/>
        <v>8.4057837262658293</v>
      </c>
      <c r="M242" s="153">
        <f t="shared" si="10"/>
        <v>8.6159283194224745</v>
      </c>
      <c r="N242" s="153">
        <f>IF(COUNT($H242:M242)&gt;=Input!$Y$7,0, N15+N47+N79)</f>
        <v>0</v>
      </c>
      <c r="O242" s="153">
        <f>IF(COUNT($H242:N242)&gt;=Input!$Y$7,0, O15+O47+O79)</f>
        <v>0</v>
      </c>
      <c r="P242" s="153">
        <f>IF(COUNT($H242:O242)&gt;=Input!$Y$7,0, P15+P47+P79)</f>
        <v>0</v>
      </c>
      <c r="Q242" s="153">
        <f>IF(COUNT($H242:P242)&gt;=Input!$Y$7,0, Q15+Q47+Q79)</f>
        <v>0</v>
      </c>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1"/>
      <c r="BL242" s="221"/>
    </row>
    <row r="243" spans="1:64" hidden="1" outlineLevel="1">
      <c r="A243" s="9"/>
      <c r="B243" s="12"/>
      <c r="C243" s="44"/>
      <c r="D243" s="270" t="str">
        <f>Asset9</f>
        <v>IT</v>
      </c>
      <c r="E243" s="12"/>
      <c r="F243" s="12"/>
      <c r="G243" s="201">
        <f t="shared" si="9"/>
        <v>42.630945805012978</v>
      </c>
      <c r="H243" s="153">
        <f t="shared" si="10"/>
        <v>45.733824261653368</v>
      </c>
      <c r="I243" s="153">
        <f t="shared" si="10"/>
        <v>46.335260292747563</v>
      </c>
      <c r="J243" s="153">
        <f t="shared" si="10"/>
        <v>50.878058083326529</v>
      </c>
      <c r="K243" s="153">
        <f t="shared" si="10"/>
        <v>55.253162612062127</v>
      </c>
      <c r="L243" s="153">
        <f t="shared" si="10"/>
        <v>63.512346243522224</v>
      </c>
      <c r="M243" s="153">
        <f t="shared" si="10"/>
        <v>70.167161495434655</v>
      </c>
      <c r="N243" s="153">
        <f>IF(COUNT($H243:M243)&gt;=Input!$Y$7,0, N16+N48+N80)</f>
        <v>0</v>
      </c>
      <c r="O243" s="153">
        <f>IF(COUNT($H243:N243)&gt;=Input!$Y$7,0, O16+O48+O80)</f>
        <v>0</v>
      </c>
      <c r="P243" s="153">
        <f>IF(COUNT($H243:O243)&gt;=Input!$Y$7,0, P16+P48+P80)</f>
        <v>0</v>
      </c>
      <c r="Q243" s="153">
        <f>IF(COUNT($H243:P243)&gt;=Input!$Y$7,0, Q16+Q48+Q80)</f>
        <v>0</v>
      </c>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1"/>
      <c r="BL243" s="221"/>
    </row>
    <row r="244" spans="1:64" hidden="1" outlineLevel="1">
      <c r="A244" s="9"/>
      <c r="B244" s="12"/>
      <c r="C244" s="44"/>
      <c r="D244" s="270" t="str">
        <f>Asset10</f>
        <v>Vehicles</v>
      </c>
      <c r="E244" s="12"/>
      <c r="F244" s="12"/>
      <c r="G244" s="201">
        <f t="shared" si="9"/>
        <v>4.1948540252504873</v>
      </c>
      <c r="H244" s="153">
        <f t="shared" si="10"/>
        <v>3.9193820079226485</v>
      </c>
      <c r="I244" s="153">
        <f t="shared" si="10"/>
        <v>3.3026536189901927</v>
      </c>
      <c r="J244" s="153">
        <f t="shared" si="10"/>
        <v>2.3518553018032087</v>
      </c>
      <c r="K244" s="153">
        <f t="shared" si="10"/>
        <v>2.3109094017920619</v>
      </c>
      <c r="L244" s="153">
        <f t="shared" si="10"/>
        <v>3.6772597945514116</v>
      </c>
      <c r="M244" s="153">
        <f t="shared" si="10"/>
        <v>4.8434134503161177</v>
      </c>
      <c r="N244" s="153">
        <f>IF(COUNT($H244:M244)&gt;=Input!$Y$7,0, N17+N49+N81)</f>
        <v>0</v>
      </c>
      <c r="O244" s="153">
        <f>IF(COUNT($H244:N244)&gt;=Input!$Y$7,0, O17+O49+O81)</f>
        <v>0</v>
      </c>
      <c r="P244" s="153">
        <f>IF(COUNT($H244:O244)&gt;=Input!$Y$7,0, P17+P49+P81)</f>
        <v>0</v>
      </c>
      <c r="Q244" s="153">
        <f>IF(COUNT($H244:P244)&gt;=Input!$Y$7,0, Q17+Q49+Q81)</f>
        <v>0</v>
      </c>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1"/>
      <c r="BL244" s="221"/>
    </row>
    <row r="245" spans="1:64" hidden="1" outlineLevel="1">
      <c r="A245" s="9"/>
      <c r="B245" s="12"/>
      <c r="C245" s="44"/>
      <c r="D245" s="270" t="str">
        <f>Asset11</f>
        <v>other</v>
      </c>
      <c r="E245" s="12"/>
      <c r="F245" s="12"/>
      <c r="G245" s="201">
        <f t="shared" si="9"/>
        <v>12.83862977015842</v>
      </c>
      <c r="H245" s="153">
        <f t="shared" ref="H245:M254" si="11">H18+H50+H82</f>
        <v>15.59783132462011</v>
      </c>
      <c r="I245" s="153">
        <f t="shared" si="11"/>
        <v>16.888229264966313</v>
      </c>
      <c r="J245" s="153">
        <f t="shared" si="11"/>
        <v>18.612538678813451</v>
      </c>
      <c r="K245" s="153">
        <f t="shared" si="11"/>
        <v>18.786129295236577</v>
      </c>
      <c r="L245" s="153">
        <f t="shared" si="11"/>
        <v>19.203861963060486</v>
      </c>
      <c r="M245" s="153">
        <f t="shared" si="11"/>
        <v>19.017629448866572</v>
      </c>
      <c r="N245" s="153">
        <f>IF(COUNT($H245:M245)&gt;=Input!$Y$7,0, N18+N50+N82)</f>
        <v>0</v>
      </c>
      <c r="O245" s="153">
        <f>IF(COUNT($H245:N245)&gt;=Input!$Y$7,0, O18+O50+O82)</f>
        <v>0</v>
      </c>
      <c r="P245" s="153">
        <f>IF(COUNT($H245:O245)&gt;=Input!$Y$7,0, P18+P50+P82)</f>
        <v>0</v>
      </c>
      <c r="Q245" s="153">
        <f>IF(COUNT($H245:P245)&gt;=Input!$Y$7,0, Q18+Q50+Q82)</f>
        <v>0</v>
      </c>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1"/>
      <c r="BL245" s="221"/>
    </row>
    <row r="246" spans="1:64" hidden="1" outlineLevel="1">
      <c r="A246" s="9"/>
      <c r="B246" s="12"/>
      <c r="C246" s="44"/>
      <c r="D246" s="270" t="str">
        <f>Asset12</f>
        <v>premises</v>
      </c>
      <c r="E246" s="12"/>
      <c r="F246" s="12"/>
      <c r="G246" s="201">
        <f t="shared" si="9"/>
        <v>8.4078322708407711</v>
      </c>
      <c r="H246" s="153">
        <f t="shared" si="11"/>
        <v>7.5457103279380924</v>
      </c>
      <c r="I246" s="153">
        <f t="shared" si="11"/>
        <v>6.4692178923447372</v>
      </c>
      <c r="J246" s="153">
        <f t="shared" si="11"/>
        <v>5.358020565222839</v>
      </c>
      <c r="K246" s="153">
        <f t="shared" si="11"/>
        <v>4.5465837928136903</v>
      </c>
      <c r="L246" s="153">
        <f t="shared" si="11"/>
        <v>3.6249093656521296</v>
      </c>
      <c r="M246" s="153">
        <f t="shared" si="11"/>
        <v>2.743138996222263</v>
      </c>
      <c r="N246" s="153">
        <f>IF(COUNT($H246:M246)&gt;=Input!$Y$7,0, N19+N51+N83)</f>
        <v>0</v>
      </c>
      <c r="O246" s="153">
        <f>IF(COUNT($H246:N246)&gt;=Input!$Y$7,0, O19+O51+O83)</f>
        <v>0</v>
      </c>
      <c r="P246" s="153">
        <f>IF(COUNT($H246:O246)&gt;=Input!$Y$7,0, P19+P51+P83)</f>
        <v>0</v>
      </c>
      <c r="Q246" s="153">
        <f>IF(COUNT($H246:P246)&gt;=Input!$Y$7,0, Q19+Q51+Q83)</f>
        <v>0</v>
      </c>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1"/>
      <c r="BL246" s="221"/>
    </row>
    <row r="247" spans="1:64" hidden="1" outlineLevel="1">
      <c r="A247" s="9"/>
      <c r="B247" s="12"/>
      <c r="C247" s="44"/>
      <c r="D247" s="270" t="str">
        <f>Asset13</f>
        <v>Land</v>
      </c>
      <c r="E247" s="12"/>
      <c r="F247" s="12"/>
      <c r="G247" s="201">
        <f t="shared" si="9"/>
        <v>95.756770018212507</v>
      </c>
      <c r="H247" s="153">
        <f t="shared" si="11"/>
        <v>99.285595396772493</v>
      </c>
      <c r="I247" s="153">
        <f t="shared" si="11"/>
        <v>101.37896638405384</v>
      </c>
      <c r="J247" s="153">
        <f t="shared" si="11"/>
        <v>103.57368293686469</v>
      </c>
      <c r="K247" s="153">
        <f t="shared" si="11"/>
        <v>105.77134327406523</v>
      </c>
      <c r="L247" s="153">
        <f t="shared" si="11"/>
        <v>108.10297609173001</v>
      </c>
      <c r="M247" s="153">
        <f t="shared" si="11"/>
        <v>110.80555049402327</v>
      </c>
      <c r="N247" s="153">
        <f>IF(COUNT($H247:M247)&gt;=Input!$Y$7,0, N20+N52+N84)</f>
        <v>0</v>
      </c>
      <c r="O247" s="153">
        <f>IF(COUNT($H247:N247)&gt;=Input!$Y$7,0, O20+O52+O84)</f>
        <v>0</v>
      </c>
      <c r="P247" s="153">
        <f>IF(COUNT($H247:O247)&gt;=Input!$Y$7,0, P20+P52+P84)</f>
        <v>0</v>
      </c>
      <c r="Q247" s="153">
        <f>IF(COUNT($H247:P247)&gt;=Input!$Y$7,0, Q20+Q52+Q84)</f>
        <v>0</v>
      </c>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1"/>
      <c r="BL247" s="221"/>
    </row>
    <row r="248" spans="1:64" hidden="1" outlineLevel="1">
      <c r="A248" s="9"/>
      <c r="B248" s="12"/>
      <c r="C248" s="44"/>
      <c r="D248" s="270" t="str">
        <f>Asset14</f>
        <v>Easements</v>
      </c>
      <c r="E248" s="12"/>
      <c r="F248" s="12"/>
      <c r="G248" s="201">
        <f t="shared" si="9"/>
        <v>108.97377932420517</v>
      </c>
      <c r="H248" s="153">
        <f t="shared" si="11"/>
        <v>112.9896775004251</v>
      </c>
      <c r="I248" s="153">
        <f t="shared" si="11"/>
        <v>115.37198997784371</v>
      </c>
      <c r="J248" s="153">
        <f t="shared" si="11"/>
        <v>118.4349631630962</v>
      </c>
      <c r="K248" s="153">
        <f t="shared" si="11"/>
        <v>122.11053098539918</v>
      </c>
      <c r="L248" s="153">
        <f t="shared" si="11"/>
        <v>124.80234629770258</v>
      </c>
      <c r="M248" s="153">
        <f t="shared" si="11"/>
        <v>127.92240495514515</v>
      </c>
      <c r="N248" s="153">
        <f>IF(COUNT($H248:M248)&gt;=Input!$Y$7,0, N21+N53+N85)</f>
        <v>0</v>
      </c>
      <c r="O248" s="153">
        <f>IF(COUNT($H248:N248)&gt;=Input!$Y$7,0, O21+O53+O85)</f>
        <v>0</v>
      </c>
      <c r="P248" s="153">
        <f>IF(COUNT($H248:O248)&gt;=Input!$Y$7,0, P21+P53+P85)</f>
        <v>0</v>
      </c>
      <c r="Q248" s="153">
        <f>IF(COUNT($H248:P248)&gt;=Input!$Y$7,0, Q21+Q53+Q85)</f>
        <v>0</v>
      </c>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1"/>
      <c r="BL248" s="221"/>
    </row>
    <row r="249" spans="1:64" hidden="1" outlineLevel="1">
      <c r="A249" s="9"/>
      <c r="B249" s="12"/>
      <c r="C249" s="44"/>
      <c r="D249" s="270">
        <f>Asset15</f>
        <v>0</v>
      </c>
      <c r="E249" s="12"/>
      <c r="F249" s="12"/>
      <c r="G249" s="201">
        <f t="shared" ref="G249:G263" si="12">G22+G54+G86+G118+G150+G182+G214</f>
        <v>0</v>
      </c>
      <c r="H249" s="153">
        <f t="shared" si="11"/>
        <v>0</v>
      </c>
      <c r="I249" s="153">
        <f t="shared" si="11"/>
        <v>0</v>
      </c>
      <c r="J249" s="153">
        <f t="shared" si="11"/>
        <v>0</v>
      </c>
      <c r="K249" s="153">
        <f t="shared" si="11"/>
        <v>0</v>
      </c>
      <c r="L249" s="153">
        <f t="shared" si="11"/>
        <v>0</v>
      </c>
      <c r="M249" s="153">
        <f t="shared" si="11"/>
        <v>0</v>
      </c>
      <c r="N249" s="153">
        <f>IF(COUNT($H249:M249)&gt;=Input!$Y$7,0, N22+N54+N86)</f>
        <v>0</v>
      </c>
      <c r="O249" s="153">
        <f>IF(COUNT($H249:N249)&gt;=Input!$Y$7,0, O22+O54+O86)</f>
        <v>0</v>
      </c>
      <c r="P249" s="153">
        <f>IF(COUNT($H249:O249)&gt;=Input!$Y$7,0, P22+P54+P86)</f>
        <v>0</v>
      </c>
      <c r="Q249" s="153">
        <f>IF(COUNT($H249:P249)&gt;=Input!$Y$7,0, Q22+Q54+Q86)</f>
        <v>0</v>
      </c>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1"/>
      <c r="BL249" s="221"/>
    </row>
    <row r="250" spans="1:64" hidden="1" outlineLevel="1">
      <c r="A250" s="9"/>
      <c r="B250" s="12"/>
      <c r="C250" s="44"/>
      <c r="D250" s="270">
        <f>Asset16</f>
        <v>0</v>
      </c>
      <c r="E250" s="12"/>
      <c r="F250" s="12"/>
      <c r="G250" s="201">
        <f t="shared" si="12"/>
        <v>0</v>
      </c>
      <c r="H250" s="153">
        <f t="shared" si="11"/>
        <v>0</v>
      </c>
      <c r="I250" s="153">
        <f t="shared" si="11"/>
        <v>0</v>
      </c>
      <c r="J250" s="153">
        <f t="shared" si="11"/>
        <v>0</v>
      </c>
      <c r="K250" s="153">
        <f t="shared" si="11"/>
        <v>0</v>
      </c>
      <c r="L250" s="153">
        <f t="shared" si="11"/>
        <v>0</v>
      </c>
      <c r="M250" s="153">
        <f t="shared" si="11"/>
        <v>0</v>
      </c>
      <c r="N250" s="153">
        <f>IF(COUNT($H250:M250)&gt;=Input!$Y$7,0, N23+N55+N87)</f>
        <v>0</v>
      </c>
      <c r="O250" s="153">
        <f>IF(COUNT($H250:N250)&gt;=Input!$Y$7,0, O23+O55+O87)</f>
        <v>0</v>
      </c>
      <c r="P250" s="153">
        <f>IF(COUNT($H250:O250)&gt;=Input!$Y$7,0, P23+P55+P87)</f>
        <v>0</v>
      </c>
      <c r="Q250" s="153">
        <f>IF(COUNT($H250:P250)&gt;=Input!$Y$7,0, Q23+Q55+Q87)</f>
        <v>0</v>
      </c>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1"/>
      <c r="BL250" s="221"/>
    </row>
    <row r="251" spans="1:64" hidden="1" outlineLevel="1">
      <c r="A251" s="9"/>
      <c r="B251" s="12"/>
      <c r="C251" s="44"/>
      <c r="D251" s="270">
        <f>Asset17</f>
        <v>0</v>
      </c>
      <c r="E251" s="12"/>
      <c r="F251" s="12"/>
      <c r="G251" s="201">
        <f t="shared" si="12"/>
        <v>0</v>
      </c>
      <c r="H251" s="153">
        <f t="shared" si="11"/>
        <v>0</v>
      </c>
      <c r="I251" s="153">
        <f t="shared" si="11"/>
        <v>0</v>
      </c>
      <c r="J251" s="153">
        <f t="shared" si="11"/>
        <v>0</v>
      </c>
      <c r="K251" s="153">
        <f t="shared" si="11"/>
        <v>0</v>
      </c>
      <c r="L251" s="153">
        <f t="shared" si="11"/>
        <v>0</v>
      </c>
      <c r="M251" s="153">
        <f t="shared" si="11"/>
        <v>0</v>
      </c>
      <c r="N251" s="153">
        <f>IF(COUNT($H251:M251)&gt;=Input!$Y$7,0, N24+N56+N88)</f>
        <v>0</v>
      </c>
      <c r="O251" s="153">
        <f>IF(COUNT($H251:N251)&gt;=Input!$Y$7,0, O24+O56+O88)</f>
        <v>0</v>
      </c>
      <c r="P251" s="153">
        <f>IF(COUNT($H251:O251)&gt;=Input!$Y$7,0, P24+P56+P88)</f>
        <v>0</v>
      </c>
      <c r="Q251" s="153">
        <f>IF(COUNT($H251:P251)&gt;=Input!$Y$7,0, Q24+Q56+Q88)</f>
        <v>0</v>
      </c>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1"/>
      <c r="BL251" s="221"/>
    </row>
    <row r="252" spans="1:64" hidden="1" outlineLevel="1">
      <c r="A252" s="9"/>
      <c r="B252" s="12"/>
      <c r="C252" s="44"/>
      <c r="D252" s="270">
        <f>Asset18</f>
        <v>0</v>
      </c>
      <c r="E252" s="12"/>
      <c r="F252" s="12"/>
      <c r="G252" s="201">
        <f t="shared" si="12"/>
        <v>0</v>
      </c>
      <c r="H252" s="153">
        <f t="shared" si="11"/>
        <v>0</v>
      </c>
      <c r="I252" s="153">
        <f t="shared" si="11"/>
        <v>0</v>
      </c>
      <c r="J252" s="153">
        <f t="shared" si="11"/>
        <v>0</v>
      </c>
      <c r="K252" s="153">
        <f t="shared" si="11"/>
        <v>0</v>
      </c>
      <c r="L252" s="153">
        <f t="shared" si="11"/>
        <v>0</v>
      </c>
      <c r="M252" s="153">
        <f t="shared" si="11"/>
        <v>0</v>
      </c>
      <c r="N252" s="153">
        <f>IF(COUNT($H252:M252)&gt;=Input!$Y$7,0, N25+N57+N89)</f>
        <v>0</v>
      </c>
      <c r="O252" s="153">
        <f>IF(COUNT($H252:N252)&gt;=Input!$Y$7,0, O25+O57+O89)</f>
        <v>0</v>
      </c>
      <c r="P252" s="153">
        <f>IF(COUNT($H252:O252)&gt;=Input!$Y$7,0, P25+P57+P89)</f>
        <v>0</v>
      </c>
      <c r="Q252" s="153">
        <f>IF(COUNT($H252:P252)&gt;=Input!$Y$7,0, Q25+Q57+Q89)</f>
        <v>0</v>
      </c>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1"/>
      <c r="BL252" s="221"/>
    </row>
    <row r="253" spans="1:64" hidden="1" outlineLevel="1">
      <c r="A253" s="9"/>
      <c r="B253" s="12"/>
      <c r="C253" s="44"/>
      <c r="D253" s="270">
        <f>Asset19</f>
        <v>0</v>
      </c>
      <c r="E253" s="12"/>
      <c r="F253" s="12"/>
      <c r="G253" s="201">
        <f t="shared" si="12"/>
        <v>0</v>
      </c>
      <c r="H253" s="153">
        <f t="shared" si="11"/>
        <v>0</v>
      </c>
      <c r="I253" s="153">
        <f t="shared" si="11"/>
        <v>0</v>
      </c>
      <c r="J253" s="153">
        <f t="shared" si="11"/>
        <v>0</v>
      </c>
      <c r="K253" s="153">
        <f t="shared" si="11"/>
        <v>0</v>
      </c>
      <c r="L253" s="153">
        <f t="shared" si="11"/>
        <v>0</v>
      </c>
      <c r="M253" s="153">
        <f t="shared" si="11"/>
        <v>0</v>
      </c>
      <c r="N253" s="153">
        <f>IF(COUNT($H253:M253)&gt;=Input!$Y$7,0, N26+N58+N90)</f>
        <v>0</v>
      </c>
      <c r="O253" s="153">
        <f>IF(COUNT($H253:N253)&gt;=Input!$Y$7,0, O26+O58+O90)</f>
        <v>0</v>
      </c>
      <c r="P253" s="153">
        <f>IF(COUNT($H253:O253)&gt;=Input!$Y$7,0, P26+P58+P90)</f>
        <v>0</v>
      </c>
      <c r="Q253" s="153">
        <f>IF(COUNT($H253:P253)&gt;=Input!$Y$7,0, Q26+Q58+Q90)</f>
        <v>0</v>
      </c>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1"/>
      <c r="BL253" s="221"/>
    </row>
    <row r="254" spans="1:64" hidden="1" outlineLevel="1">
      <c r="A254" s="9"/>
      <c r="B254" s="12"/>
      <c r="C254" s="44"/>
      <c r="D254" s="270">
        <f>Asset20</f>
        <v>0</v>
      </c>
      <c r="E254" s="12"/>
      <c r="F254" s="12"/>
      <c r="G254" s="201">
        <f t="shared" si="12"/>
        <v>0</v>
      </c>
      <c r="H254" s="153">
        <f t="shared" si="11"/>
        <v>0</v>
      </c>
      <c r="I254" s="153">
        <f t="shared" si="11"/>
        <v>0</v>
      </c>
      <c r="J254" s="153">
        <f t="shared" si="11"/>
        <v>0</v>
      </c>
      <c r="K254" s="153">
        <f t="shared" si="11"/>
        <v>0</v>
      </c>
      <c r="L254" s="153">
        <f t="shared" si="11"/>
        <v>0</v>
      </c>
      <c r="M254" s="153">
        <f t="shared" si="11"/>
        <v>0</v>
      </c>
      <c r="N254" s="153">
        <f>IF(COUNT($H254:M254)&gt;=Input!$Y$7,0, N27+N59+N91)</f>
        <v>0</v>
      </c>
      <c r="O254" s="153">
        <f>IF(COUNT($H254:N254)&gt;=Input!$Y$7,0, O27+O59+O91)</f>
        <v>0</v>
      </c>
      <c r="P254" s="153">
        <f>IF(COUNT($H254:O254)&gt;=Input!$Y$7,0, P27+P59+P91)</f>
        <v>0</v>
      </c>
      <c r="Q254" s="153">
        <f>IF(COUNT($H254:P254)&gt;=Input!$Y$7,0, Q27+Q59+Q91)</f>
        <v>0</v>
      </c>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1"/>
      <c r="BL254" s="221"/>
    </row>
    <row r="255" spans="1:64" hidden="1" outlineLevel="1">
      <c r="A255" s="9"/>
      <c r="B255" s="12"/>
      <c r="C255" s="44"/>
      <c r="D255" s="270">
        <f>Asset21</f>
        <v>0</v>
      </c>
      <c r="E255" s="12"/>
      <c r="F255" s="12"/>
      <c r="G255" s="201">
        <f t="shared" si="12"/>
        <v>0</v>
      </c>
      <c r="H255" s="153">
        <f t="shared" ref="H255:M264" si="13">H28+H60+H92</f>
        <v>0</v>
      </c>
      <c r="I255" s="153">
        <f t="shared" si="13"/>
        <v>0</v>
      </c>
      <c r="J255" s="153">
        <f t="shared" si="13"/>
        <v>0</v>
      </c>
      <c r="K255" s="153">
        <f t="shared" si="13"/>
        <v>0</v>
      </c>
      <c r="L255" s="153">
        <f t="shared" si="13"/>
        <v>0</v>
      </c>
      <c r="M255" s="153">
        <f t="shared" si="13"/>
        <v>0</v>
      </c>
      <c r="N255" s="153">
        <f>IF(COUNT($H255:M255)&gt;=Input!$Y$7,0, N28+N60+N92)</f>
        <v>0</v>
      </c>
      <c r="O255" s="153">
        <f>IF(COUNT($H255:N255)&gt;=Input!$Y$7,0, O28+O60+O92)</f>
        <v>0</v>
      </c>
      <c r="P255" s="153">
        <f>IF(COUNT($H255:O255)&gt;=Input!$Y$7,0, P28+P60+P92)</f>
        <v>0</v>
      </c>
      <c r="Q255" s="153">
        <f>IF(COUNT($H255:P255)&gt;=Input!$Y$7,0, Q28+Q60+Q92)</f>
        <v>0</v>
      </c>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1"/>
      <c r="BL255" s="221"/>
    </row>
    <row r="256" spans="1:64" hidden="1" outlineLevel="1">
      <c r="A256" s="9"/>
      <c r="B256" s="12"/>
      <c r="C256" s="44"/>
      <c r="D256" s="270">
        <f>Asset22</f>
        <v>0</v>
      </c>
      <c r="E256" s="12"/>
      <c r="F256" s="12"/>
      <c r="G256" s="201">
        <f t="shared" si="12"/>
        <v>0</v>
      </c>
      <c r="H256" s="153">
        <f t="shared" si="13"/>
        <v>0</v>
      </c>
      <c r="I256" s="153">
        <f t="shared" si="13"/>
        <v>0</v>
      </c>
      <c r="J256" s="153">
        <f t="shared" si="13"/>
        <v>0</v>
      </c>
      <c r="K256" s="153">
        <f t="shared" si="13"/>
        <v>0</v>
      </c>
      <c r="L256" s="153">
        <f t="shared" si="13"/>
        <v>0</v>
      </c>
      <c r="M256" s="153">
        <f t="shared" si="13"/>
        <v>0</v>
      </c>
      <c r="N256" s="153">
        <f>IF(COUNT($H256:M256)&gt;=Input!$Y$7,0, N29+N61+N93)</f>
        <v>0</v>
      </c>
      <c r="O256" s="153">
        <f>IF(COUNT($H256:N256)&gt;=Input!$Y$7,0, O29+O61+O93)</f>
        <v>0</v>
      </c>
      <c r="P256" s="153">
        <f>IF(COUNT($H256:O256)&gt;=Input!$Y$7,0, P29+P61+P93)</f>
        <v>0</v>
      </c>
      <c r="Q256" s="153">
        <f>IF(COUNT($H256:P256)&gt;=Input!$Y$7,0, Q29+Q61+Q93)</f>
        <v>0</v>
      </c>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1"/>
      <c r="BL256" s="221"/>
    </row>
    <row r="257" spans="1:64" hidden="1" outlineLevel="1">
      <c r="A257" s="9"/>
      <c r="B257" s="12"/>
      <c r="C257" s="44"/>
      <c r="D257" s="270">
        <f>Asset23</f>
        <v>0</v>
      </c>
      <c r="E257" s="12"/>
      <c r="F257" s="12"/>
      <c r="G257" s="201">
        <f t="shared" si="12"/>
        <v>0</v>
      </c>
      <c r="H257" s="153">
        <f t="shared" si="13"/>
        <v>0</v>
      </c>
      <c r="I257" s="153">
        <f t="shared" si="13"/>
        <v>0</v>
      </c>
      <c r="J257" s="153">
        <f t="shared" si="13"/>
        <v>0</v>
      </c>
      <c r="K257" s="153">
        <f t="shared" si="13"/>
        <v>0</v>
      </c>
      <c r="L257" s="153">
        <f t="shared" si="13"/>
        <v>0</v>
      </c>
      <c r="M257" s="153">
        <f t="shared" si="13"/>
        <v>0</v>
      </c>
      <c r="N257" s="153">
        <f>IF(COUNT($H257:M257)&gt;=Input!$Y$7,0, N30+N62+N94)</f>
        <v>0</v>
      </c>
      <c r="O257" s="153">
        <f>IF(COUNT($H257:N257)&gt;=Input!$Y$7,0, O30+O62+O94)</f>
        <v>0</v>
      </c>
      <c r="P257" s="153">
        <f>IF(COUNT($H257:O257)&gt;=Input!$Y$7,0, P30+P62+P94)</f>
        <v>0</v>
      </c>
      <c r="Q257" s="153">
        <f>IF(COUNT($H257:P257)&gt;=Input!$Y$7,0, Q30+Q62+Q94)</f>
        <v>0</v>
      </c>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1"/>
      <c r="BL257" s="221"/>
    </row>
    <row r="258" spans="1:64" hidden="1" outlineLevel="1">
      <c r="A258" s="9"/>
      <c r="B258" s="12"/>
      <c r="C258" s="44"/>
      <c r="D258" s="270">
        <f>Asset24</f>
        <v>0</v>
      </c>
      <c r="E258" s="12"/>
      <c r="F258" s="12"/>
      <c r="G258" s="201">
        <f t="shared" si="12"/>
        <v>0</v>
      </c>
      <c r="H258" s="153">
        <f t="shared" si="13"/>
        <v>0</v>
      </c>
      <c r="I258" s="153">
        <f t="shared" si="13"/>
        <v>0</v>
      </c>
      <c r="J258" s="153">
        <f t="shared" si="13"/>
        <v>0</v>
      </c>
      <c r="K258" s="153">
        <f t="shared" si="13"/>
        <v>0</v>
      </c>
      <c r="L258" s="153">
        <f t="shared" si="13"/>
        <v>0</v>
      </c>
      <c r="M258" s="153">
        <f t="shared" si="13"/>
        <v>0</v>
      </c>
      <c r="N258" s="153">
        <f>IF(COUNT($H258:M258)&gt;=Input!$Y$7,0, N31+N63+N95)</f>
        <v>0</v>
      </c>
      <c r="O258" s="153">
        <f>IF(COUNT($H258:N258)&gt;=Input!$Y$7,0, O31+O63+O95)</f>
        <v>0</v>
      </c>
      <c r="P258" s="153">
        <f>IF(COUNT($H258:O258)&gt;=Input!$Y$7,0, P31+P63+P95)</f>
        <v>0</v>
      </c>
      <c r="Q258" s="153">
        <f>IF(COUNT($H258:P258)&gt;=Input!$Y$7,0, Q31+Q63+Q95)</f>
        <v>0</v>
      </c>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1"/>
      <c r="BL258" s="221"/>
    </row>
    <row r="259" spans="1:64" hidden="1" outlineLevel="1">
      <c r="A259" s="9"/>
      <c r="B259" s="12"/>
      <c r="C259" s="44"/>
      <c r="D259" s="270">
        <f>Asset25</f>
        <v>0</v>
      </c>
      <c r="E259" s="12"/>
      <c r="F259" s="12"/>
      <c r="G259" s="201">
        <f t="shared" si="12"/>
        <v>0</v>
      </c>
      <c r="H259" s="153">
        <f t="shared" si="13"/>
        <v>0</v>
      </c>
      <c r="I259" s="153">
        <f t="shared" si="13"/>
        <v>0</v>
      </c>
      <c r="J259" s="153">
        <f t="shared" si="13"/>
        <v>0</v>
      </c>
      <c r="K259" s="153">
        <f t="shared" si="13"/>
        <v>0</v>
      </c>
      <c r="L259" s="153">
        <f t="shared" si="13"/>
        <v>0</v>
      </c>
      <c r="M259" s="153">
        <f t="shared" si="13"/>
        <v>0</v>
      </c>
      <c r="N259" s="153">
        <f>IF(COUNT($H259:M259)&gt;=Input!$Y$7,0, N32+N64+N96)</f>
        <v>0</v>
      </c>
      <c r="O259" s="153">
        <f>IF(COUNT($H259:N259)&gt;=Input!$Y$7,0, O32+O64+O96)</f>
        <v>0</v>
      </c>
      <c r="P259" s="153">
        <f>IF(COUNT($H259:O259)&gt;=Input!$Y$7,0, P32+P64+P96)</f>
        <v>0</v>
      </c>
      <c r="Q259" s="153">
        <f>IF(COUNT($H259:P259)&gt;=Input!$Y$7,0, Q32+Q64+Q96)</f>
        <v>0</v>
      </c>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1"/>
      <c r="BL259" s="221"/>
    </row>
    <row r="260" spans="1:64" hidden="1" outlineLevel="1">
      <c r="A260" s="9"/>
      <c r="B260" s="12"/>
      <c r="C260" s="44"/>
      <c r="D260" s="270">
        <f>Asset26</f>
        <v>0</v>
      </c>
      <c r="E260" s="12"/>
      <c r="F260" s="12"/>
      <c r="G260" s="201">
        <f t="shared" si="12"/>
        <v>0</v>
      </c>
      <c r="H260" s="153">
        <f t="shared" si="13"/>
        <v>0</v>
      </c>
      <c r="I260" s="153">
        <f t="shared" si="13"/>
        <v>0</v>
      </c>
      <c r="J260" s="153">
        <f t="shared" si="13"/>
        <v>0</v>
      </c>
      <c r="K260" s="153">
        <f t="shared" si="13"/>
        <v>0</v>
      </c>
      <c r="L260" s="153">
        <f t="shared" si="13"/>
        <v>0</v>
      </c>
      <c r="M260" s="153">
        <f t="shared" si="13"/>
        <v>0</v>
      </c>
      <c r="N260" s="153">
        <f>IF(COUNT($H260:M260)&gt;=Input!$Y$7,0, N33+N65+N97)</f>
        <v>0</v>
      </c>
      <c r="O260" s="153">
        <f>IF(COUNT($H260:N260)&gt;=Input!$Y$7,0, O33+O65+O97)</f>
        <v>0</v>
      </c>
      <c r="P260" s="153">
        <f>IF(COUNT($H260:O260)&gt;=Input!$Y$7,0, P33+P65+P97)</f>
        <v>0</v>
      </c>
      <c r="Q260" s="153">
        <f>IF(COUNT($H260:P260)&gt;=Input!$Y$7,0, Q33+Q65+Q97)</f>
        <v>0</v>
      </c>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1"/>
      <c r="BL260" s="221"/>
    </row>
    <row r="261" spans="1:64" hidden="1" outlineLevel="1">
      <c r="A261" s="9"/>
      <c r="B261" s="12"/>
      <c r="C261" s="44"/>
      <c r="D261" s="270">
        <f>Asset27</f>
        <v>0</v>
      </c>
      <c r="E261" s="12"/>
      <c r="F261" s="12"/>
      <c r="G261" s="201">
        <f t="shared" si="12"/>
        <v>0</v>
      </c>
      <c r="H261" s="153">
        <f t="shared" si="13"/>
        <v>0</v>
      </c>
      <c r="I261" s="153">
        <f t="shared" si="13"/>
        <v>0</v>
      </c>
      <c r="J261" s="153">
        <f t="shared" si="13"/>
        <v>0</v>
      </c>
      <c r="K261" s="153">
        <f t="shared" si="13"/>
        <v>0</v>
      </c>
      <c r="L261" s="153">
        <f t="shared" si="13"/>
        <v>0</v>
      </c>
      <c r="M261" s="153">
        <f t="shared" si="13"/>
        <v>0</v>
      </c>
      <c r="N261" s="153">
        <f>IF(COUNT($H261:M261)&gt;=Input!$Y$7,0, N34+N66+N98)</f>
        <v>0</v>
      </c>
      <c r="O261" s="153">
        <f>IF(COUNT($H261:N261)&gt;=Input!$Y$7,0, O34+O66+O98)</f>
        <v>0</v>
      </c>
      <c r="P261" s="153">
        <f>IF(COUNT($H261:O261)&gt;=Input!$Y$7,0, P34+P66+P98)</f>
        <v>0</v>
      </c>
      <c r="Q261" s="153">
        <f>IF(COUNT($H261:P261)&gt;=Input!$Y$7,0, Q34+Q66+Q98)</f>
        <v>0</v>
      </c>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1"/>
      <c r="BL261" s="221"/>
    </row>
    <row r="262" spans="1:64" hidden="1" outlineLevel="1">
      <c r="A262" s="9"/>
      <c r="B262" s="12"/>
      <c r="C262" s="44"/>
      <c r="D262" s="270">
        <f>Asset28</f>
        <v>0</v>
      </c>
      <c r="E262" s="12"/>
      <c r="F262" s="12"/>
      <c r="G262" s="201">
        <f t="shared" si="12"/>
        <v>0</v>
      </c>
      <c r="H262" s="153">
        <f t="shared" si="13"/>
        <v>0</v>
      </c>
      <c r="I262" s="153">
        <f t="shared" si="13"/>
        <v>0</v>
      </c>
      <c r="J262" s="153">
        <f t="shared" si="13"/>
        <v>0</v>
      </c>
      <c r="K262" s="153">
        <f t="shared" si="13"/>
        <v>0</v>
      </c>
      <c r="L262" s="153">
        <f t="shared" si="13"/>
        <v>0</v>
      </c>
      <c r="M262" s="153">
        <f t="shared" si="13"/>
        <v>0</v>
      </c>
      <c r="N262" s="153">
        <f>IF(COUNT($H262:M262)&gt;=Input!$Y$7,0, N35+N67+N99)</f>
        <v>0</v>
      </c>
      <c r="O262" s="153">
        <f>IF(COUNT($H262:N262)&gt;=Input!$Y$7,0, O35+O67+O99)</f>
        <v>0</v>
      </c>
      <c r="P262" s="153">
        <f>IF(COUNT($H262:O262)&gt;=Input!$Y$7,0, P35+P67+P99)</f>
        <v>0</v>
      </c>
      <c r="Q262" s="153">
        <f>IF(COUNT($H262:P262)&gt;=Input!$Y$7,0, Q35+Q67+Q99)</f>
        <v>0</v>
      </c>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8"/>
      <c r="BK262" s="221"/>
      <c r="BL262" s="221"/>
    </row>
    <row r="263" spans="1:64" hidden="1" outlineLevel="1">
      <c r="A263" s="9"/>
      <c r="B263" s="12"/>
      <c r="C263" s="44"/>
      <c r="D263" s="270">
        <f>Asset29</f>
        <v>0</v>
      </c>
      <c r="E263" s="12"/>
      <c r="F263" s="12"/>
      <c r="G263" s="201">
        <f t="shared" si="12"/>
        <v>0</v>
      </c>
      <c r="H263" s="153">
        <f t="shared" si="13"/>
        <v>0</v>
      </c>
      <c r="I263" s="153">
        <f t="shared" si="13"/>
        <v>0</v>
      </c>
      <c r="J263" s="153">
        <f t="shared" si="13"/>
        <v>0</v>
      </c>
      <c r="K263" s="153">
        <f t="shared" si="13"/>
        <v>0</v>
      </c>
      <c r="L263" s="153">
        <f t="shared" si="13"/>
        <v>0</v>
      </c>
      <c r="M263" s="153">
        <f t="shared" si="13"/>
        <v>0</v>
      </c>
      <c r="N263" s="153">
        <f>IF(COUNT($H263:M263)&gt;=Input!$Y$7,0, N36+N68+N100)</f>
        <v>0</v>
      </c>
      <c r="O263" s="153">
        <f>IF(COUNT($H263:N263)&gt;=Input!$Y$7,0, O36+O68+O100)</f>
        <v>0</v>
      </c>
      <c r="P263" s="153">
        <f>IF(COUNT($H263:O263)&gt;=Input!$Y$7,0, P36+P68+P100)</f>
        <v>0</v>
      </c>
      <c r="Q263" s="153">
        <f>IF(COUNT($H263:P263)&gt;=Input!$Y$7,0, Q36+Q68+Q100)</f>
        <v>0</v>
      </c>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1"/>
      <c r="BL263" s="221"/>
    </row>
    <row r="264" spans="1:64" hidden="1" outlineLevel="1">
      <c r="A264" s="9"/>
      <c r="B264" s="12"/>
      <c r="C264" s="44"/>
      <c r="D264" s="270">
        <f>Asset30</f>
        <v>0</v>
      </c>
      <c r="E264" s="12"/>
      <c r="F264" s="12"/>
      <c r="G264" s="201">
        <f>G37+G69+G101+G133+G165+G197+G229</f>
        <v>0</v>
      </c>
      <c r="H264" s="153">
        <f t="shared" si="13"/>
        <v>0</v>
      </c>
      <c r="I264" s="153">
        <f t="shared" si="13"/>
        <v>0</v>
      </c>
      <c r="J264" s="153">
        <f t="shared" si="13"/>
        <v>0</v>
      </c>
      <c r="K264" s="153">
        <f t="shared" si="13"/>
        <v>0</v>
      </c>
      <c r="L264" s="153">
        <f t="shared" si="13"/>
        <v>0</v>
      </c>
      <c r="M264" s="153">
        <f t="shared" si="13"/>
        <v>0</v>
      </c>
      <c r="N264" s="153">
        <f>IF(COUNT($H264:M264)&gt;=Input!$Y$7,0, N37+N69+N101)</f>
        <v>0</v>
      </c>
      <c r="O264" s="153">
        <f>IF(COUNT($H264:N264)&gt;=Input!$Y$7,0, O37+O69+O101)</f>
        <v>0</v>
      </c>
      <c r="P264" s="153">
        <f>IF(COUNT($H264:O264)&gt;=Input!$Y$7,0, P37+P69+P101)</f>
        <v>0</v>
      </c>
      <c r="Q264" s="153">
        <f>IF(COUNT($H264:P264)&gt;=Input!$Y$7,0, Q37+Q69+Q101)</f>
        <v>0</v>
      </c>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1"/>
      <c r="BL264" s="221"/>
    </row>
    <row r="265" spans="1:64" collapsed="1">
      <c r="A265" s="9"/>
      <c r="B265" s="12"/>
      <c r="C265" s="90"/>
      <c r="D265" s="113"/>
      <c r="E265" s="12"/>
      <c r="F265" s="12"/>
      <c r="G265" s="152"/>
      <c r="H265" s="141"/>
      <c r="I265" s="141"/>
      <c r="J265" s="141"/>
      <c r="K265" s="141"/>
      <c r="L265" s="141"/>
      <c r="M265" s="141"/>
      <c r="N265" s="100"/>
      <c r="O265" s="100"/>
      <c r="P265" s="100"/>
      <c r="Q265" s="100"/>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1"/>
      <c r="BL265" s="221"/>
    </row>
    <row r="266" spans="1:64" s="9" customFormat="1">
      <c r="B266" s="12"/>
      <c r="C266" s="90" t="s">
        <v>34</v>
      </c>
      <c r="D266" s="12"/>
      <c r="E266" s="12"/>
      <c r="F266" s="12"/>
      <c r="G266" s="114"/>
      <c r="H266" s="115"/>
      <c r="I266" s="115"/>
      <c r="J266" s="115"/>
      <c r="K266" s="115"/>
      <c r="L266" s="115">
        <f t="shared" ref="L266:Q266" si="14">SUM(L267:L296)</f>
        <v>0</v>
      </c>
      <c r="M266" s="115">
        <f>SUM(M267:M296)</f>
        <v>29.806149546015401</v>
      </c>
      <c r="N266" s="115">
        <f t="shared" si="14"/>
        <v>0</v>
      </c>
      <c r="O266" s="115">
        <f t="shared" si="14"/>
        <v>0</v>
      </c>
      <c r="P266" s="115">
        <f t="shared" si="14"/>
        <v>0</v>
      </c>
      <c r="Q266" s="115">
        <f t="shared" si="14"/>
        <v>0</v>
      </c>
      <c r="R266" s="106"/>
      <c r="S266" s="106"/>
      <c r="T266" s="106"/>
      <c r="U266" s="106"/>
      <c r="V266" s="106"/>
      <c r="W266" s="106"/>
      <c r="X266" s="106"/>
      <c r="Y266" s="106"/>
      <c r="Z266" s="106"/>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21"/>
      <c r="BL266" s="221"/>
    </row>
    <row r="267" spans="1:64" ht="12" hidden="1" customHeight="1" outlineLevel="1">
      <c r="A267" s="9"/>
      <c r="B267" s="9"/>
      <c r="C267" s="9"/>
      <c r="D267" s="270" t="str">
        <f>Asset1</f>
        <v>Secondary</v>
      </c>
      <c r="E267" s="9"/>
      <c r="F267" s="9"/>
      <c r="G267" s="9"/>
      <c r="H267" s="111"/>
      <c r="I267" s="111"/>
      <c r="J267" s="111"/>
      <c r="K267" s="111"/>
      <c r="L267" s="111">
        <f>IF(L$234&gt;0, IF(M$234=0, 'Adjustment for previous period'!$G76, 0), 0)</f>
        <v>0</v>
      </c>
      <c r="M267" s="111">
        <f>IF(M$234&gt;0, IF(N$234=0, 'Adjustment for previous period'!$G76, 0), 0)</f>
        <v>5.2305438000338995</v>
      </c>
      <c r="N267" s="111">
        <f>IF(N$234&gt;0, IF(O$234=0, 'Adjustment for previous period'!$G76, 0), 0)</f>
        <v>0</v>
      </c>
      <c r="O267" s="111">
        <f>IF(O$234&gt;0, IF(P$234=0, 'Adjustment for previous period'!$G76, 0), 0)</f>
        <v>0</v>
      </c>
      <c r="P267" s="111">
        <f>IF(P$234&gt;0, IF(Q$234=0, 'Adjustment for previous period'!$G76, 0), 0)</f>
        <v>0</v>
      </c>
      <c r="Q267" s="111">
        <f>IF(Q$234&gt;0, IF(R$234=0, 'Adjustment for previous period'!$G76, 0), 0)</f>
        <v>0</v>
      </c>
      <c r="R267" s="9"/>
      <c r="S267" s="12"/>
      <c r="T267" s="12"/>
      <c r="U267" s="12"/>
      <c r="V267" s="12"/>
      <c r="W267" s="12"/>
      <c r="X267" s="12"/>
      <c r="Y267" s="12"/>
      <c r="Z267" s="12"/>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row>
    <row r="268" spans="1:64" ht="12" hidden="1" customHeight="1" outlineLevel="1">
      <c r="A268" s="9"/>
      <c r="B268" s="9"/>
      <c r="C268" s="9"/>
      <c r="D268" s="270" t="str">
        <f>Asset2</f>
        <v>Switchgear</v>
      </c>
      <c r="E268" s="9"/>
      <c r="F268" s="9"/>
      <c r="G268" s="9"/>
      <c r="H268" s="111"/>
      <c r="I268" s="111"/>
      <c r="J268" s="111"/>
      <c r="K268" s="111"/>
      <c r="L268" s="111">
        <f>IF(L$234&gt;0, IF(M$234=0, 'Adjustment for previous period'!$G77, 0), 0)</f>
        <v>0</v>
      </c>
      <c r="M268" s="111">
        <f>IF(M$234&gt;0, IF(N$234=0, 'Adjustment for previous period'!$G77, 0), 0)</f>
        <v>10.106665730941359</v>
      </c>
      <c r="N268" s="111">
        <f>IF(N$234&gt;0, IF(O$234=0, 'Adjustment for previous period'!$G77, 0), 0)</f>
        <v>0</v>
      </c>
      <c r="O268" s="111">
        <f>IF(O$234&gt;0, IF(P$234=0, 'Adjustment for previous period'!$G77, 0), 0)</f>
        <v>0</v>
      </c>
      <c r="P268" s="111">
        <f>IF(P$234&gt;0, IF(Q$234=0, 'Adjustment for previous period'!$G77, 0), 0)</f>
        <v>0</v>
      </c>
      <c r="Q268" s="111">
        <f>IF(Q$234&gt;0, IF(R$234=0, 'Adjustment for previous period'!$G77, 0), 0)</f>
        <v>0</v>
      </c>
      <c r="R268" s="9"/>
      <c r="S268" s="12"/>
      <c r="T268" s="12"/>
      <c r="U268" s="12"/>
      <c r="V268" s="12"/>
      <c r="W268" s="12"/>
      <c r="X268" s="12"/>
      <c r="Y268" s="12"/>
      <c r="Z268" s="12"/>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row>
    <row r="269" spans="1:64" ht="12" hidden="1" customHeight="1" outlineLevel="1">
      <c r="A269" s="9"/>
      <c r="B269" s="9"/>
      <c r="C269" s="9"/>
      <c r="D269" s="270" t="str">
        <f>Asset3</f>
        <v>Transformers</v>
      </c>
      <c r="E269" s="9"/>
      <c r="F269" s="9"/>
      <c r="G269" s="9"/>
      <c r="H269" s="111"/>
      <c r="I269" s="111"/>
      <c r="J269" s="111"/>
      <c r="K269" s="111"/>
      <c r="L269" s="111">
        <f>IF(L$234&gt;0, IF(M$234=0, 'Adjustment for previous period'!$G78, 0), 0)</f>
        <v>0</v>
      </c>
      <c r="M269" s="111">
        <f>IF(M$234&gt;0, IF(N$234=0, 'Adjustment for previous period'!$G78, 0), 0)</f>
        <v>5.4689968375733748</v>
      </c>
      <c r="N269" s="111">
        <f>IF(N$234&gt;0, IF(O$234=0, 'Adjustment for previous period'!$G78, 0), 0)</f>
        <v>0</v>
      </c>
      <c r="O269" s="111">
        <f>IF(O$234&gt;0, IF(P$234=0, 'Adjustment for previous period'!$G78, 0), 0)</f>
        <v>0</v>
      </c>
      <c r="P269" s="111">
        <f>IF(P$234&gt;0, IF(Q$234=0, 'Adjustment for previous period'!$G78, 0), 0)</f>
        <v>0</v>
      </c>
      <c r="Q269" s="111">
        <f>IF(Q$234&gt;0, IF(R$234=0, 'Adjustment for previous period'!$G78, 0), 0)</f>
        <v>0</v>
      </c>
      <c r="R269" s="9"/>
      <c r="S269" s="12"/>
      <c r="T269" s="12"/>
      <c r="U269" s="12"/>
      <c r="V269" s="12"/>
      <c r="W269" s="12"/>
      <c r="X269" s="12"/>
      <c r="Y269" s="12"/>
      <c r="Z269" s="12"/>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21"/>
      <c r="BK269" s="221"/>
      <c r="BL269" s="221"/>
    </row>
    <row r="270" spans="1:64" ht="12" hidden="1" customHeight="1" outlineLevel="1">
      <c r="A270" s="9"/>
      <c r="B270" s="9"/>
      <c r="C270" s="9"/>
      <c r="D270" s="270" t="str">
        <f>Asset4</f>
        <v>Reactive</v>
      </c>
      <c r="E270" s="9"/>
      <c r="F270" s="9"/>
      <c r="G270" s="9"/>
      <c r="H270" s="111"/>
      <c r="I270" s="111"/>
      <c r="J270" s="111"/>
      <c r="K270" s="111"/>
      <c r="L270" s="111">
        <f>IF(L$234&gt;0, IF(M$234=0, 'Adjustment for previous period'!$G79, 0), 0)</f>
        <v>0</v>
      </c>
      <c r="M270" s="111">
        <f>IF(M$234&gt;0, IF(N$234=0, 'Adjustment for previous period'!$G79, 0), 0)</f>
        <v>-0.50780834609878256</v>
      </c>
      <c r="N270" s="111">
        <f>IF(N$234&gt;0, IF(O$234=0, 'Adjustment for previous period'!$G79, 0), 0)</f>
        <v>0</v>
      </c>
      <c r="O270" s="111">
        <f>IF(O$234&gt;0, IF(P$234=0, 'Adjustment for previous period'!$G79, 0), 0)</f>
        <v>0</v>
      </c>
      <c r="P270" s="111">
        <f>IF(P$234&gt;0, IF(Q$234=0, 'Adjustment for previous period'!$G79, 0), 0)</f>
        <v>0</v>
      </c>
      <c r="Q270" s="111">
        <f>IF(Q$234&gt;0, IF(R$234=0, 'Adjustment for previous period'!$G79, 0), 0)</f>
        <v>0</v>
      </c>
      <c r="R270" s="9"/>
      <c r="S270" s="12"/>
      <c r="T270" s="12"/>
      <c r="U270" s="12"/>
      <c r="V270" s="12"/>
      <c r="W270" s="12"/>
      <c r="X270" s="12"/>
      <c r="Y270" s="12"/>
      <c r="Z270" s="12"/>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21"/>
      <c r="BK270" s="221"/>
      <c r="BL270" s="221"/>
    </row>
    <row r="271" spans="1:64" ht="12" hidden="1" customHeight="1" outlineLevel="1">
      <c r="A271" s="9"/>
      <c r="B271" s="9"/>
      <c r="C271" s="9"/>
      <c r="D271" s="270" t="str">
        <f>Asset5</f>
        <v>Towers and Conductor</v>
      </c>
      <c r="E271" s="9"/>
      <c r="F271" s="9"/>
      <c r="G271" s="9"/>
      <c r="H271" s="111"/>
      <c r="I271" s="111"/>
      <c r="J271" s="111"/>
      <c r="K271" s="111"/>
      <c r="L271" s="111">
        <f>IF(L$234&gt;0, IF(M$234=0, 'Adjustment for previous period'!$G80, 0), 0)</f>
        <v>0</v>
      </c>
      <c r="M271" s="111">
        <f>IF(M$234&gt;0, IF(N$234=0, 'Adjustment for previous period'!$G80, 0), 0)</f>
        <v>0.72877821470993176</v>
      </c>
      <c r="N271" s="111">
        <f>IF(N$234&gt;0, IF(O$234=0, 'Adjustment for previous period'!$G80, 0), 0)</f>
        <v>0</v>
      </c>
      <c r="O271" s="111">
        <f>IF(O$234&gt;0, IF(P$234=0, 'Adjustment for previous period'!$G80, 0), 0)</f>
        <v>0</v>
      </c>
      <c r="P271" s="111">
        <f>IF(P$234&gt;0, IF(Q$234=0, 'Adjustment for previous period'!$G80, 0), 0)</f>
        <v>0</v>
      </c>
      <c r="Q271" s="111">
        <f>IF(Q$234&gt;0, IF(R$234=0, 'Adjustment for previous period'!$G80, 0), 0)</f>
        <v>0</v>
      </c>
      <c r="R271" s="9"/>
      <c r="S271" s="12"/>
      <c r="T271" s="12"/>
      <c r="U271" s="12"/>
      <c r="V271" s="12"/>
      <c r="W271" s="12"/>
      <c r="X271" s="12"/>
      <c r="Y271" s="12"/>
      <c r="Z271" s="12"/>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21"/>
      <c r="BK271" s="221"/>
      <c r="BL271" s="221"/>
    </row>
    <row r="272" spans="1:64" ht="12" hidden="1" customHeight="1" outlineLevel="1">
      <c r="A272" s="9"/>
      <c r="B272" s="9"/>
      <c r="C272" s="9"/>
      <c r="D272" s="270" t="str">
        <f>Asset6</f>
        <v>Establishment</v>
      </c>
      <c r="E272" s="9"/>
      <c r="F272" s="9"/>
      <c r="G272" s="9"/>
      <c r="H272" s="111"/>
      <c r="I272" s="111"/>
      <c r="J272" s="111"/>
      <c r="K272" s="111"/>
      <c r="L272" s="111">
        <f>IF(L$234&gt;0, IF(M$234=0, 'Adjustment for previous period'!$G81, 0), 0)</f>
        <v>0</v>
      </c>
      <c r="M272" s="111">
        <f>IF(M$234&gt;0, IF(N$234=0, 'Adjustment for previous period'!$G81, 0), 0)</f>
        <v>1.5536555406144092</v>
      </c>
      <c r="N272" s="111">
        <f>IF(N$234&gt;0, IF(O$234=0, 'Adjustment for previous period'!$G81, 0), 0)</f>
        <v>0</v>
      </c>
      <c r="O272" s="111">
        <f>IF(O$234&gt;0, IF(P$234=0, 'Adjustment for previous period'!$G81, 0), 0)</f>
        <v>0</v>
      </c>
      <c r="P272" s="111">
        <f>IF(P$234&gt;0, IF(Q$234=0, 'Adjustment for previous period'!$G81, 0), 0)</f>
        <v>0</v>
      </c>
      <c r="Q272" s="111">
        <f>IF(Q$234&gt;0, IF(R$234=0, 'Adjustment for previous period'!$G81, 0), 0)</f>
        <v>0</v>
      </c>
      <c r="R272" s="9"/>
      <c r="S272" s="12"/>
      <c r="T272" s="12"/>
      <c r="U272" s="12"/>
      <c r="V272" s="12"/>
      <c r="W272" s="12"/>
      <c r="X272" s="12"/>
      <c r="Y272" s="12"/>
      <c r="Z272" s="12"/>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21"/>
      <c r="BK272" s="221"/>
      <c r="BL272" s="221"/>
    </row>
    <row r="273" spans="1:64" ht="12" hidden="1" customHeight="1" outlineLevel="1">
      <c r="A273" s="9"/>
      <c r="B273" s="9"/>
      <c r="C273" s="9"/>
      <c r="D273" s="270" t="str">
        <f>Asset7</f>
        <v>Communications</v>
      </c>
      <c r="E273" s="9"/>
      <c r="F273" s="9"/>
      <c r="G273" s="9"/>
      <c r="H273" s="111"/>
      <c r="I273" s="111"/>
      <c r="J273" s="111"/>
      <c r="K273" s="111"/>
      <c r="L273" s="111">
        <f>IF(L$234&gt;0, IF(M$234=0, 'Adjustment for previous period'!$G82, 0), 0)</f>
        <v>0</v>
      </c>
      <c r="M273" s="111">
        <f>IF(M$234&gt;0, IF(N$234=0, 'Adjustment for previous period'!$G82, 0), 0)</f>
        <v>-2.2748139050493554</v>
      </c>
      <c r="N273" s="111">
        <f>IF(N$234&gt;0, IF(O$234=0, 'Adjustment for previous period'!$G82, 0), 0)</f>
        <v>0</v>
      </c>
      <c r="O273" s="111">
        <f>IF(O$234&gt;0, IF(P$234=0, 'Adjustment for previous period'!$G82, 0), 0)</f>
        <v>0</v>
      </c>
      <c r="P273" s="111">
        <f>IF(P$234&gt;0, IF(Q$234=0, 'Adjustment for previous period'!$G82, 0), 0)</f>
        <v>0</v>
      </c>
      <c r="Q273" s="111">
        <f>IF(Q$234&gt;0, IF(R$234=0, 'Adjustment for previous period'!$G82, 0), 0)</f>
        <v>0</v>
      </c>
      <c r="R273" s="9"/>
      <c r="S273" s="12"/>
      <c r="T273" s="12"/>
      <c r="U273" s="12"/>
      <c r="V273" s="12"/>
      <c r="W273" s="12"/>
      <c r="X273" s="12"/>
      <c r="Y273" s="12"/>
      <c r="Z273" s="12"/>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21"/>
      <c r="BK273" s="221"/>
      <c r="BL273" s="221"/>
    </row>
    <row r="274" spans="1:64" ht="12" hidden="1" customHeight="1" outlineLevel="1">
      <c r="A274" s="9"/>
      <c r="B274" s="9"/>
      <c r="C274" s="9"/>
      <c r="D274" s="270" t="str">
        <f>Asset8</f>
        <v>Inventory</v>
      </c>
      <c r="E274" s="9"/>
      <c r="F274" s="9"/>
      <c r="G274" s="9"/>
      <c r="H274" s="111"/>
      <c r="I274" s="111"/>
      <c r="J274" s="111"/>
      <c r="K274" s="111"/>
      <c r="L274" s="111">
        <f>IF(L$234&gt;0, IF(M$234=0, 'Adjustment for previous period'!$G83, 0), 0)</f>
        <v>0</v>
      </c>
      <c r="M274" s="111">
        <f>IF(M$234&gt;0, IF(N$234=0, 'Adjustment for previous period'!$G83, 0), 0)</f>
        <v>-0.29219122749760001</v>
      </c>
      <c r="N274" s="111">
        <f>IF(N$234&gt;0, IF(O$234=0, 'Adjustment for previous period'!$G83, 0), 0)</f>
        <v>0</v>
      </c>
      <c r="O274" s="111">
        <f>IF(O$234&gt;0, IF(P$234=0, 'Adjustment for previous period'!$G83, 0), 0)</f>
        <v>0</v>
      </c>
      <c r="P274" s="111">
        <f>IF(P$234&gt;0, IF(Q$234=0, 'Adjustment for previous period'!$G83, 0), 0)</f>
        <v>0</v>
      </c>
      <c r="Q274" s="111">
        <f>IF(Q$234&gt;0, IF(R$234=0, 'Adjustment for previous period'!$G83, 0), 0)</f>
        <v>0</v>
      </c>
      <c r="R274" s="9"/>
      <c r="S274" s="12"/>
      <c r="T274" s="12"/>
      <c r="U274" s="12"/>
      <c r="V274" s="12"/>
      <c r="W274" s="12"/>
      <c r="X274" s="12"/>
      <c r="Y274" s="12"/>
      <c r="Z274" s="12"/>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row>
    <row r="275" spans="1:64" ht="12" hidden="1" customHeight="1" outlineLevel="1">
      <c r="A275" s="9"/>
      <c r="B275" s="9"/>
      <c r="C275" s="9"/>
      <c r="D275" s="270" t="str">
        <f>Asset9</f>
        <v>IT</v>
      </c>
      <c r="E275" s="9"/>
      <c r="F275" s="9"/>
      <c r="G275" s="9"/>
      <c r="H275" s="111"/>
      <c r="I275" s="111"/>
      <c r="J275" s="111"/>
      <c r="K275" s="111"/>
      <c r="L275" s="111">
        <f>IF(L$234&gt;0, IF(M$234=0, 'Adjustment for previous period'!$G84, 0), 0)</f>
        <v>0</v>
      </c>
      <c r="M275" s="111">
        <f>IF(M$234&gt;0, IF(N$234=0, 'Adjustment for previous period'!$G84, 0), 0)</f>
        <v>7.7846678654469255</v>
      </c>
      <c r="N275" s="111">
        <f>IF(N$234&gt;0, IF(O$234=0, 'Adjustment for previous period'!$G84, 0), 0)</f>
        <v>0</v>
      </c>
      <c r="O275" s="111">
        <f>IF(O$234&gt;0, IF(P$234=0, 'Adjustment for previous period'!$G84, 0), 0)</f>
        <v>0</v>
      </c>
      <c r="P275" s="111">
        <f>IF(P$234&gt;0, IF(Q$234=0, 'Adjustment for previous period'!$G84, 0), 0)</f>
        <v>0</v>
      </c>
      <c r="Q275" s="111">
        <f>IF(Q$234&gt;0, IF(R$234=0, 'Adjustment for previous period'!$G84, 0), 0)</f>
        <v>0</v>
      </c>
      <c r="R275" s="9"/>
      <c r="S275" s="12"/>
      <c r="T275" s="12"/>
      <c r="U275" s="12"/>
      <c r="V275" s="12"/>
      <c r="W275" s="12"/>
      <c r="X275" s="12"/>
      <c r="Y275" s="12"/>
      <c r="Z275" s="12"/>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row>
    <row r="276" spans="1:64" ht="12" hidden="1" customHeight="1" outlineLevel="1">
      <c r="A276" s="9"/>
      <c r="B276" s="9"/>
      <c r="C276" s="9"/>
      <c r="D276" s="270" t="str">
        <f>Asset10</f>
        <v>Vehicles</v>
      </c>
      <c r="E276" s="9"/>
      <c r="F276" s="9"/>
      <c r="G276" s="9"/>
      <c r="H276" s="111"/>
      <c r="I276" s="111"/>
      <c r="J276" s="111"/>
      <c r="K276" s="111"/>
      <c r="L276" s="111">
        <f>IF(L$234&gt;0, IF(M$234=0, 'Adjustment for previous period'!$G85, 0), 0)</f>
        <v>0</v>
      </c>
      <c r="M276" s="111">
        <f>IF(M$234&gt;0, IF(N$234=0, 'Adjustment for previous period'!$G85, 0), 0)</f>
        <v>0.72233904719226638</v>
      </c>
      <c r="N276" s="111">
        <f>IF(N$234&gt;0, IF(O$234=0, 'Adjustment for previous period'!$G85, 0), 0)</f>
        <v>0</v>
      </c>
      <c r="O276" s="111">
        <f>IF(O$234&gt;0, IF(P$234=0, 'Adjustment for previous period'!$G85, 0), 0)</f>
        <v>0</v>
      </c>
      <c r="P276" s="111">
        <f>IF(P$234&gt;0, IF(Q$234=0, 'Adjustment for previous period'!$G85, 0), 0)</f>
        <v>0</v>
      </c>
      <c r="Q276" s="111">
        <f>IF(Q$234&gt;0, IF(R$234=0, 'Adjustment for previous period'!$G85, 0), 0)</f>
        <v>0</v>
      </c>
      <c r="R276" s="9"/>
      <c r="S276" s="12"/>
      <c r="T276" s="12"/>
      <c r="U276" s="12"/>
      <c r="V276" s="12"/>
      <c r="W276" s="12"/>
      <c r="X276" s="12"/>
      <c r="Y276" s="12"/>
      <c r="Z276" s="12"/>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row>
    <row r="277" spans="1:64" ht="12" hidden="1" customHeight="1" outlineLevel="1">
      <c r="A277" s="9"/>
      <c r="B277" s="9"/>
      <c r="C277" s="9"/>
      <c r="D277" s="270" t="str">
        <f>Asset11</f>
        <v>other</v>
      </c>
      <c r="E277" s="9"/>
      <c r="F277" s="9"/>
      <c r="G277" s="9"/>
      <c r="H277" s="111"/>
      <c r="I277" s="111"/>
      <c r="J277" s="111"/>
      <c r="K277" s="111"/>
      <c r="L277" s="111">
        <f>IF(L$234&gt;0, IF(M$234=0, 'Adjustment for previous period'!$G86, 0), 0)</f>
        <v>0</v>
      </c>
      <c r="M277" s="111">
        <f>IF(M$234&gt;0, IF(N$234=0, 'Adjustment for previous period'!$G86, 0), 0)</f>
        <v>1.7741903029893558</v>
      </c>
      <c r="N277" s="111">
        <f>IF(N$234&gt;0, IF(O$234=0, 'Adjustment for previous period'!$G86, 0), 0)</f>
        <v>0</v>
      </c>
      <c r="O277" s="111">
        <f>IF(O$234&gt;0, IF(P$234=0, 'Adjustment for previous period'!$G86, 0), 0)</f>
        <v>0</v>
      </c>
      <c r="P277" s="111">
        <f>IF(P$234&gt;0, IF(Q$234=0, 'Adjustment for previous period'!$G86, 0), 0)</f>
        <v>0</v>
      </c>
      <c r="Q277" s="111">
        <f>IF(Q$234&gt;0, IF(R$234=0, 'Adjustment for previous period'!$G86, 0), 0)</f>
        <v>0</v>
      </c>
      <c r="R277" s="9"/>
      <c r="S277" s="12"/>
      <c r="T277" s="12"/>
      <c r="U277" s="12"/>
      <c r="V277" s="12"/>
      <c r="W277" s="12"/>
      <c r="X277" s="12"/>
      <c r="Y277" s="12"/>
      <c r="Z277" s="12"/>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21"/>
      <c r="BK277" s="221"/>
      <c r="BL277" s="221"/>
    </row>
    <row r="278" spans="1:64" ht="12" hidden="1" customHeight="1" outlineLevel="1">
      <c r="A278" s="9"/>
      <c r="B278" s="9"/>
      <c r="C278" s="9"/>
      <c r="D278" s="270" t="str">
        <f>Asset12</f>
        <v>premises</v>
      </c>
      <c r="E278" s="9"/>
      <c r="F278" s="9"/>
      <c r="G278" s="9"/>
      <c r="H278" s="111"/>
      <c r="I278" s="111"/>
      <c r="J278" s="111"/>
      <c r="K278" s="111"/>
      <c r="L278" s="111">
        <f>IF(L$234&gt;0, IF(M$234=0, 'Adjustment for previous period'!$G87, 0), 0)</f>
        <v>0</v>
      </c>
      <c r="M278" s="111">
        <f>IF(M$234&gt;0, IF(N$234=0, 'Adjustment for previous period'!$G87, 0), 0)</f>
        <v>-0.48887431484037625</v>
      </c>
      <c r="N278" s="111">
        <f>IF(N$234&gt;0, IF(O$234=0, 'Adjustment for previous period'!$G87, 0), 0)</f>
        <v>0</v>
      </c>
      <c r="O278" s="111">
        <f>IF(O$234&gt;0, IF(P$234=0, 'Adjustment for previous period'!$G87, 0), 0)</f>
        <v>0</v>
      </c>
      <c r="P278" s="111">
        <f>IF(P$234&gt;0, IF(Q$234=0, 'Adjustment for previous period'!$G87, 0), 0)</f>
        <v>0</v>
      </c>
      <c r="Q278" s="111">
        <f>IF(Q$234&gt;0, IF(R$234=0, 'Adjustment for previous period'!$G87, 0), 0)</f>
        <v>0</v>
      </c>
      <c r="R278" s="9"/>
      <c r="S278" s="12"/>
      <c r="T278" s="12"/>
      <c r="U278" s="12"/>
      <c r="V278" s="12"/>
      <c r="W278" s="12"/>
      <c r="X278" s="12"/>
      <c r="Y278" s="12"/>
      <c r="Z278" s="12"/>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21"/>
      <c r="BK278" s="221"/>
      <c r="BL278" s="221"/>
    </row>
    <row r="279" spans="1:64" ht="12" hidden="1" customHeight="1" outlineLevel="1">
      <c r="A279" s="9"/>
      <c r="B279" s="9"/>
      <c r="C279" s="9"/>
      <c r="D279" s="270" t="str">
        <f>Asset13</f>
        <v>Land</v>
      </c>
      <c r="E279" s="9"/>
      <c r="F279" s="9"/>
      <c r="G279" s="9"/>
      <c r="H279" s="111"/>
      <c r="I279" s="111"/>
      <c r="J279" s="111"/>
      <c r="K279" s="111"/>
      <c r="L279" s="111">
        <f>IF(L$234&gt;0, IF(M$234=0, 'Adjustment for previous period'!$G88, 0), 0)</f>
        <v>0</v>
      </c>
      <c r="M279" s="111">
        <f>IF(M$234&gt;0, IF(N$234=0, 'Adjustment for previous period'!$G88, 0), 0)</f>
        <v>0</v>
      </c>
      <c r="N279" s="111">
        <f>IF(N$234&gt;0, IF(O$234=0, 'Adjustment for previous period'!$G88, 0), 0)</f>
        <v>0</v>
      </c>
      <c r="O279" s="111">
        <f>IF(O$234&gt;0, IF(P$234=0, 'Adjustment for previous period'!$G88, 0), 0)</f>
        <v>0</v>
      </c>
      <c r="P279" s="111">
        <f>IF(P$234&gt;0, IF(Q$234=0, 'Adjustment for previous period'!$G88, 0), 0)</f>
        <v>0</v>
      </c>
      <c r="Q279" s="111">
        <f>IF(Q$234&gt;0, IF(R$234=0, 'Adjustment for previous period'!$G88, 0), 0)</f>
        <v>0</v>
      </c>
      <c r="R279" s="9"/>
      <c r="S279" s="12"/>
      <c r="T279" s="12"/>
      <c r="U279" s="12"/>
      <c r="V279" s="12"/>
      <c r="W279" s="12"/>
      <c r="X279" s="12"/>
      <c r="Y279" s="12"/>
      <c r="Z279" s="12"/>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row>
    <row r="280" spans="1:64" ht="12" hidden="1" customHeight="1" outlineLevel="1">
      <c r="A280" s="9"/>
      <c r="B280" s="9"/>
      <c r="C280" s="9"/>
      <c r="D280" s="270" t="str">
        <f>Asset14</f>
        <v>Easements</v>
      </c>
      <c r="E280" s="9"/>
      <c r="F280" s="9"/>
      <c r="G280" s="9"/>
      <c r="H280" s="111"/>
      <c r="I280" s="111"/>
      <c r="J280" s="111"/>
      <c r="K280" s="111"/>
      <c r="L280" s="111">
        <f>IF(L$234&gt;0, IF(M$234=0, 'Adjustment for previous period'!$G89, 0), 0)</f>
        <v>0</v>
      </c>
      <c r="M280" s="111">
        <f>IF(M$234&gt;0, IF(N$234=0, 'Adjustment for previous period'!$G89, 0), 0)</f>
        <v>0</v>
      </c>
      <c r="N280" s="111">
        <f>IF(N$234&gt;0, IF(O$234=0, 'Adjustment for previous period'!$G89, 0), 0)</f>
        <v>0</v>
      </c>
      <c r="O280" s="111">
        <f>IF(O$234&gt;0, IF(P$234=0, 'Adjustment for previous period'!$G89, 0), 0)</f>
        <v>0</v>
      </c>
      <c r="P280" s="111">
        <f>IF(P$234&gt;0, IF(Q$234=0, 'Adjustment for previous period'!$G89, 0), 0)</f>
        <v>0</v>
      </c>
      <c r="Q280" s="111">
        <f>IF(Q$234&gt;0, IF(R$234=0, 'Adjustment for previous period'!$G89, 0), 0)</f>
        <v>0</v>
      </c>
      <c r="R280" s="9"/>
      <c r="S280" s="12"/>
      <c r="T280" s="12"/>
      <c r="U280" s="12"/>
      <c r="V280" s="12"/>
      <c r="W280" s="12"/>
      <c r="X280" s="12"/>
      <c r="Y280" s="12"/>
      <c r="Z280" s="12"/>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21"/>
      <c r="BK280" s="221"/>
      <c r="BL280" s="221"/>
    </row>
    <row r="281" spans="1:64" ht="12" hidden="1" customHeight="1" outlineLevel="1">
      <c r="A281" s="9"/>
      <c r="B281" s="9"/>
      <c r="C281" s="9"/>
      <c r="D281" s="270">
        <f>Asset15</f>
        <v>0</v>
      </c>
      <c r="E281" s="9"/>
      <c r="F281" s="9"/>
      <c r="G281" s="9"/>
      <c r="H281" s="111"/>
      <c r="I281" s="111"/>
      <c r="J281" s="111"/>
      <c r="K281" s="111"/>
      <c r="L281" s="111">
        <f>IF(L$234&gt;0, IF(M$234=0, 'Adjustment for previous period'!$G90, 0), 0)</f>
        <v>0</v>
      </c>
      <c r="M281" s="111">
        <f>IF(M$234&gt;0, IF(N$234=0, 'Adjustment for previous period'!$G90, 0), 0)</f>
        <v>0</v>
      </c>
      <c r="N281" s="111">
        <f>IF(N$234&gt;0, IF(O$234=0, 'Adjustment for previous period'!$G90, 0), 0)</f>
        <v>0</v>
      </c>
      <c r="O281" s="111">
        <f>IF(O$234&gt;0, IF(P$234=0, 'Adjustment for previous period'!$G90, 0), 0)</f>
        <v>0</v>
      </c>
      <c r="P281" s="111">
        <f>IF(P$234&gt;0, IF(Q$234=0, 'Adjustment for previous period'!$G90, 0), 0)</f>
        <v>0</v>
      </c>
      <c r="Q281" s="111">
        <f>IF(Q$234&gt;0, IF(R$234=0, 'Adjustment for previous period'!$G90, 0), 0)</f>
        <v>0</v>
      </c>
      <c r="R281" s="9"/>
      <c r="S281" s="12"/>
      <c r="T281" s="12"/>
      <c r="U281" s="12"/>
      <c r="V281" s="12"/>
      <c r="W281" s="12"/>
      <c r="X281" s="12"/>
      <c r="Y281" s="12"/>
      <c r="Z281" s="12"/>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row>
    <row r="282" spans="1:64" ht="12" hidden="1" customHeight="1" outlineLevel="1">
      <c r="A282" s="9"/>
      <c r="B282" s="9"/>
      <c r="C282" s="9"/>
      <c r="D282" s="270">
        <f>Asset16</f>
        <v>0</v>
      </c>
      <c r="E282" s="9"/>
      <c r="F282" s="9"/>
      <c r="G282" s="9"/>
      <c r="H282" s="111"/>
      <c r="I282" s="111"/>
      <c r="J282" s="111"/>
      <c r="K282" s="111"/>
      <c r="L282" s="111">
        <f>IF(L$234&gt;0, IF(M$234=0, 'Adjustment for previous period'!$G91, 0), 0)</f>
        <v>0</v>
      </c>
      <c r="M282" s="111">
        <f>IF(M$234&gt;0, IF(N$234=0, 'Adjustment for previous period'!$G91, 0), 0)</f>
        <v>0</v>
      </c>
      <c r="N282" s="111">
        <f>IF(N$234&gt;0, IF(O$234=0, 'Adjustment for previous period'!$G91, 0), 0)</f>
        <v>0</v>
      </c>
      <c r="O282" s="111">
        <f>IF(O$234&gt;0, IF(P$234=0, 'Adjustment for previous period'!$G91, 0), 0)</f>
        <v>0</v>
      </c>
      <c r="P282" s="111">
        <f>IF(P$234&gt;0, IF(Q$234=0, 'Adjustment for previous period'!$G91, 0), 0)</f>
        <v>0</v>
      </c>
      <c r="Q282" s="111">
        <f>IF(Q$234&gt;0, IF(R$234=0, 'Adjustment for previous period'!$G91, 0), 0)</f>
        <v>0</v>
      </c>
      <c r="R282" s="9"/>
      <c r="S282" s="12"/>
      <c r="T282" s="12"/>
      <c r="U282" s="12"/>
      <c r="V282" s="12"/>
      <c r="W282" s="12"/>
      <c r="X282" s="12"/>
      <c r="Y282" s="12"/>
      <c r="Z282" s="12"/>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21"/>
      <c r="BK282" s="221"/>
      <c r="BL282" s="221"/>
    </row>
    <row r="283" spans="1:64" ht="12" hidden="1" customHeight="1" outlineLevel="1">
      <c r="A283" s="9"/>
      <c r="B283" s="9"/>
      <c r="C283" s="9"/>
      <c r="D283" s="270">
        <f>Asset17</f>
        <v>0</v>
      </c>
      <c r="E283" s="9"/>
      <c r="F283" s="9"/>
      <c r="G283" s="9"/>
      <c r="H283" s="111"/>
      <c r="I283" s="111"/>
      <c r="J283" s="111"/>
      <c r="K283" s="111"/>
      <c r="L283" s="111">
        <f>IF(L$234&gt;0, IF(M$234=0, 'Adjustment for previous period'!$G92, 0), 0)</f>
        <v>0</v>
      </c>
      <c r="M283" s="111">
        <f>IF(M$234&gt;0, IF(N$234=0, 'Adjustment for previous period'!$G92, 0), 0)</f>
        <v>0</v>
      </c>
      <c r="N283" s="111">
        <f>IF(N$234&gt;0, IF(O$234=0, 'Adjustment for previous period'!$G92, 0), 0)</f>
        <v>0</v>
      </c>
      <c r="O283" s="111">
        <f>IF(O$234&gt;0, IF(P$234=0, 'Adjustment for previous period'!$G92, 0), 0)</f>
        <v>0</v>
      </c>
      <c r="P283" s="111">
        <f>IF(P$234&gt;0, IF(Q$234=0, 'Adjustment for previous period'!$G92, 0), 0)</f>
        <v>0</v>
      </c>
      <c r="Q283" s="111">
        <f>IF(Q$234&gt;0, IF(R$234=0, 'Adjustment for previous period'!$G92, 0), 0)</f>
        <v>0</v>
      </c>
      <c r="R283" s="9"/>
      <c r="S283" s="12"/>
      <c r="T283" s="12"/>
      <c r="U283" s="12"/>
      <c r="V283" s="12"/>
      <c r="W283" s="12"/>
      <c r="X283" s="12"/>
      <c r="Y283" s="12"/>
      <c r="Z283" s="12"/>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21"/>
      <c r="BK283" s="221"/>
      <c r="BL283" s="221"/>
    </row>
    <row r="284" spans="1:64" ht="12" hidden="1" customHeight="1" outlineLevel="1">
      <c r="A284" s="9"/>
      <c r="B284" s="9"/>
      <c r="C284" s="9"/>
      <c r="D284" s="270">
        <f>Asset18</f>
        <v>0</v>
      </c>
      <c r="E284" s="9"/>
      <c r="F284" s="9"/>
      <c r="G284" s="9"/>
      <c r="H284" s="111"/>
      <c r="I284" s="111"/>
      <c r="J284" s="111"/>
      <c r="K284" s="111"/>
      <c r="L284" s="111">
        <f>IF(L$234&gt;0, IF(M$234=0, 'Adjustment for previous period'!$G93, 0), 0)</f>
        <v>0</v>
      </c>
      <c r="M284" s="111">
        <f>IF(M$234&gt;0, IF(N$234=0, 'Adjustment for previous period'!$G93, 0), 0)</f>
        <v>0</v>
      </c>
      <c r="N284" s="111">
        <f>IF(N$234&gt;0, IF(O$234=0, 'Adjustment for previous period'!$G93, 0), 0)</f>
        <v>0</v>
      </c>
      <c r="O284" s="111">
        <f>IF(O$234&gt;0, IF(P$234=0, 'Adjustment for previous period'!$G93, 0), 0)</f>
        <v>0</v>
      </c>
      <c r="P284" s="111">
        <f>IF(P$234&gt;0, IF(Q$234=0, 'Adjustment for previous period'!$G93, 0), 0)</f>
        <v>0</v>
      </c>
      <c r="Q284" s="111">
        <f>IF(Q$234&gt;0, IF(R$234=0, 'Adjustment for previous period'!$G93, 0), 0)</f>
        <v>0</v>
      </c>
      <c r="R284" s="9"/>
      <c r="S284" s="12"/>
      <c r="T284" s="12"/>
      <c r="U284" s="12"/>
      <c r="V284" s="12"/>
      <c r="W284" s="12"/>
      <c r="X284" s="12"/>
      <c r="Y284" s="12"/>
      <c r="Z284" s="12"/>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221"/>
      <c r="BK284" s="221"/>
      <c r="BL284" s="221"/>
    </row>
    <row r="285" spans="1:64" ht="12" hidden="1" customHeight="1" outlineLevel="1">
      <c r="A285" s="9"/>
      <c r="B285" s="9"/>
      <c r="C285" s="9"/>
      <c r="D285" s="270">
        <f>Asset19</f>
        <v>0</v>
      </c>
      <c r="E285" s="9"/>
      <c r="F285" s="9"/>
      <c r="G285" s="9"/>
      <c r="H285" s="111"/>
      <c r="I285" s="111"/>
      <c r="J285" s="111"/>
      <c r="K285" s="111"/>
      <c r="L285" s="111">
        <f>IF(L$234&gt;0, IF(M$234=0, 'Adjustment for previous period'!$G94, 0), 0)</f>
        <v>0</v>
      </c>
      <c r="M285" s="111">
        <f>IF(M$234&gt;0, IF(N$234=0, 'Adjustment for previous period'!$G94, 0), 0)</f>
        <v>0</v>
      </c>
      <c r="N285" s="111">
        <f>IF(N$234&gt;0, IF(O$234=0, 'Adjustment for previous period'!$G94, 0), 0)</f>
        <v>0</v>
      </c>
      <c r="O285" s="111">
        <f>IF(O$234&gt;0, IF(P$234=0, 'Adjustment for previous period'!$G94, 0), 0)</f>
        <v>0</v>
      </c>
      <c r="P285" s="111">
        <f>IF(P$234&gt;0, IF(Q$234=0, 'Adjustment for previous period'!$G94, 0), 0)</f>
        <v>0</v>
      </c>
      <c r="Q285" s="111">
        <f>IF(Q$234&gt;0, IF(R$234=0, 'Adjustment for previous period'!$G94, 0), 0)</f>
        <v>0</v>
      </c>
      <c r="R285" s="9"/>
      <c r="S285" s="12"/>
      <c r="T285" s="12"/>
      <c r="U285" s="12"/>
      <c r="V285" s="12"/>
      <c r="W285" s="12"/>
      <c r="X285" s="12"/>
      <c r="Y285" s="12"/>
      <c r="Z285" s="12"/>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21"/>
      <c r="BK285" s="221"/>
      <c r="BL285" s="221"/>
    </row>
    <row r="286" spans="1:64" ht="12" hidden="1" customHeight="1" outlineLevel="1">
      <c r="A286" s="9"/>
      <c r="B286" s="9"/>
      <c r="C286" s="9"/>
      <c r="D286" s="270">
        <f>Asset20</f>
        <v>0</v>
      </c>
      <c r="E286" s="9"/>
      <c r="F286" s="9"/>
      <c r="G286" s="9"/>
      <c r="H286" s="111"/>
      <c r="I286" s="111"/>
      <c r="J286" s="111"/>
      <c r="K286" s="111"/>
      <c r="L286" s="111">
        <f>IF(L$234&gt;0, IF(M$234=0, 'Adjustment for previous period'!$G95, 0), 0)</f>
        <v>0</v>
      </c>
      <c r="M286" s="111">
        <f>IF(M$234&gt;0, IF(N$234=0, 'Adjustment for previous period'!$G95, 0), 0)</f>
        <v>0</v>
      </c>
      <c r="N286" s="111">
        <f>IF(N$234&gt;0, IF(O$234=0, 'Adjustment for previous period'!$G95, 0), 0)</f>
        <v>0</v>
      </c>
      <c r="O286" s="111">
        <f>IF(O$234&gt;0, IF(P$234=0, 'Adjustment for previous period'!$G95, 0), 0)</f>
        <v>0</v>
      </c>
      <c r="P286" s="111">
        <f>IF(P$234&gt;0, IF(Q$234=0, 'Adjustment for previous period'!$G95, 0), 0)</f>
        <v>0</v>
      </c>
      <c r="Q286" s="111">
        <f>IF(Q$234&gt;0, IF(R$234=0, 'Adjustment for previous period'!$G95, 0), 0)</f>
        <v>0</v>
      </c>
      <c r="R286" s="9"/>
      <c r="S286" s="12"/>
      <c r="T286" s="12"/>
      <c r="U286" s="12"/>
      <c r="V286" s="12"/>
      <c r="W286" s="12"/>
      <c r="X286" s="12"/>
      <c r="Y286" s="12"/>
      <c r="Z286" s="12"/>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21"/>
      <c r="BK286" s="221"/>
      <c r="BL286" s="221"/>
    </row>
    <row r="287" spans="1:64" ht="12" hidden="1" customHeight="1" outlineLevel="1">
      <c r="A287" s="9"/>
      <c r="B287" s="9"/>
      <c r="C287" s="9"/>
      <c r="D287" s="270">
        <f>Asset21</f>
        <v>0</v>
      </c>
      <c r="E287" s="9"/>
      <c r="F287" s="9"/>
      <c r="G287" s="9"/>
      <c r="H287" s="111"/>
      <c r="I287" s="111"/>
      <c r="J287" s="111"/>
      <c r="K287" s="111"/>
      <c r="L287" s="111">
        <f>IF(L$234&gt;0, IF(M$234=0, 'Adjustment for previous period'!$G96, 0), 0)</f>
        <v>0</v>
      </c>
      <c r="M287" s="111">
        <f>IF(M$234&gt;0, IF(N$234=0, 'Adjustment for previous period'!$G96, 0), 0)</f>
        <v>0</v>
      </c>
      <c r="N287" s="111">
        <f>IF(N$234&gt;0, IF(O$234=0, 'Adjustment for previous period'!$G96, 0), 0)</f>
        <v>0</v>
      </c>
      <c r="O287" s="111">
        <f>IF(O$234&gt;0, IF(P$234=0, 'Adjustment for previous period'!$G96, 0), 0)</f>
        <v>0</v>
      </c>
      <c r="P287" s="111">
        <f>IF(P$234&gt;0, IF(Q$234=0, 'Adjustment for previous period'!$G96, 0), 0)</f>
        <v>0</v>
      </c>
      <c r="Q287" s="111">
        <f>IF(Q$234&gt;0, IF(R$234=0, 'Adjustment for previous period'!$G96, 0), 0)</f>
        <v>0</v>
      </c>
      <c r="R287" s="9"/>
      <c r="S287" s="12"/>
      <c r="T287" s="12"/>
      <c r="U287" s="12"/>
      <c r="V287" s="12"/>
      <c r="W287" s="12"/>
      <c r="X287" s="12"/>
      <c r="Y287" s="12"/>
      <c r="Z287" s="12"/>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row>
    <row r="288" spans="1:64" ht="12" hidden="1" customHeight="1" outlineLevel="1">
      <c r="A288" s="9"/>
      <c r="B288" s="9"/>
      <c r="C288" s="9"/>
      <c r="D288" s="270">
        <f>Asset22</f>
        <v>0</v>
      </c>
      <c r="E288" s="9"/>
      <c r="F288" s="9"/>
      <c r="G288" s="9"/>
      <c r="H288" s="111"/>
      <c r="I288" s="111"/>
      <c r="J288" s="111"/>
      <c r="K288" s="111"/>
      <c r="L288" s="111">
        <f>IF(L$234&gt;0, IF(M$234=0, 'Adjustment for previous period'!$G97, 0), 0)</f>
        <v>0</v>
      </c>
      <c r="M288" s="111">
        <f>IF(M$234&gt;0, IF(N$234=0, 'Adjustment for previous period'!$G97, 0), 0)</f>
        <v>0</v>
      </c>
      <c r="N288" s="111">
        <f>IF(N$234&gt;0, IF(O$234=0, 'Adjustment for previous period'!$G97, 0), 0)</f>
        <v>0</v>
      </c>
      <c r="O288" s="111">
        <f>IF(O$234&gt;0, IF(P$234=0, 'Adjustment for previous period'!$G97, 0), 0)</f>
        <v>0</v>
      </c>
      <c r="P288" s="111">
        <f>IF(P$234&gt;0, IF(Q$234=0, 'Adjustment for previous period'!$G97, 0), 0)</f>
        <v>0</v>
      </c>
      <c r="Q288" s="111">
        <f>IF(Q$234&gt;0, IF(R$234=0, 'Adjustment for previous period'!$G97, 0), 0)</f>
        <v>0</v>
      </c>
      <c r="R288" s="9"/>
      <c r="S288" s="12"/>
      <c r="T288" s="12"/>
      <c r="U288" s="12"/>
      <c r="V288" s="12"/>
      <c r="W288" s="12"/>
      <c r="X288" s="12"/>
      <c r="Y288" s="12"/>
      <c r="Z288" s="12"/>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21"/>
      <c r="BK288" s="221"/>
      <c r="BL288" s="221"/>
    </row>
    <row r="289" spans="1:64" ht="12" hidden="1" customHeight="1" outlineLevel="1">
      <c r="A289" s="9"/>
      <c r="B289" s="9"/>
      <c r="C289" s="9"/>
      <c r="D289" s="270">
        <f>Asset23</f>
        <v>0</v>
      </c>
      <c r="E289" s="9"/>
      <c r="F289" s="9"/>
      <c r="G289" s="9"/>
      <c r="H289" s="111"/>
      <c r="I289" s="111"/>
      <c r="J289" s="111"/>
      <c r="K289" s="111"/>
      <c r="L289" s="111">
        <f>IF(L$234&gt;0, IF(M$234=0, 'Adjustment for previous period'!$G98, 0), 0)</f>
        <v>0</v>
      </c>
      <c r="M289" s="111">
        <f>IF(M$234&gt;0, IF(N$234=0, 'Adjustment for previous period'!$G98, 0), 0)</f>
        <v>0</v>
      </c>
      <c r="N289" s="111">
        <f>IF(N$234&gt;0, IF(O$234=0, 'Adjustment for previous period'!$G98, 0), 0)</f>
        <v>0</v>
      </c>
      <c r="O289" s="111">
        <f>IF(O$234&gt;0, IF(P$234=0, 'Adjustment for previous period'!$G98, 0), 0)</f>
        <v>0</v>
      </c>
      <c r="P289" s="111">
        <f>IF(P$234&gt;0, IF(Q$234=0, 'Adjustment for previous period'!$G98, 0), 0)</f>
        <v>0</v>
      </c>
      <c r="Q289" s="111">
        <f>IF(Q$234&gt;0, IF(R$234=0, 'Adjustment for previous period'!$G98, 0), 0)</f>
        <v>0</v>
      </c>
      <c r="R289" s="9"/>
      <c r="S289" s="12"/>
      <c r="T289" s="12"/>
      <c r="U289" s="12"/>
      <c r="V289" s="12"/>
      <c r="W289" s="12"/>
      <c r="X289" s="12"/>
      <c r="Y289" s="12"/>
      <c r="Z289" s="12"/>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21"/>
      <c r="BK289" s="221"/>
      <c r="BL289" s="221"/>
    </row>
    <row r="290" spans="1:64" ht="12" hidden="1" customHeight="1" outlineLevel="1">
      <c r="A290" s="9"/>
      <c r="B290" s="9"/>
      <c r="C290" s="9"/>
      <c r="D290" s="270">
        <f>Asset24</f>
        <v>0</v>
      </c>
      <c r="E290" s="9"/>
      <c r="F290" s="9"/>
      <c r="G290" s="9"/>
      <c r="H290" s="111"/>
      <c r="I290" s="111"/>
      <c r="J290" s="111"/>
      <c r="K290" s="111"/>
      <c r="L290" s="111">
        <f>IF(L$234&gt;0, IF(M$234=0, 'Adjustment for previous period'!$G99, 0), 0)</f>
        <v>0</v>
      </c>
      <c r="M290" s="111">
        <f>IF(M$234&gt;0, IF(N$234=0, 'Adjustment for previous period'!$G99, 0), 0)</f>
        <v>0</v>
      </c>
      <c r="N290" s="111">
        <f>IF(N$234&gt;0, IF(O$234=0, 'Adjustment for previous period'!$G99, 0), 0)</f>
        <v>0</v>
      </c>
      <c r="O290" s="111">
        <f>IF(O$234&gt;0, IF(P$234=0, 'Adjustment for previous period'!$G99, 0), 0)</f>
        <v>0</v>
      </c>
      <c r="P290" s="111">
        <f>IF(P$234&gt;0, IF(Q$234=0, 'Adjustment for previous period'!$G99, 0), 0)</f>
        <v>0</v>
      </c>
      <c r="Q290" s="111">
        <f>IF(Q$234&gt;0, IF(R$234=0, 'Adjustment for previous period'!$G99, 0), 0)</f>
        <v>0</v>
      </c>
      <c r="R290" s="9"/>
      <c r="S290" s="12"/>
      <c r="T290" s="12"/>
      <c r="U290" s="12"/>
      <c r="V290" s="12"/>
      <c r="W290" s="12"/>
      <c r="X290" s="12"/>
      <c r="Y290" s="12"/>
      <c r="Z290" s="12"/>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row>
    <row r="291" spans="1:64" ht="12" hidden="1" customHeight="1" outlineLevel="1">
      <c r="A291" s="9"/>
      <c r="B291" s="9"/>
      <c r="C291" s="9"/>
      <c r="D291" s="270">
        <f>Asset25</f>
        <v>0</v>
      </c>
      <c r="E291" s="9"/>
      <c r="F291" s="9"/>
      <c r="G291" s="9"/>
      <c r="H291" s="111"/>
      <c r="I291" s="111"/>
      <c r="J291" s="111"/>
      <c r="K291" s="111"/>
      <c r="L291" s="111">
        <f>IF(L$234&gt;0, IF(M$234=0, 'Adjustment for previous period'!$G100, 0), 0)</f>
        <v>0</v>
      </c>
      <c r="M291" s="111">
        <f>IF(M$234&gt;0, IF(N$234=0, 'Adjustment for previous period'!$G100, 0), 0)</f>
        <v>0</v>
      </c>
      <c r="N291" s="111">
        <f>IF(N$234&gt;0, IF(O$234=0, 'Adjustment for previous period'!$G100, 0), 0)</f>
        <v>0</v>
      </c>
      <c r="O291" s="111">
        <f>IF(O$234&gt;0, IF(P$234=0, 'Adjustment for previous period'!$G100, 0), 0)</f>
        <v>0</v>
      </c>
      <c r="P291" s="111">
        <f>IF(P$234&gt;0, IF(Q$234=0, 'Adjustment for previous period'!$G100, 0), 0)</f>
        <v>0</v>
      </c>
      <c r="Q291" s="111">
        <f>IF(Q$234&gt;0, IF(R$234=0, 'Adjustment for previous period'!$G100, 0), 0)</f>
        <v>0</v>
      </c>
      <c r="R291" s="9"/>
      <c r="S291" s="12"/>
      <c r="T291" s="12"/>
      <c r="U291" s="12"/>
      <c r="V291" s="12"/>
      <c r="W291" s="12"/>
      <c r="X291" s="12"/>
      <c r="Y291" s="12"/>
      <c r="Z291" s="12"/>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21"/>
      <c r="BK291" s="221"/>
      <c r="BL291" s="221"/>
    </row>
    <row r="292" spans="1:64" ht="12" hidden="1" customHeight="1" outlineLevel="1">
      <c r="A292" s="9"/>
      <c r="B292" s="9"/>
      <c r="C292" s="9"/>
      <c r="D292" s="270">
        <f>Asset26</f>
        <v>0</v>
      </c>
      <c r="E292" s="9"/>
      <c r="F292" s="9"/>
      <c r="G292" s="9"/>
      <c r="H292" s="111"/>
      <c r="I292" s="111"/>
      <c r="J292" s="111"/>
      <c r="K292" s="111"/>
      <c r="L292" s="111">
        <f>IF(L$234&gt;0, IF(M$234=0, 'Adjustment for previous period'!$G101, 0), 0)</f>
        <v>0</v>
      </c>
      <c r="M292" s="111">
        <f>IF(M$234&gt;0, IF(N$234=0, 'Adjustment for previous period'!$G101, 0), 0)</f>
        <v>0</v>
      </c>
      <c r="N292" s="111">
        <f>IF(N$234&gt;0, IF(O$234=0, 'Adjustment for previous period'!$G101, 0), 0)</f>
        <v>0</v>
      </c>
      <c r="O292" s="111">
        <f>IF(O$234&gt;0, IF(P$234=0, 'Adjustment for previous period'!$G101, 0), 0)</f>
        <v>0</v>
      </c>
      <c r="P292" s="111">
        <f>IF(P$234&gt;0, IF(Q$234=0, 'Adjustment for previous period'!$G101, 0), 0)</f>
        <v>0</v>
      </c>
      <c r="Q292" s="111">
        <f>IF(Q$234&gt;0, IF(R$234=0, 'Adjustment for previous period'!$G101, 0), 0)</f>
        <v>0</v>
      </c>
      <c r="R292" s="9"/>
      <c r="S292" s="12"/>
      <c r="T292" s="12"/>
      <c r="U292" s="12"/>
      <c r="V292" s="12"/>
      <c r="W292" s="12"/>
      <c r="X292" s="12"/>
      <c r="Y292" s="12"/>
      <c r="Z292" s="12"/>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21"/>
      <c r="BK292" s="221"/>
      <c r="BL292" s="221"/>
    </row>
    <row r="293" spans="1:64" ht="12" hidden="1" customHeight="1" outlineLevel="1">
      <c r="A293" s="9"/>
      <c r="B293" s="9"/>
      <c r="C293" s="9"/>
      <c r="D293" s="270">
        <f>Asset27</f>
        <v>0</v>
      </c>
      <c r="E293" s="9"/>
      <c r="F293" s="9"/>
      <c r="G293" s="9"/>
      <c r="H293" s="111"/>
      <c r="I293" s="111"/>
      <c r="J293" s="111"/>
      <c r="K293" s="111"/>
      <c r="L293" s="111">
        <f>IF(L$234&gt;0, IF(M$234=0, 'Adjustment for previous period'!$G102, 0), 0)</f>
        <v>0</v>
      </c>
      <c r="M293" s="111">
        <f>IF(M$234&gt;0, IF(N$234=0, 'Adjustment for previous period'!$G102, 0), 0)</f>
        <v>0</v>
      </c>
      <c r="N293" s="111">
        <f>IF(N$234&gt;0, IF(O$234=0, 'Adjustment for previous period'!$G102, 0), 0)</f>
        <v>0</v>
      </c>
      <c r="O293" s="111">
        <f>IF(O$234&gt;0, IF(P$234=0, 'Adjustment for previous period'!$G102, 0), 0)</f>
        <v>0</v>
      </c>
      <c r="P293" s="111">
        <f>IF(P$234&gt;0, IF(Q$234=0, 'Adjustment for previous period'!$G102, 0), 0)</f>
        <v>0</v>
      </c>
      <c r="Q293" s="111">
        <f>IF(Q$234&gt;0, IF(R$234=0, 'Adjustment for previous period'!$G102, 0), 0)</f>
        <v>0</v>
      </c>
      <c r="R293" s="9"/>
      <c r="S293" s="12"/>
      <c r="T293" s="12"/>
      <c r="U293" s="12"/>
      <c r="V293" s="12"/>
      <c r="W293" s="12"/>
      <c r="X293" s="12"/>
      <c r="Y293" s="12"/>
      <c r="Z293" s="12"/>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21"/>
      <c r="BK293" s="221"/>
      <c r="BL293" s="221"/>
    </row>
    <row r="294" spans="1:64" ht="12" hidden="1" customHeight="1" outlineLevel="1">
      <c r="A294" s="9"/>
      <c r="B294" s="9"/>
      <c r="C294" s="9"/>
      <c r="D294" s="270">
        <f>Asset28</f>
        <v>0</v>
      </c>
      <c r="E294" s="9"/>
      <c r="F294" s="9"/>
      <c r="G294" s="9"/>
      <c r="H294" s="111"/>
      <c r="I294" s="111"/>
      <c r="J294" s="111"/>
      <c r="K294" s="111"/>
      <c r="L294" s="111">
        <f>IF(L$234&gt;0, IF(M$234=0, 'Adjustment for previous period'!$G103, 0), 0)</f>
        <v>0</v>
      </c>
      <c r="M294" s="111">
        <f>IF(M$234&gt;0, IF(N$234=0, 'Adjustment for previous period'!$G103, 0), 0)</f>
        <v>0</v>
      </c>
      <c r="N294" s="111">
        <f>IF(N$234&gt;0, IF(O$234=0, 'Adjustment for previous period'!$G103, 0), 0)</f>
        <v>0</v>
      </c>
      <c r="O294" s="111">
        <f>IF(O$234&gt;0, IF(P$234=0, 'Adjustment for previous period'!$G103, 0), 0)</f>
        <v>0</v>
      </c>
      <c r="P294" s="111">
        <f>IF(P$234&gt;0, IF(Q$234=0, 'Adjustment for previous period'!$G103, 0), 0)</f>
        <v>0</v>
      </c>
      <c r="Q294" s="111">
        <f>IF(Q$234&gt;0, IF(R$234=0, 'Adjustment for previous period'!$G103, 0), 0)</f>
        <v>0</v>
      </c>
      <c r="R294" s="9"/>
      <c r="S294" s="12"/>
      <c r="T294" s="12"/>
      <c r="U294" s="12"/>
      <c r="V294" s="12"/>
      <c r="W294" s="12"/>
      <c r="X294" s="12"/>
      <c r="Y294" s="12"/>
      <c r="Z294" s="12"/>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21"/>
      <c r="BK294" s="221"/>
      <c r="BL294" s="221"/>
    </row>
    <row r="295" spans="1:64" ht="12" hidden="1" customHeight="1" outlineLevel="1">
      <c r="A295" s="9"/>
      <c r="B295" s="9"/>
      <c r="C295" s="9"/>
      <c r="D295" s="270">
        <f>Asset29</f>
        <v>0</v>
      </c>
      <c r="E295" s="9"/>
      <c r="F295" s="9"/>
      <c r="G295" s="9"/>
      <c r="H295" s="111"/>
      <c r="I295" s="111"/>
      <c r="J295" s="111"/>
      <c r="K295" s="111"/>
      <c r="L295" s="111">
        <f>IF(L$234&gt;0, IF(M$234=0, 'Adjustment for previous period'!$G104, 0), 0)</f>
        <v>0</v>
      </c>
      <c r="M295" s="111">
        <f>IF(M$234&gt;0, IF(N$234=0, 'Adjustment for previous period'!$G104, 0), 0)</f>
        <v>0</v>
      </c>
      <c r="N295" s="111">
        <f>IF(N$234&gt;0, IF(O$234=0, 'Adjustment for previous period'!$G104, 0), 0)</f>
        <v>0</v>
      </c>
      <c r="O295" s="111">
        <f>IF(O$234&gt;0, IF(P$234=0, 'Adjustment for previous period'!$G104, 0), 0)</f>
        <v>0</v>
      </c>
      <c r="P295" s="111">
        <f>IF(P$234&gt;0, IF(Q$234=0, 'Adjustment for previous period'!$G104, 0), 0)</f>
        <v>0</v>
      </c>
      <c r="Q295" s="111">
        <f>IF(Q$234&gt;0, IF(R$234=0, 'Adjustment for previous period'!$G104, 0), 0)</f>
        <v>0</v>
      </c>
      <c r="R295" s="9"/>
      <c r="S295" s="12"/>
      <c r="T295" s="12"/>
      <c r="U295" s="12"/>
      <c r="V295" s="12"/>
      <c r="W295" s="12"/>
      <c r="X295" s="12"/>
      <c r="Y295" s="12"/>
      <c r="Z295" s="12"/>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21"/>
      <c r="BK295" s="221"/>
      <c r="BL295" s="221"/>
    </row>
    <row r="296" spans="1:64" ht="12" hidden="1" customHeight="1" outlineLevel="1">
      <c r="A296" s="9"/>
      <c r="B296" s="9"/>
      <c r="C296" s="9"/>
      <c r="D296" s="270">
        <f>Asset30</f>
        <v>0</v>
      </c>
      <c r="E296" s="9"/>
      <c r="F296" s="9"/>
      <c r="G296" s="9"/>
      <c r="H296" s="111"/>
      <c r="I296" s="111"/>
      <c r="J296" s="111"/>
      <c r="K296" s="111"/>
      <c r="L296" s="111">
        <f>IF(L$234&gt;0, IF(M$234=0, 'Adjustment for previous period'!$G105, 0), 0)</f>
        <v>0</v>
      </c>
      <c r="M296" s="111">
        <f>IF(M$234&gt;0, IF(N$234=0, 'Adjustment for previous period'!$G105, 0), 0)</f>
        <v>0</v>
      </c>
      <c r="N296" s="111">
        <f>IF(N$234&gt;0, IF(O$234=0, 'Adjustment for previous period'!$G105, 0), 0)</f>
        <v>0</v>
      </c>
      <c r="O296" s="111">
        <f>IF(O$234&gt;0, IF(P$234=0, 'Adjustment for previous period'!$G105, 0), 0)</f>
        <v>0</v>
      </c>
      <c r="P296" s="111">
        <f>IF(P$234&gt;0, IF(Q$234=0, 'Adjustment for previous period'!$G105, 0), 0)</f>
        <v>0</v>
      </c>
      <c r="Q296" s="111">
        <f>IF(Q$234&gt;0, IF(R$234=0, 'Adjustment for previous period'!$G105, 0), 0)</f>
        <v>0</v>
      </c>
      <c r="R296" s="9"/>
      <c r="S296" s="12"/>
      <c r="T296" s="12"/>
      <c r="U296" s="12"/>
      <c r="V296" s="12"/>
      <c r="W296" s="12"/>
      <c r="X296" s="12"/>
      <c r="Y296" s="12"/>
      <c r="Z296" s="12"/>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21"/>
      <c r="BK296" s="221"/>
      <c r="BL296" s="221"/>
    </row>
    <row r="297" spans="1:64" ht="12" customHeight="1" collapsed="1">
      <c r="A297" s="9"/>
      <c r="B297" s="9"/>
      <c r="C297" s="9"/>
      <c r="D297" s="9"/>
      <c r="E297" s="9"/>
      <c r="F297" s="9"/>
      <c r="G297" s="9"/>
      <c r="H297" s="9"/>
      <c r="I297" s="9"/>
      <c r="J297" s="9"/>
      <c r="K297" s="9"/>
      <c r="L297" s="9"/>
      <c r="M297" s="9"/>
      <c r="N297" s="12"/>
      <c r="O297" s="9"/>
      <c r="P297" s="9"/>
      <c r="Q297" s="9"/>
      <c r="R297" s="9"/>
      <c r="S297" s="12"/>
      <c r="T297" s="12"/>
      <c r="U297" s="12"/>
      <c r="V297" s="12"/>
      <c r="W297" s="12"/>
      <c r="X297" s="12"/>
      <c r="Y297" s="12"/>
      <c r="Z297" s="12"/>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221"/>
      <c r="BK297" s="221"/>
      <c r="BL297" s="221"/>
    </row>
    <row r="298" spans="1:64" ht="12" customHeight="1">
      <c r="A298" s="9"/>
      <c r="B298" s="12"/>
      <c r="C298" s="90" t="s">
        <v>55</v>
      </c>
      <c r="D298" s="12"/>
      <c r="E298" s="12"/>
      <c r="F298" s="12"/>
      <c r="G298" s="114"/>
      <c r="H298" s="118"/>
      <c r="I298" s="118"/>
      <c r="J298" s="118"/>
      <c r="K298" s="118"/>
      <c r="L298" s="118">
        <f t="shared" ref="L298:Q298" si="15">SUM(L299:L328)</f>
        <v>0</v>
      </c>
      <c r="M298" s="118">
        <f t="shared" si="15"/>
        <v>22.683907537361751</v>
      </c>
      <c r="N298" s="118">
        <f t="shared" si="15"/>
        <v>0</v>
      </c>
      <c r="O298" s="118">
        <f t="shared" si="15"/>
        <v>0</v>
      </c>
      <c r="P298" s="118">
        <f t="shared" si="15"/>
        <v>0</v>
      </c>
      <c r="Q298" s="118">
        <f t="shared" si="15"/>
        <v>0</v>
      </c>
      <c r="R298" s="9"/>
      <c r="S298" s="12"/>
      <c r="T298" s="12"/>
      <c r="U298" s="12"/>
      <c r="V298" s="12"/>
      <c r="W298" s="12"/>
      <c r="X298" s="12"/>
      <c r="Y298" s="12"/>
      <c r="Z298" s="12"/>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221"/>
      <c r="BK298" s="221"/>
      <c r="BL298" s="221"/>
    </row>
    <row r="299" spans="1:64" ht="12" hidden="1" customHeight="1" outlineLevel="1">
      <c r="A299" s="9"/>
      <c r="B299" s="9"/>
      <c r="C299" s="9"/>
      <c r="D299" s="270" t="str">
        <f>Asset1</f>
        <v>Secondary</v>
      </c>
      <c r="E299" s="9"/>
      <c r="F299" s="9"/>
      <c r="G299" s="9"/>
      <c r="H299" s="111"/>
      <c r="I299" s="111"/>
      <c r="J299" s="111"/>
      <c r="K299" s="111"/>
      <c r="L299" s="111">
        <f>IF(M$234=0, 'Adjustment for previous period'!L109, 0)</f>
        <v>0</v>
      </c>
      <c r="M299" s="111">
        <f>IF(N$234=0, 'Adjustment for previous period'!M109, 0)</f>
        <v>3.9806943780818274</v>
      </c>
      <c r="N299" s="111">
        <f>IF(O$234=0, 'Adjustment for previous period'!N109, 0)</f>
        <v>0</v>
      </c>
      <c r="O299" s="111">
        <f>IF(P$234=0, 'Adjustment for previous period'!O109, 0)</f>
        <v>0</v>
      </c>
      <c r="P299" s="111">
        <f>IF(Q$234=0, 'Adjustment for previous period'!P109, 0)</f>
        <v>0</v>
      </c>
      <c r="Q299" s="111">
        <f>IF(R$234=0, 'Adjustment for previous period'!Q109, 0)</f>
        <v>0</v>
      </c>
      <c r="R299" s="9"/>
      <c r="S299" s="12"/>
      <c r="T299" s="12"/>
      <c r="U299" s="12"/>
      <c r="V299" s="12"/>
      <c r="W299" s="12"/>
      <c r="X299" s="12"/>
      <c r="Y299" s="12"/>
      <c r="Z299" s="12"/>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221"/>
      <c r="BK299" s="221"/>
      <c r="BL299" s="221"/>
    </row>
    <row r="300" spans="1:64" hidden="1" outlineLevel="1">
      <c r="A300" s="9"/>
      <c r="B300" s="9"/>
      <c r="C300" s="9"/>
      <c r="D300" s="270" t="str">
        <f>Asset2</f>
        <v>Switchgear</v>
      </c>
      <c r="E300" s="9"/>
      <c r="F300" s="9"/>
      <c r="G300" s="9"/>
      <c r="H300" s="111"/>
      <c r="I300" s="111"/>
      <c r="J300" s="111"/>
      <c r="K300" s="111"/>
      <c r="L300" s="111">
        <f>IF(M$234=0, 'Adjustment for previous period'!L111, 0)</f>
        <v>0</v>
      </c>
      <c r="M300" s="111">
        <f>IF(N$234=0, 'Adjustment for previous period'!M111, 0)</f>
        <v>7.6916567367335267</v>
      </c>
      <c r="N300" s="111">
        <f>IF(O$234=0, 'Adjustment for previous period'!N111, 0)</f>
        <v>0</v>
      </c>
      <c r="O300" s="111">
        <f>IF(P$234=0, 'Adjustment for previous period'!O111, 0)</f>
        <v>0</v>
      </c>
      <c r="P300" s="111">
        <f>IF(Q$234=0, 'Adjustment for previous period'!P111, 0)</f>
        <v>0</v>
      </c>
      <c r="Q300" s="111">
        <f>IF(R$234=0, 'Adjustment for previous period'!Q111, 0)</f>
        <v>0</v>
      </c>
      <c r="R300" s="29"/>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8"/>
      <c r="BK300" s="221"/>
      <c r="BL300" s="221"/>
    </row>
    <row r="301" spans="1:64" ht="12" hidden="1" customHeight="1" outlineLevel="1">
      <c r="A301" s="9"/>
      <c r="B301" s="9"/>
      <c r="C301" s="9"/>
      <c r="D301" s="270" t="str">
        <f>Asset3</f>
        <v>Transformers</v>
      </c>
      <c r="E301" s="9"/>
      <c r="F301" s="9"/>
      <c r="G301" s="9"/>
      <c r="H301" s="111"/>
      <c r="I301" s="111"/>
      <c r="J301" s="111"/>
      <c r="K301" s="111"/>
      <c r="L301" s="111">
        <f>IF(M$234=0, 'Adjustment for previous period'!L113, 0)</f>
        <v>0</v>
      </c>
      <c r="M301" s="111">
        <f>IF(N$234=0, 'Adjustment for previous period'!M113, 0)</f>
        <v>4.1621685616961148</v>
      </c>
      <c r="N301" s="111">
        <f>IF(O$234=0, 'Adjustment for previous period'!N113, 0)</f>
        <v>0</v>
      </c>
      <c r="O301" s="111">
        <f>IF(P$234=0, 'Adjustment for previous period'!O113, 0)</f>
        <v>0</v>
      </c>
      <c r="P301" s="111">
        <f>IF(Q$234=0, 'Adjustment for previous period'!P113, 0)</f>
        <v>0</v>
      </c>
      <c r="Q301" s="111">
        <f>IF(R$234=0, 'Adjustment for previous period'!Q113, 0)</f>
        <v>0</v>
      </c>
      <c r="R301" s="9"/>
      <c r="S301" s="12"/>
      <c r="T301" s="12"/>
      <c r="U301" s="12"/>
      <c r="V301" s="12"/>
      <c r="W301" s="12"/>
      <c r="X301" s="12"/>
      <c r="Y301" s="12"/>
      <c r="Z301" s="12"/>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21"/>
      <c r="BK301" s="221"/>
      <c r="BL301" s="221"/>
    </row>
    <row r="302" spans="1:64" ht="12" hidden="1" customHeight="1" outlineLevel="1">
      <c r="A302" s="9"/>
      <c r="B302" s="9"/>
      <c r="C302" s="9"/>
      <c r="D302" s="270" t="str">
        <f>Asset4</f>
        <v>Reactive</v>
      </c>
      <c r="E302" s="9"/>
      <c r="F302" s="9"/>
      <c r="G302" s="9"/>
      <c r="H302" s="111"/>
      <c r="I302" s="111"/>
      <c r="J302" s="111"/>
      <c r="K302" s="111"/>
      <c r="L302" s="111">
        <f>IF(M$234=0, 'Adjustment for previous period'!L115, 0)</f>
        <v>0</v>
      </c>
      <c r="M302" s="111">
        <f>IF(N$234=0, 'Adjustment for previous period'!M115, 0)</f>
        <v>-0.38646647571240178</v>
      </c>
      <c r="N302" s="111">
        <f>IF(O$234=0, 'Adjustment for previous period'!N115, 0)</f>
        <v>0</v>
      </c>
      <c r="O302" s="111">
        <f>IF(P$234=0, 'Adjustment for previous period'!O115, 0)</f>
        <v>0</v>
      </c>
      <c r="P302" s="111">
        <f>IF(Q$234=0, 'Adjustment for previous period'!P115, 0)</f>
        <v>0</v>
      </c>
      <c r="Q302" s="111">
        <f>IF(R$234=0, 'Adjustment for previous period'!Q115, 0)</f>
        <v>0</v>
      </c>
      <c r="R302" s="9"/>
      <c r="S302" s="12"/>
      <c r="T302" s="12"/>
      <c r="U302" s="12"/>
      <c r="V302" s="12"/>
      <c r="W302" s="12"/>
      <c r="X302" s="12"/>
      <c r="Y302" s="12"/>
      <c r="Z302" s="12"/>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row>
    <row r="303" spans="1:64" ht="12" hidden="1" customHeight="1" outlineLevel="1">
      <c r="A303" s="9"/>
      <c r="B303" s="9"/>
      <c r="C303" s="9"/>
      <c r="D303" s="270" t="str">
        <f>Asset5</f>
        <v>Towers and Conductor</v>
      </c>
      <c r="E303" s="9"/>
      <c r="F303" s="9"/>
      <c r="G303" s="9"/>
      <c r="H303" s="111"/>
      <c r="I303" s="111"/>
      <c r="J303" s="111"/>
      <c r="K303" s="111"/>
      <c r="L303" s="111">
        <f>IF(M$234=0, 'Adjustment for previous period'!L117, 0)</f>
        <v>0</v>
      </c>
      <c r="M303" s="111">
        <f>IF(N$234=0, 'Adjustment for previous period'!M117, 0)</f>
        <v>0.55463513031771838</v>
      </c>
      <c r="N303" s="111">
        <f>IF(O$234=0, 'Adjustment for previous period'!N117, 0)</f>
        <v>0</v>
      </c>
      <c r="O303" s="111">
        <f>IF(P$234=0, 'Adjustment for previous period'!O117, 0)</f>
        <v>0</v>
      </c>
      <c r="P303" s="111">
        <f>IF(Q$234=0, 'Adjustment for previous period'!P117, 0)</f>
        <v>0</v>
      </c>
      <c r="Q303" s="111">
        <f>IF(R$234=0, 'Adjustment for previous period'!Q117, 0)</f>
        <v>0</v>
      </c>
      <c r="R303" s="9"/>
      <c r="S303" s="12"/>
      <c r="T303" s="12"/>
      <c r="U303" s="12"/>
      <c r="V303" s="12"/>
      <c r="W303" s="12"/>
      <c r="X303" s="12"/>
      <c r="Y303" s="12"/>
      <c r="Z303" s="12"/>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21"/>
      <c r="BK303" s="221"/>
      <c r="BL303" s="221"/>
    </row>
    <row r="304" spans="1:64" hidden="1" outlineLevel="1">
      <c r="A304" s="9"/>
      <c r="B304" s="9"/>
      <c r="C304" s="9"/>
      <c r="D304" s="270" t="str">
        <f>Asset6</f>
        <v>Establishment</v>
      </c>
      <c r="E304" s="9"/>
      <c r="F304" s="9"/>
      <c r="G304" s="9"/>
      <c r="H304" s="111"/>
      <c r="I304" s="111"/>
      <c r="J304" s="111"/>
      <c r="K304" s="111"/>
      <c r="L304" s="111">
        <f>IF(M$234=0, 'Adjustment for previous period'!L119, 0)</f>
        <v>0</v>
      </c>
      <c r="M304" s="111">
        <f>IF(N$234=0, 'Adjustment for previous period'!M119, 0)</f>
        <v>1.1824062874608523</v>
      </c>
      <c r="N304" s="111">
        <f>IF(O$234=0, 'Adjustment for previous period'!N119, 0)</f>
        <v>0</v>
      </c>
      <c r="O304" s="111">
        <f>IF(P$234=0, 'Adjustment for previous period'!O119, 0)</f>
        <v>0</v>
      </c>
      <c r="P304" s="111">
        <f>IF(Q$234=0, 'Adjustment for previous period'!P119, 0)</f>
        <v>0</v>
      </c>
      <c r="Q304" s="111">
        <f>IF(R$234=0, 'Adjustment for previous period'!Q119, 0)</f>
        <v>0</v>
      </c>
      <c r="R304" s="9"/>
      <c r="S304" s="12"/>
      <c r="T304" s="12"/>
      <c r="U304" s="12"/>
      <c r="V304" s="12"/>
      <c r="W304" s="12"/>
      <c r="X304" s="12"/>
      <c r="Y304" s="12"/>
      <c r="Z304" s="12"/>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row>
    <row r="305" spans="1:64" hidden="1" outlineLevel="1">
      <c r="A305" s="9"/>
      <c r="B305" s="9"/>
      <c r="C305" s="9"/>
      <c r="D305" s="270" t="str">
        <f>Asset7</f>
        <v>Communications</v>
      </c>
      <c r="E305" s="9"/>
      <c r="F305" s="9"/>
      <c r="G305" s="9"/>
      <c r="H305" s="111"/>
      <c r="I305" s="111"/>
      <c r="J305" s="111"/>
      <c r="K305" s="111"/>
      <c r="L305" s="111">
        <f>IF(M$234=0, 'Adjustment for previous period'!L121, 0)</f>
        <v>0</v>
      </c>
      <c r="M305" s="111">
        <f>IF(N$234=0, 'Adjustment for previous period'!M121, 0)</f>
        <v>-1.7312423467238049</v>
      </c>
      <c r="N305" s="111">
        <f>IF(O$234=0, 'Adjustment for previous period'!N121, 0)</f>
        <v>0</v>
      </c>
      <c r="O305" s="111">
        <f>IF(P$234=0, 'Adjustment for previous period'!O121, 0)</f>
        <v>0</v>
      </c>
      <c r="P305" s="111">
        <f>IF(Q$234=0, 'Adjustment for previous period'!P121, 0)</f>
        <v>0</v>
      </c>
      <c r="Q305" s="111">
        <f>IF(R$234=0, 'Adjustment for previous period'!Q121, 0)</f>
        <v>0</v>
      </c>
      <c r="R305" s="9"/>
      <c r="S305" s="9"/>
      <c r="T305" s="9"/>
      <c r="U305" s="9"/>
      <c r="V305" s="9"/>
      <c r="W305" s="9"/>
      <c r="X305" s="9"/>
      <c r="Y305" s="9"/>
      <c r="Z305" s="9"/>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row>
    <row r="306" spans="1:64" hidden="1" outlineLevel="1">
      <c r="A306" s="9"/>
      <c r="B306" s="9"/>
      <c r="C306" s="9"/>
      <c r="D306" s="270" t="str">
        <f>Asset8</f>
        <v>Inventory</v>
      </c>
      <c r="E306" s="9"/>
      <c r="F306" s="9"/>
      <c r="G306" s="9"/>
      <c r="H306" s="111"/>
      <c r="I306" s="111"/>
      <c r="J306" s="111"/>
      <c r="K306" s="111"/>
      <c r="L306" s="111">
        <f>IF(M$234=0, 'Adjustment for previous period'!L123, 0)</f>
        <v>0</v>
      </c>
      <c r="M306" s="111">
        <f>IF(N$234=0, 'Adjustment for previous period'!M123, 0)</f>
        <v>-0.2223715202646781</v>
      </c>
      <c r="N306" s="111">
        <f>IF(O$234=0, 'Adjustment for previous period'!N123, 0)</f>
        <v>0</v>
      </c>
      <c r="O306" s="111">
        <f>IF(P$234=0, 'Adjustment for previous period'!O123, 0)</f>
        <v>0</v>
      </c>
      <c r="P306" s="111">
        <f>IF(Q$234=0, 'Adjustment for previous period'!P123, 0)</f>
        <v>0</v>
      </c>
      <c r="Q306" s="111">
        <f>IF(R$234=0, 'Adjustment for previous period'!Q123, 0)</f>
        <v>0</v>
      </c>
      <c r="R306" s="9"/>
      <c r="S306" s="9"/>
      <c r="T306" s="9"/>
      <c r="U306" s="9"/>
      <c r="V306" s="9"/>
      <c r="W306" s="9"/>
      <c r="X306" s="9"/>
      <c r="Y306" s="9"/>
      <c r="Z306" s="9"/>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row>
    <row r="307" spans="1:64" hidden="1" outlineLevel="1">
      <c r="A307" s="9"/>
      <c r="B307" s="9"/>
      <c r="C307" s="9"/>
      <c r="D307" s="270" t="str">
        <f>Asset9</f>
        <v>IT</v>
      </c>
      <c r="E307" s="9"/>
      <c r="F307" s="9"/>
      <c r="G307" s="9"/>
      <c r="H307" s="111"/>
      <c r="I307" s="111"/>
      <c r="J307" s="111"/>
      <c r="K307" s="111"/>
      <c r="L307" s="111">
        <f>IF(M$234=0, 'Adjustment for previous period'!L125, 0)</f>
        <v>0</v>
      </c>
      <c r="M307" s="111">
        <f>IF(N$234=0, 'Adjustment for previous period'!M125, 0)</f>
        <v>5.9245051359703744</v>
      </c>
      <c r="N307" s="111">
        <f>IF(O$234=0, 'Adjustment for previous period'!N125, 0)</f>
        <v>0</v>
      </c>
      <c r="O307" s="111">
        <f>IF(P$234=0, 'Adjustment for previous period'!O125, 0)</f>
        <v>0</v>
      </c>
      <c r="P307" s="111">
        <f>IF(Q$234=0, 'Adjustment for previous period'!P125, 0)</f>
        <v>0</v>
      </c>
      <c r="Q307" s="111">
        <f>IF(R$234=0, 'Adjustment for previous period'!Q125, 0)</f>
        <v>0</v>
      </c>
      <c r="R307" s="9"/>
      <c r="S307" s="9"/>
      <c r="T307" s="9"/>
      <c r="U307" s="9"/>
      <c r="V307" s="9"/>
      <c r="W307" s="9"/>
      <c r="X307" s="9"/>
      <c r="Y307" s="9"/>
      <c r="Z307" s="9"/>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row>
    <row r="308" spans="1:64" hidden="1" outlineLevel="1">
      <c r="A308" s="9"/>
      <c r="B308" s="9"/>
      <c r="C308" s="9"/>
      <c r="D308" s="270" t="str">
        <f>Asset10</f>
        <v>Vehicles</v>
      </c>
      <c r="E308" s="9"/>
      <c r="F308" s="9"/>
      <c r="G308" s="9"/>
      <c r="H308" s="111"/>
      <c r="I308" s="111"/>
      <c r="J308" s="111"/>
      <c r="K308" s="111"/>
      <c r="L308" s="111">
        <f>IF(M$234=0, 'Adjustment for previous period'!L127, 0)</f>
        <v>0</v>
      </c>
      <c r="M308" s="111">
        <f>IF(N$234=0, 'Adjustment for previous period'!M127, 0)</f>
        <v>0.54973461539670165</v>
      </c>
      <c r="N308" s="111">
        <f>IF(O$234=0, 'Adjustment for previous period'!N127, 0)</f>
        <v>0</v>
      </c>
      <c r="O308" s="111">
        <f>IF(P$234=0, 'Adjustment for previous period'!O127, 0)</f>
        <v>0</v>
      </c>
      <c r="P308" s="111">
        <f>IF(Q$234=0, 'Adjustment for previous period'!P127, 0)</f>
        <v>0</v>
      </c>
      <c r="Q308" s="111">
        <f>IF(R$234=0, 'Adjustment for previous period'!Q127, 0)</f>
        <v>0</v>
      </c>
      <c r="R308" s="9"/>
      <c r="S308" s="9"/>
      <c r="T308" s="9"/>
      <c r="U308" s="9"/>
      <c r="V308" s="9"/>
      <c r="W308" s="9"/>
      <c r="X308" s="9"/>
      <c r="Y308" s="9"/>
      <c r="Z308" s="9"/>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row>
    <row r="309" spans="1:64" hidden="1" outlineLevel="1">
      <c r="A309" s="9"/>
      <c r="B309" s="9"/>
      <c r="C309" s="9"/>
      <c r="D309" s="270" t="str">
        <f>Asset11</f>
        <v>other</v>
      </c>
      <c r="E309" s="9"/>
      <c r="F309" s="9"/>
      <c r="G309" s="9"/>
      <c r="H309" s="111"/>
      <c r="I309" s="111"/>
      <c r="J309" s="111"/>
      <c r="K309" s="111"/>
      <c r="L309" s="111">
        <f>IF(M$234=0, 'Adjustment for previous period'!L129, 0)</f>
        <v>0</v>
      </c>
      <c r="M309" s="111">
        <f>IF(N$234=0, 'Adjustment for previous period'!M129, 0)</f>
        <v>1.350243805378563</v>
      </c>
      <c r="N309" s="111">
        <f>IF(O$234=0, 'Adjustment for previous period'!N129, 0)</f>
        <v>0</v>
      </c>
      <c r="O309" s="111">
        <f>IF(P$234=0, 'Adjustment for previous period'!O129, 0)</f>
        <v>0</v>
      </c>
      <c r="P309" s="111">
        <f>IF(Q$234=0, 'Adjustment for previous period'!P129, 0)</f>
        <v>0</v>
      </c>
      <c r="Q309" s="111">
        <f>IF(R$234=0, 'Adjustment for previous period'!Q129, 0)</f>
        <v>0</v>
      </c>
      <c r="R309" s="9"/>
      <c r="S309" s="9"/>
      <c r="T309" s="9"/>
      <c r="U309" s="9"/>
      <c r="V309" s="9"/>
      <c r="W309" s="9"/>
      <c r="X309" s="9"/>
      <c r="Y309" s="9"/>
      <c r="Z309" s="9"/>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row>
    <row r="310" spans="1:64" hidden="1" outlineLevel="1">
      <c r="A310" s="9"/>
      <c r="B310" s="9"/>
      <c r="C310" s="9"/>
      <c r="D310" s="270" t="str">
        <f>Asset12</f>
        <v>premises</v>
      </c>
      <c r="E310" s="9"/>
      <c r="F310" s="9"/>
      <c r="G310" s="9"/>
      <c r="H310" s="111"/>
      <c r="I310" s="111"/>
      <c r="J310" s="111"/>
      <c r="K310" s="111"/>
      <c r="L310" s="111">
        <f>IF(M$234=0, 'Adjustment for previous period'!L131, 0)</f>
        <v>0</v>
      </c>
      <c r="M310" s="111">
        <f>IF(N$234=0, 'Adjustment for previous period'!M131, 0)</f>
        <v>-0.37205677097304463</v>
      </c>
      <c r="N310" s="111">
        <f>IF(O$234=0, 'Adjustment for previous period'!N131, 0)</f>
        <v>0</v>
      </c>
      <c r="O310" s="111">
        <f>IF(P$234=0, 'Adjustment for previous period'!O131, 0)</f>
        <v>0</v>
      </c>
      <c r="P310" s="111">
        <f>IF(Q$234=0, 'Adjustment for previous period'!P131, 0)</f>
        <v>0</v>
      </c>
      <c r="Q310" s="111">
        <f>IF(R$234=0, 'Adjustment for previous period'!Q131, 0)</f>
        <v>0</v>
      </c>
      <c r="R310" s="9"/>
      <c r="S310" s="9"/>
      <c r="T310" s="9"/>
      <c r="U310" s="9"/>
      <c r="V310" s="9"/>
      <c r="W310" s="9"/>
      <c r="X310" s="9"/>
      <c r="Y310" s="9"/>
      <c r="Z310" s="9"/>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row>
    <row r="311" spans="1:64" hidden="1" outlineLevel="1">
      <c r="A311" s="9"/>
      <c r="B311" s="9"/>
      <c r="C311" s="9"/>
      <c r="D311" s="270" t="str">
        <f>Asset13</f>
        <v>Land</v>
      </c>
      <c r="E311" s="9"/>
      <c r="F311" s="9"/>
      <c r="G311" s="9"/>
      <c r="H311" s="111"/>
      <c r="I311" s="111"/>
      <c r="J311" s="111"/>
      <c r="K311" s="111"/>
      <c r="L311" s="111">
        <f>IF(M$234=0, 'Adjustment for previous period'!L133, 0)</f>
        <v>0</v>
      </c>
      <c r="M311" s="111">
        <f>IF(N$234=0, 'Adjustment for previous period'!M133, 0)</f>
        <v>0</v>
      </c>
      <c r="N311" s="111">
        <f>IF(O$234=0, 'Adjustment for previous period'!N133, 0)</f>
        <v>0</v>
      </c>
      <c r="O311" s="111">
        <f>IF(P$234=0, 'Adjustment for previous period'!O133, 0)</f>
        <v>0</v>
      </c>
      <c r="P311" s="111">
        <f>IF(Q$234=0, 'Adjustment for previous period'!P133, 0)</f>
        <v>0</v>
      </c>
      <c r="Q311" s="111">
        <f>IF(R$234=0, 'Adjustment for previous period'!Q133, 0)</f>
        <v>0</v>
      </c>
      <c r="R311" s="9"/>
      <c r="S311" s="9"/>
      <c r="T311" s="9"/>
      <c r="U311" s="9"/>
      <c r="V311" s="9"/>
      <c r="W311" s="9"/>
      <c r="X311" s="9"/>
      <c r="Y311" s="9"/>
      <c r="Z311" s="9"/>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row>
    <row r="312" spans="1:64" hidden="1" outlineLevel="1">
      <c r="A312" s="9"/>
      <c r="B312" s="9"/>
      <c r="C312" s="9"/>
      <c r="D312" s="270" t="str">
        <f>Asset14</f>
        <v>Easements</v>
      </c>
      <c r="E312" s="9"/>
      <c r="F312" s="9"/>
      <c r="G312" s="9"/>
      <c r="H312" s="111"/>
      <c r="I312" s="111"/>
      <c r="J312" s="111"/>
      <c r="K312" s="111"/>
      <c r="L312" s="111">
        <f>IF(M$234=0, 'Adjustment for previous period'!L135, 0)</f>
        <v>0</v>
      </c>
      <c r="M312" s="111">
        <f>IF(N$234=0, 'Adjustment for previous period'!M135, 0)</f>
        <v>0</v>
      </c>
      <c r="N312" s="111">
        <f>IF(O$234=0, 'Adjustment for previous period'!N135, 0)</f>
        <v>0</v>
      </c>
      <c r="O312" s="111">
        <f>IF(P$234=0, 'Adjustment for previous period'!O135, 0)</f>
        <v>0</v>
      </c>
      <c r="P312" s="111">
        <f>IF(Q$234=0, 'Adjustment for previous period'!P135, 0)</f>
        <v>0</v>
      </c>
      <c r="Q312" s="111">
        <f>IF(R$234=0, 'Adjustment for previous period'!Q135, 0)</f>
        <v>0</v>
      </c>
      <c r="R312" s="9"/>
      <c r="S312" s="9"/>
      <c r="T312" s="9"/>
      <c r="U312" s="9"/>
      <c r="V312" s="9"/>
      <c r="W312" s="9"/>
      <c r="X312" s="9"/>
      <c r="Y312" s="9"/>
      <c r="Z312" s="9"/>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row>
    <row r="313" spans="1:64" hidden="1" outlineLevel="1">
      <c r="A313" s="9"/>
      <c r="B313" s="9"/>
      <c r="C313" s="9"/>
      <c r="D313" s="270">
        <f>Asset15</f>
        <v>0</v>
      </c>
      <c r="E313" s="9"/>
      <c r="F313" s="9"/>
      <c r="G313" s="9"/>
      <c r="H313" s="111"/>
      <c r="I313" s="111"/>
      <c r="J313" s="111"/>
      <c r="K313" s="111"/>
      <c r="L313" s="111">
        <f>IF(M$234=0, 'Adjustment for previous period'!L137, 0)</f>
        <v>0</v>
      </c>
      <c r="M313" s="111">
        <f>IF(N$234=0, 'Adjustment for previous period'!M137, 0)</f>
        <v>0</v>
      </c>
      <c r="N313" s="111">
        <f>IF(O$234=0, 'Adjustment for previous period'!N137, 0)</f>
        <v>0</v>
      </c>
      <c r="O313" s="111">
        <f>IF(P$234=0, 'Adjustment for previous period'!O137, 0)</f>
        <v>0</v>
      </c>
      <c r="P313" s="111">
        <f>IF(Q$234=0, 'Adjustment for previous period'!P137, 0)</f>
        <v>0</v>
      </c>
      <c r="Q313" s="111">
        <f>IF(R$234=0, 'Adjustment for previous period'!Q137, 0)</f>
        <v>0</v>
      </c>
      <c r="R313" s="9"/>
      <c r="S313" s="9"/>
      <c r="T313" s="9"/>
      <c r="U313" s="9"/>
      <c r="V313" s="9"/>
      <c r="W313" s="9"/>
      <c r="X313" s="9"/>
      <c r="Y313" s="9"/>
      <c r="Z313" s="9"/>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row>
    <row r="314" spans="1:64" hidden="1" outlineLevel="1">
      <c r="A314" s="9"/>
      <c r="B314" s="9"/>
      <c r="C314" s="9"/>
      <c r="D314" s="270">
        <f>Asset16</f>
        <v>0</v>
      </c>
      <c r="E314" s="9"/>
      <c r="F314" s="9"/>
      <c r="G314" s="9"/>
      <c r="H314" s="111"/>
      <c r="I314" s="111"/>
      <c r="J314" s="111"/>
      <c r="K314" s="111"/>
      <c r="L314" s="111">
        <f>IF(M$234=0, 'Adjustment for previous period'!L139, 0)</f>
        <v>0</v>
      </c>
      <c r="M314" s="111">
        <f>IF(N$234=0, 'Adjustment for previous period'!M139, 0)</f>
        <v>0</v>
      </c>
      <c r="N314" s="111">
        <f>IF(O$234=0, 'Adjustment for previous period'!N139, 0)</f>
        <v>0</v>
      </c>
      <c r="O314" s="111">
        <f>IF(P$234=0, 'Adjustment for previous period'!O139, 0)</f>
        <v>0</v>
      </c>
      <c r="P314" s="111">
        <f>IF(Q$234=0, 'Adjustment for previous period'!P139, 0)</f>
        <v>0</v>
      </c>
      <c r="Q314" s="111">
        <f>IF(R$234=0, 'Adjustment for previous period'!Q139, 0)</f>
        <v>0</v>
      </c>
      <c r="R314" s="9"/>
      <c r="S314" s="9"/>
      <c r="T314" s="9"/>
      <c r="U314" s="9"/>
      <c r="V314" s="9"/>
      <c r="W314" s="9"/>
      <c r="X314" s="9"/>
      <c r="Y314" s="9"/>
      <c r="Z314" s="9"/>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row>
    <row r="315" spans="1:64" hidden="1" outlineLevel="1">
      <c r="A315" s="9"/>
      <c r="B315" s="9"/>
      <c r="C315" s="9"/>
      <c r="D315" s="270">
        <f>Asset17</f>
        <v>0</v>
      </c>
      <c r="E315" s="9"/>
      <c r="F315" s="9"/>
      <c r="G315" s="9"/>
      <c r="H315" s="111"/>
      <c r="I315" s="111"/>
      <c r="J315" s="111"/>
      <c r="K315" s="111"/>
      <c r="L315" s="111">
        <f>IF(M$234=0, 'Adjustment for previous period'!L141, 0)</f>
        <v>0</v>
      </c>
      <c r="M315" s="111">
        <f>IF(N$234=0, 'Adjustment for previous period'!M141, 0)</f>
        <v>0</v>
      </c>
      <c r="N315" s="111">
        <f>IF(O$234=0, 'Adjustment for previous period'!N141, 0)</f>
        <v>0</v>
      </c>
      <c r="O315" s="111">
        <f>IF(P$234=0, 'Adjustment for previous period'!O141, 0)</f>
        <v>0</v>
      </c>
      <c r="P315" s="111">
        <f>IF(Q$234=0, 'Adjustment for previous period'!P141, 0)</f>
        <v>0</v>
      </c>
      <c r="Q315" s="111">
        <f>IF(R$234=0, 'Adjustment for previous period'!Q141, 0)</f>
        <v>0</v>
      </c>
      <c r="R315" s="9"/>
      <c r="S315" s="9"/>
      <c r="T315" s="9"/>
      <c r="U315" s="9"/>
      <c r="V315" s="9"/>
      <c r="W315" s="9"/>
      <c r="X315" s="9"/>
      <c r="Y315" s="9"/>
      <c r="Z315" s="9"/>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row>
    <row r="316" spans="1:64" hidden="1" outlineLevel="1">
      <c r="A316" s="9"/>
      <c r="B316" s="9"/>
      <c r="C316" s="9"/>
      <c r="D316" s="270">
        <f>Asset18</f>
        <v>0</v>
      </c>
      <c r="E316" s="9"/>
      <c r="F316" s="9"/>
      <c r="G316" s="9"/>
      <c r="H316" s="111"/>
      <c r="I316" s="111"/>
      <c r="J316" s="111"/>
      <c r="K316" s="111"/>
      <c r="L316" s="111">
        <f>IF(M$234=0, 'Adjustment for previous period'!L143, 0)</f>
        <v>0</v>
      </c>
      <c r="M316" s="111">
        <f>IF(N$234=0, 'Adjustment for previous period'!M143, 0)</f>
        <v>0</v>
      </c>
      <c r="N316" s="111">
        <f>IF(O$234=0, 'Adjustment for previous period'!N143, 0)</f>
        <v>0</v>
      </c>
      <c r="O316" s="111">
        <f>IF(P$234=0, 'Adjustment for previous period'!O143, 0)</f>
        <v>0</v>
      </c>
      <c r="P316" s="111">
        <f>IF(Q$234=0, 'Adjustment for previous period'!P143, 0)</f>
        <v>0</v>
      </c>
      <c r="Q316" s="111">
        <f>IF(R$234=0, 'Adjustment for previous period'!Q143, 0)</f>
        <v>0</v>
      </c>
      <c r="R316" s="9"/>
      <c r="S316" s="9"/>
      <c r="T316" s="9"/>
      <c r="U316" s="9"/>
      <c r="V316" s="9"/>
      <c r="W316" s="9"/>
      <c r="X316" s="9"/>
      <c r="Y316" s="9"/>
      <c r="Z316" s="9"/>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row>
    <row r="317" spans="1:64" hidden="1" outlineLevel="1">
      <c r="A317" s="9"/>
      <c r="B317" s="9"/>
      <c r="C317" s="9"/>
      <c r="D317" s="270">
        <f>Asset19</f>
        <v>0</v>
      </c>
      <c r="E317" s="9"/>
      <c r="F317" s="9"/>
      <c r="G317" s="9"/>
      <c r="H317" s="111"/>
      <c r="I317" s="111"/>
      <c r="J317" s="111"/>
      <c r="K317" s="111"/>
      <c r="L317" s="111">
        <f>IF(M$234=0, 'Adjustment for previous period'!L145, 0)</f>
        <v>0</v>
      </c>
      <c r="M317" s="111">
        <f>IF(N$234=0, 'Adjustment for previous period'!M145, 0)</f>
        <v>0</v>
      </c>
      <c r="N317" s="111">
        <f>IF(O$234=0, 'Adjustment for previous period'!N145, 0)</f>
        <v>0</v>
      </c>
      <c r="O317" s="111">
        <f>IF(P$234=0, 'Adjustment for previous period'!O145, 0)</f>
        <v>0</v>
      </c>
      <c r="P317" s="111">
        <f>IF(Q$234=0, 'Adjustment for previous period'!P145, 0)</f>
        <v>0</v>
      </c>
      <c r="Q317" s="111">
        <f>IF(R$234=0, 'Adjustment for previous period'!Q145, 0)</f>
        <v>0</v>
      </c>
      <c r="R317" s="9"/>
      <c r="S317" s="9"/>
      <c r="T317" s="9"/>
      <c r="U317" s="9"/>
      <c r="V317" s="9"/>
      <c r="W317" s="9"/>
      <c r="X317" s="9"/>
      <c r="Y317" s="9"/>
      <c r="Z317" s="9"/>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row>
    <row r="318" spans="1:64" hidden="1" outlineLevel="1">
      <c r="A318" s="9"/>
      <c r="B318" s="9"/>
      <c r="C318" s="9"/>
      <c r="D318" s="270">
        <f>Asset20</f>
        <v>0</v>
      </c>
      <c r="E318" s="9"/>
      <c r="F318" s="9"/>
      <c r="G318" s="9"/>
      <c r="H318" s="111"/>
      <c r="I318" s="111"/>
      <c r="J318" s="111"/>
      <c r="K318" s="111"/>
      <c r="L318" s="111">
        <f>IF(M$234=0, 'Adjustment for previous period'!L147, 0)</f>
        <v>0</v>
      </c>
      <c r="M318" s="111">
        <f>IF(N$234=0, 'Adjustment for previous period'!M147, 0)</f>
        <v>0</v>
      </c>
      <c r="N318" s="111">
        <f>IF(O$234=0, 'Adjustment for previous period'!N147, 0)</f>
        <v>0</v>
      </c>
      <c r="O318" s="111">
        <f>IF(P$234=0, 'Adjustment for previous period'!O147, 0)</f>
        <v>0</v>
      </c>
      <c r="P318" s="111">
        <f>IF(Q$234=0, 'Adjustment for previous period'!P147, 0)</f>
        <v>0</v>
      </c>
      <c r="Q318" s="111">
        <f>IF(R$234=0, 'Adjustment for previous period'!Q147, 0)</f>
        <v>0</v>
      </c>
      <c r="R318" s="9"/>
      <c r="S318" s="9"/>
      <c r="T318" s="9"/>
      <c r="U318" s="9"/>
      <c r="V318" s="9"/>
      <c r="W318" s="9"/>
      <c r="X318" s="9"/>
      <c r="Y318" s="9"/>
      <c r="Z318" s="9"/>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row>
    <row r="319" spans="1:64" hidden="1" outlineLevel="1">
      <c r="A319" s="9"/>
      <c r="B319" s="9"/>
      <c r="C319" s="9"/>
      <c r="D319" s="270">
        <f>Asset21</f>
        <v>0</v>
      </c>
      <c r="E319" s="9"/>
      <c r="F319" s="9"/>
      <c r="G319" s="9"/>
      <c r="H319" s="111"/>
      <c r="I319" s="111"/>
      <c r="J319" s="111"/>
      <c r="K319" s="111"/>
      <c r="L319" s="111">
        <f>IF(M$234=0, 'Adjustment for previous period'!L149, 0)</f>
        <v>0</v>
      </c>
      <c r="M319" s="111">
        <f>IF(N$234=0, 'Adjustment for previous period'!M149, 0)</f>
        <v>0</v>
      </c>
      <c r="N319" s="111">
        <f>IF(O$234=0, 'Adjustment for previous period'!N149, 0)</f>
        <v>0</v>
      </c>
      <c r="O319" s="111">
        <f>IF(P$234=0, 'Adjustment for previous period'!O149, 0)</f>
        <v>0</v>
      </c>
      <c r="P319" s="111">
        <f>IF(Q$234=0, 'Adjustment for previous period'!P149, 0)</f>
        <v>0</v>
      </c>
      <c r="Q319" s="111">
        <f>IF(R$234=0, 'Adjustment for previous period'!Q149, 0)</f>
        <v>0</v>
      </c>
      <c r="R319" s="9"/>
      <c r="S319" s="9"/>
      <c r="T319" s="9"/>
      <c r="U319" s="9"/>
      <c r="V319" s="9"/>
      <c r="W319" s="9"/>
      <c r="X319" s="9"/>
      <c r="Y319" s="9"/>
      <c r="Z319" s="9"/>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row>
    <row r="320" spans="1:64" hidden="1" outlineLevel="1">
      <c r="A320" s="9"/>
      <c r="B320" s="9"/>
      <c r="C320" s="9"/>
      <c r="D320" s="270">
        <f>Asset22</f>
        <v>0</v>
      </c>
      <c r="E320" s="9"/>
      <c r="F320" s="9"/>
      <c r="G320" s="9"/>
      <c r="H320" s="111"/>
      <c r="I320" s="111"/>
      <c r="J320" s="111"/>
      <c r="K320" s="111"/>
      <c r="L320" s="111">
        <f>IF(M$234=0, 'Adjustment for previous period'!L151, 0)</f>
        <v>0</v>
      </c>
      <c r="M320" s="111">
        <f>IF(N$234=0, 'Adjustment for previous period'!M151, 0)</f>
        <v>0</v>
      </c>
      <c r="N320" s="111">
        <f>IF(O$234=0, 'Adjustment for previous period'!N151, 0)</f>
        <v>0</v>
      </c>
      <c r="O320" s="111">
        <f>IF(P$234=0, 'Adjustment for previous period'!O151, 0)</f>
        <v>0</v>
      </c>
      <c r="P320" s="111">
        <f>IF(Q$234=0, 'Adjustment for previous period'!P151, 0)</f>
        <v>0</v>
      </c>
      <c r="Q320" s="111">
        <f>IF(R$234=0, 'Adjustment for previous period'!Q151, 0)</f>
        <v>0</v>
      </c>
      <c r="R320" s="9"/>
      <c r="S320" s="9"/>
      <c r="T320" s="9"/>
      <c r="U320" s="9"/>
      <c r="V320" s="9"/>
      <c r="W320" s="9"/>
      <c r="X320" s="9"/>
      <c r="Y320" s="9"/>
      <c r="Z320" s="9"/>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row>
    <row r="321" spans="1:64" hidden="1" outlineLevel="1">
      <c r="A321" s="9"/>
      <c r="B321" s="9"/>
      <c r="C321" s="9"/>
      <c r="D321" s="270">
        <f>Asset23</f>
        <v>0</v>
      </c>
      <c r="E321" s="9"/>
      <c r="F321" s="9"/>
      <c r="G321" s="9"/>
      <c r="H321" s="111"/>
      <c r="I321" s="111"/>
      <c r="J321" s="111"/>
      <c r="K321" s="111"/>
      <c r="L321" s="111">
        <f>IF(M$234=0, 'Adjustment for previous period'!L153, 0)</f>
        <v>0</v>
      </c>
      <c r="M321" s="111">
        <f>IF(N$234=0, 'Adjustment for previous period'!M153, 0)</f>
        <v>0</v>
      </c>
      <c r="N321" s="111">
        <f>IF(O$234=0, 'Adjustment for previous period'!N153, 0)</f>
        <v>0</v>
      </c>
      <c r="O321" s="111">
        <f>IF(P$234=0, 'Adjustment for previous period'!O153, 0)</f>
        <v>0</v>
      </c>
      <c r="P321" s="111">
        <f>IF(Q$234=0, 'Adjustment for previous period'!P153, 0)</f>
        <v>0</v>
      </c>
      <c r="Q321" s="111">
        <f>IF(R$234=0, 'Adjustment for previous period'!Q153, 0)</f>
        <v>0</v>
      </c>
      <c r="R321" s="9"/>
      <c r="S321" s="9"/>
      <c r="T321" s="9"/>
      <c r="U321" s="9"/>
      <c r="V321" s="9"/>
      <c r="W321" s="9"/>
      <c r="X321" s="9"/>
      <c r="Y321" s="9"/>
      <c r="Z321" s="9"/>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row>
    <row r="322" spans="1:64" hidden="1" outlineLevel="1">
      <c r="A322" s="9"/>
      <c r="B322" s="9"/>
      <c r="C322" s="9"/>
      <c r="D322" s="270">
        <f>Asset24</f>
        <v>0</v>
      </c>
      <c r="E322" s="9"/>
      <c r="F322" s="9"/>
      <c r="G322" s="9"/>
      <c r="H322" s="111"/>
      <c r="I322" s="111"/>
      <c r="J322" s="111"/>
      <c r="K322" s="111"/>
      <c r="L322" s="111">
        <f>IF(M$234=0, 'Adjustment for previous period'!L155, 0)</f>
        <v>0</v>
      </c>
      <c r="M322" s="111">
        <f>IF(N$234=0, 'Adjustment for previous period'!M155, 0)</f>
        <v>0</v>
      </c>
      <c r="N322" s="111">
        <f>IF(O$234=0, 'Adjustment for previous period'!N155, 0)</f>
        <v>0</v>
      </c>
      <c r="O322" s="111">
        <f>IF(P$234=0, 'Adjustment for previous period'!O155, 0)</f>
        <v>0</v>
      </c>
      <c r="P322" s="111">
        <f>IF(Q$234=0, 'Adjustment for previous period'!P155, 0)</f>
        <v>0</v>
      </c>
      <c r="Q322" s="111">
        <f>IF(R$234=0, 'Adjustment for previous period'!Q155, 0)</f>
        <v>0</v>
      </c>
      <c r="R322" s="9"/>
      <c r="S322" s="9"/>
      <c r="T322" s="9"/>
      <c r="U322" s="9"/>
      <c r="V322" s="9"/>
      <c r="W322" s="9"/>
      <c r="X322" s="9"/>
      <c r="Y322" s="9"/>
      <c r="Z322" s="9"/>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row>
    <row r="323" spans="1:64" hidden="1" outlineLevel="1">
      <c r="A323" s="9"/>
      <c r="B323" s="9"/>
      <c r="C323" s="9"/>
      <c r="D323" s="270">
        <f>Asset25</f>
        <v>0</v>
      </c>
      <c r="E323" s="9"/>
      <c r="F323" s="9"/>
      <c r="G323" s="9"/>
      <c r="H323" s="111"/>
      <c r="I323" s="111"/>
      <c r="J323" s="111"/>
      <c r="K323" s="111"/>
      <c r="L323" s="111">
        <f>IF(M$234=0, 'Adjustment for previous period'!L157, 0)</f>
        <v>0</v>
      </c>
      <c r="M323" s="111">
        <f>IF(N$234=0, 'Adjustment for previous period'!M157, 0)</f>
        <v>0</v>
      </c>
      <c r="N323" s="111">
        <f>IF(O$234=0, 'Adjustment for previous period'!N157, 0)</f>
        <v>0</v>
      </c>
      <c r="O323" s="111">
        <f>IF(P$234=0, 'Adjustment for previous period'!O157, 0)</f>
        <v>0</v>
      </c>
      <c r="P323" s="111">
        <f>IF(Q$234=0, 'Adjustment for previous period'!P157, 0)</f>
        <v>0</v>
      </c>
      <c r="Q323" s="111">
        <f>IF(R$234=0, 'Adjustment for previous period'!Q157, 0)</f>
        <v>0</v>
      </c>
      <c r="R323" s="9"/>
      <c r="S323" s="9"/>
      <c r="T323" s="9"/>
      <c r="U323" s="9"/>
      <c r="V323" s="9"/>
      <c r="W323" s="9"/>
      <c r="X323" s="9"/>
      <c r="Y323" s="9"/>
      <c r="Z323" s="9"/>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row>
    <row r="324" spans="1:64" hidden="1" outlineLevel="1">
      <c r="A324" s="9"/>
      <c r="B324" s="9"/>
      <c r="C324" s="9"/>
      <c r="D324" s="270">
        <f>Asset26</f>
        <v>0</v>
      </c>
      <c r="E324" s="9"/>
      <c r="F324" s="9"/>
      <c r="G324" s="9"/>
      <c r="H324" s="111"/>
      <c r="I324" s="111"/>
      <c r="J324" s="111"/>
      <c r="K324" s="111"/>
      <c r="L324" s="111">
        <f>IF(M$234=0, 'Adjustment for previous period'!L159, 0)</f>
        <v>0</v>
      </c>
      <c r="M324" s="111">
        <f>IF(N$234=0, 'Adjustment for previous period'!M159, 0)</f>
        <v>0</v>
      </c>
      <c r="N324" s="111">
        <f>IF(O$234=0, 'Adjustment for previous period'!N159, 0)</f>
        <v>0</v>
      </c>
      <c r="O324" s="111">
        <f>IF(P$234=0, 'Adjustment for previous period'!O159, 0)</f>
        <v>0</v>
      </c>
      <c r="P324" s="111">
        <f>IF(Q$234=0, 'Adjustment for previous period'!P159, 0)</f>
        <v>0</v>
      </c>
      <c r="Q324" s="111">
        <f>IF(R$234=0, 'Adjustment for previous period'!Q159, 0)</f>
        <v>0</v>
      </c>
      <c r="R324" s="9"/>
      <c r="S324" s="9"/>
      <c r="T324" s="9"/>
      <c r="U324" s="9"/>
      <c r="V324" s="9"/>
      <c r="W324" s="9"/>
      <c r="X324" s="9"/>
      <c r="Y324" s="9"/>
      <c r="Z324" s="9"/>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row>
    <row r="325" spans="1:64" hidden="1" outlineLevel="1">
      <c r="A325" s="9"/>
      <c r="B325" s="9"/>
      <c r="C325" s="9"/>
      <c r="D325" s="270">
        <f>Asset27</f>
        <v>0</v>
      </c>
      <c r="E325" s="9"/>
      <c r="F325" s="9"/>
      <c r="G325" s="9"/>
      <c r="H325" s="111"/>
      <c r="I325" s="111"/>
      <c r="J325" s="111"/>
      <c r="K325" s="111"/>
      <c r="L325" s="111">
        <f>IF(M$234=0, 'Adjustment for previous period'!L161, 0)</f>
        <v>0</v>
      </c>
      <c r="M325" s="111">
        <f>IF(N$234=0, 'Adjustment for previous period'!M161, 0)</f>
        <v>0</v>
      </c>
      <c r="N325" s="111">
        <f>IF(O$234=0, 'Adjustment for previous period'!N161, 0)</f>
        <v>0</v>
      </c>
      <c r="O325" s="111">
        <f>IF(P$234=0, 'Adjustment for previous period'!O161, 0)</f>
        <v>0</v>
      </c>
      <c r="P325" s="111">
        <f>IF(Q$234=0, 'Adjustment for previous period'!P161, 0)</f>
        <v>0</v>
      </c>
      <c r="Q325" s="111">
        <f>IF(R$234=0, 'Adjustment for previous period'!Q161, 0)</f>
        <v>0</v>
      </c>
      <c r="R325" s="9"/>
      <c r="S325" s="9"/>
      <c r="T325" s="9"/>
      <c r="U325" s="9"/>
      <c r="V325" s="9"/>
      <c r="W325" s="9"/>
      <c r="X325" s="9"/>
      <c r="Y325" s="9"/>
      <c r="Z325" s="9"/>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row>
    <row r="326" spans="1:64" hidden="1" outlineLevel="1">
      <c r="A326" s="9"/>
      <c r="B326" s="9"/>
      <c r="C326" s="9"/>
      <c r="D326" s="270">
        <f>Asset28</f>
        <v>0</v>
      </c>
      <c r="E326" s="9"/>
      <c r="F326" s="9"/>
      <c r="G326" s="9"/>
      <c r="H326" s="111"/>
      <c r="I326" s="111"/>
      <c r="J326" s="111"/>
      <c r="K326" s="111"/>
      <c r="L326" s="111">
        <f>IF(M$234=0, 'Adjustment for previous period'!L163, 0)</f>
        <v>0</v>
      </c>
      <c r="M326" s="111">
        <f>IF(N$234=0, 'Adjustment for previous period'!M163, 0)</f>
        <v>0</v>
      </c>
      <c r="N326" s="111">
        <f>IF(O$234=0, 'Adjustment for previous period'!N163, 0)</f>
        <v>0</v>
      </c>
      <c r="O326" s="111">
        <f>IF(P$234=0, 'Adjustment for previous period'!O163, 0)</f>
        <v>0</v>
      </c>
      <c r="P326" s="111">
        <f>IF(Q$234=0, 'Adjustment for previous period'!P163, 0)</f>
        <v>0</v>
      </c>
      <c r="Q326" s="111">
        <f>IF(R$234=0, 'Adjustment for previous period'!Q163, 0)</f>
        <v>0</v>
      </c>
      <c r="R326" s="9"/>
      <c r="S326" s="9"/>
      <c r="T326" s="9"/>
      <c r="U326" s="9"/>
      <c r="V326" s="9"/>
      <c r="W326" s="9"/>
      <c r="X326" s="9"/>
      <c r="Y326" s="9"/>
      <c r="Z326" s="9"/>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row>
    <row r="327" spans="1:64" hidden="1" outlineLevel="1">
      <c r="A327" s="9"/>
      <c r="B327" s="9"/>
      <c r="C327" s="9"/>
      <c r="D327" s="270">
        <f>Asset29</f>
        <v>0</v>
      </c>
      <c r="E327" s="9"/>
      <c r="F327" s="9"/>
      <c r="G327" s="9"/>
      <c r="H327" s="111"/>
      <c r="I327" s="111"/>
      <c r="J327" s="111"/>
      <c r="K327" s="111"/>
      <c r="L327" s="111">
        <f>IF(M$234=0, 'Adjustment for previous period'!L165, 0)</f>
        <v>0</v>
      </c>
      <c r="M327" s="111">
        <f>IF(N$234=0, 'Adjustment for previous period'!M165, 0)</f>
        <v>0</v>
      </c>
      <c r="N327" s="111">
        <f>IF(O$234=0, 'Adjustment for previous period'!N165, 0)</f>
        <v>0</v>
      </c>
      <c r="O327" s="111">
        <f>IF(P$234=0, 'Adjustment for previous period'!O165, 0)</f>
        <v>0</v>
      </c>
      <c r="P327" s="111">
        <f>IF(Q$234=0, 'Adjustment for previous period'!P165, 0)</f>
        <v>0</v>
      </c>
      <c r="Q327" s="111">
        <f>IF(R$234=0, 'Adjustment for previous period'!Q165, 0)</f>
        <v>0</v>
      </c>
      <c r="R327" s="9"/>
      <c r="S327" s="9"/>
      <c r="T327" s="9"/>
      <c r="U327" s="9"/>
      <c r="V327" s="9"/>
      <c r="W327" s="9"/>
      <c r="X327" s="9"/>
      <c r="Y327" s="9"/>
      <c r="Z327" s="9"/>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row>
    <row r="328" spans="1:64" hidden="1" outlineLevel="1">
      <c r="A328" s="9"/>
      <c r="B328" s="9"/>
      <c r="C328" s="9"/>
      <c r="D328" s="270">
        <f>Asset30</f>
        <v>0</v>
      </c>
      <c r="E328" s="9"/>
      <c r="F328" s="9"/>
      <c r="G328" s="9"/>
      <c r="H328" s="111"/>
      <c r="I328" s="111"/>
      <c r="J328" s="111"/>
      <c r="K328" s="111"/>
      <c r="L328" s="111">
        <f>IF(M$234=0, 'Adjustment for previous period'!L167, 0)</f>
        <v>0</v>
      </c>
      <c r="M328" s="111">
        <f>IF(N$234=0, 'Adjustment for previous period'!M167, 0)</f>
        <v>0</v>
      </c>
      <c r="N328" s="111">
        <f>IF(O$234=0, 'Adjustment for previous period'!N167, 0)</f>
        <v>0</v>
      </c>
      <c r="O328" s="111">
        <f>IF(P$234=0, 'Adjustment for previous period'!O167, 0)</f>
        <v>0</v>
      </c>
      <c r="P328" s="111">
        <f>IF(Q$234=0, 'Adjustment for previous period'!P167, 0)</f>
        <v>0</v>
      </c>
      <c r="Q328" s="111">
        <f>IF(R$234=0, 'Adjustment for previous period'!Q167, 0)</f>
        <v>0</v>
      </c>
      <c r="R328" s="9"/>
      <c r="S328" s="9"/>
      <c r="T328" s="9"/>
      <c r="U328" s="9"/>
      <c r="V328" s="9"/>
      <c r="W328" s="9"/>
      <c r="X328" s="9"/>
      <c r="Y328" s="9"/>
      <c r="Z328" s="9"/>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row>
    <row r="329" spans="1:64" collapsed="1">
      <c r="A329" s="9"/>
      <c r="B329" s="9"/>
      <c r="C329" s="9"/>
      <c r="D329" s="9"/>
      <c r="E329" s="9"/>
      <c r="F329" s="9"/>
      <c r="G329" s="9"/>
      <c r="H329" s="9"/>
      <c r="I329" s="9"/>
      <c r="J329" s="9"/>
      <c r="K329" s="9"/>
      <c r="L329" s="9"/>
      <c r="M329" s="9"/>
      <c r="N329" s="12"/>
      <c r="O329" s="9"/>
      <c r="P329" s="9"/>
      <c r="Q329" s="9"/>
      <c r="R329" s="9"/>
      <c r="S329" s="9"/>
      <c r="T329" s="9"/>
      <c r="U329" s="9"/>
      <c r="V329" s="9"/>
      <c r="W329" s="9"/>
      <c r="X329" s="9"/>
      <c r="Y329" s="9"/>
      <c r="Z329" s="9"/>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row>
    <row r="330" spans="1:64">
      <c r="A330" s="9"/>
      <c r="B330" s="9"/>
      <c r="C330" s="9" t="s">
        <v>54</v>
      </c>
      <c r="D330" s="9"/>
      <c r="E330" s="9"/>
      <c r="F330" s="9"/>
      <c r="G330" s="9"/>
      <c r="H330" s="9"/>
      <c r="I330" s="9"/>
      <c r="J330" s="9"/>
      <c r="K330" s="9"/>
      <c r="L330" s="35">
        <f t="shared" ref="L330:Q330" si="16">SUM(L331:L360)</f>
        <v>0</v>
      </c>
      <c r="M330" s="35">
        <f t="shared" si="16"/>
        <v>22.215810383019836</v>
      </c>
      <c r="N330" s="35">
        <f t="shared" si="16"/>
        <v>0</v>
      </c>
      <c r="O330" s="35">
        <f t="shared" si="16"/>
        <v>0</v>
      </c>
      <c r="P330" s="35">
        <f t="shared" si="16"/>
        <v>0</v>
      </c>
      <c r="Q330" s="35">
        <f t="shared" si="16"/>
        <v>0</v>
      </c>
      <c r="R330" s="9"/>
      <c r="S330" s="9"/>
      <c r="T330" s="9"/>
      <c r="U330" s="9"/>
      <c r="V330" s="9"/>
      <c r="W330" s="9"/>
      <c r="X330" s="9"/>
      <c r="Y330" s="9"/>
      <c r="Z330" s="9"/>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row>
    <row r="331" spans="1:64" hidden="1" outlineLevel="1">
      <c r="A331" s="9"/>
      <c r="B331" s="9"/>
      <c r="C331" s="9"/>
      <c r="D331" s="270" t="str">
        <f>Asset1</f>
        <v>Secondary</v>
      </c>
      <c r="E331" s="9"/>
      <c r="F331" s="9"/>
      <c r="G331" s="9"/>
      <c r="H331" s="9"/>
      <c r="I331" s="9"/>
      <c r="J331" s="9"/>
      <c r="K331" s="9"/>
      <c r="L331" s="111">
        <f>IF(L$234&gt;0, IF(M$234=0, 'Adjustment for previous period'!$G237, 0), 0)</f>
        <v>0</v>
      </c>
      <c r="M331" s="111">
        <f>IF(M$234&gt;0, IF(N$234=0, 'Adjustment for previous period'!$G237, 0), 0)</f>
        <v>-1.7856143900000001</v>
      </c>
      <c r="N331" s="111">
        <f>IF(N$234&gt;0, IF(O$234=0, 'Adjustment for previous period'!$G237, 0), 0)</f>
        <v>0</v>
      </c>
      <c r="O331" s="111">
        <f>IF(O$234&gt;0, IF(P$234=0, 'Adjustment for previous period'!$G237, 0), 0)</f>
        <v>0</v>
      </c>
      <c r="P331" s="111">
        <f>IF(P$234&gt;0, IF(Q$234=0, 'Adjustment for previous period'!$G237, 0), 0)</f>
        <v>0</v>
      </c>
      <c r="Q331" s="111">
        <f>IF(Q$234&gt;0, IF(R$234=0, 'Adjustment for previous period'!$G237, 0), 0)</f>
        <v>0</v>
      </c>
      <c r="R331" s="9"/>
      <c r="S331" s="9"/>
      <c r="T331" s="9"/>
      <c r="U331" s="9"/>
      <c r="V331" s="9"/>
      <c r="W331" s="9"/>
      <c r="X331" s="9"/>
      <c r="Y331" s="9"/>
      <c r="Z331" s="9"/>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row>
    <row r="332" spans="1:64" hidden="1" outlineLevel="1">
      <c r="A332" s="9"/>
      <c r="B332" s="9"/>
      <c r="C332" s="9"/>
      <c r="D332" s="270" t="str">
        <f>Asset2</f>
        <v>Switchgear</v>
      </c>
      <c r="E332" s="9"/>
      <c r="F332" s="9"/>
      <c r="G332" s="9"/>
      <c r="H332" s="9"/>
      <c r="I332" s="9"/>
      <c r="J332" s="9"/>
      <c r="K332" s="9"/>
      <c r="L332" s="111">
        <f>IF(L$234&gt;0, IF(M$234=0, 'Adjustment for previous period'!$G238, 0), 0)</f>
        <v>0</v>
      </c>
      <c r="M332" s="111">
        <f>IF(M$234&gt;0, IF(N$234=0, 'Adjustment for previous period'!$G238, 0), 0)</f>
        <v>-2.432271580000001</v>
      </c>
      <c r="N332" s="111">
        <f>IF(N$234&gt;0, IF(O$234=0, 'Adjustment for previous period'!$G238, 0), 0)</f>
        <v>0</v>
      </c>
      <c r="O332" s="111">
        <f>IF(O$234&gt;0, IF(P$234=0, 'Adjustment for previous period'!$G238, 0), 0)</f>
        <v>0</v>
      </c>
      <c r="P332" s="111">
        <f>IF(P$234&gt;0, IF(Q$234=0, 'Adjustment for previous period'!$G238, 0), 0)</f>
        <v>0</v>
      </c>
      <c r="Q332" s="111">
        <f>IF(Q$234&gt;0, IF(R$234=0, 'Adjustment for previous period'!$G238, 0), 0)</f>
        <v>0</v>
      </c>
      <c r="R332" s="9"/>
      <c r="S332" s="9"/>
      <c r="T332" s="9"/>
      <c r="U332" s="9"/>
      <c r="V332" s="9"/>
      <c r="W332" s="9"/>
      <c r="X332" s="9"/>
      <c r="Y332" s="9"/>
      <c r="Z332" s="9"/>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row>
    <row r="333" spans="1:64" hidden="1" outlineLevel="1">
      <c r="A333" s="9"/>
      <c r="B333" s="9"/>
      <c r="C333" s="9"/>
      <c r="D333" s="270" t="str">
        <f>Asset3</f>
        <v>Transformers</v>
      </c>
      <c r="E333" s="9"/>
      <c r="F333" s="9"/>
      <c r="G333" s="9"/>
      <c r="H333" s="9"/>
      <c r="I333" s="9"/>
      <c r="J333" s="9"/>
      <c r="K333" s="9"/>
      <c r="L333" s="111">
        <f>IF(L$234&gt;0, IF(M$234=0, 'Adjustment for previous period'!$G239, 0), 0)</f>
        <v>0</v>
      </c>
      <c r="M333" s="111">
        <f>IF(M$234&gt;0, IF(N$234=0, 'Adjustment for previous period'!$G239, 0), 0)</f>
        <v>0.5963920800000001</v>
      </c>
      <c r="N333" s="111">
        <f>IF(N$234&gt;0, IF(O$234=0, 'Adjustment for previous period'!$G239, 0), 0)</f>
        <v>0</v>
      </c>
      <c r="O333" s="111">
        <f>IF(O$234&gt;0, IF(P$234=0, 'Adjustment for previous period'!$G239, 0), 0)</f>
        <v>0</v>
      </c>
      <c r="P333" s="111">
        <f>IF(P$234&gt;0, IF(Q$234=0, 'Adjustment for previous period'!$G239, 0), 0)</f>
        <v>0</v>
      </c>
      <c r="Q333" s="111">
        <f>IF(Q$234&gt;0, IF(R$234=0, 'Adjustment for previous period'!$G239, 0), 0)</f>
        <v>0</v>
      </c>
      <c r="R333" s="9"/>
      <c r="S333" s="9"/>
      <c r="T333" s="9"/>
      <c r="U333" s="9"/>
      <c r="V333" s="9"/>
      <c r="W333" s="9"/>
      <c r="X333" s="9"/>
      <c r="Y333" s="9"/>
      <c r="Z333" s="9"/>
      <c r="AB333" s="198"/>
      <c r="AC333" s="198"/>
      <c r="AD333" s="198"/>
      <c r="AE333" s="198"/>
      <c r="AF333" s="198"/>
      <c r="AG333" s="198"/>
      <c r="AH333" s="198"/>
      <c r="AI333" s="198"/>
      <c r="AJ333" s="198"/>
      <c r="AK333" s="198"/>
      <c r="AL333" s="198"/>
      <c r="AM333" s="198"/>
      <c r="AN333" s="198"/>
      <c r="AO333" s="198"/>
      <c r="AP333" s="198"/>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row>
    <row r="334" spans="1:64" hidden="1" outlineLevel="1">
      <c r="A334" s="9"/>
      <c r="B334" s="9"/>
      <c r="C334" s="9"/>
      <c r="D334" s="270" t="str">
        <f>Asset4</f>
        <v>Reactive</v>
      </c>
      <c r="E334" s="9"/>
      <c r="F334" s="9"/>
      <c r="G334" s="9"/>
      <c r="H334" s="9"/>
      <c r="I334" s="9"/>
      <c r="J334" s="9"/>
      <c r="K334" s="9"/>
      <c r="L334" s="111">
        <f>IF(L$234&gt;0, IF(M$234=0, 'Adjustment for previous period'!$G240, 0), 0)</f>
        <v>0</v>
      </c>
      <c r="M334" s="111">
        <f>IF(M$234&gt;0, IF(N$234=0, 'Adjustment for previous period'!$G240, 0), 0)</f>
        <v>0</v>
      </c>
      <c r="N334" s="111">
        <f>IF(N$234&gt;0, IF(O$234=0, 'Adjustment for previous period'!$G240, 0), 0)</f>
        <v>0</v>
      </c>
      <c r="O334" s="111">
        <f>IF(O$234&gt;0, IF(P$234=0, 'Adjustment for previous period'!$G240, 0), 0)</f>
        <v>0</v>
      </c>
      <c r="P334" s="111">
        <f>IF(P$234&gt;0, IF(Q$234=0, 'Adjustment for previous period'!$G240, 0), 0)</f>
        <v>0</v>
      </c>
      <c r="Q334" s="111">
        <f>IF(Q$234&gt;0, IF(R$234=0, 'Adjustment for previous period'!$G240, 0), 0)</f>
        <v>0</v>
      </c>
      <c r="R334" s="9"/>
      <c r="S334" s="9"/>
      <c r="T334" s="9"/>
      <c r="U334" s="9"/>
      <c r="V334" s="9"/>
      <c r="W334" s="9"/>
      <c r="X334" s="9"/>
      <c r="Y334" s="9"/>
      <c r="Z334" s="9"/>
      <c r="AB334" s="198"/>
      <c r="AC334" s="198"/>
      <c r="AD334" s="198"/>
      <c r="AE334" s="198"/>
      <c r="AF334" s="198"/>
      <c r="AG334" s="198"/>
      <c r="AH334" s="198"/>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row>
    <row r="335" spans="1:64" hidden="1" outlineLevel="1">
      <c r="A335" s="9"/>
      <c r="B335" s="9"/>
      <c r="C335" s="9"/>
      <c r="D335" s="270" t="str">
        <f>Asset5</f>
        <v>Towers and Conductor</v>
      </c>
      <c r="E335" s="9"/>
      <c r="F335" s="9"/>
      <c r="G335" s="9"/>
      <c r="H335" s="9"/>
      <c r="I335" s="9"/>
      <c r="J335" s="9"/>
      <c r="K335" s="9"/>
      <c r="L335" s="111">
        <f>IF(L$234&gt;0, IF(M$234=0, 'Adjustment for previous period'!$G241, 0), 0)</f>
        <v>0</v>
      </c>
      <c r="M335" s="111">
        <f>IF(M$234&gt;0, IF(N$234=0, 'Adjustment for previous period'!$G241, 0), 0)</f>
        <v>-2.0503593700000007</v>
      </c>
      <c r="N335" s="111">
        <f>IF(N$234&gt;0, IF(O$234=0, 'Adjustment for previous period'!$G241, 0), 0)</f>
        <v>0</v>
      </c>
      <c r="O335" s="111">
        <f>IF(O$234&gt;0, IF(P$234=0, 'Adjustment for previous period'!$G241, 0), 0)</f>
        <v>0</v>
      </c>
      <c r="P335" s="111">
        <f>IF(P$234&gt;0, IF(Q$234=0, 'Adjustment for previous period'!$G241, 0), 0)</f>
        <v>0</v>
      </c>
      <c r="Q335" s="111">
        <f>IF(Q$234&gt;0, IF(R$234=0, 'Adjustment for previous period'!$G241, 0), 0)</f>
        <v>0</v>
      </c>
      <c r="R335" s="9"/>
      <c r="S335" s="9"/>
      <c r="T335" s="9"/>
      <c r="U335" s="9"/>
      <c r="V335" s="9"/>
      <c r="W335" s="9"/>
      <c r="X335" s="9"/>
      <c r="Y335" s="9"/>
      <c r="Z335" s="9"/>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row>
    <row r="336" spans="1:64" hidden="1" outlineLevel="1">
      <c r="A336" s="9"/>
      <c r="B336" s="9"/>
      <c r="C336" s="9"/>
      <c r="D336" s="270" t="str">
        <f>Asset6</f>
        <v>Establishment</v>
      </c>
      <c r="E336" s="9"/>
      <c r="F336" s="9"/>
      <c r="G336" s="9"/>
      <c r="H336" s="9"/>
      <c r="I336" s="9"/>
      <c r="J336" s="9"/>
      <c r="K336" s="9"/>
      <c r="L336" s="111">
        <f>IF(L$234&gt;0, IF(M$234=0, 'Adjustment for previous period'!$G242, 0), 0)</f>
        <v>0</v>
      </c>
      <c r="M336" s="111">
        <f>IF(M$234&gt;0, IF(N$234=0, 'Adjustment for previous period'!$G242, 0), 0)</f>
        <v>13.983938839999997</v>
      </c>
      <c r="N336" s="111">
        <f>IF(N$234&gt;0, IF(O$234=0, 'Adjustment for previous period'!$G242, 0), 0)</f>
        <v>0</v>
      </c>
      <c r="O336" s="111">
        <f>IF(O$234&gt;0, IF(P$234=0, 'Adjustment for previous period'!$G242, 0), 0)</f>
        <v>0</v>
      </c>
      <c r="P336" s="111">
        <f>IF(P$234&gt;0, IF(Q$234=0, 'Adjustment for previous period'!$G242, 0), 0)</f>
        <v>0</v>
      </c>
      <c r="Q336" s="111">
        <f>IF(Q$234&gt;0, IF(R$234=0, 'Adjustment for previous period'!$G242, 0), 0)</f>
        <v>0</v>
      </c>
      <c r="R336" s="9"/>
      <c r="S336" s="9"/>
      <c r="T336" s="9"/>
      <c r="U336" s="9"/>
      <c r="V336" s="9"/>
      <c r="W336" s="9"/>
      <c r="X336" s="9"/>
      <c r="Y336" s="9"/>
      <c r="Z336" s="9"/>
      <c r="AB336" s="198"/>
      <c r="AC336" s="198"/>
      <c r="AD336" s="198"/>
      <c r="AE336" s="198"/>
      <c r="AF336" s="198"/>
      <c r="AG336" s="198"/>
      <c r="AH336" s="198"/>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row>
    <row r="337" spans="1:64" hidden="1" outlineLevel="1">
      <c r="A337" s="9"/>
      <c r="B337" s="9"/>
      <c r="C337" s="9"/>
      <c r="D337" s="270" t="str">
        <f>Asset7</f>
        <v>Communications</v>
      </c>
      <c r="E337" s="9"/>
      <c r="F337" s="9"/>
      <c r="G337" s="9"/>
      <c r="H337" s="9"/>
      <c r="I337" s="9"/>
      <c r="J337" s="9"/>
      <c r="K337" s="9"/>
      <c r="L337" s="111">
        <f>IF(L$234&gt;0, IF(M$234=0, 'Adjustment for previous period'!$G243, 0), 0)</f>
        <v>0</v>
      </c>
      <c r="M337" s="111">
        <f>IF(M$234&gt;0, IF(N$234=0, 'Adjustment for previous period'!$G243, 0), 0)</f>
        <v>-0.86417857999999992</v>
      </c>
      <c r="N337" s="111">
        <f>IF(N$234&gt;0, IF(O$234=0, 'Adjustment for previous period'!$G243, 0), 0)</f>
        <v>0</v>
      </c>
      <c r="O337" s="111">
        <f>IF(O$234&gt;0, IF(P$234=0, 'Adjustment for previous period'!$G243, 0), 0)</f>
        <v>0</v>
      </c>
      <c r="P337" s="111">
        <f>IF(P$234&gt;0, IF(Q$234=0, 'Adjustment for previous period'!$G243, 0), 0)</f>
        <v>0</v>
      </c>
      <c r="Q337" s="111">
        <f>IF(Q$234&gt;0, IF(R$234=0, 'Adjustment for previous period'!$G243, 0), 0)</f>
        <v>0</v>
      </c>
      <c r="R337" s="9"/>
      <c r="S337" s="9"/>
      <c r="T337" s="9"/>
      <c r="U337" s="9"/>
      <c r="V337" s="9"/>
      <c r="W337" s="9"/>
      <c r="X337" s="9"/>
      <c r="Y337" s="9"/>
      <c r="Z337" s="9"/>
      <c r="AB337" s="198"/>
      <c r="AC337" s="198"/>
      <c r="AD337" s="198"/>
      <c r="AE337" s="198"/>
      <c r="AF337" s="198"/>
      <c r="AG337" s="198"/>
      <c r="AH337" s="198"/>
      <c r="AI337" s="198"/>
      <c r="AJ337" s="198"/>
      <c r="AK337" s="198"/>
      <c r="AL337" s="198"/>
      <c r="AM337" s="198"/>
      <c r="AN337" s="198"/>
      <c r="AO337" s="198"/>
      <c r="AP337" s="198"/>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row>
    <row r="338" spans="1:64" hidden="1" outlineLevel="1">
      <c r="A338" s="9"/>
      <c r="B338" s="9"/>
      <c r="C338" s="9"/>
      <c r="D338" s="270" t="str">
        <f>Asset8</f>
        <v>Inventory</v>
      </c>
      <c r="E338" s="9"/>
      <c r="F338" s="9"/>
      <c r="G338" s="9"/>
      <c r="H338" s="9"/>
      <c r="I338" s="9"/>
      <c r="J338" s="9"/>
      <c r="K338" s="9"/>
      <c r="L338" s="111">
        <f>IF(L$234&gt;0, IF(M$234=0, 'Adjustment for previous period'!$G244, 0), 0)</f>
        <v>0</v>
      </c>
      <c r="M338" s="111">
        <f>IF(M$234&gt;0, IF(N$234=0, 'Adjustment for previous period'!$G244, 0), 0)</f>
        <v>0</v>
      </c>
      <c r="N338" s="111">
        <f>IF(N$234&gt;0, IF(O$234=0, 'Adjustment for previous period'!$G244, 0), 0)</f>
        <v>0</v>
      </c>
      <c r="O338" s="111">
        <f>IF(O$234&gt;0, IF(P$234=0, 'Adjustment for previous period'!$G244, 0), 0)</f>
        <v>0</v>
      </c>
      <c r="P338" s="111">
        <f>IF(P$234&gt;0, IF(Q$234=0, 'Adjustment for previous period'!$G244, 0), 0)</f>
        <v>0</v>
      </c>
      <c r="Q338" s="111">
        <f>IF(Q$234&gt;0, IF(R$234=0, 'Adjustment for previous period'!$G244, 0), 0)</f>
        <v>0</v>
      </c>
      <c r="R338" s="9"/>
      <c r="S338" s="9"/>
      <c r="T338" s="9"/>
      <c r="U338" s="9"/>
      <c r="V338" s="9"/>
      <c r="W338" s="9"/>
      <c r="X338" s="9"/>
      <c r="Y338" s="9"/>
      <c r="Z338" s="9"/>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row>
    <row r="339" spans="1:64" hidden="1" outlineLevel="1">
      <c r="A339" s="9"/>
      <c r="B339" s="9"/>
      <c r="C339" s="9"/>
      <c r="D339" s="270" t="str">
        <f>Asset9</f>
        <v>IT</v>
      </c>
      <c r="E339" s="9"/>
      <c r="F339" s="9"/>
      <c r="G339" s="9"/>
      <c r="H339" s="9"/>
      <c r="I339" s="9"/>
      <c r="J339" s="9"/>
      <c r="K339" s="9"/>
      <c r="L339" s="111">
        <f>IF(L$234&gt;0, IF(M$234=0, 'Adjustment for previous period'!$G245, 0), 0)</f>
        <v>0</v>
      </c>
      <c r="M339" s="111">
        <f>IF(M$234&gt;0, IF(N$234=0, 'Adjustment for previous period'!$G245, 0), 0)</f>
        <v>3.4024412430198385</v>
      </c>
      <c r="N339" s="111">
        <f>IF(N$234&gt;0, IF(O$234=0, 'Adjustment for previous period'!$G245, 0), 0)</f>
        <v>0</v>
      </c>
      <c r="O339" s="111">
        <f>IF(O$234&gt;0, IF(P$234=0, 'Adjustment for previous period'!$G245, 0), 0)</f>
        <v>0</v>
      </c>
      <c r="P339" s="111">
        <f>IF(P$234&gt;0, IF(Q$234=0, 'Adjustment for previous period'!$G245, 0), 0)</f>
        <v>0</v>
      </c>
      <c r="Q339" s="111">
        <f>IF(Q$234&gt;0, IF(R$234=0, 'Adjustment for previous period'!$G245, 0), 0)</f>
        <v>0</v>
      </c>
      <c r="R339" s="9"/>
      <c r="S339" s="9"/>
      <c r="T339" s="9"/>
      <c r="U339" s="9"/>
      <c r="V339" s="9"/>
      <c r="W339" s="9"/>
      <c r="X339" s="9"/>
      <c r="Y339" s="9"/>
      <c r="Z339" s="9"/>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row>
    <row r="340" spans="1:64" hidden="1" outlineLevel="1">
      <c r="A340" s="9"/>
      <c r="B340" s="9"/>
      <c r="C340" s="9"/>
      <c r="D340" s="270" t="str">
        <f>Asset10</f>
        <v>Vehicles</v>
      </c>
      <c r="E340" s="9"/>
      <c r="F340" s="9"/>
      <c r="G340" s="9"/>
      <c r="H340" s="9"/>
      <c r="I340" s="9"/>
      <c r="J340" s="9"/>
      <c r="K340" s="9"/>
      <c r="L340" s="111">
        <f>IF(L$234&gt;0, IF(M$234=0, 'Adjustment for previous period'!$G246, 0), 0)</f>
        <v>0</v>
      </c>
      <c r="M340" s="111">
        <f>IF(M$234&gt;0, IF(N$234=0, 'Adjustment for previous period'!$G246, 0), 0)</f>
        <v>0.79015199999999997</v>
      </c>
      <c r="N340" s="111">
        <f>IF(N$234&gt;0, IF(O$234=0, 'Adjustment for previous period'!$G246, 0), 0)</f>
        <v>0</v>
      </c>
      <c r="O340" s="111">
        <f>IF(O$234&gt;0, IF(P$234=0, 'Adjustment for previous period'!$G246, 0), 0)</f>
        <v>0</v>
      </c>
      <c r="P340" s="111">
        <f>IF(P$234&gt;0, IF(Q$234=0, 'Adjustment for previous period'!$G246, 0), 0)</f>
        <v>0</v>
      </c>
      <c r="Q340" s="111">
        <f>IF(Q$234&gt;0, IF(R$234=0, 'Adjustment for previous period'!$G246, 0), 0)</f>
        <v>0</v>
      </c>
      <c r="R340" s="9"/>
      <c r="S340" s="9"/>
      <c r="T340" s="9"/>
      <c r="U340" s="9"/>
      <c r="V340" s="9"/>
      <c r="W340" s="9"/>
      <c r="X340" s="9"/>
      <c r="Y340" s="9"/>
      <c r="Z340" s="9"/>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row>
    <row r="341" spans="1:64" hidden="1" outlineLevel="1">
      <c r="A341" s="9"/>
      <c r="B341" s="9"/>
      <c r="C341" s="9"/>
      <c r="D341" s="270" t="str">
        <f>Asset11</f>
        <v>other</v>
      </c>
      <c r="E341" s="9"/>
      <c r="F341" s="9"/>
      <c r="G341" s="9"/>
      <c r="H341" s="9"/>
      <c r="I341" s="9"/>
      <c r="J341" s="9"/>
      <c r="K341" s="9"/>
      <c r="L341" s="111">
        <f>IF(L$234&gt;0, IF(M$234=0, 'Adjustment for previous period'!$G247, 0), 0)</f>
        <v>0</v>
      </c>
      <c r="M341" s="111">
        <f>IF(M$234&gt;0, IF(N$234=0, 'Adjustment for previous period'!$G247, 0), 0)</f>
        <v>10.267432210000003</v>
      </c>
      <c r="N341" s="111">
        <f>IF(N$234&gt;0, IF(O$234=0, 'Adjustment for previous period'!$G247, 0), 0)</f>
        <v>0</v>
      </c>
      <c r="O341" s="111">
        <f>IF(O$234&gt;0, IF(P$234=0, 'Adjustment for previous period'!$G247, 0), 0)</f>
        <v>0</v>
      </c>
      <c r="P341" s="111">
        <f>IF(P$234&gt;0, IF(Q$234=0, 'Adjustment for previous period'!$G247, 0), 0)</f>
        <v>0</v>
      </c>
      <c r="Q341" s="111">
        <f>IF(Q$234&gt;0, IF(R$234=0, 'Adjustment for previous period'!$G247, 0), 0)</f>
        <v>0</v>
      </c>
      <c r="R341" s="9"/>
      <c r="S341" s="9"/>
      <c r="T341" s="9"/>
      <c r="U341" s="9"/>
      <c r="V341" s="9"/>
      <c r="W341" s="9"/>
      <c r="X341" s="9"/>
      <c r="Y341" s="9"/>
      <c r="Z341" s="9"/>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c r="AX341" s="198"/>
      <c r="AY341" s="198"/>
      <c r="AZ341" s="198"/>
      <c r="BA341" s="198"/>
      <c r="BB341" s="198"/>
      <c r="BC341" s="198"/>
      <c r="BD341" s="198"/>
      <c r="BE341" s="198"/>
      <c r="BF341" s="198"/>
      <c r="BG341" s="198"/>
      <c r="BH341" s="198"/>
      <c r="BI341" s="198"/>
      <c r="BJ341" s="198"/>
      <c r="BK341" s="198"/>
      <c r="BL341" s="198"/>
    </row>
    <row r="342" spans="1:64" hidden="1" outlineLevel="1">
      <c r="A342" s="9"/>
      <c r="B342" s="9"/>
      <c r="C342" s="9"/>
      <c r="D342" s="270" t="str">
        <f>Asset12</f>
        <v>premises</v>
      </c>
      <c r="E342" s="9"/>
      <c r="F342" s="9"/>
      <c r="G342" s="9"/>
      <c r="H342" s="9"/>
      <c r="I342" s="9"/>
      <c r="J342" s="9"/>
      <c r="K342" s="9"/>
      <c r="L342" s="111">
        <f>IF(L$234&gt;0, IF(M$234=0, 'Adjustment for previous period'!$G248, 0), 0)</f>
        <v>0</v>
      </c>
      <c r="M342" s="111">
        <f>IF(M$234&gt;0, IF(N$234=0, 'Adjustment for previous period'!$G248, 0), 0)</f>
        <v>0.3078779299999998</v>
      </c>
      <c r="N342" s="111">
        <f>IF(N$234&gt;0, IF(O$234=0, 'Adjustment for previous period'!$G248, 0), 0)</f>
        <v>0</v>
      </c>
      <c r="O342" s="111">
        <f>IF(O$234&gt;0, IF(P$234=0, 'Adjustment for previous period'!$G248, 0), 0)</f>
        <v>0</v>
      </c>
      <c r="P342" s="111">
        <f>IF(P$234&gt;0, IF(Q$234=0, 'Adjustment for previous period'!$G248, 0), 0)</f>
        <v>0</v>
      </c>
      <c r="Q342" s="111">
        <f>IF(Q$234&gt;0, IF(R$234=0, 'Adjustment for previous period'!$G248, 0), 0)</f>
        <v>0</v>
      </c>
      <c r="R342" s="9"/>
      <c r="S342" s="9"/>
      <c r="T342" s="9"/>
      <c r="U342" s="9"/>
      <c r="V342" s="9"/>
      <c r="W342" s="9"/>
      <c r="X342" s="9"/>
      <c r="Y342" s="9"/>
      <c r="Z342" s="9"/>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row>
    <row r="343" spans="1:64" hidden="1" outlineLevel="1">
      <c r="A343" s="9"/>
      <c r="B343" s="9"/>
      <c r="C343" s="9"/>
      <c r="D343" s="270" t="str">
        <f>Asset13</f>
        <v>Land</v>
      </c>
      <c r="E343" s="9"/>
      <c r="F343" s="9"/>
      <c r="G343" s="9"/>
      <c r="H343" s="9"/>
      <c r="I343" s="9"/>
      <c r="J343" s="9"/>
      <c r="K343" s="9"/>
      <c r="L343" s="111">
        <f>IF(L$234&gt;0, IF(M$234=0, 'Adjustment for previous period'!$G249, 0), 0)</f>
        <v>0</v>
      </c>
      <c r="M343" s="111">
        <f>IF(M$234&gt;0, IF(N$234=0, 'Adjustment for previous period'!$G249, 0), 0)</f>
        <v>0</v>
      </c>
      <c r="N343" s="111">
        <f>IF(N$234&gt;0, IF(O$234=0, 'Adjustment for previous period'!$G249, 0), 0)</f>
        <v>0</v>
      </c>
      <c r="O343" s="111">
        <f>IF(O$234&gt;0, IF(P$234=0, 'Adjustment for previous period'!$G249, 0), 0)</f>
        <v>0</v>
      </c>
      <c r="P343" s="111">
        <f>IF(P$234&gt;0, IF(Q$234=0, 'Adjustment for previous period'!$G249, 0), 0)</f>
        <v>0</v>
      </c>
      <c r="Q343" s="111">
        <f>IF(Q$234&gt;0, IF(R$234=0, 'Adjustment for previous period'!$G249, 0), 0)</f>
        <v>0</v>
      </c>
      <c r="R343" s="9"/>
      <c r="S343" s="9"/>
      <c r="T343" s="9"/>
      <c r="U343" s="9"/>
      <c r="V343" s="9"/>
      <c r="W343" s="9"/>
      <c r="X343" s="9"/>
      <c r="Y343" s="9"/>
      <c r="Z343" s="9"/>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row>
    <row r="344" spans="1:64" hidden="1" outlineLevel="1">
      <c r="A344" s="9"/>
      <c r="B344" s="9"/>
      <c r="C344" s="9"/>
      <c r="D344" s="270" t="str">
        <f>Asset14</f>
        <v>Easements</v>
      </c>
      <c r="E344" s="9"/>
      <c r="F344" s="9"/>
      <c r="G344" s="9"/>
      <c r="H344" s="9"/>
      <c r="I344" s="9"/>
      <c r="J344" s="9"/>
      <c r="K344" s="9"/>
      <c r="L344" s="111">
        <f>IF(L$234&gt;0, IF(M$234=0, 'Adjustment for previous period'!$G250, 0), 0)</f>
        <v>0</v>
      </c>
      <c r="M344" s="111">
        <f>IF(M$234&gt;0, IF(N$234=0, 'Adjustment for previous period'!$G250, 0), 0)</f>
        <v>0</v>
      </c>
      <c r="N344" s="111">
        <f>IF(N$234&gt;0, IF(O$234=0, 'Adjustment for previous period'!$G250, 0), 0)</f>
        <v>0</v>
      </c>
      <c r="O344" s="111">
        <f>IF(O$234&gt;0, IF(P$234=0, 'Adjustment for previous period'!$G250, 0), 0)</f>
        <v>0</v>
      </c>
      <c r="P344" s="111">
        <f>IF(P$234&gt;0, IF(Q$234=0, 'Adjustment for previous period'!$G250, 0), 0)</f>
        <v>0</v>
      </c>
      <c r="Q344" s="111">
        <f>IF(Q$234&gt;0, IF(R$234=0, 'Adjustment for previous period'!$G250, 0), 0)</f>
        <v>0</v>
      </c>
      <c r="R344" s="9"/>
      <c r="S344" s="9"/>
      <c r="T344" s="9"/>
      <c r="U344" s="9"/>
      <c r="V344" s="9"/>
      <c r="W344" s="9"/>
      <c r="X344" s="9"/>
      <c r="Y344" s="9"/>
      <c r="Z344" s="9"/>
      <c r="AB344" s="198"/>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row>
    <row r="345" spans="1:64" hidden="1" outlineLevel="1">
      <c r="A345" s="9"/>
      <c r="B345" s="9"/>
      <c r="C345" s="9"/>
      <c r="D345" s="270">
        <f>Asset15</f>
        <v>0</v>
      </c>
      <c r="E345" s="9"/>
      <c r="F345" s="9"/>
      <c r="G345" s="9"/>
      <c r="H345" s="9"/>
      <c r="I345" s="9"/>
      <c r="J345" s="9"/>
      <c r="K345" s="9"/>
      <c r="L345" s="111">
        <f>IF(L$234&gt;0, IF(M$234=0, 'Adjustment for previous period'!$G251, 0), 0)</f>
        <v>0</v>
      </c>
      <c r="M345" s="111">
        <f>IF(M$234&gt;0, IF(N$234=0, 'Adjustment for previous period'!$G251, 0), 0)</f>
        <v>0</v>
      </c>
      <c r="N345" s="111">
        <f>IF(N$234&gt;0, IF(O$234=0, 'Adjustment for previous period'!$G251, 0), 0)</f>
        <v>0</v>
      </c>
      <c r="O345" s="111">
        <f>IF(O$234&gt;0, IF(P$234=0, 'Adjustment for previous period'!$G251, 0), 0)</f>
        <v>0</v>
      </c>
      <c r="P345" s="111">
        <f>IF(P$234&gt;0, IF(Q$234=0, 'Adjustment for previous period'!$G251, 0), 0)</f>
        <v>0</v>
      </c>
      <c r="Q345" s="111">
        <f>IF(Q$234&gt;0, IF(R$234=0, 'Adjustment for previous period'!$G251, 0), 0)</f>
        <v>0</v>
      </c>
      <c r="R345" s="9"/>
      <c r="S345" s="9"/>
      <c r="T345" s="9"/>
      <c r="U345" s="9"/>
      <c r="V345" s="9"/>
      <c r="W345" s="9"/>
      <c r="X345" s="9"/>
      <c r="Y345" s="9"/>
      <c r="Z345" s="9"/>
      <c r="AB345" s="198"/>
      <c r="AC345" s="198"/>
      <c r="AD345" s="198"/>
      <c r="AE345" s="198"/>
      <c r="AF345" s="198"/>
      <c r="AG345" s="198"/>
      <c r="AH345" s="198"/>
      <c r="AI345" s="198"/>
      <c r="AJ345" s="198"/>
      <c r="AK345" s="198"/>
      <c r="AL345" s="198"/>
      <c r="AM345" s="198"/>
      <c r="AN345" s="198"/>
      <c r="AO345" s="198"/>
      <c r="AP345" s="198"/>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row>
    <row r="346" spans="1:64" hidden="1" outlineLevel="1">
      <c r="A346" s="9"/>
      <c r="B346" s="9"/>
      <c r="C346" s="9"/>
      <c r="D346" s="270">
        <f>Asset16</f>
        <v>0</v>
      </c>
      <c r="E346" s="9"/>
      <c r="F346" s="9"/>
      <c r="G346" s="9"/>
      <c r="H346" s="9"/>
      <c r="I346" s="9"/>
      <c r="J346" s="9"/>
      <c r="K346" s="9"/>
      <c r="L346" s="111">
        <f>IF(L$234&gt;0, IF(M$234=0, 'Adjustment for previous period'!$G252, 0), 0)</f>
        <v>0</v>
      </c>
      <c r="M346" s="111">
        <f>IF(M$234&gt;0, IF(N$234=0, 'Adjustment for previous period'!$G252, 0), 0)</f>
        <v>0</v>
      </c>
      <c r="N346" s="111">
        <f>IF(N$234&gt;0, IF(O$234=0, 'Adjustment for previous period'!$G252, 0), 0)</f>
        <v>0</v>
      </c>
      <c r="O346" s="111">
        <f>IF(O$234&gt;0, IF(P$234=0, 'Adjustment for previous period'!$G252, 0), 0)</f>
        <v>0</v>
      </c>
      <c r="P346" s="111">
        <f>IF(P$234&gt;0, IF(Q$234=0, 'Adjustment for previous period'!$G252, 0), 0)</f>
        <v>0</v>
      </c>
      <c r="Q346" s="111">
        <f>IF(Q$234&gt;0, IF(R$234=0, 'Adjustment for previous period'!$G252, 0), 0)</f>
        <v>0</v>
      </c>
      <c r="R346" s="9"/>
      <c r="S346" s="9"/>
      <c r="T346" s="9"/>
      <c r="U346" s="9"/>
      <c r="V346" s="9"/>
      <c r="W346" s="9"/>
      <c r="X346" s="9"/>
      <c r="Y346" s="9"/>
      <c r="Z346" s="9"/>
      <c r="AB346" s="198"/>
      <c r="AC346" s="198"/>
      <c r="AD346" s="198"/>
      <c r="AE346" s="198"/>
      <c r="AF346" s="198"/>
      <c r="AG346" s="198"/>
      <c r="AH346" s="198"/>
      <c r="AI346" s="198"/>
      <c r="AJ346" s="198"/>
      <c r="AK346" s="198"/>
      <c r="AL346" s="198"/>
      <c r="AM346" s="198"/>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row>
    <row r="347" spans="1:64" hidden="1" outlineLevel="1">
      <c r="A347" s="9"/>
      <c r="B347" s="9"/>
      <c r="C347" s="9"/>
      <c r="D347" s="270">
        <f>Asset17</f>
        <v>0</v>
      </c>
      <c r="E347" s="9"/>
      <c r="F347" s="9"/>
      <c r="G347" s="9"/>
      <c r="H347" s="9"/>
      <c r="I347" s="9"/>
      <c r="J347" s="9"/>
      <c r="K347" s="9"/>
      <c r="L347" s="111">
        <f>IF(L$234&gt;0, IF(M$234=0, 'Adjustment for previous period'!$G253, 0), 0)</f>
        <v>0</v>
      </c>
      <c r="M347" s="111">
        <f>IF(M$234&gt;0, IF(N$234=0, 'Adjustment for previous period'!$G253, 0), 0)</f>
        <v>0</v>
      </c>
      <c r="N347" s="111">
        <f>IF(N$234&gt;0, IF(O$234=0, 'Adjustment for previous period'!$G253, 0), 0)</f>
        <v>0</v>
      </c>
      <c r="O347" s="111">
        <f>IF(O$234&gt;0, IF(P$234=0, 'Adjustment for previous period'!$G253, 0), 0)</f>
        <v>0</v>
      </c>
      <c r="P347" s="111">
        <f>IF(P$234&gt;0, IF(Q$234=0, 'Adjustment for previous period'!$G253, 0), 0)</f>
        <v>0</v>
      </c>
      <c r="Q347" s="111">
        <f>IF(Q$234&gt;0, IF(R$234=0, 'Adjustment for previous period'!$G253, 0), 0)</f>
        <v>0</v>
      </c>
      <c r="R347" s="9"/>
      <c r="S347" s="9"/>
      <c r="T347" s="9"/>
      <c r="U347" s="9"/>
      <c r="V347" s="9"/>
      <c r="W347" s="9"/>
      <c r="X347" s="9"/>
      <c r="Y347" s="9"/>
      <c r="Z347" s="9"/>
      <c r="AB347" s="198"/>
      <c r="AC347" s="198"/>
      <c r="AD347" s="198"/>
      <c r="AE347" s="198"/>
      <c r="AF347" s="198"/>
      <c r="AG347" s="198"/>
      <c r="AH347" s="198"/>
      <c r="AI347" s="198"/>
      <c r="AJ347" s="198"/>
      <c r="AK347" s="198"/>
      <c r="AL347" s="198"/>
      <c r="AM347" s="198"/>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row>
    <row r="348" spans="1:64" hidden="1" outlineLevel="1">
      <c r="A348" s="9"/>
      <c r="B348" s="9"/>
      <c r="C348" s="9"/>
      <c r="D348" s="270">
        <f>Asset18</f>
        <v>0</v>
      </c>
      <c r="E348" s="9"/>
      <c r="F348" s="9"/>
      <c r="G348" s="9"/>
      <c r="H348" s="9"/>
      <c r="I348" s="9"/>
      <c r="J348" s="9"/>
      <c r="K348" s="9"/>
      <c r="L348" s="111">
        <f>IF(L$234&gt;0, IF(M$234=0, 'Adjustment for previous period'!$G254, 0), 0)</f>
        <v>0</v>
      </c>
      <c r="M348" s="111">
        <f>IF(M$234&gt;0, IF(N$234=0, 'Adjustment for previous period'!$G254, 0), 0)</f>
        <v>0</v>
      </c>
      <c r="N348" s="111">
        <f>IF(N$234&gt;0, IF(O$234=0, 'Adjustment for previous period'!$G254, 0), 0)</f>
        <v>0</v>
      </c>
      <c r="O348" s="111">
        <f>IF(O$234&gt;0, IF(P$234=0, 'Adjustment for previous period'!$G254, 0), 0)</f>
        <v>0</v>
      </c>
      <c r="P348" s="111">
        <f>IF(P$234&gt;0, IF(Q$234=0, 'Adjustment for previous period'!$G254, 0), 0)</f>
        <v>0</v>
      </c>
      <c r="Q348" s="111">
        <f>IF(Q$234&gt;0, IF(R$234=0, 'Adjustment for previous period'!$G254, 0), 0)</f>
        <v>0</v>
      </c>
      <c r="R348" s="9"/>
      <c r="S348" s="9"/>
      <c r="T348" s="9"/>
      <c r="U348" s="9"/>
      <c r="V348" s="9"/>
      <c r="W348" s="9"/>
      <c r="X348" s="9"/>
      <c r="Y348" s="9"/>
      <c r="Z348" s="9"/>
      <c r="AB348" s="198"/>
      <c r="AC348" s="198"/>
      <c r="AD348" s="198"/>
      <c r="AE348" s="198"/>
      <c r="AF348" s="198"/>
      <c r="AG348" s="198"/>
      <c r="AH348" s="198"/>
      <c r="AI348" s="198"/>
      <c r="AJ348" s="198"/>
      <c r="AK348" s="198"/>
      <c r="AL348" s="198"/>
      <c r="AM348" s="198"/>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row>
    <row r="349" spans="1:64" hidden="1" outlineLevel="1">
      <c r="A349" s="9"/>
      <c r="B349" s="9"/>
      <c r="C349" s="9"/>
      <c r="D349" s="270">
        <f>Asset19</f>
        <v>0</v>
      </c>
      <c r="E349" s="9"/>
      <c r="F349" s="9"/>
      <c r="G349" s="9"/>
      <c r="H349" s="9"/>
      <c r="I349" s="9"/>
      <c r="J349" s="9"/>
      <c r="K349" s="9"/>
      <c r="L349" s="111">
        <f>IF(L$234&gt;0, IF(M$234=0, 'Adjustment for previous period'!$G255, 0), 0)</f>
        <v>0</v>
      </c>
      <c r="M349" s="111">
        <f>IF(M$234&gt;0, IF(N$234=0, 'Adjustment for previous period'!$G255, 0), 0)</f>
        <v>0</v>
      </c>
      <c r="N349" s="111">
        <f>IF(N$234&gt;0, IF(O$234=0, 'Adjustment for previous period'!$G255, 0), 0)</f>
        <v>0</v>
      </c>
      <c r="O349" s="111">
        <f>IF(O$234&gt;0, IF(P$234=0, 'Adjustment for previous period'!$G255, 0), 0)</f>
        <v>0</v>
      </c>
      <c r="P349" s="111">
        <f>IF(P$234&gt;0, IF(Q$234=0, 'Adjustment for previous period'!$G255, 0), 0)</f>
        <v>0</v>
      </c>
      <c r="Q349" s="111">
        <f>IF(Q$234&gt;0, IF(R$234=0, 'Adjustment for previous period'!$G255, 0), 0)</f>
        <v>0</v>
      </c>
      <c r="R349" s="9"/>
      <c r="S349" s="9"/>
      <c r="T349" s="9"/>
      <c r="U349" s="9"/>
      <c r="V349" s="9"/>
      <c r="W349" s="9"/>
      <c r="X349" s="9"/>
      <c r="Y349" s="9"/>
      <c r="Z349" s="9"/>
      <c r="AB349" s="198"/>
      <c r="AC349" s="198"/>
      <c r="AD349" s="198"/>
      <c r="AE349" s="198"/>
      <c r="AF349" s="198"/>
      <c r="AG349" s="198"/>
      <c r="AH349" s="198"/>
      <c r="AI349" s="198"/>
      <c r="AJ349" s="198"/>
      <c r="AK349" s="198"/>
      <c r="AL349" s="198"/>
      <c r="AM349" s="198"/>
      <c r="AN349" s="198"/>
      <c r="AO349" s="198"/>
      <c r="AP349" s="198"/>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row>
    <row r="350" spans="1:64" hidden="1" outlineLevel="1">
      <c r="A350" s="9"/>
      <c r="B350" s="9"/>
      <c r="C350" s="9"/>
      <c r="D350" s="270">
        <f>Asset20</f>
        <v>0</v>
      </c>
      <c r="E350" s="9"/>
      <c r="F350" s="9"/>
      <c r="G350" s="9"/>
      <c r="H350" s="9"/>
      <c r="I350" s="9"/>
      <c r="J350" s="9"/>
      <c r="K350" s="9"/>
      <c r="L350" s="111">
        <f>IF(L$234&gt;0, IF(M$234=0, 'Adjustment for previous period'!$G256, 0), 0)</f>
        <v>0</v>
      </c>
      <c r="M350" s="111">
        <f>IF(M$234&gt;0, IF(N$234=0, 'Adjustment for previous period'!$G256, 0), 0)</f>
        <v>0</v>
      </c>
      <c r="N350" s="111">
        <f>IF(N$234&gt;0, IF(O$234=0, 'Adjustment for previous period'!$G256, 0), 0)</f>
        <v>0</v>
      </c>
      <c r="O350" s="111">
        <f>IF(O$234&gt;0, IF(P$234=0, 'Adjustment for previous period'!$G256, 0), 0)</f>
        <v>0</v>
      </c>
      <c r="P350" s="111">
        <f>IF(P$234&gt;0, IF(Q$234=0, 'Adjustment for previous period'!$G256, 0), 0)</f>
        <v>0</v>
      </c>
      <c r="Q350" s="111">
        <f>IF(Q$234&gt;0, IF(R$234=0, 'Adjustment for previous period'!$G256, 0), 0)</f>
        <v>0</v>
      </c>
      <c r="R350" s="9"/>
      <c r="S350" s="9"/>
      <c r="T350" s="9"/>
      <c r="U350" s="9"/>
      <c r="V350" s="9"/>
      <c r="W350" s="9"/>
      <c r="X350" s="9"/>
      <c r="Y350" s="9"/>
      <c r="Z350" s="9"/>
      <c r="AB350" s="198"/>
      <c r="AC350" s="198"/>
      <c r="AD350" s="198"/>
      <c r="AE350" s="198"/>
      <c r="AF350" s="198"/>
      <c r="AG350" s="198"/>
      <c r="AH350" s="198"/>
      <c r="AI350" s="198"/>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row>
    <row r="351" spans="1:64" hidden="1" outlineLevel="1">
      <c r="A351" s="9"/>
      <c r="B351" s="9"/>
      <c r="C351" s="9"/>
      <c r="D351" s="270">
        <f>Asset21</f>
        <v>0</v>
      </c>
      <c r="E351" s="9"/>
      <c r="F351" s="9"/>
      <c r="G351" s="9"/>
      <c r="H351" s="9"/>
      <c r="I351" s="9"/>
      <c r="J351" s="9"/>
      <c r="K351" s="9"/>
      <c r="L351" s="111">
        <f>IF(L$234&gt;0, IF(M$234=0, 'Adjustment for previous period'!$G257, 0), 0)</f>
        <v>0</v>
      </c>
      <c r="M351" s="111">
        <f>IF(M$234&gt;0, IF(N$234=0, 'Adjustment for previous period'!$G257, 0), 0)</f>
        <v>0</v>
      </c>
      <c r="N351" s="111">
        <f>IF(N$234&gt;0, IF(O$234=0, 'Adjustment for previous period'!$G257, 0), 0)</f>
        <v>0</v>
      </c>
      <c r="O351" s="111">
        <f>IF(O$234&gt;0, IF(P$234=0, 'Adjustment for previous period'!$G257, 0), 0)</f>
        <v>0</v>
      </c>
      <c r="P351" s="111">
        <f>IF(P$234&gt;0, IF(Q$234=0, 'Adjustment for previous period'!$G257, 0), 0)</f>
        <v>0</v>
      </c>
      <c r="Q351" s="111">
        <f>IF(Q$234&gt;0, IF(R$234=0, 'Adjustment for previous period'!$G257, 0), 0)</f>
        <v>0</v>
      </c>
      <c r="R351" s="9"/>
      <c r="S351" s="9"/>
      <c r="T351" s="9"/>
      <c r="U351" s="9"/>
      <c r="V351" s="9"/>
      <c r="W351" s="9"/>
      <c r="X351" s="9"/>
      <c r="Y351" s="9"/>
      <c r="Z351" s="9"/>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row>
    <row r="352" spans="1:64" hidden="1" outlineLevel="1">
      <c r="A352" s="9"/>
      <c r="B352" s="9"/>
      <c r="C352" s="9"/>
      <c r="D352" s="270">
        <f>Asset22</f>
        <v>0</v>
      </c>
      <c r="E352" s="9"/>
      <c r="F352" s="9"/>
      <c r="G352" s="9"/>
      <c r="H352" s="9"/>
      <c r="I352" s="9"/>
      <c r="J352" s="9"/>
      <c r="K352" s="9"/>
      <c r="L352" s="111">
        <f>IF(L$234&gt;0, IF(M$234=0, 'Adjustment for previous period'!$G258, 0), 0)</f>
        <v>0</v>
      </c>
      <c r="M352" s="111">
        <f>IF(M$234&gt;0, IF(N$234=0, 'Adjustment for previous period'!$G258, 0), 0)</f>
        <v>0</v>
      </c>
      <c r="N352" s="111">
        <f>IF(N$234&gt;0, IF(O$234=0, 'Adjustment for previous period'!$G258, 0), 0)</f>
        <v>0</v>
      </c>
      <c r="O352" s="111">
        <f>IF(O$234&gt;0, IF(P$234=0, 'Adjustment for previous period'!$G258, 0), 0)</f>
        <v>0</v>
      </c>
      <c r="P352" s="111">
        <f>IF(P$234&gt;0, IF(Q$234=0, 'Adjustment for previous period'!$G258, 0), 0)</f>
        <v>0</v>
      </c>
      <c r="Q352" s="111">
        <f>IF(Q$234&gt;0, IF(R$234=0, 'Adjustment for previous period'!$G258, 0), 0)</f>
        <v>0</v>
      </c>
      <c r="R352" s="9"/>
      <c r="S352" s="9"/>
      <c r="T352" s="9"/>
      <c r="U352" s="9"/>
      <c r="V352" s="9"/>
      <c r="W352" s="9"/>
      <c r="X352" s="9"/>
      <c r="Y352" s="9"/>
      <c r="Z352" s="9"/>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8"/>
      <c r="AY352" s="198"/>
      <c r="AZ352" s="198"/>
      <c r="BA352" s="198"/>
      <c r="BB352" s="198"/>
      <c r="BC352" s="198"/>
      <c r="BD352" s="198"/>
      <c r="BE352" s="198"/>
      <c r="BF352" s="198"/>
      <c r="BG352" s="198"/>
      <c r="BH352" s="198"/>
      <c r="BI352" s="198"/>
      <c r="BJ352" s="198"/>
      <c r="BK352" s="198"/>
      <c r="BL352" s="198"/>
    </row>
    <row r="353" spans="1:64" hidden="1" outlineLevel="1">
      <c r="A353" s="9"/>
      <c r="B353" s="9"/>
      <c r="C353" s="9"/>
      <c r="D353" s="270">
        <f>Asset23</f>
        <v>0</v>
      </c>
      <c r="E353" s="9"/>
      <c r="F353" s="9"/>
      <c r="G353" s="9"/>
      <c r="H353" s="9"/>
      <c r="I353" s="9"/>
      <c r="J353" s="9"/>
      <c r="K353" s="9"/>
      <c r="L353" s="111">
        <f>IF(L$234&gt;0, IF(M$234=0, 'Adjustment for previous period'!$G259, 0), 0)</f>
        <v>0</v>
      </c>
      <c r="M353" s="111">
        <f>IF(M$234&gt;0, IF(N$234=0, 'Adjustment for previous period'!$G259, 0), 0)</f>
        <v>0</v>
      </c>
      <c r="N353" s="111">
        <f>IF(N$234&gt;0, IF(O$234=0, 'Adjustment for previous period'!$G259, 0), 0)</f>
        <v>0</v>
      </c>
      <c r="O353" s="111">
        <f>IF(O$234&gt;0, IF(P$234=0, 'Adjustment for previous period'!$G259, 0), 0)</f>
        <v>0</v>
      </c>
      <c r="P353" s="111">
        <f>IF(P$234&gt;0, IF(Q$234=0, 'Adjustment for previous period'!$G259, 0), 0)</f>
        <v>0</v>
      </c>
      <c r="Q353" s="111">
        <f>IF(Q$234&gt;0, IF(R$234=0, 'Adjustment for previous period'!$G259, 0), 0)</f>
        <v>0</v>
      </c>
      <c r="R353" s="9"/>
      <c r="S353" s="9"/>
      <c r="T353" s="9"/>
      <c r="U353" s="9"/>
      <c r="V353" s="9"/>
      <c r="W353" s="9"/>
      <c r="X353" s="9"/>
      <c r="Y353" s="9"/>
      <c r="Z353" s="9"/>
      <c r="AB353" s="198"/>
      <c r="AC353" s="198"/>
      <c r="AD353" s="198"/>
      <c r="AE353" s="198"/>
      <c r="AF353" s="198"/>
      <c r="AG353" s="198"/>
      <c r="AH353" s="198"/>
      <c r="AI353" s="198"/>
      <c r="AJ353" s="198"/>
      <c r="AK353" s="198"/>
      <c r="AL353" s="198"/>
      <c r="AM353" s="198"/>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row>
    <row r="354" spans="1:64" hidden="1" outlineLevel="1">
      <c r="A354" s="9"/>
      <c r="B354" s="9"/>
      <c r="C354" s="9"/>
      <c r="D354" s="270">
        <f>Asset24</f>
        <v>0</v>
      </c>
      <c r="E354" s="9"/>
      <c r="F354" s="9"/>
      <c r="G354" s="9"/>
      <c r="H354" s="9"/>
      <c r="I354" s="9"/>
      <c r="J354" s="9"/>
      <c r="K354" s="9"/>
      <c r="L354" s="111">
        <f>IF(L$234&gt;0, IF(M$234=0, 'Adjustment for previous period'!$G260, 0), 0)</f>
        <v>0</v>
      </c>
      <c r="M354" s="111">
        <f>IF(M$234&gt;0, IF(N$234=0, 'Adjustment for previous period'!$G260, 0), 0)</f>
        <v>0</v>
      </c>
      <c r="N354" s="111">
        <f>IF(N$234&gt;0, IF(O$234=0, 'Adjustment for previous period'!$G260, 0), 0)</f>
        <v>0</v>
      </c>
      <c r="O354" s="111">
        <f>IF(O$234&gt;0, IF(P$234=0, 'Adjustment for previous period'!$G260, 0), 0)</f>
        <v>0</v>
      </c>
      <c r="P354" s="111">
        <f>IF(P$234&gt;0, IF(Q$234=0, 'Adjustment for previous period'!$G260, 0), 0)</f>
        <v>0</v>
      </c>
      <c r="Q354" s="111">
        <f>IF(Q$234&gt;0, IF(R$234=0, 'Adjustment for previous period'!$G260, 0), 0)</f>
        <v>0</v>
      </c>
      <c r="R354" s="9"/>
      <c r="S354" s="9"/>
      <c r="T354" s="9"/>
      <c r="U354" s="9"/>
      <c r="V354" s="9"/>
      <c r="W354" s="9"/>
      <c r="X354" s="9"/>
      <c r="Y354" s="9"/>
      <c r="Z354" s="9"/>
      <c r="AB354" s="198"/>
      <c r="AC354" s="198"/>
      <c r="AD354" s="198"/>
      <c r="AE354" s="198"/>
      <c r="AF354" s="198"/>
      <c r="AG354" s="198"/>
      <c r="AH354" s="198"/>
      <c r="AI354" s="198"/>
      <c r="AJ354" s="198"/>
      <c r="AK354" s="198"/>
      <c r="AL354" s="198"/>
      <c r="AM354" s="198"/>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row>
    <row r="355" spans="1:64" hidden="1" outlineLevel="1">
      <c r="A355" s="9"/>
      <c r="B355" s="9"/>
      <c r="C355" s="9"/>
      <c r="D355" s="270">
        <f>Asset25</f>
        <v>0</v>
      </c>
      <c r="E355" s="9"/>
      <c r="F355" s="9"/>
      <c r="G355" s="9"/>
      <c r="H355" s="9"/>
      <c r="I355" s="9"/>
      <c r="J355" s="9"/>
      <c r="K355" s="9"/>
      <c r="L355" s="111">
        <f>IF(L$234&gt;0, IF(M$234=0, 'Adjustment for previous period'!$G261, 0), 0)</f>
        <v>0</v>
      </c>
      <c r="M355" s="111">
        <f>IF(M$234&gt;0, IF(N$234=0, 'Adjustment for previous period'!$G261, 0), 0)</f>
        <v>0</v>
      </c>
      <c r="N355" s="111">
        <f>IF(N$234&gt;0, IF(O$234=0, 'Adjustment for previous period'!$G261, 0), 0)</f>
        <v>0</v>
      </c>
      <c r="O355" s="111">
        <f>IF(O$234&gt;0, IF(P$234=0, 'Adjustment for previous period'!$G261, 0), 0)</f>
        <v>0</v>
      </c>
      <c r="P355" s="111">
        <f>IF(P$234&gt;0, IF(Q$234=0, 'Adjustment for previous period'!$G261, 0), 0)</f>
        <v>0</v>
      </c>
      <c r="Q355" s="111">
        <f>IF(Q$234&gt;0, IF(R$234=0, 'Adjustment for previous period'!$G261, 0), 0)</f>
        <v>0</v>
      </c>
      <c r="R355" s="9"/>
      <c r="S355" s="9"/>
      <c r="T355" s="9"/>
      <c r="U355" s="9"/>
      <c r="V355" s="9"/>
      <c r="W355" s="9"/>
      <c r="X355" s="9"/>
      <c r="Y355" s="9"/>
      <c r="Z355" s="9"/>
      <c r="AB355" s="198"/>
      <c r="AC355" s="198"/>
      <c r="AD355" s="198"/>
      <c r="AE355" s="198"/>
      <c r="AF355" s="198"/>
      <c r="AG355" s="198"/>
      <c r="AH355" s="198"/>
      <c r="AI355" s="198"/>
      <c r="AJ355" s="198"/>
      <c r="AK355" s="198"/>
      <c r="AL355" s="198"/>
      <c r="AM355" s="198"/>
      <c r="AN355" s="198"/>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row>
    <row r="356" spans="1:64" hidden="1" outlineLevel="1">
      <c r="A356" s="9"/>
      <c r="B356" s="9"/>
      <c r="C356" s="9"/>
      <c r="D356" s="270">
        <f>Asset26</f>
        <v>0</v>
      </c>
      <c r="E356" s="9"/>
      <c r="F356" s="9"/>
      <c r="G356" s="9"/>
      <c r="H356" s="9"/>
      <c r="I356" s="9"/>
      <c r="J356" s="9"/>
      <c r="K356" s="9"/>
      <c r="L356" s="111">
        <f>IF(L$234&gt;0, IF(M$234=0, 'Adjustment for previous period'!$G262, 0), 0)</f>
        <v>0</v>
      </c>
      <c r="M356" s="111">
        <f>IF(M$234&gt;0, IF(N$234=0, 'Adjustment for previous period'!$G262, 0), 0)</f>
        <v>0</v>
      </c>
      <c r="N356" s="111">
        <f>IF(N$234&gt;0, IF(O$234=0, 'Adjustment for previous period'!$G262, 0), 0)</f>
        <v>0</v>
      </c>
      <c r="O356" s="111">
        <f>IF(O$234&gt;0, IF(P$234=0, 'Adjustment for previous period'!$G262, 0), 0)</f>
        <v>0</v>
      </c>
      <c r="P356" s="111">
        <f>IF(P$234&gt;0, IF(Q$234=0, 'Adjustment for previous period'!$G262, 0), 0)</f>
        <v>0</v>
      </c>
      <c r="Q356" s="111">
        <f>IF(Q$234&gt;0, IF(R$234=0, 'Adjustment for previous period'!$G262, 0), 0)</f>
        <v>0</v>
      </c>
      <c r="R356" s="9"/>
      <c r="S356" s="9"/>
      <c r="T356" s="9"/>
      <c r="U356" s="9"/>
      <c r="V356" s="9"/>
      <c r="W356" s="9"/>
      <c r="X356" s="9"/>
      <c r="Y356" s="9"/>
      <c r="Z356" s="9"/>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row>
    <row r="357" spans="1:64" hidden="1" outlineLevel="1">
      <c r="A357" s="9"/>
      <c r="B357" s="9"/>
      <c r="C357" s="9"/>
      <c r="D357" s="270">
        <f>Asset27</f>
        <v>0</v>
      </c>
      <c r="E357" s="9"/>
      <c r="F357" s="9"/>
      <c r="G357" s="9"/>
      <c r="H357" s="9"/>
      <c r="I357" s="9"/>
      <c r="J357" s="9"/>
      <c r="K357" s="9"/>
      <c r="L357" s="111">
        <f>IF(L$234&gt;0, IF(M$234=0, 'Adjustment for previous period'!$G263, 0), 0)</f>
        <v>0</v>
      </c>
      <c r="M357" s="111">
        <f>IF(M$234&gt;0, IF(N$234=0, 'Adjustment for previous period'!$G263, 0), 0)</f>
        <v>0</v>
      </c>
      <c r="N357" s="111">
        <f>IF(N$234&gt;0, IF(O$234=0, 'Adjustment for previous period'!$G263, 0), 0)</f>
        <v>0</v>
      </c>
      <c r="O357" s="111">
        <f>IF(O$234&gt;0, IF(P$234=0, 'Adjustment for previous period'!$G263, 0), 0)</f>
        <v>0</v>
      </c>
      <c r="P357" s="111">
        <f>IF(P$234&gt;0, IF(Q$234=0, 'Adjustment for previous period'!$G263, 0), 0)</f>
        <v>0</v>
      </c>
      <c r="Q357" s="111">
        <f>IF(Q$234&gt;0, IF(R$234=0, 'Adjustment for previous period'!$G263, 0), 0)</f>
        <v>0</v>
      </c>
      <c r="R357" s="9"/>
      <c r="S357" s="9"/>
      <c r="T357" s="9"/>
      <c r="U357" s="9"/>
      <c r="V357" s="9"/>
      <c r="W357" s="9"/>
      <c r="X357" s="9"/>
      <c r="Y357" s="9"/>
      <c r="Z357" s="9"/>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row>
    <row r="358" spans="1:64" hidden="1" outlineLevel="1">
      <c r="A358" s="9"/>
      <c r="B358" s="9"/>
      <c r="C358" s="9"/>
      <c r="D358" s="270">
        <f>Asset28</f>
        <v>0</v>
      </c>
      <c r="E358" s="9"/>
      <c r="F358" s="9"/>
      <c r="G358" s="9"/>
      <c r="H358" s="9"/>
      <c r="I358" s="9"/>
      <c r="J358" s="9"/>
      <c r="K358" s="9"/>
      <c r="L358" s="111">
        <f>IF(L$234&gt;0, IF(M$234=0, 'Adjustment for previous period'!$G264, 0), 0)</f>
        <v>0</v>
      </c>
      <c r="M358" s="111">
        <f>IF(M$234&gt;0, IF(N$234=0, 'Adjustment for previous period'!$G264, 0), 0)</f>
        <v>0</v>
      </c>
      <c r="N358" s="111">
        <f>IF(N$234&gt;0, IF(O$234=0, 'Adjustment for previous period'!$G264, 0), 0)</f>
        <v>0</v>
      </c>
      <c r="O358" s="111">
        <f>IF(O$234&gt;0, IF(P$234=0, 'Adjustment for previous period'!$G264, 0), 0)</f>
        <v>0</v>
      </c>
      <c r="P358" s="111">
        <f>IF(P$234&gt;0, IF(Q$234=0, 'Adjustment for previous period'!$G264, 0), 0)</f>
        <v>0</v>
      </c>
      <c r="Q358" s="111">
        <f>IF(Q$234&gt;0, IF(R$234=0, 'Adjustment for previous period'!$G264, 0), 0)</f>
        <v>0</v>
      </c>
      <c r="R358" s="9"/>
      <c r="S358" s="9"/>
      <c r="T358" s="9"/>
      <c r="U358" s="9"/>
      <c r="V358" s="9"/>
      <c r="W358" s="9"/>
      <c r="X358" s="9"/>
      <c r="Y358" s="9"/>
      <c r="Z358" s="9"/>
      <c r="AB358" s="198"/>
      <c r="AC358" s="198"/>
      <c r="AD358" s="198"/>
      <c r="AE358" s="198"/>
      <c r="AF358" s="198"/>
      <c r="AG358" s="198"/>
      <c r="AH358" s="198"/>
      <c r="AI358" s="198"/>
      <c r="AJ358" s="198"/>
      <c r="AK358" s="198"/>
      <c r="AL358" s="198"/>
      <c r="AM358" s="198"/>
      <c r="AN358" s="198"/>
      <c r="AO358" s="198"/>
      <c r="AP358" s="198"/>
      <c r="AQ358" s="198"/>
      <c r="AR358" s="198"/>
      <c r="AS358" s="198"/>
      <c r="AT358" s="198"/>
      <c r="AU358" s="198"/>
      <c r="AV358" s="198"/>
      <c r="AW358" s="198"/>
      <c r="AX358" s="198"/>
      <c r="AY358" s="198"/>
      <c r="AZ358" s="198"/>
      <c r="BA358" s="198"/>
      <c r="BB358" s="198"/>
      <c r="BC358" s="198"/>
      <c r="BD358" s="198"/>
      <c r="BE358" s="198"/>
      <c r="BF358" s="198"/>
      <c r="BG358" s="198"/>
      <c r="BH358" s="198"/>
      <c r="BI358" s="198"/>
      <c r="BJ358" s="198"/>
      <c r="BK358" s="198"/>
      <c r="BL358" s="198"/>
    </row>
    <row r="359" spans="1:64" hidden="1" outlineLevel="1">
      <c r="A359" s="9"/>
      <c r="B359" s="9"/>
      <c r="C359" s="9"/>
      <c r="D359" s="270">
        <f>Asset29</f>
        <v>0</v>
      </c>
      <c r="E359" s="9"/>
      <c r="F359" s="9"/>
      <c r="G359" s="9"/>
      <c r="H359" s="9"/>
      <c r="I359" s="9"/>
      <c r="J359" s="9"/>
      <c r="K359" s="9"/>
      <c r="L359" s="111">
        <f>IF(L$234&gt;0, IF(M$234=0, 'Adjustment for previous period'!$G265, 0), 0)</f>
        <v>0</v>
      </c>
      <c r="M359" s="111">
        <f>IF(M$234&gt;0, IF(N$234=0, 'Adjustment for previous period'!$G265, 0), 0)</f>
        <v>0</v>
      </c>
      <c r="N359" s="111">
        <f>IF(N$234&gt;0, IF(O$234=0, 'Adjustment for previous period'!$G265, 0), 0)</f>
        <v>0</v>
      </c>
      <c r="O359" s="111">
        <f>IF(O$234&gt;0, IF(P$234=0, 'Adjustment for previous period'!$G265, 0), 0)</f>
        <v>0</v>
      </c>
      <c r="P359" s="111">
        <f>IF(P$234&gt;0, IF(Q$234=0, 'Adjustment for previous period'!$G265, 0), 0)</f>
        <v>0</v>
      </c>
      <c r="Q359" s="111">
        <f>IF(Q$234&gt;0, IF(R$234=0, 'Adjustment for previous period'!$G265, 0), 0)</f>
        <v>0</v>
      </c>
      <c r="R359" s="9"/>
      <c r="S359" s="9"/>
      <c r="T359" s="9"/>
      <c r="U359" s="9"/>
      <c r="V359" s="9"/>
      <c r="W359" s="9"/>
      <c r="X359" s="9"/>
      <c r="Y359" s="9"/>
      <c r="Z359" s="9"/>
      <c r="AB359" s="198"/>
      <c r="AC359" s="198"/>
      <c r="AD359" s="198"/>
      <c r="AE359" s="198"/>
      <c r="AF359" s="198"/>
      <c r="AG359" s="198"/>
      <c r="AH359" s="198"/>
      <c r="AI359" s="198"/>
      <c r="AJ359" s="198"/>
      <c r="AK359" s="198"/>
      <c r="AL359" s="198"/>
      <c r="AM359" s="198"/>
      <c r="AN359" s="198"/>
      <c r="AO359" s="198"/>
      <c r="AP359" s="198"/>
      <c r="AQ359" s="198"/>
      <c r="AR359" s="198"/>
      <c r="AS359" s="198"/>
      <c r="AT359" s="198"/>
      <c r="AU359" s="198"/>
      <c r="AV359" s="198"/>
      <c r="AW359" s="198"/>
      <c r="AX359" s="198"/>
      <c r="AY359" s="198"/>
      <c r="AZ359" s="198"/>
      <c r="BA359" s="198"/>
      <c r="BB359" s="198"/>
      <c r="BC359" s="198"/>
      <c r="BD359" s="198"/>
      <c r="BE359" s="198"/>
      <c r="BF359" s="198"/>
      <c r="BG359" s="198"/>
      <c r="BH359" s="198"/>
      <c r="BI359" s="198"/>
      <c r="BJ359" s="198"/>
      <c r="BK359" s="198"/>
      <c r="BL359" s="198"/>
    </row>
    <row r="360" spans="1:64" hidden="1" outlineLevel="1">
      <c r="A360" s="9"/>
      <c r="B360" s="9"/>
      <c r="C360" s="9"/>
      <c r="D360" s="270">
        <f>Asset30</f>
        <v>0</v>
      </c>
      <c r="E360" s="9"/>
      <c r="F360" s="9"/>
      <c r="G360" s="9"/>
      <c r="H360" s="9"/>
      <c r="I360" s="9"/>
      <c r="J360" s="9"/>
      <c r="K360" s="9"/>
      <c r="L360" s="111">
        <f>IF(L$234&gt;0, IF(M$234=0, 'Adjustment for previous period'!$G266, 0), 0)</f>
        <v>0</v>
      </c>
      <c r="M360" s="111">
        <f>IF(M$234&gt;0, IF(N$234=0, 'Adjustment for previous period'!$G266, 0), 0)</f>
        <v>0</v>
      </c>
      <c r="N360" s="111">
        <f>IF(N$234&gt;0, IF(O$234=0, 'Adjustment for previous period'!$G266, 0), 0)</f>
        <v>0</v>
      </c>
      <c r="O360" s="111">
        <f>IF(O$234&gt;0, IF(P$234=0, 'Adjustment for previous period'!$G266, 0), 0)</f>
        <v>0</v>
      </c>
      <c r="P360" s="111">
        <f>IF(P$234&gt;0, IF(Q$234=0, 'Adjustment for previous period'!$G266, 0), 0)</f>
        <v>0</v>
      </c>
      <c r="Q360" s="111">
        <f>IF(Q$234&gt;0, IF(R$234=0, 'Adjustment for previous period'!$G266, 0), 0)</f>
        <v>0</v>
      </c>
      <c r="R360" s="9"/>
      <c r="S360" s="9"/>
      <c r="T360" s="9"/>
      <c r="U360" s="9"/>
      <c r="V360" s="9"/>
      <c r="W360" s="9"/>
      <c r="X360" s="9"/>
      <c r="Y360" s="9"/>
      <c r="Z360" s="9"/>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c r="BD360" s="198"/>
      <c r="BE360" s="198"/>
      <c r="BF360" s="198"/>
      <c r="BG360" s="198"/>
      <c r="BH360" s="198"/>
      <c r="BI360" s="198"/>
      <c r="BJ360" s="198"/>
      <c r="BK360" s="198"/>
      <c r="BL360" s="198"/>
    </row>
    <row r="361" spans="1:64" collapsed="1">
      <c r="A361" s="9"/>
      <c r="B361" s="9"/>
      <c r="C361" s="9"/>
      <c r="D361" s="35"/>
      <c r="E361" s="9"/>
      <c r="F361" s="9"/>
      <c r="G361" s="9"/>
      <c r="H361" s="9"/>
      <c r="I361" s="9"/>
      <c r="J361" s="9"/>
      <c r="K361" s="9"/>
      <c r="L361" s="9"/>
      <c r="M361" s="9"/>
      <c r="N361" s="12"/>
      <c r="O361" s="9"/>
      <c r="P361" s="9"/>
      <c r="Q361" s="9"/>
      <c r="R361" s="9"/>
      <c r="S361" s="9"/>
      <c r="T361" s="9"/>
      <c r="U361" s="9"/>
      <c r="V361" s="9"/>
      <c r="W361" s="9"/>
      <c r="X361" s="9"/>
      <c r="Y361" s="9"/>
      <c r="Z361" s="9"/>
      <c r="AB361" s="198"/>
      <c r="AC361" s="198"/>
      <c r="AD361" s="198"/>
      <c r="AE361" s="198"/>
      <c r="AF361" s="198"/>
      <c r="AG361" s="198"/>
      <c r="AH361" s="198"/>
      <c r="AI361" s="198"/>
      <c r="AJ361" s="198"/>
      <c r="AK361" s="198"/>
      <c r="AL361" s="198"/>
      <c r="AM361" s="198"/>
      <c r="AN361" s="198"/>
      <c r="AO361" s="198"/>
      <c r="AP361" s="198"/>
      <c r="AQ361" s="198"/>
      <c r="AR361" s="198"/>
      <c r="AS361" s="198"/>
      <c r="AT361" s="198"/>
      <c r="AU361" s="198"/>
      <c r="AV361" s="198"/>
      <c r="AW361" s="198"/>
      <c r="AX361" s="198"/>
      <c r="AY361" s="198"/>
      <c r="AZ361" s="198"/>
      <c r="BA361" s="198"/>
      <c r="BB361" s="198"/>
      <c r="BC361" s="198"/>
      <c r="BD361" s="198"/>
      <c r="BE361" s="198"/>
      <c r="BF361" s="198"/>
      <c r="BG361" s="198"/>
      <c r="BH361" s="198"/>
      <c r="BI361" s="198"/>
      <c r="BJ361" s="198"/>
      <c r="BK361" s="198"/>
      <c r="BL361" s="198"/>
    </row>
    <row r="362" spans="1:64">
      <c r="A362" s="9"/>
      <c r="B362" s="9"/>
      <c r="C362" s="9" t="s">
        <v>56</v>
      </c>
      <c r="D362" s="9"/>
      <c r="E362" s="9"/>
      <c r="F362" s="9"/>
      <c r="G362" s="9"/>
      <c r="H362" s="9"/>
      <c r="I362" s="9"/>
      <c r="J362" s="9"/>
      <c r="K362" s="9"/>
      <c r="L362" s="35">
        <f t="shared" ref="L362:Q362" si="17">SUM(L363:L392)</f>
        <v>0</v>
      </c>
      <c r="M362" s="35">
        <f t="shared" si="17"/>
        <v>16.907295852420891</v>
      </c>
      <c r="N362" s="35">
        <f t="shared" si="17"/>
        <v>0</v>
      </c>
      <c r="O362" s="35">
        <f t="shared" si="17"/>
        <v>0</v>
      </c>
      <c r="P362" s="35">
        <f t="shared" si="17"/>
        <v>0</v>
      </c>
      <c r="Q362" s="35">
        <f t="shared" si="17"/>
        <v>0</v>
      </c>
      <c r="R362" s="9"/>
      <c r="S362" s="9"/>
      <c r="T362" s="9"/>
      <c r="U362" s="9"/>
      <c r="V362" s="9"/>
      <c r="W362" s="9"/>
      <c r="X362" s="9"/>
      <c r="Y362" s="9"/>
      <c r="Z362" s="9"/>
      <c r="AB362" s="198"/>
      <c r="AC362" s="198"/>
      <c r="AD362" s="198"/>
      <c r="AE362" s="198"/>
      <c r="AF362" s="198"/>
      <c r="AG362" s="198"/>
      <c r="AH362" s="198"/>
      <c r="AI362" s="198"/>
      <c r="AJ362" s="198"/>
      <c r="AK362" s="198"/>
      <c r="AL362" s="198"/>
      <c r="AM362" s="198"/>
      <c r="AN362" s="198"/>
      <c r="AO362" s="198"/>
      <c r="AP362" s="198"/>
      <c r="AQ362" s="198"/>
      <c r="AR362" s="198"/>
      <c r="AS362" s="198"/>
      <c r="AT362" s="198"/>
      <c r="AU362" s="198"/>
      <c r="AV362" s="198"/>
      <c r="AW362" s="198"/>
      <c r="AX362" s="198"/>
      <c r="AY362" s="198"/>
      <c r="AZ362" s="198"/>
      <c r="BA362" s="198"/>
      <c r="BB362" s="198"/>
      <c r="BC362" s="198"/>
      <c r="BD362" s="198"/>
      <c r="BE362" s="198"/>
      <c r="BF362" s="198"/>
      <c r="BG362" s="198"/>
      <c r="BH362" s="198"/>
      <c r="BI362" s="198"/>
      <c r="BJ362" s="198"/>
      <c r="BK362" s="198"/>
      <c r="BL362" s="198"/>
    </row>
    <row r="363" spans="1:64" hidden="1" outlineLevel="1">
      <c r="A363" s="9"/>
      <c r="B363" s="9"/>
      <c r="C363" s="9"/>
      <c r="D363" s="270" t="str">
        <f>Asset1</f>
        <v>Secondary</v>
      </c>
      <c r="E363" s="9"/>
      <c r="F363" s="9"/>
      <c r="G363" s="9"/>
      <c r="H363" s="9"/>
      <c r="I363" s="9"/>
      <c r="J363" s="9"/>
      <c r="K363" s="9"/>
      <c r="L363" s="111">
        <f>IF(M$234=0, 'Adjustment for previous period'!L270, 0)</f>
        <v>0</v>
      </c>
      <c r="M363" s="111">
        <f>IF(N$234=0, 'Adjustment for previous period'!M270, 0)</f>
        <v>-1.358938082814438</v>
      </c>
      <c r="N363" s="111">
        <f>IF(O$234=0, 'Adjustment for previous period'!N270, 0)</f>
        <v>0</v>
      </c>
      <c r="O363" s="111">
        <f>IF(P$234=0, 'Adjustment for previous period'!O270, 0)</f>
        <v>0</v>
      </c>
      <c r="P363" s="111">
        <f>IF(Q$234=0, 'Adjustment for previous period'!P270, 0)</f>
        <v>0</v>
      </c>
      <c r="Q363" s="111">
        <f>IF(R$234=0, 'Adjustment for previous period'!Q270, 0)</f>
        <v>0</v>
      </c>
      <c r="R363" s="9"/>
      <c r="S363" s="9"/>
      <c r="T363" s="9"/>
      <c r="U363" s="9"/>
      <c r="V363" s="9"/>
      <c r="W363" s="9"/>
      <c r="X363" s="9"/>
      <c r="Y363" s="9"/>
      <c r="Z363" s="9"/>
      <c r="AB363" s="198"/>
      <c r="AC363" s="198"/>
      <c r="AD363" s="198"/>
      <c r="AE363" s="198"/>
      <c r="AF363" s="198"/>
      <c r="AG363" s="198"/>
      <c r="AH363" s="198"/>
      <c r="AI363" s="198"/>
      <c r="AJ363" s="198"/>
      <c r="AK363" s="198"/>
      <c r="AL363" s="198"/>
      <c r="AM363" s="198"/>
      <c r="AN363" s="198"/>
      <c r="AO363" s="198"/>
      <c r="AP363" s="198"/>
      <c r="AQ363" s="198"/>
      <c r="AR363" s="198"/>
      <c r="AS363" s="198"/>
      <c r="AT363" s="198"/>
      <c r="AU363" s="198"/>
      <c r="AV363" s="198"/>
      <c r="AW363" s="198"/>
      <c r="AX363" s="198"/>
      <c r="AY363" s="198"/>
      <c r="AZ363" s="198"/>
      <c r="BA363" s="198"/>
      <c r="BB363" s="198"/>
      <c r="BC363" s="198"/>
      <c r="BD363" s="198"/>
      <c r="BE363" s="198"/>
      <c r="BF363" s="198"/>
      <c r="BG363" s="198"/>
      <c r="BH363" s="198"/>
      <c r="BI363" s="198"/>
      <c r="BJ363" s="198"/>
      <c r="BK363" s="198"/>
      <c r="BL363" s="198"/>
    </row>
    <row r="364" spans="1:64" hidden="1" outlineLevel="1">
      <c r="A364" s="9"/>
      <c r="B364" s="9"/>
      <c r="C364" s="9"/>
      <c r="D364" s="270" t="str">
        <f>Asset2</f>
        <v>Switchgear</v>
      </c>
      <c r="E364" s="9"/>
      <c r="F364" s="9"/>
      <c r="G364" s="9"/>
      <c r="H364" s="9"/>
      <c r="I364" s="9"/>
      <c r="J364" s="9"/>
      <c r="K364" s="9"/>
      <c r="L364" s="111">
        <f>IF(M$234=0, 'Adjustment for previous period'!L272, 0)</f>
        <v>0</v>
      </c>
      <c r="M364" s="111">
        <f>IF(N$234=0, 'Adjustment for previous period'!M272, 0)</f>
        <v>-1.8510751796804485</v>
      </c>
      <c r="N364" s="111">
        <f>IF(O$234=0, 'Adjustment for previous period'!N272, 0)</f>
        <v>0</v>
      </c>
      <c r="O364" s="111">
        <f>IF(P$234=0, 'Adjustment for previous period'!O272, 0)</f>
        <v>0</v>
      </c>
      <c r="P364" s="111">
        <f>IF(Q$234=0, 'Adjustment for previous period'!P272, 0)</f>
        <v>0</v>
      </c>
      <c r="Q364" s="111">
        <f>IF(R$234=0, 'Adjustment for previous period'!Q272, 0)</f>
        <v>0</v>
      </c>
      <c r="R364" s="9"/>
      <c r="S364" s="9"/>
      <c r="T364" s="9"/>
      <c r="U364" s="9"/>
      <c r="V364" s="9"/>
      <c r="W364" s="9"/>
      <c r="X364" s="9"/>
      <c r="Y364" s="9"/>
      <c r="Z364" s="9"/>
      <c r="AB364" s="198"/>
      <c r="AC364" s="198"/>
      <c r="AD364" s="198"/>
      <c r="AE364" s="198"/>
      <c r="AF364" s="198"/>
      <c r="AG364" s="198"/>
      <c r="AH364" s="198"/>
      <c r="AI364" s="198"/>
      <c r="AJ364" s="198"/>
      <c r="AK364" s="198"/>
      <c r="AL364" s="198"/>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row>
    <row r="365" spans="1:64" hidden="1" outlineLevel="1">
      <c r="A365" s="9"/>
      <c r="B365" s="9"/>
      <c r="C365" s="9"/>
      <c r="D365" s="270" t="str">
        <f>Asset3</f>
        <v>Transformers</v>
      </c>
      <c r="E365" s="9"/>
      <c r="F365" s="9"/>
      <c r="G365" s="9"/>
      <c r="H365" s="9"/>
      <c r="I365" s="9"/>
      <c r="J365" s="9"/>
      <c r="K365" s="9"/>
      <c r="L365" s="111">
        <f>IF(M$234=0, 'Adjustment for previous period'!L274, 0)</f>
        <v>0</v>
      </c>
      <c r="M365" s="111">
        <f>IF(N$234=0, 'Adjustment for previous period'!M274, 0)</f>
        <v>0.45388294042641258</v>
      </c>
      <c r="N365" s="111">
        <f>IF(O$234=0, 'Adjustment for previous period'!N274, 0)</f>
        <v>0</v>
      </c>
      <c r="O365" s="111">
        <f>IF(P$234=0, 'Adjustment for previous period'!O274, 0)</f>
        <v>0</v>
      </c>
      <c r="P365" s="111">
        <f>IF(Q$234=0, 'Adjustment for previous period'!P274, 0)</f>
        <v>0</v>
      </c>
      <c r="Q365" s="111">
        <f>IF(R$234=0, 'Adjustment for previous period'!Q274, 0)</f>
        <v>0</v>
      </c>
      <c r="R365" s="9"/>
      <c r="S365" s="9"/>
      <c r="T365" s="9"/>
      <c r="U365" s="9"/>
      <c r="V365" s="9"/>
      <c r="W365" s="9"/>
      <c r="X365" s="9"/>
      <c r="Y365" s="9"/>
      <c r="Z365" s="9"/>
      <c r="AB365" s="198"/>
      <c r="AC365" s="198"/>
      <c r="AD365" s="198"/>
      <c r="AE365" s="198"/>
      <c r="AF365" s="198"/>
      <c r="AG365" s="198"/>
      <c r="AH365" s="198"/>
      <c r="AI365" s="198"/>
      <c r="AJ365" s="198"/>
      <c r="AK365" s="198"/>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row>
    <row r="366" spans="1:64" hidden="1" outlineLevel="1">
      <c r="A366" s="9"/>
      <c r="B366" s="9"/>
      <c r="C366" s="9"/>
      <c r="D366" s="270" t="str">
        <f>Asset4</f>
        <v>Reactive</v>
      </c>
      <c r="E366" s="9"/>
      <c r="F366" s="9"/>
      <c r="G366" s="9"/>
      <c r="H366" s="9"/>
      <c r="I366" s="9"/>
      <c r="J366" s="9"/>
      <c r="K366" s="9"/>
      <c r="L366" s="111">
        <f>IF(M$234=0, 'Adjustment for previous period'!L276, 0)</f>
        <v>0</v>
      </c>
      <c r="M366" s="111">
        <f>IF(N$234=0, 'Adjustment for previous period'!M276, 0)</f>
        <v>0</v>
      </c>
      <c r="N366" s="111">
        <f>IF(O$234=0, 'Adjustment for previous period'!N276, 0)</f>
        <v>0</v>
      </c>
      <c r="O366" s="111">
        <f>IF(P$234=0, 'Adjustment for previous period'!O276, 0)</f>
        <v>0</v>
      </c>
      <c r="P366" s="111">
        <f>IF(Q$234=0, 'Adjustment for previous period'!P276, 0)</f>
        <v>0</v>
      </c>
      <c r="Q366" s="111">
        <f>IF(R$234=0, 'Adjustment for previous period'!Q276, 0)</f>
        <v>0</v>
      </c>
      <c r="R366" s="9"/>
      <c r="S366" s="9"/>
      <c r="T366" s="9"/>
      <c r="U366" s="9"/>
      <c r="V366" s="9"/>
      <c r="W366" s="9"/>
      <c r="X366" s="9"/>
      <c r="Y366" s="9"/>
      <c r="Z366" s="9"/>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row>
    <row r="367" spans="1:64" hidden="1" outlineLevel="1">
      <c r="A367" s="9"/>
      <c r="B367" s="9"/>
      <c r="C367" s="9"/>
      <c r="D367" s="270" t="str">
        <f>Asset5</f>
        <v>Towers and Conductor</v>
      </c>
      <c r="E367" s="9"/>
      <c r="F367" s="9"/>
      <c r="G367" s="9"/>
      <c r="H367" s="9"/>
      <c r="I367" s="9"/>
      <c r="J367" s="9"/>
      <c r="K367" s="9"/>
      <c r="L367" s="111">
        <f>IF(M$234=0, 'Adjustment for previous period'!L278, 0)</f>
        <v>0</v>
      </c>
      <c r="M367" s="111">
        <f>IF(N$234=0, 'Adjustment for previous period'!M278, 0)</f>
        <v>-1.560421694041354</v>
      </c>
      <c r="N367" s="111">
        <f>IF(O$234=0, 'Adjustment for previous period'!N278, 0)</f>
        <v>0</v>
      </c>
      <c r="O367" s="111">
        <f>IF(P$234=0, 'Adjustment for previous period'!O278, 0)</f>
        <v>0</v>
      </c>
      <c r="P367" s="111">
        <f>IF(Q$234=0, 'Adjustment for previous period'!P278, 0)</f>
        <v>0</v>
      </c>
      <c r="Q367" s="111">
        <f>IF(R$234=0, 'Adjustment for previous period'!Q278, 0)</f>
        <v>0</v>
      </c>
      <c r="R367" s="9"/>
      <c r="S367" s="9"/>
      <c r="T367" s="9"/>
      <c r="U367" s="9"/>
      <c r="V367" s="9"/>
      <c r="W367" s="9"/>
      <c r="X367" s="9"/>
      <c r="Y367" s="9"/>
      <c r="Z367" s="9"/>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row>
    <row r="368" spans="1:64" hidden="1" outlineLevel="1">
      <c r="A368" s="9"/>
      <c r="B368" s="9"/>
      <c r="C368" s="9"/>
      <c r="D368" s="270" t="str">
        <f>Asset6</f>
        <v>Establishment</v>
      </c>
      <c r="E368" s="9"/>
      <c r="F368" s="9"/>
      <c r="G368" s="9"/>
      <c r="H368" s="9"/>
      <c r="I368" s="9"/>
      <c r="J368" s="9"/>
      <c r="K368" s="9"/>
      <c r="L368" s="111">
        <f>IF(M$234=0, 'Adjustment for previous period'!L280, 0)</f>
        <v>0</v>
      </c>
      <c r="M368" s="111">
        <f>IF(N$234=0, 'Adjustment for previous period'!M280, 0)</f>
        <v>10.642447296487092</v>
      </c>
      <c r="N368" s="111">
        <f>IF(O$234=0, 'Adjustment for previous period'!N280, 0)</f>
        <v>0</v>
      </c>
      <c r="O368" s="111">
        <f>IF(P$234=0, 'Adjustment for previous period'!O280, 0)</f>
        <v>0</v>
      </c>
      <c r="P368" s="111">
        <f>IF(Q$234=0, 'Adjustment for previous period'!P280, 0)</f>
        <v>0</v>
      </c>
      <c r="Q368" s="111">
        <f>IF(R$234=0, 'Adjustment for previous period'!Q280, 0)</f>
        <v>0</v>
      </c>
      <c r="R368" s="9"/>
      <c r="S368" s="9"/>
      <c r="T368" s="9"/>
      <c r="U368" s="9"/>
      <c r="V368" s="9"/>
      <c r="W368" s="9"/>
      <c r="X368" s="9"/>
      <c r="Y368" s="9"/>
      <c r="Z368" s="9"/>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row>
    <row r="369" spans="1:64" hidden="1" outlineLevel="1">
      <c r="A369" s="9"/>
      <c r="B369" s="9"/>
      <c r="C369" s="9"/>
      <c r="D369" s="270" t="str">
        <f>Asset7</f>
        <v>Communications</v>
      </c>
      <c r="E369" s="9"/>
      <c r="F369" s="9"/>
      <c r="G369" s="9"/>
      <c r="H369" s="9"/>
      <c r="I369" s="9"/>
      <c r="J369" s="9"/>
      <c r="K369" s="9"/>
      <c r="L369" s="111">
        <f>IF(M$234=0, 'Adjustment for previous period'!L282, 0)</f>
        <v>0</v>
      </c>
      <c r="M369" s="111">
        <f>IF(N$234=0, 'Adjustment for previous period'!M282, 0)</f>
        <v>-0.65768129406400189</v>
      </c>
      <c r="N369" s="111">
        <f>IF(O$234=0, 'Adjustment for previous period'!N282, 0)</f>
        <v>0</v>
      </c>
      <c r="O369" s="111">
        <f>IF(P$234=0, 'Adjustment for previous period'!O282, 0)</f>
        <v>0</v>
      </c>
      <c r="P369" s="111">
        <f>IF(Q$234=0, 'Adjustment for previous period'!P282, 0)</f>
        <v>0</v>
      </c>
      <c r="Q369" s="111">
        <f>IF(R$234=0, 'Adjustment for previous period'!Q282, 0)</f>
        <v>0</v>
      </c>
      <c r="R369" s="9"/>
      <c r="S369" s="9"/>
      <c r="T369" s="9"/>
      <c r="U369" s="9"/>
      <c r="V369" s="9"/>
      <c r="W369" s="9"/>
      <c r="X369" s="9"/>
      <c r="Y369" s="9"/>
      <c r="Z369" s="9"/>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row>
    <row r="370" spans="1:64" hidden="1" outlineLevel="1">
      <c r="A370" s="9"/>
      <c r="B370" s="9"/>
      <c r="C370" s="9"/>
      <c r="D370" s="270" t="str">
        <f>Asset8</f>
        <v>Inventory</v>
      </c>
      <c r="E370" s="9"/>
      <c r="F370" s="9"/>
      <c r="G370" s="9"/>
      <c r="H370" s="9"/>
      <c r="I370" s="9"/>
      <c r="J370" s="9"/>
      <c r="K370" s="9"/>
      <c r="L370" s="111">
        <f>IF(M$234=0, 'Adjustment for previous period'!L284, 0)</f>
        <v>0</v>
      </c>
      <c r="M370" s="111">
        <f>IF(N$234=0, 'Adjustment for previous period'!M284, 0)</f>
        <v>0</v>
      </c>
      <c r="N370" s="111">
        <f>IF(O$234=0, 'Adjustment for previous period'!N284, 0)</f>
        <v>0</v>
      </c>
      <c r="O370" s="111">
        <f>IF(P$234=0, 'Adjustment for previous period'!O284, 0)</f>
        <v>0</v>
      </c>
      <c r="P370" s="111">
        <f>IF(Q$234=0, 'Adjustment for previous period'!P284, 0)</f>
        <v>0</v>
      </c>
      <c r="Q370" s="111">
        <f>IF(R$234=0, 'Adjustment for previous period'!Q284, 0)</f>
        <v>0</v>
      </c>
      <c r="R370" s="9"/>
      <c r="S370" s="9"/>
      <c r="T370" s="9"/>
      <c r="U370" s="9"/>
      <c r="V370" s="9"/>
      <c r="W370" s="9"/>
      <c r="X370" s="9"/>
      <c r="Y370" s="9"/>
      <c r="Z370" s="9"/>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row>
    <row r="371" spans="1:64" hidden="1" outlineLevel="1">
      <c r="A371" s="9"/>
      <c r="B371" s="9"/>
      <c r="C371" s="9"/>
      <c r="D371" s="270" t="str">
        <f>Asset9</f>
        <v>IT</v>
      </c>
      <c r="E371" s="9"/>
      <c r="F371" s="9"/>
      <c r="G371" s="9"/>
      <c r="H371" s="9"/>
      <c r="I371" s="9"/>
      <c r="J371" s="9"/>
      <c r="K371" s="9"/>
      <c r="L371" s="111">
        <f>IF(M$234=0, 'Adjustment for previous period'!L286, 0)</f>
        <v>0</v>
      </c>
      <c r="M371" s="111">
        <f>IF(N$234=0, 'Adjustment for previous period'!M286, 0)</f>
        <v>2.5894207649604297</v>
      </c>
      <c r="N371" s="111">
        <f>IF(O$234=0, 'Adjustment for previous period'!N286, 0)</f>
        <v>0</v>
      </c>
      <c r="O371" s="111">
        <f>IF(P$234=0, 'Adjustment for previous period'!O286, 0)</f>
        <v>0</v>
      </c>
      <c r="P371" s="111">
        <f>IF(Q$234=0, 'Adjustment for previous period'!P286, 0)</f>
        <v>0</v>
      </c>
      <c r="Q371" s="111">
        <f>IF(R$234=0, 'Adjustment for previous period'!Q286, 0)</f>
        <v>0</v>
      </c>
      <c r="R371" s="9"/>
      <c r="S371" s="9"/>
      <c r="T371" s="9"/>
      <c r="U371" s="9"/>
      <c r="V371" s="9"/>
      <c r="W371" s="9"/>
      <c r="X371" s="9"/>
      <c r="Y371" s="9"/>
      <c r="Z371" s="9"/>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row>
    <row r="372" spans="1:64" hidden="1" outlineLevel="1">
      <c r="A372" s="9"/>
      <c r="B372" s="9"/>
      <c r="C372" s="9"/>
      <c r="D372" s="270" t="str">
        <f>Asset10</f>
        <v>Vehicles</v>
      </c>
      <c r="E372" s="9"/>
      <c r="F372" s="9"/>
      <c r="G372" s="9"/>
      <c r="H372" s="9"/>
      <c r="I372" s="9"/>
      <c r="J372" s="9"/>
      <c r="K372" s="9"/>
      <c r="L372" s="111">
        <f>IF(M$234=0, 'Adjustment for previous period'!L288, 0)</f>
        <v>0</v>
      </c>
      <c r="M372" s="111">
        <f>IF(N$234=0, 'Adjustment for previous period'!M288, 0)</f>
        <v>0.60134352076541764</v>
      </c>
      <c r="N372" s="111">
        <f>IF(O$234=0, 'Adjustment for previous period'!N288, 0)</f>
        <v>0</v>
      </c>
      <c r="O372" s="111">
        <f>IF(P$234=0, 'Adjustment for previous period'!O288, 0)</f>
        <v>0</v>
      </c>
      <c r="P372" s="111">
        <f>IF(Q$234=0, 'Adjustment for previous period'!P288, 0)</f>
        <v>0</v>
      </c>
      <c r="Q372" s="111">
        <f>IF(R$234=0, 'Adjustment for previous period'!Q288, 0)</f>
        <v>0</v>
      </c>
      <c r="R372" s="9"/>
      <c r="S372" s="9"/>
      <c r="T372" s="9"/>
      <c r="U372" s="9"/>
      <c r="V372" s="9"/>
      <c r="W372" s="9"/>
      <c r="X372" s="9"/>
      <c r="Y372" s="9"/>
      <c r="Z372" s="9"/>
      <c r="AB372" s="198"/>
      <c r="AC372" s="198"/>
      <c r="AD372" s="198"/>
      <c r="AE372" s="198"/>
      <c r="AF372" s="198"/>
      <c r="AG372" s="198"/>
      <c r="AH372" s="198"/>
      <c r="AI372" s="198"/>
      <c r="AJ372" s="198"/>
      <c r="AK372" s="198"/>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row>
    <row r="373" spans="1:64" hidden="1" outlineLevel="1">
      <c r="A373" s="9"/>
      <c r="B373" s="9"/>
      <c r="C373" s="9"/>
      <c r="D373" s="270" t="str">
        <f>Asset11</f>
        <v>other</v>
      </c>
      <c r="E373" s="9"/>
      <c r="F373" s="9"/>
      <c r="G373" s="9"/>
      <c r="H373" s="9"/>
      <c r="I373" s="9"/>
      <c r="J373" s="9"/>
      <c r="K373" s="9"/>
      <c r="L373" s="111">
        <f>IF(M$234=0, 'Adjustment for previous period'!L290, 0)</f>
        <v>0</v>
      </c>
      <c r="M373" s="111">
        <f>IF(N$234=0, 'Adjustment for previous period'!M290, 0)</f>
        <v>7.8140077281101039</v>
      </c>
      <c r="N373" s="111">
        <f>IF(O$234=0, 'Adjustment for previous period'!N290, 0)</f>
        <v>0</v>
      </c>
      <c r="O373" s="111">
        <f>IF(P$234=0, 'Adjustment for previous period'!O290, 0)</f>
        <v>0</v>
      </c>
      <c r="P373" s="111">
        <f>IF(Q$234=0, 'Adjustment for previous period'!P290, 0)</f>
        <v>0</v>
      </c>
      <c r="Q373" s="111">
        <f>IF(R$234=0, 'Adjustment for previous period'!Q290, 0)</f>
        <v>0</v>
      </c>
      <c r="R373" s="9"/>
      <c r="S373" s="9"/>
      <c r="T373" s="9"/>
      <c r="U373" s="9"/>
      <c r="V373" s="9"/>
      <c r="W373" s="9"/>
      <c r="X373" s="9"/>
      <c r="Y373" s="9"/>
      <c r="Z373" s="9"/>
      <c r="AB373" s="198"/>
      <c r="AC373" s="198"/>
      <c r="AD373" s="198"/>
      <c r="AE373" s="198"/>
      <c r="AF373" s="198"/>
      <c r="AG373" s="198"/>
      <c r="AH373" s="198"/>
      <c r="AI373" s="198"/>
      <c r="AJ373" s="198"/>
      <c r="AK373" s="198"/>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row>
    <row r="374" spans="1:64" hidden="1" outlineLevel="1">
      <c r="A374" s="9"/>
      <c r="B374" s="9"/>
      <c r="C374" s="9"/>
      <c r="D374" s="270" t="str">
        <f>Asset12</f>
        <v>premises</v>
      </c>
      <c r="E374" s="9"/>
      <c r="F374" s="9"/>
      <c r="G374" s="9"/>
      <c r="H374" s="9"/>
      <c r="I374" s="9"/>
      <c r="J374" s="9"/>
      <c r="K374" s="9"/>
      <c r="L374" s="111">
        <f>IF(M$234=0, 'Adjustment for previous period'!L292, 0)</f>
        <v>0</v>
      </c>
      <c r="M374" s="111">
        <f>IF(N$234=0, 'Adjustment for previous period'!M292, 0)</f>
        <v>0.23430985227167517</v>
      </c>
      <c r="N374" s="111">
        <f>IF(O$234=0, 'Adjustment for previous period'!N292, 0)</f>
        <v>0</v>
      </c>
      <c r="O374" s="111">
        <f>IF(P$234=0, 'Adjustment for previous period'!O292, 0)</f>
        <v>0</v>
      </c>
      <c r="P374" s="111">
        <f>IF(Q$234=0, 'Adjustment for previous period'!P292, 0)</f>
        <v>0</v>
      </c>
      <c r="Q374" s="111">
        <f>IF(R$234=0, 'Adjustment for previous period'!Q292, 0)</f>
        <v>0</v>
      </c>
      <c r="R374" s="9"/>
      <c r="S374" s="9"/>
      <c r="T374" s="9"/>
      <c r="U374" s="9"/>
      <c r="V374" s="9"/>
      <c r="W374" s="9"/>
      <c r="X374" s="9"/>
      <c r="Y374" s="9"/>
      <c r="Z374" s="9"/>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row>
    <row r="375" spans="1:64" hidden="1" outlineLevel="1">
      <c r="A375" s="9"/>
      <c r="B375" s="9"/>
      <c r="C375" s="9"/>
      <c r="D375" s="270" t="str">
        <f>Asset13</f>
        <v>Land</v>
      </c>
      <c r="E375" s="9"/>
      <c r="F375" s="9"/>
      <c r="G375" s="9"/>
      <c r="H375" s="9"/>
      <c r="I375" s="9"/>
      <c r="J375" s="9"/>
      <c r="K375" s="9"/>
      <c r="L375" s="111">
        <f>IF(M$234=0, 'Adjustment for previous period'!L294, 0)</f>
        <v>0</v>
      </c>
      <c r="M375" s="111">
        <f>IF(N$234=0, 'Adjustment for previous period'!M294, 0)</f>
        <v>0</v>
      </c>
      <c r="N375" s="111">
        <f>IF(O$234=0, 'Adjustment for previous period'!N294, 0)</f>
        <v>0</v>
      </c>
      <c r="O375" s="111">
        <f>IF(P$234=0, 'Adjustment for previous period'!O294, 0)</f>
        <v>0</v>
      </c>
      <c r="P375" s="111">
        <f>IF(Q$234=0, 'Adjustment for previous period'!P294, 0)</f>
        <v>0</v>
      </c>
      <c r="Q375" s="111">
        <f>IF(R$234=0, 'Adjustment for previous period'!Q294, 0)</f>
        <v>0</v>
      </c>
      <c r="R375" s="9"/>
      <c r="S375" s="9"/>
      <c r="T375" s="9"/>
      <c r="U375" s="9"/>
      <c r="V375" s="9"/>
      <c r="W375" s="9"/>
      <c r="X375" s="9"/>
      <c r="Y375" s="9"/>
      <c r="Z375" s="9"/>
      <c r="AB375" s="198"/>
      <c r="AC375" s="198"/>
      <c r="AD375" s="198"/>
      <c r="AE375" s="198"/>
      <c r="AF375" s="198"/>
      <c r="AG375" s="198"/>
      <c r="AH375" s="198"/>
      <c r="AI375" s="198"/>
      <c r="AJ375" s="198"/>
      <c r="AK375" s="198"/>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row>
    <row r="376" spans="1:64" hidden="1" outlineLevel="1">
      <c r="A376" s="9"/>
      <c r="B376" s="9"/>
      <c r="C376" s="9"/>
      <c r="D376" s="270" t="str">
        <f>Asset14</f>
        <v>Easements</v>
      </c>
      <c r="E376" s="9"/>
      <c r="F376" s="9"/>
      <c r="G376" s="9"/>
      <c r="H376" s="9"/>
      <c r="I376" s="9"/>
      <c r="J376" s="9"/>
      <c r="K376" s="9"/>
      <c r="L376" s="111">
        <f>IF(M$234=0, 'Adjustment for previous period'!L296, 0)</f>
        <v>0</v>
      </c>
      <c r="M376" s="111">
        <f>IF(N$234=0, 'Adjustment for previous period'!M296, 0)</f>
        <v>0</v>
      </c>
      <c r="N376" s="111">
        <f>IF(O$234=0, 'Adjustment for previous period'!N296, 0)</f>
        <v>0</v>
      </c>
      <c r="O376" s="111">
        <f>IF(P$234=0, 'Adjustment for previous period'!O296, 0)</f>
        <v>0</v>
      </c>
      <c r="P376" s="111">
        <f>IF(Q$234=0, 'Adjustment for previous period'!P296, 0)</f>
        <v>0</v>
      </c>
      <c r="Q376" s="111">
        <f>IF(R$234=0, 'Adjustment for previous period'!Q296, 0)</f>
        <v>0</v>
      </c>
      <c r="R376" s="9"/>
      <c r="S376" s="9"/>
      <c r="T376" s="9"/>
      <c r="U376" s="9"/>
      <c r="V376" s="9"/>
      <c r="W376" s="9"/>
      <c r="X376" s="9"/>
      <c r="Y376" s="9"/>
      <c r="Z376" s="9"/>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row>
    <row r="377" spans="1:64" hidden="1" outlineLevel="1">
      <c r="A377" s="9"/>
      <c r="B377" s="9"/>
      <c r="C377" s="9"/>
      <c r="D377" s="270">
        <f>Asset15</f>
        <v>0</v>
      </c>
      <c r="E377" s="9"/>
      <c r="F377" s="9"/>
      <c r="G377" s="9"/>
      <c r="H377" s="9"/>
      <c r="I377" s="9"/>
      <c r="J377" s="9"/>
      <c r="K377" s="9"/>
      <c r="L377" s="111">
        <f>IF(M$234=0, 'Adjustment for previous period'!L298, 0)</f>
        <v>0</v>
      </c>
      <c r="M377" s="111">
        <f>IF(N$234=0, 'Adjustment for previous period'!M298, 0)</f>
        <v>0</v>
      </c>
      <c r="N377" s="111">
        <f>IF(O$234=0, 'Adjustment for previous period'!N298, 0)</f>
        <v>0</v>
      </c>
      <c r="O377" s="111">
        <f>IF(P$234=0, 'Adjustment for previous period'!O298, 0)</f>
        <v>0</v>
      </c>
      <c r="P377" s="111">
        <f>IF(Q$234=0, 'Adjustment for previous period'!P298, 0)</f>
        <v>0</v>
      </c>
      <c r="Q377" s="111">
        <f>IF(R$234=0, 'Adjustment for previous period'!Q298, 0)</f>
        <v>0</v>
      </c>
      <c r="R377" s="9"/>
      <c r="S377" s="9"/>
      <c r="T377" s="9"/>
      <c r="U377" s="9"/>
      <c r="V377" s="9"/>
      <c r="W377" s="9"/>
      <c r="X377" s="9"/>
      <c r="Y377" s="9"/>
      <c r="Z377" s="9"/>
      <c r="AB377" s="198"/>
      <c r="AC377" s="198"/>
      <c r="AD377" s="198"/>
      <c r="AE377" s="198"/>
      <c r="AF377" s="198"/>
      <c r="AG377" s="198"/>
      <c r="AH377" s="198"/>
      <c r="AI377" s="198"/>
      <c r="AJ377" s="198"/>
      <c r="AK377" s="198"/>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row>
    <row r="378" spans="1:64" hidden="1" outlineLevel="1">
      <c r="A378" s="9"/>
      <c r="B378" s="9"/>
      <c r="C378" s="9"/>
      <c r="D378" s="270">
        <f>Asset16</f>
        <v>0</v>
      </c>
      <c r="E378" s="9"/>
      <c r="F378" s="9"/>
      <c r="G378" s="9"/>
      <c r="H378" s="9"/>
      <c r="I378" s="9"/>
      <c r="J378" s="9"/>
      <c r="K378" s="9"/>
      <c r="L378" s="111">
        <f>IF(M$234=0, 'Adjustment for previous period'!L300, 0)</f>
        <v>0</v>
      </c>
      <c r="M378" s="111">
        <f>IF(N$234=0, 'Adjustment for previous period'!M300, 0)</f>
        <v>0</v>
      </c>
      <c r="N378" s="111">
        <f>IF(O$234=0, 'Adjustment for previous period'!N300, 0)</f>
        <v>0</v>
      </c>
      <c r="O378" s="111">
        <f>IF(P$234=0, 'Adjustment for previous period'!O300, 0)</f>
        <v>0</v>
      </c>
      <c r="P378" s="111">
        <f>IF(Q$234=0, 'Adjustment for previous period'!P300, 0)</f>
        <v>0</v>
      </c>
      <c r="Q378" s="111">
        <f>IF(R$234=0, 'Adjustment for previous period'!Q300, 0)</f>
        <v>0</v>
      </c>
      <c r="R378" s="9"/>
      <c r="S378" s="9"/>
      <c r="T378" s="9"/>
      <c r="U378" s="9"/>
      <c r="V378" s="9"/>
      <c r="W378" s="9"/>
      <c r="X378" s="9"/>
      <c r="Y378" s="9"/>
      <c r="Z378" s="9"/>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row>
    <row r="379" spans="1:64" hidden="1" outlineLevel="1">
      <c r="A379" s="9"/>
      <c r="B379" s="9"/>
      <c r="C379" s="9"/>
      <c r="D379" s="270">
        <f>Asset17</f>
        <v>0</v>
      </c>
      <c r="E379" s="9"/>
      <c r="F379" s="9"/>
      <c r="G379" s="9"/>
      <c r="H379" s="9"/>
      <c r="I379" s="9"/>
      <c r="J379" s="9"/>
      <c r="K379" s="9"/>
      <c r="L379" s="111">
        <f>IF(M$234=0, 'Adjustment for previous period'!L302, 0)</f>
        <v>0</v>
      </c>
      <c r="M379" s="111">
        <f>IF(N$234=0, 'Adjustment for previous period'!M302, 0)</f>
        <v>0</v>
      </c>
      <c r="N379" s="111">
        <f>IF(O$234=0, 'Adjustment for previous period'!N302, 0)</f>
        <v>0</v>
      </c>
      <c r="O379" s="111">
        <f>IF(P$234=0, 'Adjustment for previous period'!O302, 0)</f>
        <v>0</v>
      </c>
      <c r="P379" s="111">
        <f>IF(Q$234=0, 'Adjustment for previous period'!P302, 0)</f>
        <v>0</v>
      </c>
      <c r="Q379" s="111">
        <f>IF(R$234=0, 'Adjustment for previous period'!Q302, 0)</f>
        <v>0</v>
      </c>
      <c r="R379" s="9"/>
      <c r="S379" s="9"/>
      <c r="T379" s="9"/>
      <c r="U379" s="9"/>
      <c r="V379" s="9"/>
      <c r="W379" s="9"/>
      <c r="X379" s="9"/>
      <c r="Y379" s="9"/>
      <c r="Z379" s="9"/>
      <c r="AB379" s="198"/>
      <c r="AC379" s="198"/>
      <c r="AD379" s="198"/>
      <c r="AE379" s="198"/>
      <c r="AF379" s="198"/>
      <c r="AG379" s="198"/>
      <c r="AH379" s="198"/>
      <c r="AI379" s="198"/>
      <c r="AJ379" s="198"/>
      <c r="AK379" s="198"/>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row>
    <row r="380" spans="1:64" hidden="1" outlineLevel="1">
      <c r="A380" s="9"/>
      <c r="B380" s="9"/>
      <c r="C380" s="9"/>
      <c r="D380" s="270">
        <f>Asset18</f>
        <v>0</v>
      </c>
      <c r="E380" s="9"/>
      <c r="F380" s="9"/>
      <c r="G380" s="9"/>
      <c r="H380" s="9"/>
      <c r="I380" s="9"/>
      <c r="J380" s="9"/>
      <c r="K380" s="9"/>
      <c r="L380" s="111">
        <f>IF(M$234=0, 'Adjustment for previous period'!L304, 0)</f>
        <v>0</v>
      </c>
      <c r="M380" s="111">
        <f>IF(N$234=0, 'Adjustment for previous period'!M304, 0)</f>
        <v>0</v>
      </c>
      <c r="N380" s="111">
        <f>IF(O$234=0, 'Adjustment for previous period'!N304, 0)</f>
        <v>0</v>
      </c>
      <c r="O380" s="111">
        <f>IF(P$234=0, 'Adjustment for previous period'!O304, 0)</f>
        <v>0</v>
      </c>
      <c r="P380" s="111">
        <f>IF(Q$234=0, 'Adjustment for previous period'!P304, 0)</f>
        <v>0</v>
      </c>
      <c r="Q380" s="111">
        <f>IF(R$234=0, 'Adjustment for previous period'!Q304, 0)</f>
        <v>0</v>
      </c>
      <c r="R380" s="9"/>
      <c r="S380" s="9"/>
      <c r="T380" s="9"/>
      <c r="U380" s="9"/>
      <c r="V380" s="9"/>
      <c r="W380" s="9"/>
      <c r="X380" s="9"/>
      <c r="Y380" s="9"/>
      <c r="Z380" s="9"/>
      <c r="AB380" s="198"/>
      <c r="AC380" s="198"/>
      <c r="AD380" s="198"/>
      <c r="AE380" s="198"/>
      <c r="AF380" s="198"/>
      <c r="AG380" s="198"/>
      <c r="AH380" s="198"/>
      <c r="AI380" s="198"/>
      <c r="AJ380" s="198"/>
      <c r="AK380" s="198"/>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row>
    <row r="381" spans="1:64" hidden="1" outlineLevel="1">
      <c r="A381" s="9"/>
      <c r="B381" s="9"/>
      <c r="C381" s="9"/>
      <c r="D381" s="270">
        <f>Asset19</f>
        <v>0</v>
      </c>
      <c r="E381" s="9"/>
      <c r="F381" s="9"/>
      <c r="G381" s="9"/>
      <c r="H381" s="9"/>
      <c r="I381" s="9"/>
      <c r="J381" s="9"/>
      <c r="K381" s="9"/>
      <c r="L381" s="111">
        <f>IF(M$234=0, 'Adjustment for previous period'!L306, 0)</f>
        <v>0</v>
      </c>
      <c r="M381" s="111">
        <f>IF(N$234=0, 'Adjustment for previous period'!M306, 0)</f>
        <v>0</v>
      </c>
      <c r="N381" s="111">
        <f>IF(O$234=0, 'Adjustment for previous period'!N306, 0)</f>
        <v>0</v>
      </c>
      <c r="O381" s="111">
        <f>IF(P$234=0, 'Adjustment for previous period'!O306, 0)</f>
        <v>0</v>
      </c>
      <c r="P381" s="111">
        <f>IF(Q$234=0, 'Adjustment for previous period'!P306, 0)</f>
        <v>0</v>
      </c>
      <c r="Q381" s="111">
        <f>IF(R$234=0, 'Adjustment for previous period'!Q306, 0)</f>
        <v>0</v>
      </c>
      <c r="R381" s="9"/>
      <c r="S381" s="9"/>
      <c r="T381" s="9"/>
      <c r="U381" s="9"/>
      <c r="V381" s="9"/>
      <c r="W381" s="9"/>
      <c r="X381" s="9"/>
      <c r="Y381" s="9"/>
      <c r="Z381" s="9"/>
      <c r="AB381" s="198"/>
      <c r="AC381" s="198"/>
      <c r="AD381" s="198"/>
      <c r="AE381" s="198"/>
      <c r="AF381" s="198"/>
      <c r="AG381" s="198"/>
      <c r="AH381" s="198"/>
      <c r="AI381" s="198"/>
      <c r="AJ381" s="198"/>
      <c r="AK381" s="198"/>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row>
    <row r="382" spans="1:64" hidden="1" outlineLevel="1">
      <c r="A382" s="9"/>
      <c r="B382" s="9"/>
      <c r="C382" s="9"/>
      <c r="D382" s="270">
        <f>Asset20</f>
        <v>0</v>
      </c>
      <c r="E382" s="9"/>
      <c r="F382" s="9"/>
      <c r="G382" s="9"/>
      <c r="H382" s="9"/>
      <c r="I382" s="9"/>
      <c r="J382" s="9"/>
      <c r="K382" s="9"/>
      <c r="L382" s="111">
        <f>IF(M$234=0, 'Adjustment for previous period'!L308, 0)</f>
        <v>0</v>
      </c>
      <c r="M382" s="111">
        <f>IF(N$234=0, 'Adjustment for previous period'!M308, 0)</f>
        <v>0</v>
      </c>
      <c r="N382" s="111">
        <f>IF(O$234=0, 'Adjustment for previous period'!N308, 0)</f>
        <v>0</v>
      </c>
      <c r="O382" s="111">
        <f>IF(P$234=0, 'Adjustment for previous period'!O308, 0)</f>
        <v>0</v>
      </c>
      <c r="P382" s="111">
        <f>IF(Q$234=0, 'Adjustment for previous period'!P308, 0)</f>
        <v>0</v>
      </c>
      <c r="Q382" s="111">
        <f>IF(R$234=0, 'Adjustment for previous period'!Q308, 0)</f>
        <v>0</v>
      </c>
      <c r="R382" s="9"/>
      <c r="S382" s="9"/>
      <c r="T382" s="9"/>
      <c r="U382" s="9"/>
      <c r="V382" s="9"/>
      <c r="W382" s="9"/>
      <c r="X382" s="9"/>
      <c r="Y382" s="9"/>
      <c r="Z382" s="9"/>
      <c r="AB382" s="198"/>
      <c r="AC382" s="198"/>
      <c r="AD382" s="198"/>
      <c r="AE382" s="198"/>
      <c r="AF382" s="198"/>
      <c r="AG382" s="198"/>
      <c r="AH382" s="198"/>
      <c r="AI382" s="198"/>
      <c r="AJ382" s="198"/>
      <c r="AK382" s="198"/>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row>
    <row r="383" spans="1:64" hidden="1" outlineLevel="1">
      <c r="A383" s="9"/>
      <c r="B383" s="9"/>
      <c r="C383" s="9"/>
      <c r="D383" s="270">
        <f>Asset21</f>
        <v>0</v>
      </c>
      <c r="E383" s="9"/>
      <c r="F383" s="9"/>
      <c r="G383" s="9"/>
      <c r="H383" s="9"/>
      <c r="I383" s="9"/>
      <c r="J383" s="9"/>
      <c r="K383" s="9"/>
      <c r="L383" s="111">
        <f>IF(M$234=0, 'Adjustment for previous period'!L310, 0)</f>
        <v>0</v>
      </c>
      <c r="M383" s="111">
        <f>IF(N$234=0, 'Adjustment for previous period'!M310, 0)</f>
        <v>0</v>
      </c>
      <c r="N383" s="111">
        <f>IF(O$234=0, 'Adjustment for previous period'!N310, 0)</f>
        <v>0</v>
      </c>
      <c r="O383" s="111">
        <f>IF(P$234=0, 'Adjustment for previous period'!O310, 0)</f>
        <v>0</v>
      </c>
      <c r="P383" s="111">
        <f>IF(Q$234=0, 'Adjustment for previous period'!P310, 0)</f>
        <v>0</v>
      </c>
      <c r="Q383" s="111">
        <f>IF(R$234=0, 'Adjustment for previous period'!Q310, 0)</f>
        <v>0</v>
      </c>
      <c r="R383" s="9"/>
      <c r="S383" s="9"/>
      <c r="T383" s="9"/>
      <c r="U383" s="9"/>
      <c r="V383" s="9"/>
      <c r="W383" s="9"/>
      <c r="X383" s="9"/>
      <c r="Y383" s="9"/>
      <c r="Z383" s="9"/>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row>
    <row r="384" spans="1:64" hidden="1" outlineLevel="1">
      <c r="A384" s="9"/>
      <c r="B384" s="9"/>
      <c r="C384" s="9"/>
      <c r="D384" s="270">
        <f>Asset22</f>
        <v>0</v>
      </c>
      <c r="E384" s="9"/>
      <c r="F384" s="9"/>
      <c r="G384" s="9"/>
      <c r="H384" s="9"/>
      <c r="I384" s="9"/>
      <c r="J384" s="9"/>
      <c r="K384" s="9"/>
      <c r="L384" s="111">
        <f>IF(M$234=0, 'Adjustment for previous period'!L312, 0)</f>
        <v>0</v>
      </c>
      <c r="M384" s="111">
        <f>IF(N$234=0, 'Adjustment for previous period'!M312, 0)</f>
        <v>0</v>
      </c>
      <c r="N384" s="111">
        <f>IF(O$234=0, 'Adjustment for previous period'!N312, 0)</f>
        <v>0</v>
      </c>
      <c r="O384" s="111">
        <f>IF(P$234=0, 'Adjustment for previous period'!O312, 0)</f>
        <v>0</v>
      </c>
      <c r="P384" s="111">
        <f>IF(Q$234=0, 'Adjustment for previous period'!P312, 0)</f>
        <v>0</v>
      </c>
      <c r="Q384" s="111">
        <f>IF(R$234=0, 'Adjustment for previous period'!Q312, 0)</f>
        <v>0</v>
      </c>
      <c r="R384" s="9"/>
      <c r="S384" s="9"/>
      <c r="T384" s="9"/>
      <c r="U384" s="9"/>
      <c r="V384" s="9"/>
      <c r="W384" s="9"/>
      <c r="X384" s="9"/>
      <c r="Y384" s="9"/>
      <c r="Z384" s="9"/>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row>
    <row r="385" spans="1:64" hidden="1" outlineLevel="1">
      <c r="A385" s="9"/>
      <c r="B385" s="9"/>
      <c r="C385" s="9"/>
      <c r="D385" s="270">
        <f>Asset23</f>
        <v>0</v>
      </c>
      <c r="E385" s="9"/>
      <c r="F385" s="9"/>
      <c r="G385" s="9"/>
      <c r="H385" s="9"/>
      <c r="I385" s="9"/>
      <c r="J385" s="9"/>
      <c r="K385" s="9"/>
      <c r="L385" s="111">
        <f>IF(M$234=0, 'Adjustment for previous period'!L314, 0)</f>
        <v>0</v>
      </c>
      <c r="M385" s="111">
        <f>IF(N$234=0, 'Adjustment for previous period'!M314, 0)</f>
        <v>0</v>
      </c>
      <c r="N385" s="111">
        <f>IF(O$234=0, 'Adjustment for previous period'!N314, 0)</f>
        <v>0</v>
      </c>
      <c r="O385" s="111">
        <f>IF(P$234=0, 'Adjustment for previous period'!O314, 0)</f>
        <v>0</v>
      </c>
      <c r="P385" s="111">
        <f>IF(Q$234=0, 'Adjustment for previous period'!P314, 0)</f>
        <v>0</v>
      </c>
      <c r="Q385" s="111">
        <f>IF(R$234=0, 'Adjustment for previous period'!Q314, 0)</f>
        <v>0</v>
      </c>
      <c r="R385" s="9"/>
      <c r="S385" s="9"/>
      <c r="T385" s="9"/>
      <c r="U385" s="9"/>
      <c r="V385" s="9"/>
      <c r="W385" s="9"/>
      <c r="X385" s="9"/>
      <c r="Y385" s="9"/>
      <c r="Z385" s="9"/>
      <c r="AB385" s="198"/>
      <c r="AC385" s="198"/>
      <c r="AD385" s="198"/>
      <c r="AE385" s="198"/>
      <c r="AF385" s="198"/>
      <c r="AG385" s="198"/>
      <c r="AH385" s="198"/>
      <c r="AI385" s="198"/>
      <c r="AJ385" s="198"/>
      <c r="AK385" s="198"/>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row>
    <row r="386" spans="1:64" hidden="1" outlineLevel="1">
      <c r="A386" s="9"/>
      <c r="B386" s="9"/>
      <c r="C386" s="9"/>
      <c r="D386" s="270">
        <f>Asset24</f>
        <v>0</v>
      </c>
      <c r="E386" s="9"/>
      <c r="F386" s="9"/>
      <c r="G386" s="9"/>
      <c r="H386" s="9"/>
      <c r="I386" s="9"/>
      <c r="J386" s="9"/>
      <c r="K386" s="9"/>
      <c r="L386" s="111">
        <f>IF(M$234=0, 'Adjustment for previous period'!L316, 0)</f>
        <v>0</v>
      </c>
      <c r="M386" s="111">
        <f>IF(N$234=0, 'Adjustment for previous period'!M316, 0)</f>
        <v>0</v>
      </c>
      <c r="N386" s="111">
        <f>IF(O$234=0, 'Adjustment for previous period'!N316, 0)</f>
        <v>0</v>
      </c>
      <c r="O386" s="111">
        <f>IF(P$234=0, 'Adjustment for previous period'!O316, 0)</f>
        <v>0</v>
      </c>
      <c r="P386" s="111">
        <f>IF(Q$234=0, 'Adjustment for previous period'!P316, 0)</f>
        <v>0</v>
      </c>
      <c r="Q386" s="111">
        <f>IF(R$234=0, 'Adjustment for previous period'!Q316, 0)</f>
        <v>0</v>
      </c>
      <c r="R386" s="9"/>
      <c r="S386" s="9"/>
      <c r="T386" s="9"/>
      <c r="U386" s="9"/>
      <c r="V386" s="9"/>
      <c r="W386" s="9"/>
      <c r="X386" s="9"/>
      <c r="Y386" s="9"/>
      <c r="Z386" s="9"/>
      <c r="AB386" s="198"/>
      <c r="AC386" s="198"/>
      <c r="AD386" s="198"/>
      <c r="AE386" s="198"/>
      <c r="AF386" s="198"/>
      <c r="AG386" s="198"/>
      <c r="AH386" s="198"/>
      <c r="AI386" s="198"/>
      <c r="AJ386" s="198"/>
      <c r="AK386" s="198"/>
      <c r="AL386" s="198"/>
      <c r="AM386" s="198"/>
      <c r="AN386" s="198"/>
      <c r="AO386" s="198"/>
      <c r="AP386" s="198"/>
      <c r="AQ386" s="198"/>
      <c r="AR386" s="198"/>
      <c r="AS386" s="198"/>
      <c r="AT386" s="198"/>
      <c r="AU386" s="198"/>
      <c r="AV386" s="198"/>
      <c r="AW386" s="198"/>
      <c r="AX386" s="198"/>
      <c r="AY386" s="198"/>
      <c r="AZ386" s="198"/>
      <c r="BA386" s="198"/>
      <c r="BB386" s="198"/>
      <c r="BC386" s="198"/>
      <c r="BD386" s="198"/>
      <c r="BE386" s="198"/>
      <c r="BF386" s="198"/>
      <c r="BG386" s="198"/>
      <c r="BH386" s="198"/>
      <c r="BI386" s="198"/>
      <c r="BJ386" s="198"/>
      <c r="BK386" s="198"/>
      <c r="BL386" s="198"/>
    </row>
    <row r="387" spans="1:64" hidden="1" outlineLevel="1">
      <c r="A387" s="9"/>
      <c r="B387" s="9"/>
      <c r="C387" s="9"/>
      <c r="D387" s="270">
        <f>Asset25</f>
        <v>0</v>
      </c>
      <c r="E387" s="9"/>
      <c r="F387" s="9"/>
      <c r="G387" s="9"/>
      <c r="H387" s="9"/>
      <c r="I387" s="9"/>
      <c r="J387" s="9"/>
      <c r="K387" s="9"/>
      <c r="L387" s="111">
        <f>IF(M$234=0, 'Adjustment for previous period'!L318, 0)</f>
        <v>0</v>
      </c>
      <c r="M387" s="111">
        <f>IF(N$234=0, 'Adjustment for previous period'!M318, 0)</f>
        <v>0</v>
      </c>
      <c r="N387" s="111">
        <f>IF(O$234=0, 'Adjustment for previous period'!N318, 0)</f>
        <v>0</v>
      </c>
      <c r="O387" s="111">
        <f>IF(P$234=0, 'Adjustment for previous period'!O318, 0)</f>
        <v>0</v>
      </c>
      <c r="P387" s="111">
        <f>IF(Q$234=0, 'Adjustment for previous period'!P318, 0)</f>
        <v>0</v>
      </c>
      <c r="Q387" s="111">
        <f>IF(R$234=0, 'Adjustment for previous period'!Q318, 0)</f>
        <v>0</v>
      </c>
      <c r="R387" s="9"/>
      <c r="S387" s="9"/>
      <c r="T387" s="9"/>
      <c r="U387" s="9"/>
      <c r="V387" s="9"/>
      <c r="W387" s="9"/>
      <c r="X387" s="9"/>
      <c r="Y387" s="9"/>
      <c r="Z387" s="9"/>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row>
    <row r="388" spans="1:64" hidden="1" outlineLevel="1">
      <c r="A388" s="9"/>
      <c r="B388" s="9"/>
      <c r="C388" s="9"/>
      <c r="D388" s="270">
        <f>Asset26</f>
        <v>0</v>
      </c>
      <c r="E388" s="9"/>
      <c r="F388" s="9"/>
      <c r="G388" s="9"/>
      <c r="H388" s="9"/>
      <c r="I388" s="9"/>
      <c r="J388" s="9"/>
      <c r="K388" s="9"/>
      <c r="L388" s="111">
        <f>IF(M$234=0, 'Adjustment for previous period'!L320, 0)</f>
        <v>0</v>
      </c>
      <c r="M388" s="111">
        <f>IF(N$234=0, 'Adjustment for previous period'!M320, 0)</f>
        <v>0</v>
      </c>
      <c r="N388" s="111">
        <f>IF(O$234=0, 'Adjustment for previous period'!N320, 0)</f>
        <v>0</v>
      </c>
      <c r="O388" s="111">
        <f>IF(P$234=0, 'Adjustment for previous period'!O320, 0)</f>
        <v>0</v>
      </c>
      <c r="P388" s="111">
        <f>IF(Q$234=0, 'Adjustment for previous period'!P320, 0)</f>
        <v>0</v>
      </c>
      <c r="Q388" s="111">
        <f>IF(R$234=0, 'Adjustment for previous period'!Q320, 0)</f>
        <v>0</v>
      </c>
      <c r="R388" s="9"/>
      <c r="S388" s="9"/>
      <c r="T388" s="9"/>
      <c r="U388" s="9"/>
      <c r="V388" s="9"/>
      <c r="W388" s="9"/>
      <c r="X388" s="9"/>
      <c r="Y388" s="9"/>
      <c r="Z388" s="9"/>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row>
    <row r="389" spans="1:64" hidden="1" outlineLevel="1">
      <c r="A389" s="9"/>
      <c r="B389" s="9"/>
      <c r="C389" s="9"/>
      <c r="D389" s="270">
        <f>Asset27</f>
        <v>0</v>
      </c>
      <c r="E389" s="9"/>
      <c r="F389" s="9"/>
      <c r="G389" s="9"/>
      <c r="H389" s="9"/>
      <c r="I389" s="9"/>
      <c r="J389" s="9"/>
      <c r="K389" s="9"/>
      <c r="L389" s="111">
        <f>IF(M$234=0, 'Adjustment for previous period'!L322, 0)</f>
        <v>0</v>
      </c>
      <c r="M389" s="111">
        <f>IF(N$234=0, 'Adjustment for previous period'!M322, 0)</f>
        <v>0</v>
      </c>
      <c r="N389" s="111">
        <f>IF(O$234=0, 'Adjustment for previous period'!N322, 0)</f>
        <v>0</v>
      </c>
      <c r="O389" s="111">
        <f>IF(P$234=0, 'Adjustment for previous period'!O322, 0)</f>
        <v>0</v>
      </c>
      <c r="P389" s="111">
        <f>IF(Q$234=0, 'Adjustment for previous period'!P322, 0)</f>
        <v>0</v>
      </c>
      <c r="Q389" s="111">
        <f>IF(R$234=0, 'Adjustment for previous period'!Q322, 0)</f>
        <v>0</v>
      </c>
      <c r="R389" s="9"/>
      <c r="S389" s="9"/>
      <c r="T389" s="9"/>
      <c r="U389" s="9"/>
      <c r="V389" s="9"/>
      <c r="W389" s="9"/>
      <c r="X389" s="9"/>
      <c r="Y389" s="9"/>
      <c r="Z389" s="9"/>
      <c r="AB389" s="198"/>
      <c r="AC389" s="198"/>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row>
    <row r="390" spans="1:64" hidden="1" outlineLevel="1">
      <c r="A390" s="9"/>
      <c r="B390" s="9"/>
      <c r="C390" s="9"/>
      <c r="D390" s="270">
        <f>Asset28</f>
        <v>0</v>
      </c>
      <c r="E390" s="9"/>
      <c r="F390" s="9"/>
      <c r="G390" s="9"/>
      <c r="H390" s="9"/>
      <c r="I390" s="9"/>
      <c r="J390" s="9"/>
      <c r="K390" s="9"/>
      <c r="L390" s="111">
        <f>IF(M$234=0, 'Adjustment for previous period'!L324, 0)</f>
        <v>0</v>
      </c>
      <c r="M390" s="111">
        <f>IF(N$234=0, 'Adjustment for previous period'!M324, 0)</f>
        <v>0</v>
      </c>
      <c r="N390" s="111">
        <f>IF(O$234=0, 'Adjustment for previous period'!N324, 0)</f>
        <v>0</v>
      </c>
      <c r="O390" s="111">
        <f>IF(P$234=0, 'Adjustment for previous period'!O324, 0)</f>
        <v>0</v>
      </c>
      <c r="P390" s="111">
        <f>IF(Q$234=0, 'Adjustment for previous period'!P324, 0)</f>
        <v>0</v>
      </c>
      <c r="Q390" s="111">
        <f>IF(R$234=0, 'Adjustment for previous period'!Q324, 0)</f>
        <v>0</v>
      </c>
      <c r="R390" s="9"/>
      <c r="S390" s="9"/>
      <c r="T390" s="9"/>
      <c r="U390" s="9"/>
      <c r="V390" s="9"/>
      <c r="W390" s="9"/>
      <c r="X390" s="9"/>
      <c r="Y390" s="9"/>
      <c r="Z390" s="9"/>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row>
    <row r="391" spans="1:64" hidden="1" outlineLevel="1">
      <c r="A391" s="9"/>
      <c r="B391" s="9"/>
      <c r="C391" s="9"/>
      <c r="D391" s="270">
        <f>Asset29</f>
        <v>0</v>
      </c>
      <c r="E391" s="9"/>
      <c r="F391" s="9"/>
      <c r="G391" s="9"/>
      <c r="H391" s="9"/>
      <c r="I391" s="9"/>
      <c r="J391" s="9"/>
      <c r="K391" s="9"/>
      <c r="L391" s="111">
        <f>IF(M$234=0, 'Adjustment for previous period'!L326, 0)</f>
        <v>0</v>
      </c>
      <c r="M391" s="111">
        <f>IF(N$234=0, 'Adjustment for previous period'!M326, 0)</f>
        <v>0</v>
      </c>
      <c r="N391" s="111">
        <f>IF(O$234=0, 'Adjustment for previous period'!N326, 0)</f>
        <v>0</v>
      </c>
      <c r="O391" s="111">
        <f>IF(P$234=0, 'Adjustment for previous period'!O326, 0)</f>
        <v>0</v>
      </c>
      <c r="P391" s="111">
        <f>IF(Q$234=0, 'Adjustment for previous period'!P326, 0)</f>
        <v>0</v>
      </c>
      <c r="Q391" s="111">
        <f>IF(R$234=0, 'Adjustment for previous period'!Q326, 0)</f>
        <v>0</v>
      </c>
      <c r="R391" s="9"/>
      <c r="S391" s="9"/>
      <c r="T391" s="9"/>
      <c r="U391" s="9"/>
      <c r="V391" s="9"/>
      <c r="W391" s="9"/>
      <c r="X391" s="9"/>
      <c r="Y391" s="9"/>
      <c r="Z391" s="9"/>
      <c r="AB391" s="198"/>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L391" s="198"/>
    </row>
    <row r="392" spans="1:64" hidden="1" outlineLevel="1">
      <c r="A392" s="9"/>
      <c r="B392" s="9"/>
      <c r="C392" s="9"/>
      <c r="D392" s="270">
        <f>Asset30</f>
        <v>0</v>
      </c>
      <c r="E392" s="9"/>
      <c r="F392" s="9"/>
      <c r="G392" s="9"/>
      <c r="H392" s="9"/>
      <c r="I392" s="9"/>
      <c r="J392" s="9"/>
      <c r="K392" s="9"/>
      <c r="L392" s="111">
        <f>IF(M$234=0, 'Adjustment for previous period'!L328, 0)</f>
        <v>0</v>
      </c>
      <c r="M392" s="111">
        <f>IF(N$234=0, 'Adjustment for previous period'!M328, 0)</f>
        <v>0</v>
      </c>
      <c r="N392" s="111">
        <f>IF(O$234=0, 'Adjustment for previous period'!N328, 0)</f>
        <v>0</v>
      </c>
      <c r="O392" s="111">
        <f>IF(P$234=0, 'Adjustment for previous period'!O328, 0)</f>
        <v>0</v>
      </c>
      <c r="P392" s="111">
        <f>IF(Q$234=0, 'Adjustment for previous period'!P328, 0)</f>
        <v>0</v>
      </c>
      <c r="Q392" s="111">
        <f>IF(R$234=0, 'Adjustment for previous period'!Q328, 0)</f>
        <v>0</v>
      </c>
      <c r="R392" s="9"/>
      <c r="S392" s="9"/>
      <c r="T392" s="9"/>
      <c r="U392" s="9"/>
      <c r="V392" s="9"/>
      <c r="W392" s="9"/>
      <c r="X392" s="9"/>
      <c r="Y392" s="9"/>
      <c r="Z392" s="9"/>
      <c r="AB392" s="198"/>
      <c r="AC392" s="198"/>
      <c r="AD392" s="198"/>
      <c r="AE392" s="198"/>
      <c r="AF392" s="198"/>
      <c r="AG392" s="198"/>
      <c r="AH392" s="198"/>
      <c r="AI392" s="198"/>
      <c r="AJ392" s="198"/>
      <c r="AK392" s="198"/>
      <c r="AL392" s="198"/>
      <c r="AM392" s="198"/>
      <c r="AN392" s="198"/>
      <c r="AO392" s="198"/>
      <c r="AP392" s="198"/>
      <c r="AQ392" s="198"/>
      <c r="AR392" s="198"/>
      <c r="AS392" s="198"/>
      <c r="AT392" s="198"/>
      <c r="AU392" s="198"/>
      <c r="AV392" s="198"/>
      <c r="AW392" s="198"/>
      <c r="AX392" s="198"/>
      <c r="AY392" s="198"/>
      <c r="AZ392" s="198"/>
      <c r="BA392" s="198"/>
      <c r="BB392" s="198"/>
      <c r="BC392" s="198"/>
      <c r="BD392" s="198"/>
      <c r="BE392" s="198"/>
      <c r="BF392" s="198"/>
      <c r="BG392" s="198"/>
      <c r="BH392" s="198"/>
      <c r="BI392" s="198"/>
      <c r="BJ392" s="198"/>
      <c r="BK392" s="198"/>
      <c r="BL392" s="198"/>
    </row>
    <row r="393" spans="1:64" collapsed="1">
      <c r="A393" s="9"/>
      <c r="B393" s="9"/>
      <c r="C393" s="9"/>
      <c r="D393" s="9"/>
      <c r="E393" s="9"/>
      <c r="F393" s="9"/>
      <c r="G393" s="9"/>
      <c r="H393" s="9"/>
      <c r="I393" s="9"/>
      <c r="J393" s="9"/>
      <c r="K393" s="9"/>
      <c r="L393" s="293"/>
      <c r="M393" s="293"/>
      <c r="N393" s="295"/>
      <c r="O393" s="293"/>
      <c r="P393" s="293"/>
      <c r="Q393" s="293"/>
      <c r="R393" s="9"/>
      <c r="S393" s="9"/>
      <c r="T393" s="9"/>
      <c r="U393" s="9"/>
      <c r="V393" s="9"/>
      <c r="W393" s="9"/>
      <c r="X393" s="9"/>
      <c r="Y393" s="9"/>
      <c r="Z393" s="9"/>
      <c r="AB393" s="198"/>
      <c r="AC393" s="198"/>
      <c r="AD393" s="198"/>
      <c r="AE393" s="198"/>
      <c r="AF393" s="198"/>
      <c r="AG393" s="198"/>
      <c r="AH393" s="198"/>
      <c r="AI393" s="198"/>
      <c r="AJ393" s="198"/>
      <c r="AK393" s="198"/>
      <c r="AL393" s="198"/>
      <c r="AM393" s="198"/>
      <c r="AN393" s="198"/>
      <c r="AO393" s="198"/>
      <c r="AP393" s="198"/>
      <c r="AQ393" s="198"/>
      <c r="AR393" s="198"/>
      <c r="AS393" s="198"/>
      <c r="AT393" s="198"/>
      <c r="AU393" s="198"/>
      <c r="AV393" s="198"/>
      <c r="AW393" s="198"/>
      <c r="AX393" s="198"/>
      <c r="AY393" s="198"/>
      <c r="AZ393" s="198"/>
      <c r="BA393" s="198"/>
      <c r="BB393" s="198"/>
      <c r="BC393" s="198"/>
      <c r="BD393" s="198"/>
      <c r="BE393" s="198"/>
      <c r="BF393" s="198"/>
      <c r="BG393" s="198"/>
      <c r="BH393" s="198"/>
      <c r="BI393" s="198"/>
      <c r="BJ393" s="198"/>
      <c r="BK393" s="198"/>
      <c r="BL393" s="198"/>
    </row>
    <row r="394" spans="1:64">
      <c r="A394" s="9"/>
      <c r="B394" s="9"/>
      <c r="C394" s="334" t="s">
        <v>161</v>
      </c>
      <c r="D394" s="334"/>
      <c r="E394" s="334"/>
      <c r="F394" s="334"/>
      <c r="G394" s="334"/>
      <c r="H394" s="9"/>
      <c r="I394" s="9"/>
      <c r="J394" s="9"/>
      <c r="K394" s="9"/>
      <c r="L394" s="344">
        <f t="shared" ref="L394:Q394" si="18">SUM(L395:L414)</f>
        <v>0</v>
      </c>
      <c r="M394" s="342">
        <f t="shared" si="18"/>
        <v>0.6657419876348567</v>
      </c>
      <c r="N394" s="35">
        <f t="shared" si="18"/>
        <v>0</v>
      </c>
      <c r="O394" s="35">
        <f t="shared" si="18"/>
        <v>0</v>
      </c>
      <c r="P394" s="35">
        <f t="shared" si="18"/>
        <v>0</v>
      </c>
      <c r="Q394" s="35">
        <f t="shared" si="18"/>
        <v>0</v>
      </c>
      <c r="R394" s="9"/>
      <c r="S394" s="9"/>
      <c r="T394" s="9"/>
      <c r="U394" s="9"/>
      <c r="V394" s="9"/>
      <c r="W394" s="9"/>
      <c r="X394" s="9"/>
      <c r="Y394" s="9"/>
      <c r="Z394" s="9"/>
      <c r="AA394" s="9"/>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c r="AX394" s="198"/>
      <c r="AY394" s="198"/>
      <c r="AZ394" s="198"/>
      <c r="BA394" s="198"/>
      <c r="BB394" s="198"/>
      <c r="BC394" s="198"/>
      <c r="BD394" s="198"/>
      <c r="BE394" s="198"/>
      <c r="BF394" s="198"/>
      <c r="BG394" s="198"/>
      <c r="BH394" s="198"/>
      <c r="BI394" s="198"/>
      <c r="BJ394" s="198"/>
      <c r="BK394" s="198"/>
      <c r="BL394" s="198"/>
    </row>
    <row r="395" spans="1:64" hidden="1" outlineLevel="1">
      <c r="A395" s="9"/>
      <c r="B395" s="9"/>
      <c r="C395" s="9"/>
      <c r="D395" s="127" t="str">
        <f>Asset1</f>
        <v>Secondary</v>
      </c>
      <c r="E395" s="9"/>
      <c r="F395" s="9"/>
      <c r="G395" s="9"/>
      <c r="H395" s="9"/>
      <c r="I395" s="9"/>
      <c r="J395" s="9"/>
      <c r="K395" s="9"/>
      <c r="L395" s="111">
        <f>IF(L$234&gt;0, IF(M$234=0,'Adjustment for previous period'!$G378, 0), 0)</f>
        <v>0</v>
      </c>
      <c r="M395" s="111">
        <f>IF(M$234&gt;0, IF(N$234=0,'Adjustment for previous period'!$G378, 0), 0)</f>
        <v>8.2840342812513512E-2</v>
      </c>
      <c r="N395" s="111">
        <f>IF(N$234&gt;0, IF(O$234=0,'Adjustment for previous period'!$G378, 0), 0)</f>
        <v>0</v>
      </c>
      <c r="O395" s="111">
        <f>IF(O$234&gt;0, IF(P$234=0,'Adjustment for previous period'!$G378, 0), 0)</f>
        <v>0</v>
      </c>
      <c r="P395" s="111">
        <f>IF(P$234&gt;0, IF(Q$234=0,'Adjustment for previous period'!$G378, 0), 0)</f>
        <v>0</v>
      </c>
      <c r="Q395" s="111">
        <f>IF(Q$234&gt;0, IF(R$234=0,'Adjustment for previous period'!$G378, 0), 0)</f>
        <v>0</v>
      </c>
      <c r="R395" s="9"/>
      <c r="S395" s="9"/>
      <c r="T395" s="9"/>
      <c r="U395" s="9"/>
      <c r="V395" s="9"/>
      <c r="W395" s="9"/>
      <c r="X395" s="9"/>
      <c r="Y395" s="9"/>
      <c r="Z395" s="9"/>
      <c r="AA395" s="9"/>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row>
    <row r="396" spans="1:64" hidden="1" outlineLevel="1">
      <c r="A396" s="9"/>
      <c r="B396" s="9"/>
      <c r="C396" s="9"/>
      <c r="D396" s="127" t="str">
        <f>Asset2</f>
        <v>Switchgear</v>
      </c>
      <c r="E396" s="9"/>
      <c r="F396" s="9"/>
      <c r="G396" s="9"/>
      <c r="H396" s="9"/>
      <c r="I396" s="9"/>
      <c r="J396" s="9"/>
      <c r="K396" s="9"/>
      <c r="L396" s="111">
        <f>IF(L$234&gt;0, IF(M$234=0,'Adjustment for previous period'!$G379, 0), 0)</f>
        <v>0</v>
      </c>
      <c r="M396" s="111">
        <f>IF(M$234&gt;0, IF(N$234=0,'Adjustment for previous period'!$G379, 0), 0)</f>
        <v>0.36741665183803462</v>
      </c>
      <c r="N396" s="111">
        <f>IF(N$234&gt;0, IF(O$234=0,'Adjustment for previous period'!$G379, 0), 0)</f>
        <v>0</v>
      </c>
      <c r="O396" s="111">
        <f>IF(O$234&gt;0, IF(P$234=0,'Adjustment for previous period'!$G379, 0), 0)</f>
        <v>0</v>
      </c>
      <c r="P396" s="111">
        <f>IF(P$234&gt;0, IF(Q$234=0,'Adjustment for previous period'!$G379, 0), 0)</f>
        <v>0</v>
      </c>
      <c r="Q396" s="111">
        <f>IF(Q$234&gt;0, IF(R$234=0,'Adjustment for previous period'!$G379, 0), 0)</f>
        <v>0</v>
      </c>
      <c r="R396" s="9"/>
      <c r="S396" s="9"/>
      <c r="T396" s="9"/>
      <c r="U396" s="9"/>
      <c r="V396" s="9"/>
      <c r="W396" s="9"/>
      <c r="X396" s="9"/>
      <c r="Y396" s="9"/>
      <c r="Z396" s="9"/>
      <c r="AA396" s="9"/>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row>
    <row r="397" spans="1:64" hidden="1" outlineLevel="1">
      <c r="A397" s="9"/>
      <c r="B397" s="9"/>
      <c r="C397" s="9"/>
      <c r="D397" s="127" t="str">
        <f>Asset3</f>
        <v>Transformers</v>
      </c>
      <c r="E397" s="9"/>
      <c r="F397" s="9"/>
      <c r="G397" s="9"/>
      <c r="H397" s="9"/>
      <c r="I397" s="9"/>
      <c r="J397" s="9"/>
      <c r="K397" s="9"/>
      <c r="L397" s="111">
        <f>IF(L$234&gt;0, IF(M$234=0,'Adjustment for previous period'!$G380, 0), 0)</f>
        <v>0</v>
      </c>
      <c r="M397" s="111">
        <f>IF(M$234&gt;0, IF(N$234=0,'Adjustment for previous period'!$G380, 0), 0)</f>
        <v>7.2390413786939334E-2</v>
      </c>
      <c r="N397" s="111">
        <f>IF(N$234&gt;0, IF(O$234=0,'Adjustment for previous period'!$G380, 0), 0)</f>
        <v>0</v>
      </c>
      <c r="O397" s="111">
        <f>IF(O$234&gt;0, IF(P$234=0,'Adjustment for previous period'!$G380, 0), 0)</f>
        <v>0</v>
      </c>
      <c r="P397" s="111">
        <f>IF(P$234&gt;0, IF(Q$234=0,'Adjustment for previous period'!$G380, 0), 0)</f>
        <v>0</v>
      </c>
      <c r="Q397" s="111">
        <f>IF(Q$234&gt;0, IF(R$234=0,'Adjustment for previous period'!$G380, 0), 0)</f>
        <v>0</v>
      </c>
      <c r="R397" s="9"/>
      <c r="S397" s="9"/>
      <c r="T397" s="9"/>
      <c r="U397" s="9"/>
      <c r="V397" s="9"/>
      <c r="W397" s="9"/>
      <c r="X397" s="9"/>
      <c r="Y397" s="9"/>
      <c r="Z397" s="9"/>
      <c r="AA397" s="9"/>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row>
    <row r="398" spans="1:64" hidden="1" outlineLevel="1">
      <c r="A398" s="9"/>
      <c r="B398" s="9"/>
      <c r="C398" s="9"/>
      <c r="D398" s="127" t="str">
        <f>Asset4</f>
        <v>Reactive</v>
      </c>
      <c r="E398" s="9"/>
      <c r="F398" s="9"/>
      <c r="G398" s="9"/>
      <c r="H398" s="9"/>
      <c r="I398" s="9"/>
      <c r="J398" s="9"/>
      <c r="K398" s="9"/>
      <c r="L398" s="111">
        <f>IF(L$234&gt;0, IF(M$234=0,'Adjustment for previous period'!$G381, 0), 0)</f>
        <v>0</v>
      </c>
      <c r="M398" s="111">
        <f>IF(M$234&gt;0, IF(N$234=0,'Adjustment for previous period'!$G381, 0), 0)</f>
        <v>0.1116187752037483</v>
      </c>
      <c r="N398" s="111">
        <f>IF(N$234&gt;0, IF(O$234=0,'Adjustment for previous period'!$G381, 0), 0)</f>
        <v>0</v>
      </c>
      <c r="O398" s="111">
        <f>IF(O$234&gt;0, IF(P$234=0,'Adjustment for previous period'!$G381, 0), 0)</f>
        <v>0</v>
      </c>
      <c r="P398" s="111">
        <f>IF(P$234&gt;0, IF(Q$234=0,'Adjustment for previous period'!$G381, 0), 0)</f>
        <v>0</v>
      </c>
      <c r="Q398" s="111">
        <f>IF(Q$234&gt;0, IF(R$234=0,'Adjustment for previous period'!$G381, 0), 0)</f>
        <v>0</v>
      </c>
      <c r="R398" s="9"/>
      <c r="S398" s="9"/>
      <c r="T398" s="9"/>
      <c r="U398" s="9"/>
      <c r="V398" s="9"/>
      <c r="W398" s="9"/>
      <c r="X398" s="9"/>
      <c r="Y398" s="9"/>
      <c r="Z398" s="9"/>
      <c r="AA398" s="9"/>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198"/>
      <c r="BL398" s="198"/>
    </row>
    <row r="399" spans="1:64" hidden="1" outlineLevel="1">
      <c r="A399" s="9"/>
      <c r="B399" s="9"/>
      <c r="C399" s="9"/>
      <c r="D399" s="127" t="str">
        <f>Asset5</f>
        <v>Towers and Conductor</v>
      </c>
      <c r="E399" s="9"/>
      <c r="F399" s="9"/>
      <c r="G399" s="9"/>
      <c r="H399" s="9"/>
      <c r="I399" s="9"/>
      <c r="J399" s="9"/>
      <c r="K399" s="9"/>
      <c r="L399" s="111">
        <f>IF(L$234&gt;0, IF(M$234=0,'Adjustment for previous period'!$G382, 0), 0)</f>
        <v>0</v>
      </c>
      <c r="M399" s="111">
        <f>IF(M$234&gt;0, IF(N$234=0,'Adjustment for previous period'!$G382, 0), 0)</f>
        <v>4.062234790419339E-3</v>
      </c>
      <c r="N399" s="111">
        <f>IF(N$234&gt;0, IF(O$234=0,'Adjustment for previous period'!$G382, 0), 0)</f>
        <v>0</v>
      </c>
      <c r="O399" s="111">
        <f>IF(O$234&gt;0, IF(P$234=0,'Adjustment for previous period'!$G382, 0), 0)</f>
        <v>0</v>
      </c>
      <c r="P399" s="111">
        <f>IF(P$234&gt;0, IF(Q$234=0,'Adjustment for previous period'!$G382, 0), 0)</f>
        <v>0</v>
      </c>
      <c r="Q399" s="111">
        <f>IF(Q$234&gt;0, IF(R$234=0,'Adjustment for previous period'!$G382, 0), 0)</f>
        <v>0</v>
      </c>
      <c r="R399" s="9"/>
      <c r="S399" s="9"/>
      <c r="T399" s="9"/>
      <c r="U399" s="9"/>
      <c r="V399" s="9"/>
      <c r="W399" s="9"/>
      <c r="X399" s="9"/>
      <c r="Y399" s="9"/>
      <c r="Z399" s="9"/>
      <c r="AA399" s="9"/>
      <c r="AB399" s="198"/>
      <c r="AC399" s="198"/>
      <c r="AD399" s="198"/>
      <c r="AE399" s="198"/>
      <c r="AF399" s="198"/>
      <c r="AG399" s="198"/>
      <c r="AH399" s="198"/>
      <c r="AI399" s="198"/>
      <c r="AJ399" s="198"/>
      <c r="AK399" s="198"/>
      <c r="AL399" s="198"/>
      <c r="AM399" s="198"/>
      <c r="AN399" s="198"/>
      <c r="AO399" s="198"/>
      <c r="AP399" s="198"/>
      <c r="AQ399" s="198"/>
      <c r="AR399" s="198"/>
      <c r="AS399" s="198"/>
      <c r="AT399" s="198"/>
      <c r="AU399" s="198"/>
      <c r="AV399" s="198"/>
      <c r="AW399" s="198"/>
      <c r="AX399" s="198"/>
      <c r="AY399" s="198"/>
      <c r="AZ399" s="198"/>
      <c r="BA399" s="198"/>
      <c r="BB399" s="198"/>
      <c r="BC399" s="198"/>
      <c r="BD399" s="198"/>
      <c r="BE399" s="198"/>
      <c r="BF399" s="198"/>
      <c r="BG399" s="198"/>
      <c r="BH399" s="198"/>
      <c r="BI399" s="198"/>
      <c r="BJ399" s="198"/>
      <c r="BK399" s="198"/>
      <c r="BL399" s="198"/>
    </row>
    <row r="400" spans="1:64" hidden="1" outlineLevel="1">
      <c r="A400" s="9"/>
      <c r="B400" s="9"/>
      <c r="C400" s="9"/>
      <c r="D400" s="127" t="str">
        <f>Asset6</f>
        <v>Establishment</v>
      </c>
      <c r="E400" s="9"/>
      <c r="F400" s="9"/>
      <c r="G400" s="9"/>
      <c r="H400" s="9"/>
      <c r="I400" s="9"/>
      <c r="J400" s="9"/>
      <c r="K400" s="9"/>
      <c r="L400" s="111">
        <f>IF(L$234&gt;0, IF(M$234=0,'Adjustment for previous period'!$G383, 0), 0)</f>
        <v>0</v>
      </c>
      <c r="M400" s="111">
        <f>IF(M$234&gt;0, IF(N$234=0,'Adjustment for previous period'!$G383, 0), 0)</f>
        <v>2.28273309182212E-2</v>
      </c>
      <c r="N400" s="111">
        <f>IF(N$234&gt;0, IF(O$234=0,'Adjustment for previous period'!$G383, 0), 0)</f>
        <v>0</v>
      </c>
      <c r="O400" s="111">
        <f>IF(O$234&gt;0, IF(P$234=0,'Adjustment for previous period'!$G383, 0), 0)</f>
        <v>0</v>
      </c>
      <c r="P400" s="111">
        <f>IF(P$234&gt;0, IF(Q$234=0,'Adjustment for previous period'!$G383, 0), 0)</f>
        <v>0</v>
      </c>
      <c r="Q400" s="111">
        <f>IF(Q$234&gt;0, IF(R$234=0,'Adjustment for previous period'!$G383, 0), 0)</f>
        <v>0</v>
      </c>
      <c r="R400" s="9"/>
      <c r="S400" s="9"/>
      <c r="T400" s="9"/>
      <c r="U400" s="9"/>
      <c r="V400" s="9"/>
      <c r="W400" s="9"/>
      <c r="X400" s="9"/>
      <c r="Y400" s="9"/>
      <c r="Z400" s="9"/>
      <c r="AA400" s="9"/>
      <c r="AB400" s="198"/>
      <c r="AC400" s="198"/>
      <c r="AD400" s="198"/>
      <c r="AE400" s="198"/>
      <c r="AF400" s="198"/>
      <c r="AG400" s="198"/>
      <c r="AH400" s="198"/>
      <c r="AI400" s="198"/>
      <c r="AJ400" s="198"/>
      <c r="AK400" s="198"/>
      <c r="AL400" s="198"/>
      <c r="AM400" s="198"/>
      <c r="AN400" s="198"/>
      <c r="AO400" s="198"/>
      <c r="AP400" s="198"/>
      <c r="AQ400" s="198"/>
      <c r="AR400" s="198"/>
      <c r="AS400" s="198"/>
      <c r="AT400" s="198"/>
      <c r="AU400" s="198"/>
      <c r="AV400" s="198"/>
      <c r="AW400" s="198"/>
      <c r="AX400" s="198"/>
      <c r="AY400" s="198"/>
      <c r="AZ400" s="198"/>
      <c r="BA400" s="198"/>
      <c r="BB400" s="198"/>
      <c r="BC400" s="198"/>
      <c r="BD400" s="198"/>
      <c r="BE400" s="198"/>
      <c r="BF400" s="198"/>
      <c r="BG400" s="198"/>
      <c r="BH400" s="198"/>
      <c r="BI400" s="198"/>
      <c r="BJ400" s="198"/>
      <c r="BK400" s="198"/>
      <c r="BL400" s="198"/>
    </row>
    <row r="401" spans="1:64" hidden="1" outlineLevel="1">
      <c r="A401" s="9"/>
      <c r="B401" s="9"/>
      <c r="C401" s="9"/>
      <c r="D401" s="127" t="str">
        <f>Asset7</f>
        <v>Communications</v>
      </c>
      <c r="E401" s="9"/>
      <c r="F401" s="9"/>
      <c r="G401" s="9"/>
      <c r="H401" s="9"/>
      <c r="I401" s="9"/>
      <c r="J401" s="9"/>
      <c r="K401" s="9"/>
      <c r="L401" s="111">
        <f>IF(L$234&gt;0, IF(M$234=0,'Adjustment for previous period'!$G384, 0), 0)</f>
        <v>0</v>
      </c>
      <c r="M401" s="111">
        <f>IF(M$234&gt;0, IF(N$234=0,'Adjustment for previous period'!$G384, 0), 0)</f>
        <v>4.5862382849803929E-3</v>
      </c>
      <c r="N401" s="111">
        <f>IF(N$234&gt;0, IF(O$234=0,'Adjustment for previous period'!$G384, 0), 0)</f>
        <v>0</v>
      </c>
      <c r="O401" s="111">
        <f>IF(O$234&gt;0, IF(P$234=0,'Adjustment for previous period'!$G384, 0), 0)</f>
        <v>0</v>
      </c>
      <c r="P401" s="111">
        <f>IF(P$234&gt;0, IF(Q$234=0,'Adjustment for previous period'!$G384, 0), 0)</f>
        <v>0</v>
      </c>
      <c r="Q401" s="111">
        <f>IF(Q$234&gt;0, IF(R$234=0,'Adjustment for previous period'!$G384, 0), 0)</f>
        <v>0</v>
      </c>
      <c r="R401" s="9"/>
      <c r="S401" s="9"/>
      <c r="T401" s="9"/>
      <c r="U401" s="9"/>
      <c r="V401" s="9"/>
      <c r="W401" s="9"/>
      <c r="X401" s="9"/>
      <c r="Y401" s="9"/>
      <c r="Z401" s="9"/>
      <c r="AA401" s="9"/>
      <c r="AB401" s="198"/>
      <c r="AC401" s="198"/>
      <c r="AD401" s="198"/>
      <c r="AE401" s="198"/>
      <c r="AF401" s="198"/>
      <c r="AG401" s="198"/>
      <c r="AH401" s="198"/>
      <c r="AI401" s="198"/>
      <c r="AJ401" s="198"/>
      <c r="AK401" s="198"/>
      <c r="AL401" s="198"/>
      <c r="AM401" s="198"/>
      <c r="AN401" s="198"/>
      <c r="AO401" s="198"/>
      <c r="AP401" s="198"/>
      <c r="AQ401" s="198"/>
      <c r="AR401" s="198"/>
      <c r="AS401" s="198"/>
      <c r="AT401" s="198"/>
      <c r="AU401" s="198"/>
      <c r="AV401" s="198"/>
      <c r="AW401" s="198"/>
      <c r="AX401" s="198"/>
      <c r="AY401" s="198"/>
      <c r="AZ401" s="198"/>
      <c r="BA401" s="198"/>
      <c r="BB401" s="198"/>
      <c r="BC401" s="198"/>
      <c r="BD401" s="198"/>
      <c r="BE401" s="198"/>
      <c r="BF401" s="198"/>
      <c r="BG401" s="198"/>
      <c r="BH401" s="198"/>
      <c r="BI401" s="198"/>
      <c r="BJ401" s="198"/>
      <c r="BK401" s="198"/>
      <c r="BL401" s="198"/>
    </row>
    <row r="402" spans="1:64" hidden="1" outlineLevel="1">
      <c r="A402" s="9"/>
      <c r="B402" s="9"/>
      <c r="C402" s="9"/>
      <c r="D402" s="127" t="str">
        <f>Asset8</f>
        <v>Inventory</v>
      </c>
      <c r="E402" s="9"/>
      <c r="F402" s="9"/>
      <c r="G402" s="9"/>
      <c r="H402" s="9"/>
      <c r="I402" s="9"/>
      <c r="J402" s="9"/>
      <c r="K402" s="9"/>
      <c r="L402" s="111">
        <f>IF(L$234&gt;0, IF(M$234=0,'Adjustment for previous period'!$G385, 0), 0)</f>
        <v>0</v>
      </c>
      <c r="M402" s="111">
        <f>IF(M$234&gt;0, IF(N$234=0,'Adjustment for previous period'!$G385, 0), 0)</f>
        <v>0</v>
      </c>
      <c r="N402" s="111">
        <f>IF(N$234&gt;0, IF(O$234=0,'Adjustment for previous period'!$G385, 0), 0)</f>
        <v>0</v>
      </c>
      <c r="O402" s="111">
        <f>IF(O$234&gt;0, IF(P$234=0,'Adjustment for previous period'!$G385, 0), 0)</f>
        <v>0</v>
      </c>
      <c r="P402" s="111">
        <f>IF(P$234&gt;0, IF(Q$234=0,'Adjustment for previous period'!$G385, 0), 0)</f>
        <v>0</v>
      </c>
      <c r="Q402" s="111">
        <f>IF(Q$234&gt;0, IF(R$234=0,'Adjustment for previous period'!$G385, 0), 0)</f>
        <v>0</v>
      </c>
      <c r="R402" s="9"/>
      <c r="S402" s="9"/>
      <c r="T402" s="9"/>
      <c r="U402" s="9"/>
      <c r="V402" s="9"/>
      <c r="W402" s="9"/>
      <c r="X402" s="9"/>
      <c r="Y402" s="9"/>
      <c r="Z402" s="9"/>
      <c r="AA402" s="9"/>
      <c r="AB402" s="198"/>
      <c r="AC402" s="198"/>
      <c r="AD402" s="198"/>
      <c r="AE402" s="198"/>
      <c r="AF402" s="198"/>
      <c r="AG402" s="198"/>
      <c r="AH402" s="198"/>
      <c r="AI402" s="198"/>
      <c r="AJ402" s="198"/>
      <c r="AK402" s="198"/>
      <c r="AL402" s="198"/>
      <c r="AM402" s="198"/>
      <c r="AN402" s="198"/>
      <c r="AO402" s="198"/>
      <c r="AP402" s="198"/>
      <c r="AQ402" s="198"/>
      <c r="AR402" s="198"/>
      <c r="AS402" s="198"/>
      <c r="AT402" s="198"/>
      <c r="AU402" s="198"/>
      <c r="AV402" s="198"/>
      <c r="AW402" s="198"/>
      <c r="AX402" s="198"/>
      <c r="AY402" s="198"/>
      <c r="AZ402" s="198"/>
      <c r="BA402" s="198"/>
      <c r="BB402" s="198"/>
      <c r="BC402" s="198"/>
      <c r="BD402" s="198"/>
      <c r="BE402" s="198"/>
      <c r="BF402" s="198"/>
      <c r="BG402" s="198"/>
      <c r="BH402" s="198"/>
      <c r="BI402" s="198"/>
      <c r="BJ402" s="198"/>
      <c r="BK402" s="198"/>
      <c r="BL402" s="198"/>
    </row>
    <row r="403" spans="1:64" hidden="1" outlineLevel="1">
      <c r="A403" s="9"/>
      <c r="B403" s="9"/>
      <c r="C403" s="9"/>
      <c r="D403" s="127" t="str">
        <f>Asset9</f>
        <v>IT</v>
      </c>
      <c r="E403" s="9"/>
      <c r="F403" s="9"/>
      <c r="G403" s="9"/>
      <c r="H403" s="9"/>
      <c r="I403" s="9"/>
      <c r="J403" s="9"/>
      <c r="K403" s="9"/>
      <c r="L403" s="111">
        <f>IF(L$234&gt;0, IF(M$234=0,'Adjustment for previous period'!$G386, 0), 0)</f>
        <v>0</v>
      </c>
      <c r="M403" s="111">
        <f>IF(M$234&gt;0, IF(N$234=0,'Adjustment for previous period'!$G386, 0), 0)</f>
        <v>0</v>
      </c>
      <c r="N403" s="111">
        <f>IF(N$234&gt;0, IF(O$234=0,'Adjustment for previous period'!$G386, 0), 0)</f>
        <v>0</v>
      </c>
      <c r="O403" s="111">
        <f>IF(O$234&gt;0, IF(P$234=0,'Adjustment for previous period'!$G386, 0), 0)</f>
        <v>0</v>
      </c>
      <c r="P403" s="111">
        <f>IF(P$234&gt;0, IF(Q$234=0,'Adjustment for previous period'!$G386, 0), 0)</f>
        <v>0</v>
      </c>
      <c r="Q403" s="111">
        <f>IF(Q$234&gt;0, IF(R$234=0,'Adjustment for previous period'!$G386, 0), 0)</f>
        <v>0</v>
      </c>
      <c r="R403" s="9"/>
      <c r="S403" s="9"/>
      <c r="T403" s="9"/>
      <c r="U403" s="9"/>
      <c r="V403" s="9"/>
      <c r="W403" s="9"/>
      <c r="X403" s="9"/>
      <c r="Y403" s="9"/>
      <c r="Z403" s="9"/>
      <c r="AA403" s="9"/>
      <c r="AB403" s="198"/>
      <c r="AC403" s="198"/>
      <c r="AD403" s="198"/>
      <c r="AE403" s="198"/>
      <c r="AF403" s="198"/>
      <c r="AG403" s="198"/>
      <c r="AH403" s="198"/>
      <c r="AI403" s="198"/>
      <c r="AJ403" s="198"/>
      <c r="AK403" s="198"/>
      <c r="AL403" s="198"/>
      <c r="AM403" s="198"/>
      <c r="AN403" s="198"/>
      <c r="AO403" s="198"/>
      <c r="AP403" s="198"/>
      <c r="AQ403" s="198"/>
      <c r="AR403" s="198"/>
      <c r="AS403" s="198"/>
      <c r="AT403" s="198"/>
      <c r="AU403" s="198"/>
      <c r="AV403" s="198"/>
      <c r="AW403" s="198"/>
      <c r="AX403" s="198"/>
      <c r="AY403" s="198"/>
      <c r="AZ403" s="198"/>
      <c r="BA403" s="198"/>
      <c r="BB403" s="198"/>
      <c r="BC403" s="198"/>
      <c r="BD403" s="198"/>
      <c r="BE403" s="198"/>
      <c r="BF403" s="198"/>
      <c r="BG403" s="198"/>
      <c r="BH403" s="198"/>
      <c r="BI403" s="198"/>
      <c r="BJ403" s="198"/>
      <c r="BK403" s="198"/>
      <c r="BL403" s="198"/>
    </row>
    <row r="404" spans="1:64" hidden="1" outlineLevel="1">
      <c r="A404" s="9"/>
      <c r="B404" s="9"/>
      <c r="C404" s="9"/>
      <c r="D404" s="127" t="str">
        <f>Asset10</f>
        <v>Vehicles</v>
      </c>
      <c r="E404" s="9"/>
      <c r="F404" s="9"/>
      <c r="G404" s="9"/>
      <c r="H404" s="9"/>
      <c r="I404" s="9"/>
      <c r="J404" s="9"/>
      <c r="K404" s="9"/>
      <c r="L404" s="111">
        <f>IF(L$234&gt;0, IF(M$234=0,'Adjustment for previous period'!$G387, 0), 0)</f>
        <v>0</v>
      </c>
      <c r="M404" s="111">
        <f>IF(M$234&gt;0, IF(N$234=0,'Adjustment for previous period'!$G387, 0), 0)</f>
        <v>0</v>
      </c>
      <c r="N404" s="111">
        <f>IF(N$234&gt;0, IF(O$234=0,'Adjustment for previous period'!$G387, 0), 0)</f>
        <v>0</v>
      </c>
      <c r="O404" s="111">
        <f>IF(O$234&gt;0, IF(P$234=0,'Adjustment for previous period'!$G387, 0), 0)</f>
        <v>0</v>
      </c>
      <c r="P404" s="111">
        <f>IF(P$234&gt;0, IF(Q$234=0,'Adjustment for previous period'!$G387, 0), 0)</f>
        <v>0</v>
      </c>
      <c r="Q404" s="111">
        <f>IF(Q$234&gt;0, IF(R$234=0,'Adjustment for previous period'!$G387, 0), 0)</f>
        <v>0</v>
      </c>
      <c r="R404" s="9"/>
      <c r="S404" s="9"/>
      <c r="T404" s="9"/>
      <c r="U404" s="9"/>
      <c r="V404" s="9"/>
      <c r="W404" s="9"/>
      <c r="X404" s="9"/>
      <c r="Y404" s="9"/>
      <c r="Z404" s="9"/>
      <c r="AA404" s="9"/>
      <c r="AB404" s="198"/>
      <c r="AC404" s="198"/>
      <c r="AD404" s="198"/>
      <c r="AE404" s="198"/>
      <c r="AF404" s="198"/>
      <c r="AG404" s="198"/>
      <c r="AH404" s="198"/>
      <c r="AI404" s="198"/>
      <c r="AJ404" s="198"/>
      <c r="AK404" s="198"/>
      <c r="AL404" s="198"/>
      <c r="AM404" s="198"/>
      <c r="AN404" s="198"/>
      <c r="AO404" s="198"/>
      <c r="AP404" s="198"/>
      <c r="AQ404" s="198"/>
      <c r="AR404" s="198"/>
      <c r="AS404" s="198"/>
      <c r="AT404" s="198"/>
      <c r="AU404" s="198"/>
      <c r="AV404" s="198"/>
      <c r="AW404" s="198"/>
      <c r="AX404" s="198"/>
      <c r="AY404" s="198"/>
      <c r="AZ404" s="198"/>
      <c r="BA404" s="198"/>
      <c r="BB404" s="198"/>
      <c r="BC404" s="198"/>
      <c r="BD404" s="198"/>
      <c r="BE404" s="198"/>
      <c r="BF404" s="198"/>
      <c r="BG404" s="198"/>
      <c r="BH404" s="198"/>
      <c r="BI404" s="198"/>
      <c r="BJ404" s="198"/>
      <c r="BK404" s="198"/>
      <c r="BL404" s="198"/>
    </row>
    <row r="405" spans="1:64" hidden="1" outlineLevel="1">
      <c r="A405" s="9"/>
      <c r="B405" s="9"/>
      <c r="C405" s="9"/>
      <c r="D405" s="127" t="str">
        <f>Asset11</f>
        <v>other</v>
      </c>
      <c r="E405" s="9"/>
      <c r="F405" s="9"/>
      <c r="G405" s="9"/>
      <c r="H405" s="9"/>
      <c r="I405" s="9"/>
      <c r="J405" s="9"/>
      <c r="K405" s="9"/>
      <c r="L405" s="111">
        <f>IF(L$234&gt;0, IF(M$234=0,'Adjustment for previous period'!$G388, 0), 0)</f>
        <v>0</v>
      </c>
      <c r="M405" s="111">
        <f>IF(M$234&gt;0, IF(N$234=0,'Adjustment for previous period'!$G388, 0), 0)</f>
        <v>0</v>
      </c>
      <c r="N405" s="111">
        <f>IF(N$234&gt;0, IF(O$234=0,'Adjustment for previous period'!$G388, 0), 0)</f>
        <v>0</v>
      </c>
      <c r="O405" s="111">
        <f>IF(O$234&gt;0, IF(P$234=0,'Adjustment for previous period'!$G388, 0), 0)</f>
        <v>0</v>
      </c>
      <c r="P405" s="111">
        <f>IF(P$234&gt;0, IF(Q$234=0,'Adjustment for previous period'!$G388, 0), 0)</f>
        <v>0</v>
      </c>
      <c r="Q405" s="111">
        <f>IF(Q$234&gt;0, IF(R$234=0,'Adjustment for previous period'!$G388, 0), 0)</f>
        <v>0</v>
      </c>
      <c r="R405" s="9"/>
      <c r="S405" s="9"/>
      <c r="T405" s="9"/>
      <c r="U405" s="9"/>
      <c r="V405" s="9"/>
      <c r="W405" s="9"/>
      <c r="X405" s="9"/>
      <c r="Y405" s="9"/>
      <c r="Z405" s="9"/>
      <c r="AA405" s="9"/>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row>
    <row r="406" spans="1:64" hidden="1" outlineLevel="1">
      <c r="A406" s="9"/>
      <c r="B406" s="9"/>
      <c r="C406" s="9"/>
      <c r="D406" s="127" t="str">
        <f>Asset12</f>
        <v>premises</v>
      </c>
      <c r="E406" s="9"/>
      <c r="F406" s="9"/>
      <c r="G406" s="9"/>
      <c r="H406" s="9"/>
      <c r="I406" s="9"/>
      <c r="J406" s="9"/>
      <c r="K406" s="9"/>
      <c r="L406" s="111">
        <f>IF(L$234&gt;0, IF(M$234=0,'Adjustment for previous period'!$G389, 0), 0)</f>
        <v>0</v>
      </c>
      <c r="M406" s="111">
        <f>IF(M$234&gt;0, IF(N$234=0,'Adjustment for previous period'!$G389, 0), 0)</f>
        <v>0</v>
      </c>
      <c r="N406" s="111">
        <f>IF(N$234&gt;0, IF(O$234=0,'Adjustment for previous period'!$G389, 0), 0)</f>
        <v>0</v>
      </c>
      <c r="O406" s="111">
        <f>IF(O$234&gt;0, IF(P$234=0,'Adjustment for previous period'!$G389, 0), 0)</f>
        <v>0</v>
      </c>
      <c r="P406" s="111">
        <f>IF(P$234&gt;0, IF(Q$234=0,'Adjustment for previous period'!$G389, 0), 0)</f>
        <v>0</v>
      </c>
      <c r="Q406" s="111">
        <f>IF(Q$234&gt;0, IF(R$234=0,'Adjustment for previous period'!$G389, 0), 0)</f>
        <v>0</v>
      </c>
      <c r="R406" s="9"/>
      <c r="S406" s="9"/>
      <c r="T406" s="9"/>
      <c r="U406" s="9"/>
      <c r="V406" s="9"/>
      <c r="W406" s="9"/>
      <c r="X406" s="9"/>
      <c r="Y406" s="9"/>
      <c r="Z406" s="9"/>
      <c r="AA406" s="9"/>
      <c r="AB406" s="198"/>
      <c r="AC406" s="198"/>
      <c r="AD406" s="198"/>
      <c r="AE406" s="198"/>
      <c r="AF406" s="198"/>
      <c r="AG406" s="198"/>
      <c r="AH406" s="198"/>
      <c r="AI406" s="198"/>
      <c r="AJ406" s="198"/>
      <c r="AK406" s="198"/>
      <c r="AL406" s="198"/>
      <c r="AM406" s="198"/>
      <c r="AN406" s="198"/>
      <c r="AO406" s="198"/>
      <c r="AP406" s="198"/>
      <c r="AQ406" s="198"/>
      <c r="AR406" s="198"/>
      <c r="AS406" s="198"/>
      <c r="AT406" s="198"/>
      <c r="AU406" s="198"/>
      <c r="AV406" s="198"/>
      <c r="AW406" s="198"/>
      <c r="AX406" s="198"/>
      <c r="AY406" s="198"/>
      <c r="AZ406" s="198"/>
      <c r="BA406" s="198"/>
      <c r="BB406" s="198"/>
      <c r="BC406" s="198"/>
      <c r="BD406" s="198"/>
      <c r="BE406" s="198"/>
      <c r="BF406" s="198"/>
      <c r="BG406" s="198"/>
      <c r="BH406" s="198"/>
      <c r="BI406" s="198"/>
      <c r="BJ406" s="198"/>
      <c r="BK406" s="198"/>
      <c r="BL406" s="198"/>
    </row>
    <row r="407" spans="1:64" hidden="1" outlineLevel="1">
      <c r="A407" s="9"/>
      <c r="B407" s="9"/>
      <c r="C407" s="9"/>
      <c r="D407" s="127" t="str">
        <f>Asset13</f>
        <v>Land</v>
      </c>
      <c r="E407" s="9"/>
      <c r="F407" s="9"/>
      <c r="G407" s="9"/>
      <c r="H407" s="9"/>
      <c r="I407" s="9"/>
      <c r="J407" s="9"/>
      <c r="K407" s="9"/>
      <c r="L407" s="111">
        <f>IF(L$234&gt;0, IF(M$234=0,'Adjustment for previous period'!$G390, 0), 0)</f>
        <v>0</v>
      </c>
      <c r="M407" s="111">
        <f>IF(M$234&gt;0, IF(N$234=0,'Adjustment for previous period'!$G390, 0), 0)</f>
        <v>0</v>
      </c>
      <c r="N407" s="111">
        <f>IF(N$234&gt;0, IF(O$234=0,'Adjustment for previous period'!$G390, 0), 0)</f>
        <v>0</v>
      </c>
      <c r="O407" s="111">
        <f>IF(O$234&gt;0, IF(P$234=0,'Adjustment for previous period'!$G390, 0), 0)</f>
        <v>0</v>
      </c>
      <c r="P407" s="111">
        <f>IF(P$234&gt;0, IF(Q$234=0,'Adjustment for previous period'!$G390, 0), 0)</f>
        <v>0</v>
      </c>
      <c r="Q407" s="111">
        <f>IF(Q$234&gt;0, IF(R$234=0,'Adjustment for previous period'!$G390, 0), 0)</f>
        <v>0</v>
      </c>
      <c r="R407" s="9"/>
      <c r="S407" s="9"/>
      <c r="T407" s="9"/>
      <c r="U407" s="9"/>
      <c r="V407" s="9"/>
      <c r="W407" s="9"/>
      <c r="X407" s="9"/>
      <c r="Y407" s="9"/>
      <c r="Z407" s="9"/>
      <c r="AA407" s="9"/>
      <c r="AB407" s="198"/>
      <c r="AC407" s="198"/>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198"/>
      <c r="BD407" s="198"/>
      <c r="BE407" s="198"/>
      <c r="BF407" s="198"/>
      <c r="BG407" s="198"/>
      <c r="BH407" s="198"/>
      <c r="BI407" s="198"/>
      <c r="BJ407" s="198"/>
      <c r="BK407" s="198"/>
      <c r="BL407" s="198"/>
    </row>
    <row r="408" spans="1:64" hidden="1" outlineLevel="1">
      <c r="A408" s="9"/>
      <c r="B408" s="9"/>
      <c r="C408" s="9"/>
      <c r="D408" s="127" t="str">
        <f>Asset14</f>
        <v>Easements</v>
      </c>
      <c r="E408" s="9"/>
      <c r="F408" s="9"/>
      <c r="G408" s="9"/>
      <c r="H408" s="9"/>
      <c r="I408" s="9"/>
      <c r="J408" s="9"/>
      <c r="K408" s="9"/>
      <c r="L408" s="111">
        <f>IF(L$234&gt;0, IF(M$234=0,'Adjustment for previous period'!$G391, 0), 0)</f>
        <v>0</v>
      </c>
      <c r="M408" s="111">
        <f>IF(M$234&gt;0, IF(N$234=0,'Adjustment for previous period'!$G391, 0), 0)</f>
        <v>0</v>
      </c>
      <c r="N408" s="111">
        <f>IF(N$234&gt;0, IF(O$234=0,'Adjustment for previous period'!$G391, 0), 0)</f>
        <v>0</v>
      </c>
      <c r="O408" s="111">
        <f>IF(O$234&gt;0, IF(P$234=0,'Adjustment for previous period'!$G391, 0), 0)</f>
        <v>0</v>
      </c>
      <c r="P408" s="111">
        <f>IF(P$234&gt;0, IF(Q$234=0,'Adjustment for previous period'!$G391, 0), 0)</f>
        <v>0</v>
      </c>
      <c r="Q408" s="111">
        <f>IF(Q$234&gt;0, IF(R$234=0,'Adjustment for previous period'!$G391, 0), 0)</f>
        <v>0</v>
      </c>
      <c r="R408" s="9"/>
      <c r="S408" s="9"/>
      <c r="T408" s="9"/>
      <c r="U408" s="9"/>
      <c r="V408" s="9"/>
      <c r="W408" s="9"/>
      <c r="X408" s="9"/>
      <c r="Y408" s="9"/>
      <c r="Z408" s="9"/>
      <c r="AA408" s="9"/>
      <c r="AB408" s="198"/>
      <c r="AC408" s="198"/>
      <c r="AD408" s="198"/>
      <c r="AE408" s="198"/>
      <c r="AF408" s="198"/>
      <c r="AG408" s="198"/>
      <c r="AH408" s="198"/>
      <c r="AI408" s="198"/>
      <c r="AJ408" s="198"/>
      <c r="AK408" s="198"/>
      <c r="AL408" s="198"/>
      <c r="AM408" s="198"/>
      <c r="AN408" s="198"/>
      <c r="AO408" s="198"/>
      <c r="AP408" s="198"/>
      <c r="AQ408" s="198"/>
      <c r="AR408" s="198"/>
      <c r="AS408" s="198"/>
      <c r="AT408" s="198"/>
      <c r="AU408" s="198"/>
      <c r="AV408" s="198"/>
      <c r="AW408" s="198"/>
      <c r="AX408" s="198"/>
      <c r="AY408" s="198"/>
      <c r="AZ408" s="198"/>
      <c r="BA408" s="198"/>
      <c r="BB408" s="198"/>
      <c r="BC408" s="198"/>
      <c r="BD408" s="198"/>
      <c r="BE408" s="198"/>
      <c r="BF408" s="198"/>
      <c r="BG408" s="198"/>
      <c r="BH408" s="198"/>
      <c r="BI408" s="198"/>
      <c r="BJ408" s="198"/>
      <c r="BK408" s="198"/>
      <c r="BL408" s="198"/>
    </row>
    <row r="409" spans="1:64" hidden="1" outlineLevel="1">
      <c r="A409" s="9"/>
      <c r="B409" s="9"/>
      <c r="C409" s="9"/>
      <c r="D409" s="127">
        <f>Asset15</f>
        <v>0</v>
      </c>
      <c r="E409" s="9"/>
      <c r="F409" s="9"/>
      <c r="G409" s="9"/>
      <c r="H409" s="9"/>
      <c r="I409" s="9"/>
      <c r="J409" s="9"/>
      <c r="K409" s="9"/>
      <c r="L409" s="111">
        <f>IF(L$234&gt;0, IF(M$234=0,'Adjustment for previous period'!$G392, 0), 0)</f>
        <v>0</v>
      </c>
      <c r="M409" s="111">
        <f>IF(M$234&gt;0, IF(N$234=0,'Adjustment for previous period'!$G392, 0), 0)</f>
        <v>0</v>
      </c>
      <c r="N409" s="111">
        <f>IF(N$234&gt;0, IF(O$234=0,'Adjustment for previous period'!$G392, 0), 0)</f>
        <v>0</v>
      </c>
      <c r="O409" s="111">
        <f>IF(O$234&gt;0, IF(P$234=0,'Adjustment for previous period'!$G392, 0), 0)</f>
        <v>0</v>
      </c>
      <c r="P409" s="111">
        <f>IF(P$234&gt;0, IF(Q$234=0,'Adjustment for previous period'!$G392, 0), 0)</f>
        <v>0</v>
      </c>
      <c r="Q409" s="111">
        <f>IF(Q$234&gt;0, IF(R$234=0,'Adjustment for previous period'!$G392, 0), 0)</f>
        <v>0</v>
      </c>
      <c r="R409" s="9"/>
      <c r="S409" s="9"/>
      <c r="T409" s="9"/>
      <c r="U409" s="9"/>
      <c r="V409" s="9"/>
      <c r="W409" s="9"/>
      <c r="X409" s="9"/>
      <c r="Y409" s="9"/>
      <c r="Z409" s="9"/>
      <c r="AA409" s="9"/>
      <c r="AB409" s="198"/>
      <c r="AC409" s="198"/>
      <c r="AD409" s="198"/>
      <c r="AE409" s="198"/>
      <c r="AF409" s="198"/>
      <c r="AG409" s="198"/>
      <c r="AH409" s="198"/>
      <c r="AI409" s="198"/>
      <c r="AJ409" s="198"/>
      <c r="AK409" s="198"/>
      <c r="AL409" s="198"/>
      <c r="AM409" s="198"/>
      <c r="AN409" s="198"/>
      <c r="AO409" s="198"/>
      <c r="AP409" s="198"/>
      <c r="AQ409" s="198"/>
      <c r="AR409" s="198"/>
      <c r="AS409" s="198"/>
      <c r="AT409" s="198"/>
      <c r="AU409" s="198"/>
      <c r="AV409" s="198"/>
      <c r="AW409" s="198"/>
      <c r="AX409" s="198"/>
      <c r="AY409" s="198"/>
      <c r="AZ409" s="198"/>
      <c r="BA409" s="198"/>
      <c r="BB409" s="198"/>
      <c r="BC409" s="198"/>
      <c r="BD409" s="198"/>
      <c r="BE409" s="198"/>
      <c r="BF409" s="198"/>
      <c r="BG409" s="198"/>
      <c r="BH409" s="198"/>
      <c r="BI409" s="198"/>
      <c r="BJ409" s="198"/>
      <c r="BK409" s="198"/>
      <c r="BL409" s="198"/>
    </row>
    <row r="410" spans="1:64" hidden="1" outlineLevel="1">
      <c r="A410" s="9"/>
      <c r="B410" s="9"/>
      <c r="C410" s="9"/>
      <c r="D410" s="127">
        <f>Asset16</f>
        <v>0</v>
      </c>
      <c r="E410" s="9"/>
      <c r="F410" s="9"/>
      <c r="G410" s="9"/>
      <c r="H410" s="9"/>
      <c r="I410" s="9"/>
      <c r="J410" s="9"/>
      <c r="K410" s="9"/>
      <c r="L410" s="111">
        <f>IF(L$234&gt;0, IF(M$234=0,'Adjustment for previous period'!$G393, 0), 0)</f>
        <v>0</v>
      </c>
      <c r="M410" s="111">
        <f>IF(M$234&gt;0, IF(N$234=0,'Adjustment for previous period'!$G393, 0), 0)</f>
        <v>0</v>
      </c>
      <c r="N410" s="111">
        <f>IF(N$234&gt;0, IF(O$234=0,'Adjustment for previous period'!$G393, 0), 0)</f>
        <v>0</v>
      </c>
      <c r="O410" s="111">
        <f>IF(O$234&gt;0, IF(P$234=0,'Adjustment for previous period'!$G393, 0), 0)</f>
        <v>0</v>
      </c>
      <c r="P410" s="111">
        <f>IF(P$234&gt;0, IF(Q$234=0,'Adjustment for previous period'!$G393, 0), 0)</f>
        <v>0</v>
      </c>
      <c r="Q410" s="111">
        <f>IF(Q$234&gt;0, IF(R$234=0,'Adjustment for previous period'!$G393, 0), 0)</f>
        <v>0</v>
      </c>
      <c r="R410" s="9"/>
      <c r="S410" s="9"/>
      <c r="T410" s="9"/>
      <c r="U410" s="9"/>
      <c r="V410" s="9"/>
      <c r="W410" s="9"/>
      <c r="X410" s="9"/>
      <c r="Y410" s="9"/>
      <c r="Z410" s="9"/>
      <c r="AA410" s="9"/>
      <c r="AB410" s="198"/>
      <c r="AC410" s="198"/>
      <c r="AD410" s="198"/>
      <c r="AE410" s="198"/>
      <c r="AF410" s="198"/>
      <c r="AG410" s="198"/>
      <c r="AH410" s="198"/>
      <c r="AI410" s="198"/>
      <c r="AJ410" s="198"/>
      <c r="AK410" s="198"/>
      <c r="AL410" s="198"/>
      <c r="AM410" s="198"/>
      <c r="AN410" s="198"/>
      <c r="AO410" s="198"/>
      <c r="AP410" s="198"/>
      <c r="AQ410" s="198"/>
      <c r="AR410" s="198"/>
      <c r="AS410" s="198"/>
      <c r="AT410" s="198"/>
      <c r="AU410" s="198"/>
      <c r="AV410" s="198"/>
      <c r="AW410" s="198"/>
      <c r="AX410" s="198"/>
      <c r="AY410" s="198"/>
      <c r="AZ410" s="198"/>
      <c r="BA410" s="198"/>
      <c r="BB410" s="198"/>
      <c r="BC410" s="198"/>
      <c r="BD410" s="198"/>
      <c r="BE410" s="198"/>
      <c r="BF410" s="198"/>
      <c r="BG410" s="198"/>
      <c r="BH410" s="198"/>
      <c r="BI410" s="198"/>
      <c r="BJ410" s="198"/>
      <c r="BK410" s="198"/>
      <c r="BL410" s="198"/>
    </row>
    <row r="411" spans="1:64" hidden="1" outlineLevel="1">
      <c r="A411" s="9"/>
      <c r="B411" s="9"/>
      <c r="C411" s="9"/>
      <c r="D411" s="127">
        <f>Asset17</f>
        <v>0</v>
      </c>
      <c r="E411" s="9"/>
      <c r="F411" s="9"/>
      <c r="G411" s="9"/>
      <c r="H411" s="9"/>
      <c r="I411" s="9"/>
      <c r="J411" s="9"/>
      <c r="K411" s="9"/>
      <c r="L411" s="111">
        <f>IF(L$234&gt;0, IF(M$234=0,'Adjustment for previous period'!$G394, 0), 0)</f>
        <v>0</v>
      </c>
      <c r="M411" s="111">
        <f>IF(M$234&gt;0, IF(N$234=0,'Adjustment for previous period'!$G394, 0), 0)</f>
        <v>0</v>
      </c>
      <c r="N411" s="111">
        <f>IF(N$234&gt;0, IF(O$234=0,'Adjustment for previous period'!$G394, 0), 0)</f>
        <v>0</v>
      </c>
      <c r="O411" s="111">
        <f>IF(O$234&gt;0, IF(P$234=0,'Adjustment for previous period'!$G394, 0), 0)</f>
        <v>0</v>
      </c>
      <c r="P411" s="111">
        <f>IF(P$234&gt;0, IF(Q$234=0,'Adjustment for previous period'!$G394, 0), 0)</f>
        <v>0</v>
      </c>
      <c r="Q411" s="111">
        <f>IF(Q$234&gt;0, IF(R$234=0,'Adjustment for previous period'!$G394, 0), 0)</f>
        <v>0</v>
      </c>
      <c r="R411" s="9"/>
      <c r="S411" s="9"/>
      <c r="T411" s="9"/>
      <c r="U411" s="9"/>
      <c r="V411" s="9"/>
      <c r="W411" s="9"/>
      <c r="X411" s="9"/>
      <c r="Y411" s="9"/>
      <c r="Z411" s="9"/>
      <c r="AA411" s="9"/>
      <c r="AB411" s="198"/>
      <c r="AC411" s="198"/>
      <c r="AD411" s="198"/>
      <c r="AE411" s="198"/>
      <c r="AF411" s="198"/>
      <c r="AG411" s="198"/>
      <c r="AH411" s="198"/>
      <c r="AI411" s="198"/>
      <c r="AJ411" s="198"/>
      <c r="AK411" s="198"/>
      <c r="AL411" s="198"/>
      <c r="AM411" s="198"/>
      <c r="AN411" s="198"/>
      <c r="AO411" s="198"/>
      <c r="AP411" s="198"/>
      <c r="AQ411" s="198"/>
      <c r="AR411" s="198"/>
      <c r="AS411" s="198"/>
      <c r="AT411" s="198"/>
      <c r="AU411" s="198"/>
      <c r="AV411" s="198"/>
      <c r="AW411" s="198"/>
      <c r="AX411" s="198"/>
      <c r="AY411" s="198"/>
      <c r="AZ411" s="198"/>
      <c r="BA411" s="198"/>
      <c r="BB411" s="198"/>
      <c r="BC411" s="198"/>
      <c r="BD411" s="198"/>
      <c r="BE411" s="198"/>
      <c r="BF411" s="198"/>
      <c r="BG411" s="198"/>
      <c r="BH411" s="198"/>
      <c r="BI411" s="198"/>
      <c r="BJ411" s="198"/>
      <c r="BK411" s="198"/>
      <c r="BL411" s="198"/>
    </row>
    <row r="412" spans="1:64" hidden="1" outlineLevel="1">
      <c r="A412" s="9"/>
      <c r="B412" s="9"/>
      <c r="C412" s="9"/>
      <c r="D412" s="127">
        <f>Asset18</f>
        <v>0</v>
      </c>
      <c r="E412" s="9"/>
      <c r="F412" s="9"/>
      <c r="G412" s="9"/>
      <c r="H412" s="9"/>
      <c r="I412" s="9"/>
      <c r="J412" s="9"/>
      <c r="K412" s="9"/>
      <c r="L412" s="111">
        <f>IF(L$234&gt;0, IF(M$234=0,'Adjustment for previous period'!$G395, 0), 0)</f>
        <v>0</v>
      </c>
      <c r="M412" s="111">
        <f>IF(M$234&gt;0, IF(N$234=0,'Adjustment for previous period'!$G395, 0), 0)</f>
        <v>0</v>
      </c>
      <c r="N412" s="111">
        <f>IF(N$234&gt;0, IF(O$234=0,'Adjustment for previous period'!$G395, 0), 0)</f>
        <v>0</v>
      </c>
      <c r="O412" s="111">
        <f>IF(O$234&gt;0, IF(P$234=0,'Adjustment for previous period'!$G395, 0), 0)</f>
        <v>0</v>
      </c>
      <c r="P412" s="111">
        <f>IF(P$234&gt;0, IF(Q$234=0,'Adjustment for previous period'!$G395, 0), 0)</f>
        <v>0</v>
      </c>
      <c r="Q412" s="111">
        <f>IF(Q$234&gt;0, IF(R$234=0,'Adjustment for previous period'!$G395, 0), 0)</f>
        <v>0</v>
      </c>
      <c r="R412" s="9"/>
      <c r="S412" s="9"/>
      <c r="T412" s="9"/>
      <c r="U412" s="9"/>
      <c r="V412" s="9"/>
      <c r="W412" s="9"/>
      <c r="X412" s="9"/>
      <c r="Y412" s="9"/>
      <c r="Z412" s="9"/>
      <c r="AA412" s="9"/>
      <c r="AB412" s="198"/>
      <c r="AC412" s="198"/>
      <c r="AD412" s="198"/>
      <c r="AE412" s="198"/>
      <c r="AF412" s="198"/>
      <c r="AG412" s="198"/>
      <c r="AH412" s="198"/>
      <c r="AI412" s="198"/>
      <c r="AJ412" s="198"/>
      <c r="AK412" s="198"/>
      <c r="AL412" s="198"/>
      <c r="AM412" s="198"/>
      <c r="AN412" s="198"/>
      <c r="AO412" s="198"/>
      <c r="AP412" s="198"/>
      <c r="AQ412" s="198"/>
      <c r="AR412" s="198"/>
      <c r="AS412" s="198"/>
      <c r="AT412" s="198"/>
      <c r="AU412" s="198"/>
      <c r="AV412" s="198"/>
      <c r="AW412" s="198"/>
      <c r="AX412" s="198"/>
      <c r="AY412" s="198"/>
      <c r="AZ412" s="198"/>
      <c r="BA412" s="198"/>
      <c r="BB412" s="198"/>
      <c r="BC412" s="198"/>
      <c r="BD412" s="198"/>
      <c r="BE412" s="198"/>
      <c r="BF412" s="198"/>
      <c r="BG412" s="198"/>
      <c r="BH412" s="198"/>
      <c r="BI412" s="198"/>
      <c r="BJ412" s="198"/>
      <c r="BK412" s="198"/>
      <c r="BL412" s="198"/>
    </row>
    <row r="413" spans="1:64" hidden="1" outlineLevel="1">
      <c r="A413" s="9"/>
      <c r="B413" s="9"/>
      <c r="C413" s="9"/>
      <c r="D413" s="127">
        <f>Asset19</f>
        <v>0</v>
      </c>
      <c r="E413" s="9"/>
      <c r="F413" s="9"/>
      <c r="G413" s="9"/>
      <c r="H413" s="9"/>
      <c r="I413" s="9"/>
      <c r="J413" s="9"/>
      <c r="K413" s="9"/>
      <c r="L413" s="111">
        <f>IF(L$234&gt;0, IF(M$234=0,'Adjustment for previous period'!$G396, 0), 0)</f>
        <v>0</v>
      </c>
      <c r="M413" s="111">
        <f>IF(M$234&gt;0, IF(N$234=0,'Adjustment for previous period'!$G396, 0), 0)</f>
        <v>0</v>
      </c>
      <c r="N413" s="111">
        <f>IF(N$234&gt;0, IF(O$234=0,'Adjustment for previous period'!$G396, 0), 0)</f>
        <v>0</v>
      </c>
      <c r="O413" s="111">
        <f>IF(O$234&gt;0, IF(P$234=0,'Adjustment for previous period'!$G396, 0), 0)</f>
        <v>0</v>
      </c>
      <c r="P413" s="111">
        <f>IF(P$234&gt;0, IF(Q$234=0,'Adjustment for previous period'!$G396, 0), 0)</f>
        <v>0</v>
      </c>
      <c r="Q413" s="111">
        <f>IF(Q$234&gt;0, IF(R$234=0,'Adjustment for previous period'!$G396, 0), 0)</f>
        <v>0</v>
      </c>
      <c r="R413" s="9"/>
      <c r="S413" s="9"/>
      <c r="T413" s="9"/>
      <c r="U413" s="9"/>
      <c r="V413" s="9"/>
      <c r="W413" s="9"/>
      <c r="X413" s="9"/>
      <c r="Y413" s="9"/>
      <c r="Z413" s="9"/>
      <c r="AA413" s="9"/>
      <c r="AB413" s="198"/>
      <c r="AC413" s="198"/>
      <c r="AD413" s="198"/>
      <c r="AE413" s="198"/>
      <c r="AF413" s="198"/>
      <c r="AG413" s="198"/>
      <c r="AH413" s="198"/>
      <c r="AI413" s="198"/>
      <c r="AJ413" s="198"/>
      <c r="AK413" s="198"/>
      <c r="AL413" s="198"/>
      <c r="AM413" s="198"/>
      <c r="AN413" s="198"/>
      <c r="AO413" s="198"/>
      <c r="AP413" s="198"/>
      <c r="AQ413" s="198"/>
      <c r="AR413" s="198"/>
      <c r="AS413" s="198"/>
      <c r="AT413" s="198"/>
      <c r="AU413" s="198"/>
      <c r="AV413" s="198"/>
      <c r="AW413" s="198"/>
      <c r="AX413" s="198"/>
      <c r="AY413" s="198"/>
      <c r="AZ413" s="198"/>
      <c r="BA413" s="198"/>
      <c r="BB413" s="198"/>
      <c r="BC413" s="198"/>
      <c r="BD413" s="198"/>
      <c r="BE413" s="198"/>
      <c r="BF413" s="198"/>
      <c r="BG413" s="198"/>
      <c r="BH413" s="198"/>
      <c r="BI413" s="198"/>
      <c r="BJ413" s="198"/>
      <c r="BK413" s="198"/>
      <c r="BL413" s="198"/>
    </row>
    <row r="414" spans="1:64" hidden="1" outlineLevel="1">
      <c r="A414" s="9"/>
      <c r="B414" s="9"/>
      <c r="C414" s="9"/>
      <c r="D414" s="127">
        <f>Asset20</f>
        <v>0</v>
      </c>
      <c r="E414" s="9"/>
      <c r="F414" s="9"/>
      <c r="G414" s="9"/>
      <c r="H414" s="9"/>
      <c r="I414" s="9"/>
      <c r="J414" s="9"/>
      <c r="K414" s="9"/>
      <c r="L414" s="111">
        <f>IF(L$234&gt;0, IF(M$234=0,'Adjustment for previous period'!$G397, 0), 0)</f>
        <v>0</v>
      </c>
      <c r="M414" s="111">
        <f>IF(M$234&gt;0, IF(N$234=0,'Adjustment for previous period'!$G397, 0), 0)</f>
        <v>0</v>
      </c>
      <c r="N414" s="111">
        <f>IF(N$234&gt;0, IF(O$234=0,'Adjustment for previous period'!$G397, 0), 0)</f>
        <v>0</v>
      </c>
      <c r="O414" s="111">
        <f>IF(O$234&gt;0, IF(P$234=0,'Adjustment for previous period'!$G397, 0), 0)</f>
        <v>0</v>
      </c>
      <c r="P414" s="111">
        <f>IF(P$234&gt;0, IF(Q$234=0,'Adjustment for previous period'!$G397, 0), 0)</f>
        <v>0</v>
      </c>
      <c r="Q414" s="111">
        <f>IF(Q$234&gt;0, IF(R$234=0,'Adjustment for previous period'!$G397, 0), 0)</f>
        <v>0</v>
      </c>
      <c r="R414" s="9"/>
      <c r="S414" s="9"/>
      <c r="T414" s="9"/>
      <c r="U414" s="9"/>
      <c r="V414" s="9"/>
      <c r="W414" s="9"/>
      <c r="X414" s="9"/>
      <c r="Y414" s="9"/>
      <c r="Z414" s="9"/>
      <c r="AA414" s="9"/>
      <c r="AB414" s="198"/>
      <c r="AC414" s="198"/>
      <c r="AD414" s="198"/>
      <c r="AE414" s="198"/>
      <c r="AF414" s="198"/>
      <c r="AG414" s="198"/>
      <c r="AH414" s="198"/>
      <c r="AI414" s="198"/>
      <c r="AJ414" s="198"/>
      <c r="AK414" s="198"/>
      <c r="AL414" s="198"/>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row>
    <row r="415" spans="1:64" collapsed="1">
      <c r="A415" s="9"/>
      <c r="B415" s="9"/>
      <c r="C415" s="9"/>
      <c r="D415" s="9"/>
      <c r="E415" s="9"/>
      <c r="F415" s="9"/>
      <c r="G415" s="9"/>
      <c r="H415" s="9"/>
      <c r="I415" s="9"/>
      <c r="J415" s="9"/>
      <c r="K415" s="9"/>
      <c r="L415" s="9"/>
      <c r="M415" s="9"/>
      <c r="N415" s="12"/>
      <c r="O415" s="9"/>
      <c r="P415" s="9"/>
      <c r="Q415" s="9"/>
      <c r="R415" s="9"/>
      <c r="S415" s="9"/>
      <c r="T415" s="9"/>
      <c r="U415" s="9"/>
      <c r="V415" s="9"/>
      <c r="W415" s="9"/>
      <c r="X415" s="9"/>
      <c r="Y415" s="9"/>
      <c r="Z415" s="9"/>
      <c r="AA415" s="9"/>
      <c r="AB415" s="198"/>
      <c r="AC415" s="198"/>
      <c r="AD415" s="198"/>
      <c r="AE415" s="198"/>
      <c r="AF415" s="198"/>
      <c r="AG415" s="198"/>
      <c r="AH415" s="198"/>
      <c r="AI415" s="198"/>
      <c r="AJ415" s="198"/>
      <c r="AK415" s="198"/>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row>
    <row r="416" spans="1:64">
      <c r="A416" s="9"/>
      <c r="B416" s="9"/>
      <c r="C416" s="346" t="s">
        <v>162</v>
      </c>
      <c r="D416" s="334"/>
      <c r="E416" s="9"/>
      <c r="F416" s="9"/>
      <c r="G416" s="9"/>
      <c r="H416" s="9"/>
      <c r="I416" s="9"/>
      <c r="J416" s="9"/>
      <c r="K416" s="9"/>
      <c r="L416" s="344">
        <f t="shared" ref="L416:Q416" si="19">SUM(L417:L436)</f>
        <v>0</v>
      </c>
      <c r="M416" s="342">
        <f>SUM(M417:M436)</f>
        <v>0.50666154203964797</v>
      </c>
      <c r="N416" s="35">
        <f t="shared" si="19"/>
        <v>0</v>
      </c>
      <c r="O416" s="35">
        <f t="shared" si="19"/>
        <v>0</v>
      </c>
      <c r="P416" s="35">
        <f t="shared" si="19"/>
        <v>0</v>
      </c>
      <c r="Q416" s="35">
        <f t="shared" si="19"/>
        <v>0</v>
      </c>
      <c r="R416" s="9"/>
      <c r="S416" s="9"/>
      <c r="T416" s="9"/>
      <c r="U416" s="9"/>
      <c r="V416" s="9"/>
      <c r="W416" s="9"/>
      <c r="X416" s="9"/>
      <c r="Y416" s="9"/>
      <c r="Z416" s="9"/>
      <c r="AA416" s="9"/>
      <c r="AB416" s="198"/>
      <c r="AC416" s="198"/>
      <c r="AD416" s="198"/>
      <c r="AE416" s="198"/>
      <c r="AF416" s="198"/>
      <c r="AG416" s="198"/>
      <c r="AH416" s="198"/>
      <c r="AI416" s="198"/>
      <c r="AJ416" s="198"/>
      <c r="AK416" s="198"/>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row>
    <row r="417" spans="1:64" hidden="1" outlineLevel="1">
      <c r="A417" s="9"/>
      <c r="B417" s="9"/>
      <c r="C417" s="9"/>
      <c r="D417" s="127" t="str">
        <f>Asset1</f>
        <v>Secondary</v>
      </c>
      <c r="E417" s="9"/>
      <c r="F417" s="9"/>
      <c r="G417" s="9"/>
      <c r="H417" s="9"/>
      <c r="I417" s="9"/>
      <c r="J417" s="9"/>
      <c r="K417" s="9"/>
      <c r="L417" s="343">
        <f>IF(M$234=0,'Adjustment for previous period'!L401, 0)</f>
        <v>0</v>
      </c>
      <c r="M417" s="343">
        <f>IF(M$234&gt;0, IF(N$234=0,'Adjustment for previous period'!M401, 0), 0)</f>
        <v>6.3045468983551317E-2</v>
      </c>
      <c r="N417" s="343">
        <f>IF(O$234=0,'Adjustment for previous period'!N401, 0)</f>
        <v>0</v>
      </c>
      <c r="O417" s="343">
        <f>IF(P$234=0,'Adjustment for previous period'!O401, 0)</f>
        <v>0</v>
      </c>
      <c r="P417" s="343">
        <f>IF(Q$234=0,'Adjustment for previous period'!P401, 0)</f>
        <v>0</v>
      </c>
      <c r="Q417" s="343">
        <f>IF(R$234=0,'Adjustment for previous period'!Q401, 0)</f>
        <v>0</v>
      </c>
      <c r="R417" s="9"/>
      <c r="S417" s="9"/>
      <c r="T417" s="9"/>
      <c r="U417" s="9"/>
      <c r="V417" s="9"/>
      <c r="W417" s="9"/>
      <c r="X417" s="9"/>
      <c r="Y417" s="9"/>
      <c r="Z417" s="9"/>
      <c r="AA417" s="9"/>
      <c r="AB417" s="198"/>
      <c r="AC417" s="198"/>
      <c r="AD417" s="198"/>
      <c r="AE417" s="198"/>
      <c r="AF417" s="198"/>
      <c r="AG417" s="198"/>
      <c r="AH417" s="198"/>
      <c r="AI417" s="198"/>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row>
    <row r="418" spans="1:64" hidden="1" outlineLevel="1">
      <c r="A418" s="9"/>
      <c r="B418" s="9"/>
      <c r="C418" s="9"/>
      <c r="D418" s="127" t="str">
        <f>Asset2</f>
        <v>Switchgear</v>
      </c>
      <c r="E418" s="9"/>
      <c r="F418" s="9"/>
      <c r="G418" s="9"/>
      <c r="H418" s="9"/>
      <c r="I418" s="9"/>
      <c r="J418" s="9"/>
      <c r="K418" s="9"/>
      <c r="L418" s="111">
        <f>IF(M$234=0,'Adjustment for previous period'!L403, 0)</f>
        <v>0</v>
      </c>
      <c r="M418" s="343">
        <f>IF(M$234&gt;0, IF(N$234=0,'Adjustment for previous period'!M403, 0), 0)</f>
        <v>0.27962167153171219</v>
      </c>
      <c r="N418" s="111">
        <f>IF(O$234=0,'Adjustment for previous period'!N403, 0)</f>
        <v>0</v>
      </c>
      <c r="O418" s="111">
        <f>IF(P$234=0,'Adjustment for previous period'!O403, 0)</f>
        <v>0</v>
      </c>
      <c r="P418" s="111">
        <f>IF(Q$234=0,'Adjustment for previous period'!P403, 0)</f>
        <v>0</v>
      </c>
      <c r="Q418" s="111">
        <f>IF(R$234=0,'Adjustment for previous period'!Q403, 0)</f>
        <v>0</v>
      </c>
      <c r="R418" s="9"/>
      <c r="S418" s="9"/>
      <c r="T418" s="9"/>
      <c r="U418" s="9"/>
      <c r="V418" s="9"/>
      <c r="W418" s="9"/>
      <c r="X418" s="9"/>
      <c r="Y418" s="9"/>
      <c r="Z418" s="9"/>
      <c r="AA418" s="9"/>
      <c r="AB418" s="198"/>
      <c r="AC418" s="198"/>
      <c r="AD418" s="198"/>
      <c r="AE418" s="198"/>
      <c r="AF418" s="198"/>
      <c r="AG418" s="198"/>
      <c r="AH418" s="198"/>
      <c r="AI418" s="198"/>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row>
    <row r="419" spans="1:64" hidden="1" outlineLevel="1">
      <c r="A419" s="9"/>
      <c r="B419" s="9"/>
      <c r="C419" s="9"/>
      <c r="D419" s="127" t="str">
        <f>Asset3</f>
        <v>Transformers</v>
      </c>
      <c r="E419" s="9"/>
      <c r="F419" s="9"/>
      <c r="G419" s="9"/>
      <c r="H419" s="9"/>
      <c r="I419" s="9"/>
      <c r="J419" s="9"/>
      <c r="K419" s="9"/>
      <c r="L419" s="111">
        <f>IF(M$234=0,'Adjustment for previous period'!L405, 0)</f>
        <v>0</v>
      </c>
      <c r="M419" s="343">
        <f>IF(M$234&gt;0, IF(N$234=0,'Adjustment for previous period'!M405, 0), 0)</f>
        <v>5.5092572437079872E-2</v>
      </c>
      <c r="N419" s="111">
        <f>IF(O$234=0,'Adjustment for previous period'!N405, 0)</f>
        <v>0</v>
      </c>
      <c r="O419" s="111">
        <f>IF(P$234=0,'Adjustment for previous period'!O405, 0)</f>
        <v>0</v>
      </c>
      <c r="P419" s="111">
        <f>IF(Q$234=0,'Adjustment for previous period'!P405, 0)</f>
        <v>0</v>
      </c>
      <c r="Q419" s="111">
        <f>IF(R$234=0,'Adjustment for previous period'!Q405, 0)</f>
        <v>0</v>
      </c>
      <c r="R419" s="9"/>
      <c r="S419" s="9"/>
      <c r="T419" s="9"/>
      <c r="U419" s="9"/>
      <c r="V419" s="9"/>
      <c r="W419" s="9"/>
      <c r="X419" s="9"/>
      <c r="Y419" s="9"/>
      <c r="Z419" s="9"/>
      <c r="AA419" s="9"/>
      <c r="AB419" s="198"/>
      <c r="AC419" s="198"/>
      <c r="AD419" s="198"/>
      <c r="AE419" s="198"/>
      <c r="AF419" s="198"/>
      <c r="AG419" s="198"/>
      <c r="AH419" s="198"/>
      <c r="AI419" s="198"/>
      <c r="AJ419" s="198"/>
      <c r="AK419" s="198"/>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row>
    <row r="420" spans="1:64" hidden="1" outlineLevel="1">
      <c r="A420" s="9"/>
      <c r="B420" s="9"/>
      <c r="C420" s="9"/>
      <c r="D420" s="127" t="str">
        <f>Asset4</f>
        <v>Reactive</v>
      </c>
      <c r="E420" s="9"/>
      <c r="F420" s="9"/>
      <c r="G420" s="9"/>
      <c r="H420" s="9"/>
      <c r="I420" s="9"/>
      <c r="J420" s="9"/>
      <c r="K420" s="9"/>
      <c r="L420" s="111">
        <f>IF(M$234=0,'Adjustment for previous period'!L407, 0)</f>
        <v>0</v>
      </c>
      <c r="M420" s="343">
        <f>IF(M$234&gt;0, IF(N$234=0,'Adjustment for previous period'!M407, 0), 0)</f>
        <v>8.4947234537842961E-2</v>
      </c>
      <c r="N420" s="111">
        <f>IF(O$234=0,'Adjustment for previous period'!N407, 0)</f>
        <v>0</v>
      </c>
      <c r="O420" s="111">
        <f>IF(P$234=0,'Adjustment for previous period'!O407, 0)</f>
        <v>0</v>
      </c>
      <c r="P420" s="111">
        <f>IF(Q$234=0,'Adjustment for previous period'!P407, 0)</f>
        <v>0</v>
      </c>
      <c r="Q420" s="111">
        <f>IF(R$234=0,'Adjustment for previous period'!Q407, 0)</f>
        <v>0</v>
      </c>
      <c r="R420" s="9"/>
      <c r="S420" s="9"/>
      <c r="T420" s="9"/>
      <c r="U420" s="9"/>
      <c r="V420" s="9"/>
      <c r="W420" s="9"/>
      <c r="X420" s="9"/>
      <c r="Y420" s="9"/>
      <c r="Z420" s="9"/>
      <c r="AA420" s="9"/>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row>
    <row r="421" spans="1:64" hidden="1" outlineLevel="1">
      <c r="A421" s="9"/>
      <c r="B421" s="9"/>
      <c r="C421" s="9"/>
      <c r="D421" s="127" t="str">
        <f>Asset5</f>
        <v>Towers and Conductor</v>
      </c>
      <c r="E421" s="9"/>
      <c r="F421" s="9"/>
      <c r="G421" s="9"/>
      <c r="H421" s="9"/>
      <c r="I421" s="9"/>
      <c r="J421" s="9"/>
      <c r="K421" s="9"/>
      <c r="L421" s="111">
        <f>IF(M$234=0,'Adjustment for previous period'!L409, 0)</f>
        <v>0</v>
      </c>
      <c r="M421" s="343">
        <f>IF(M$234&gt;0, IF(N$234=0,'Adjustment for previous period'!M409, 0), 0)</f>
        <v>3.0915552590470366E-3</v>
      </c>
      <c r="N421" s="111">
        <f>IF(O$234=0,'Adjustment for previous period'!N409, 0)</f>
        <v>0</v>
      </c>
      <c r="O421" s="111">
        <f>IF(P$234=0,'Adjustment for previous period'!O409, 0)</f>
        <v>0</v>
      </c>
      <c r="P421" s="111">
        <f>IF(Q$234=0,'Adjustment for previous period'!P409, 0)</f>
        <v>0</v>
      </c>
      <c r="Q421" s="111">
        <f>IF(R$234=0,'Adjustment for previous period'!Q409, 0)</f>
        <v>0</v>
      </c>
      <c r="R421" s="9"/>
      <c r="S421" s="9"/>
      <c r="T421" s="9"/>
      <c r="U421" s="9"/>
      <c r="V421" s="9"/>
      <c r="W421" s="9"/>
      <c r="X421" s="9"/>
      <c r="Y421" s="9"/>
      <c r="Z421" s="9"/>
      <c r="AA421" s="9"/>
      <c r="AB421" s="198"/>
      <c r="AC421" s="198"/>
      <c r="AD421" s="198"/>
      <c r="AE421" s="198"/>
      <c r="AF421" s="198"/>
      <c r="AG421" s="198"/>
      <c r="AH421" s="198"/>
      <c r="AI421" s="198"/>
      <c r="AJ421" s="198"/>
      <c r="AK421" s="198"/>
      <c r="AL421" s="198"/>
      <c r="AM421" s="198"/>
      <c r="AN421" s="198"/>
      <c r="AO421" s="198"/>
      <c r="AP421" s="198"/>
      <c r="AQ421" s="198"/>
      <c r="AR421" s="198"/>
      <c r="AS421" s="198"/>
      <c r="AT421" s="198"/>
      <c r="AU421" s="198"/>
      <c r="AV421" s="198"/>
      <c r="AW421" s="198"/>
      <c r="AX421" s="198"/>
      <c r="AY421" s="198"/>
      <c r="AZ421" s="198"/>
      <c r="BA421" s="198"/>
      <c r="BB421" s="198"/>
      <c r="BC421" s="198"/>
      <c r="BD421" s="198"/>
      <c r="BE421" s="198"/>
      <c r="BF421" s="198"/>
      <c r="BG421" s="198"/>
      <c r="BH421" s="198"/>
      <c r="BI421" s="198"/>
      <c r="BJ421" s="198"/>
      <c r="BK421" s="198"/>
      <c r="BL421" s="198"/>
    </row>
    <row r="422" spans="1:64" hidden="1" outlineLevel="1">
      <c r="A422" s="9"/>
      <c r="B422" s="9"/>
      <c r="C422" s="9"/>
      <c r="D422" s="127" t="str">
        <f>Asset6</f>
        <v>Establishment</v>
      </c>
      <c r="E422" s="9"/>
      <c r="F422" s="9"/>
      <c r="G422" s="9"/>
      <c r="H422" s="9"/>
      <c r="I422" s="9"/>
      <c r="J422" s="9"/>
      <c r="K422" s="9"/>
      <c r="L422" s="111">
        <f>IF(M$234=0,'Adjustment for previous period'!L411, 0)</f>
        <v>0</v>
      </c>
      <c r="M422" s="343">
        <f>IF(M$234&gt;0, IF(N$234=0,'Adjustment for previous period'!M411, 0), 0)</f>
        <v>1.737269227191782E-2</v>
      </c>
      <c r="N422" s="111">
        <f>IF(O$234=0,'Adjustment for previous period'!N411, 0)</f>
        <v>0</v>
      </c>
      <c r="O422" s="111">
        <f>IF(P$234=0,'Adjustment for previous period'!O411, 0)</f>
        <v>0</v>
      </c>
      <c r="P422" s="111">
        <f>IF(Q$234=0,'Adjustment for previous period'!P411, 0)</f>
        <v>0</v>
      </c>
      <c r="Q422" s="111">
        <f>IF(R$234=0,'Adjustment for previous period'!Q411, 0)</f>
        <v>0</v>
      </c>
      <c r="R422" s="9"/>
      <c r="S422" s="9"/>
      <c r="T422" s="9"/>
      <c r="U422" s="9"/>
      <c r="V422" s="9"/>
      <c r="W422" s="9"/>
      <c r="X422" s="9"/>
      <c r="Y422" s="9"/>
      <c r="Z422" s="9"/>
      <c r="AA422" s="9"/>
      <c r="AB422" s="198"/>
      <c r="AC422" s="198"/>
      <c r="AD422" s="198"/>
      <c r="AE422" s="198"/>
      <c r="AF422" s="198"/>
      <c r="AG422" s="198"/>
      <c r="AH422" s="198"/>
      <c r="AI422" s="198"/>
      <c r="AJ422" s="198"/>
      <c r="AK422" s="198"/>
      <c r="AL422" s="198"/>
      <c r="AM422" s="198"/>
      <c r="AN422" s="198"/>
      <c r="AO422" s="198"/>
      <c r="AP422" s="198"/>
      <c r="AQ422" s="198"/>
      <c r="AR422" s="198"/>
      <c r="AS422" s="198"/>
      <c r="AT422" s="198"/>
      <c r="AU422" s="198"/>
      <c r="AV422" s="198"/>
      <c r="AW422" s="198"/>
      <c r="AX422" s="198"/>
      <c r="AY422" s="198"/>
      <c r="AZ422" s="198"/>
      <c r="BA422" s="198"/>
      <c r="BB422" s="198"/>
      <c r="BC422" s="198"/>
      <c r="BD422" s="198"/>
      <c r="BE422" s="198"/>
      <c r="BF422" s="198"/>
      <c r="BG422" s="198"/>
      <c r="BH422" s="198"/>
      <c r="BI422" s="198"/>
      <c r="BJ422" s="198"/>
      <c r="BK422" s="198"/>
      <c r="BL422" s="198"/>
    </row>
    <row r="423" spans="1:64" hidden="1" outlineLevel="1">
      <c r="A423" s="9"/>
      <c r="B423" s="9"/>
      <c r="C423" s="9"/>
      <c r="D423" s="127" t="str">
        <f>Asset7</f>
        <v>Communications</v>
      </c>
      <c r="E423" s="9"/>
      <c r="F423" s="9"/>
      <c r="G423" s="9"/>
      <c r="H423" s="9"/>
      <c r="I423" s="9"/>
      <c r="J423" s="9"/>
      <c r="K423" s="9"/>
      <c r="L423" s="111">
        <f>IF(M$234=0,'Adjustment for previous period'!L413, 0)</f>
        <v>0</v>
      </c>
      <c r="M423" s="343">
        <f>IF(M$234&gt;0, IF(N$234=0,'Adjustment for previous period'!M413, 0), 0)</f>
        <v>3.4903470184967705E-3</v>
      </c>
      <c r="N423" s="111">
        <f>IF(O$234=0,'Adjustment for previous period'!N413, 0)</f>
        <v>0</v>
      </c>
      <c r="O423" s="111">
        <f>IF(P$234=0,'Adjustment for previous period'!O413, 0)</f>
        <v>0</v>
      </c>
      <c r="P423" s="111">
        <f>IF(Q$234=0,'Adjustment for previous period'!P413, 0)</f>
        <v>0</v>
      </c>
      <c r="Q423" s="111">
        <f>IF(R$234=0,'Adjustment for previous period'!Q413, 0)</f>
        <v>0</v>
      </c>
      <c r="R423" s="9"/>
      <c r="S423" s="9"/>
      <c r="T423" s="9"/>
      <c r="U423" s="9"/>
      <c r="V423" s="9"/>
      <c r="W423" s="9"/>
      <c r="X423" s="9"/>
      <c r="Y423" s="9"/>
      <c r="Z423" s="9"/>
      <c r="AA423" s="9"/>
      <c r="AB423" s="198"/>
      <c r="AC423" s="198"/>
      <c r="AD423" s="198"/>
      <c r="AE423" s="198"/>
      <c r="AF423" s="198"/>
      <c r="AG423" s="198"/>
      <c r="AH423" s="198"/>
      <c r="AI423" s="198"/>
      <c r="AJ423" s="198"/>
      <c r="AK423" s="198"/>
      <c r="AL423" s="198"/>
      <c r="AM423" s="198"/>
      <c r="AN423" s="198"/>
      <c r="AO423" s="198"/>
      <c r="AP423" s="198"/>
      <c r="AQ423" s="198"/>
      <c r="AR423" s="198"/>
      <c r="AS423" s="198"/>
      <c r="AT423" s="198"/>
      <c r="AU423" s="198"/>
      <c r="AV423" s="198"/>
      <c r="AW423" s="198"/>
      <c r="AX423" s="198"/>
      <c r="AY423" s="198"/>
      <c r="AZ423" s="198"/>
      <c r="BA423" s="198"/>
      <c r="BB423" s="198"/>
      <c r="BC423" s="198"/>
      <c r="BD423" s="198"/>
      <c r="BE423" s="198"/>
      <c r="BF423" s="198"/>
      <c r="BG423" s="198"/>
      <c r="BH423" s="198"/>
      <c r="BI423" s="198"/>
      <c r="BJ423" s="198"/>
      <c r="BK423" s="198"/>
      <c r="BL423" s="198"/>
    </row>
    <row r="424" spans="1:64" hidden="1" outlineLevel="1">
      <c r="A424" s="9"/>
      <c r="B424" s="9"/>
      <c r="C424" s="9"/>
      <c r="D424" s="127" t="str">
        <f>Asset8</f>
        <v>Inventory</v>
      </c>
      <c r="E424" s="9"/>
      <c r="F424" s="9"/>
      <c r="G424" s="9"/>
      <c r="H424" s="9"/>
      <c r="I424" s="9"/>
      <c r="J424" s="9"/>
      <c r="K424" s="9"/>
      <c r="L424" s="111">
        <f>IF(M$234=0,'Adjustment for previous period'!L415, 0)</f>
        <v>0</v>
      </c>
      <c r="M424" s="343">
        <f>IF(M$234&gt;0, IF(N$234=0,'Adjustment for previous period'!M415, 0), 0)</f>
        <v>0</v>
      </c>
      <c r="N424" s="111">
        <f>IF(O$234=0,'Adjustment for previous period'!N415, 0)</f>
        <v>0</v>
      </c>
      <c r="O424" s="111">
        <f>IF(P$234=0,'Adjustment for previous period'!O415, 0)</f>
        <v>0</v>
      </c>
      <c r="P424" s="111">
        <f>IF(Q$234=0,'Adjustment for previous period'!P415, 0)</f>
        <v>0</v>
      </c>
      <c r="Q424" s="111">
        <f>IF(R$234=0,'Adjustment for previous period'!Q415, 0)</f>
        <v>0</v>
      </c>
      <c r="R424" s="9"/>
      <c r="S424" s="9"/>
      <c r="T424" s="9"/>
      <c r="U424" s="9"/>
      <c r="V424" s="9"/>
      <c r="W424" s="9"/>
      <c r="X424" s="9"/>
      <c r="Y424" s="9"/>
      <c r="Z424" s="9"/>
      <c r="AA424" s="9"/>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row>
    <row r="425" spans="1:64" hidden="1" outlineLevel="1">
      <c r="A425" s="9"/>
      <c r="B425" s="9"/>
      <c r="C425" s="9"/>
      <c r="D425" s="127" t="str">
        <f>Asset9</f>
        <v>IT</v>
      </c>
      <c r="E425" s="9"/>
      <c r="F425" s="9"/>
      <c r="G425" s="9"/>
      <c r="H425" s="9"/>
      <c r="I425" s="9"/>
      <c r="J425" s="9"/>
      <c r="K425" s="9"/>
      <c r="L425" s="111">
        <f>IF(M$234=0,'Adjustment for previous period'!L417, 0)</f>
        <v>0</v>
      </c>
      <c r="M425" s="343">
        <f>IF(M$234&gt;0, IF(N$234=0,'Adjustment for previous period'!M417, 0), 0)</f>
        <v>0</v>
      </c>
      <c r="N425" s="111">
        <f>IF(O$234=0,'Adjustment for previous period'!N417, 0)</f>
        <v>0</v>
      </c>
      <c r="O425" s="111">
        <f>IF(P$234=0,'Adjustment for previous period'!O417, 0)</f>
        <v>0</v>
      </c>
      <c r="P425" s="111">
        <f>IF(Q$234=0,'Adjustment for previous period'!P417, 0)</f>
        <v>0</v>
      </c>
      <c r="Q425" s="111">
        <f>IF(R$234=0,'Adjustment for previous period'!Q417, 0)</f>
        <v>0</v>
      </c>
      <c r="R425" s="9"/>
      <c r="S425" s="9"/>
      <c r="T425" s="9"/>
      <c r="U425" s="9"/>
      <c r="V425" s="9"/>
      <c r="W425" s="9"/>
      <c r="X425" s="9"/>
      <c r="Y425" s="9"/>
      <c r="Z425" s="9"/>
      <c r="AA425" s="9"/>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row>
    <row r="426" spans="1:64" hidden="1" outlineLevel="1">
      <c r="A426" s="9"/>
      <c r="B426" s="9"/>
      <c r="C426" s="9"/>
      <c r="D426" s="127" t="str">
        <f>Asset10</f>
        <v>Vehicles</v>
      </c>
      <c r="E426" s="9"/>
      <c r="F426" s="9"/>
      <c r="G426" s="9"/>
      <c r="H426" s="9"/>
      <c r="I426" s="9"/>
      <c r="J426" s="9"/>
      <c r="K426" s="9"/>
      <c r="L426" s="111">
        <f>IF(M$234=0,'Adjustment for previous period'!L419, 0)</f>
        <v>0</v>
      </c>
      <c r="M426" s="343">
        <f>IF(M$234&gt;0, IF(N$234=0,'Adjustment for previous period'!M419, 0), 0)</f>
        <v>0</v>
      </c>
      <c r="N426" s="111">
        <f>IF(O$234=0,'Adjustment for previous period'!N419, 0)</f>
        <v>0</v>
      </c>
      <c r="O426" s="111">
        <f>IF(P$234=0,'Adjustment for previous period'!O419, 0)</f>
        <v>0</v>
      </c>
      <c r="P426" s="111">
        <f>IF(Q$234=0,'Adjustment for previous period'!P419, 0)</f>
        <v>0</v>
      </c>
      <c r="Q426" s="111">
        <f>IF(R$234=0,'Adjustment for previous period'!Q419, 0)</f>
        <v>0</v>
      </c>
      <c r="R426" s="9"/>
      <c r="S426" s="9"/>
      <c r="T426" s="9"/>
      <c r="U426" s="9"/>
      <c r="V426" s="9"/>
      <c r="W426" s="9"/>
      <c r="X426" s="9"/>
      <c r="Y426" s="9"/>
      <c r="Z426" s="9"/>
      <c r="AA426" s="9"/>
      <c r="AB426" s="198"/>
      <c r="AC426" s="198"/>
      <c r="AD426" s="198"/>
      <c r="AE426" s="198"/>
      <c r="AF426" s="198"/>
      <c r="AG426" s="198"/>
      <c r="AH426" s="198"/>
      <c r="AI426" s="198"/>
      <c r="AJ426" s="198"/>
      <c r="AK426" s="198"/>
      <c r="AL426" s="198"/>
      <c r="AM426" s="198"/>
      <c r="AN426" s="198"/>
      <c r="AO426" s="198"/>
      <c r="AP426" s="198"/>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row>
    <row r="427" spans="1:64" hidden="1" outlineLevel="1">
      <c r="A427" s="9"/>
      <c r="B427" s="9"/>
      <c r="C427" s="9"/>
      <c r="D427" s="127" t="str">
        <f>Asset11</f>
        <v>other</v>
      </c>
      <c r="E427" s="9"/>
      <c r="F427" s="9"/>
      <c r="G427" s="9"/>
      <c r="H427" s="9"/>
      <c r="I427" s="9"/>
      <c r="J427" s="9"/>
      <c r="K427" s="9"/>
      <c r="L427" s="111">
        <f>IF(M$234=0,'Adjustment for previous period'!L421, 0)</f>
        <v>0</v>
      </c>
      <c r="M427" s="343">
        <f>IF(M$234&gt;0, IF(N$234=0,'Adjustment for previous period'!M421, 0), 0)</f>
        <v>0</v>
      </c>
      <c r="N427" s="111">
        <f>IF(O$234=0,'Adjustment for previous period'!N421, 0)</f>
        <v>0</v>
      </c>
      <c r="O427" s="111">
        <f>IF(P$234=0,'Adjustment for previous period'!O421, 0)</f>
        <v>0</v>
      </c>
      <c r="P427" s="111">
        <f>IF(Q$234=0,'Adjustment for previous period'!P421, 0)</f>
        <v>0</v>
      </c>
      <c r="Q427" s="111">
        <f>IF(R$234=0,'Adjustment for previous period'!Q421, 0)</f>
        <v>0</v>
      </c>
      <c r="R427" s="9"/>
      <c r="S427" s="9"/>
      <c r="T427" s="9"/>
      <c r="U427" s="9"/>
      <c r="V427" s="9"/>
      <c r="W427" s="9"/>
      <c r="X427" s="9"/>
      <c r="Y427" s="9"/>
      <c r="Z427" s="9"/>
      <c r="AA427" s="9"/>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row>
    <row r="428" spans="1:64" hidden="1" outlineLevel="1">
      <c r="A428" s="9"/>
      <c r="B428" s="9"/>
      <c r="C428" s="9"/>
      <c r="D428" s="127" t="str">
        <f>Asset12</f>
        <v>premises</v>
      </c>
      <c r="E428" s="9"/>
      <c r="F428" s="9"/>
      <c r="G428" s="9"/>
      <c r="H428" s="9"/>
      <c r="I428" s="9"/>
      <c r="J428" s="9"/>
      <c r="K428" s="9"/>
      <c r="L428" s="111">
        <f>IF(M$234=0,'Adjustment for previous period'!L423, 0)</f>
        <v>0</v>
      </c>
      <c r="M428" s="343">
        <f>IF(M$234&gt;0, IF(N$234=0,'Adjustment for previous period'!M423, 0), 0)</f>
        <v>0</v>
      </c>
      <c r="N428" s="111">
        <f>IF(O$234=0,'Adjustment for previous period'!N423, 0)</f>
        <v>0</v>
      </c>
      <c r="O428" s="111">
        <f>IF(P$234=0,'Adjustment for previous period'!O423, 0)</f>
        <v>0</v>
      </c>
      <c r="P428" s="111">
        <f>IF(Q$234=0,'Adjustment for previous period'!P423, 0)</f>
        <v>0</v>
      </c>
      <c r="Q428" s="111">
        <f>IF(R$234=0,'Adjustment for previous period'!Q423, 0)</f>
        <v>0</v>
      </c>
      <c r="R428" s="9"/>
      <c r="S428" s="9"/>
      <c r="T428" s="9"/>
      <c r="U428" s="9"/>
      <c r="V428" s="9"/>
      <c r="W428" s="9"/>
      <c r="X428" s="9"/>
      <c r="Y428" s="9"/>
      <c r="Z428" s="9"/>
      <c r="AA428" s="9"/>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row>
    <row r="429" spans="1:64" hidden="1" outlineLevel="1">
      <c r="A429" s="9"/>
      <c r="B429" s="9"/>
      <c r="C429" s="9"/>
      <c r="D429" s="127" t="str">
        <f>Asset13</f>
        <v>Land</v>
      </c>
      <c r="E429" s="9"/>
      <c r="F429" s="9"/>
      <c r="G429" s="9"/>
      <c r="H429" s="9"/>
      <c r="I429" s="9"/>
      <c r="J429" s="9"/>
      <c r="K429" s="9"/>
      <c r="L429" s="111">
        <f>IF(M$234=0,'Adjustment for previous period'!L425, 0)</f>
        <v>0</v>
      </c>
      <c r="M429" s="343">
        <f>IF(M$234&gt;0, IF(N$234=0,'Adjustment for previous period'!M425, 0), 0)</f>
        <v>0</v>
      </c>
      <c r="N429" s="111">
        <f>IF(O$234=0,'Adjustment for previous period'!N425, 0)</f>
        <v>0</v>
      </c>
      <c r="O429" s="111">
        <f>IF(P$234=0,'Adjustment for previous period'!O425, 0)</f>
        <v>0</v>
      </c>
      <c r="P429" s="111">
        <f>IF(Q$234=0,'Adjustment for previous period'!P425, 0)</f>
        <v>0</v>
      </c>
      <c r="Q429" s="111">
        <f>IF(R$234=0,'Adjustment for previous period'!Q425, 0)</f>
        <v>0</v>
      </c>
      <c r="R429" s="9"/>
      <c r="S429" s="9"/>
      <c r="T429" s="9"/>
      <c r="U429" s="9"/>
      <c r="V429" s="9"/>
      <c r="W429" s="9"/>
      <c r="X429" s="9"/>
      <c r="Y429" s="9"/>
      <c r="Z429" s="9"/>
      <c r="AA429" s="9"/>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8"/>
      <c r="AY429" s="198"/>
      <c r="AZ429" s="198"/>
      <c r="BA429" s="198"/>
      <c r="BB429" s="198"/>
      <c r="BC429" s="198"/>
      <c r="BD429" s="198"/>
      <c r="BE429" s="198"/>
      <c r="BF429" s="198"/>
      <c r="BG429" s="198"/>
      <c r="BH429" s="198"/>
      <c r="BI429" s="198"/>
      <c r="BJ429" s="198"/>
      <c r="BK429" s="198"/>
      <c r="BL429" s="198"/>
    </row>
    <row r="430" spans="1:64" hidden="1" outlineLevel="1">
      <c r="A430" s="9"/>
      <c r="B430" s="9"/>
      <c r="C430" s="9"/>
      <c r="D430" s="127" t="str">
        <f>Asset14</f>
        <v>Easements</v>
      </c>
      <c r="E430" s="9"/>
      <c r="F430" s="9"/>
      <c r="G430" s="9"/>
      <c r="H430" s="9"/>
      <c r="I430" s="9"/>
      <c r="J430" s="9"/>
      <c r="K430" s="9"/>
      <c r="L430" s="111">
        <f>IF(M$234=0,'Adjustment for previous period'!L427, 0)</f>
        <v>0</v>
      </c>
      <c r="M430" s="343">
        <f>IF(M$234&gt;0, IF(N$234=0,'Adjustment for previous period'!M427, 0), 0)</f>
        <v>0</v>
      </c>
      <c r="N430" s="111">
        <f>IF(O$234=0,'Adjustment for previous period'!N427, 0)</f>
        <v>0</v>
      </c>
      <c r="O430" s="111">
        <f>IF(P$234=0,'Adjustment for previous period'!O427, 0)</f>
        <v>0</v>
      </c>
      <c r="P430" s="111">
        <f>IF(Q$234=0,'Adjustment for previous period'!P427, 0)</f>
        <v>0</v>
      </c>
      <c r="Q430" s="111">
        <f>IF(R$234=0,'Adjustment for previous period'!Q427, 0)</f>
        <v>0</v>
      </c>
      <c r="R430" s="9"/>
      <c r="S430" s="9"/>
      <c r="T430" s="9"/>
      <c r="U430" s="9"/>
      <c r="V430" s="9"/>
      <c r="W430" s="9"/>
      <c r="X430" s="9"/>
      <c r="Y430" s="9"/>
      <c r="Z430" s="9"/>
      <c r="AA430" s="9"/>
      <c r="AB430" s="198"/>
      <c r="AC430" s="198"/>
      <c r="AD430" s="198"/>
      <c r="AE430" s="198"/>
      <c r="AF430" s="198"/>
      <c r="AG430" s="198"/>
      <c r="AH430" s="198"/>
      <c r="AI430" s="198"/>
      <c r="AJ430" s="198"/>
      <c r="AK430" s="198"/>
      <c r="AL430" s="198"/>
      <c r="AM430" s="198"/>
      <c r="AN430" s="198"/>
      <c r="AO430" s="198"/>
      <c r="AP430" s="198"/>
      <c r="AQ430" s="198"/>
      <c r="AR430" s="198"/>
      <c r="AS430" s="198"/>
      <c r="AT430" s="198"/>
      <c r="AU430" s="198"/>
      <c r="AV430" s="198"/>
      <c r="AW430" s="198"/>
      <c r="AX430" s="198"/>
      <c r="AY430" s="198"/>
      <c r="AZ430" s="198"/>
      <c r="BA430" s="198"/>
      <c r="BB430" s="198"/>
      <c r="BC430" s="198"/>
      <c r="BD430" s="198"/>
      <c r="BE430" s="198"/>
      <c r="BF430" s="198"/>
      <c r="BG430" s="198"/>
      <c r="BH430" s="198"/>
      <c r="BI430" s="198"/>
      <c r="BJ430" s="198"/>
      <c r="BK430" s="198"/>
      <c r="BL430" s="198"/>
    </row>
    <row r="431" spans="1:64" hidden="1" outlineLevel="1">
      <c r="A431" s="9"/>
      <c r="B431" s="9"/>
      <c r="C431" s="9"/>
      <c r="D431" s="127">
        <f>Asset15</f>
        <v>0</v>
      </c>
      <c r="E431" s="9"/>
      <c r="F431" s="9"/>
      <c r="G431" s="9"/>
      <c r="H431" s="9"/>
      <c r="I431" s="9"/>
      <c r="J431" s="9"/>
      <c r="K431" s="9"/>
      <c r="L431" s="111">
        <f>IF(M$234=0,'Adjustment for previous period'!L429, 0)</f>
        <v>0</v>
      </c>
      <c r="M431" s="343">
        <f>IF(M$234&gt;0, IF(N$234=0,'Adjustment for previous period'!M429, 0), 0)</f>
        <v>0</v>
      </c>
      <c r="N431" s="111">
        <f>IF(O$234=0,'Adjustment for previous period'!N429, 0)</f>
        <v>0</v>
      </c>
      <c r="O431" s="111">
        <f>IF(P$234=0,'Adjustment for previous period'!O429, 0)</f>
        <v>0</v>
      </c>
      <c r="P431" s="111">
        <f>IF(Q$234=0,'Adjustment for previous period'!P429, 0)</f>
        <v>0</v>
      </c>
      <c r="Q431" s="111">
        <f>IF(R$234=0,'Adjustment for previous period'!Q429, 0)</f>
        <v>0</v>
      </c>
      <c r="R431" s="9"/>
      <c r="S431" s="9"/>
      <c r="T431" s="9"/>
      <c r="U431" s="9"/>
      <c r="V431" s="9"/>
      <c r="W431" s="9"/>
      <c r="X431" s="9"/>
      <c r="Y431" s="9"/>
      <c r="Z431" s="9"/>
      <c r="AA431" s="9"/>
      <c r="AB431" s="198"/>
      <c r="AC431" s="198"/>
      <c r="AD431" s="198"/>
      <c r="AE431" s="198"/>
      <c r="AF431" s="198"/>
      <c r="AG431" s="198"/>
      <c r="AH431" s="198"/>
      <c r="AI431" s="198"/>
      <c r="AJ431" s="198"/>
      <c r="AK431" s="198"/>
      <c r="AL431" s="198"/>
      <c r="AM431" s="198"/>
      <c r="AN431" s="198"/>
      <c r="AO431" s="198"/>
      <c r="AP431" s="198"/>
      <c r="AQ431" s="198"/>
      <c r="AR431" s="198"/>
      <c r="AS431" s="198"/>
      <c r="AT431" s="198"/>
      <c r="AU431" s="198"/>
      <c r="AV431" s="198"/>
      <c r="AW431" s="198"/>
      <c r="AX431" s="198"/>
      <c r="AY431" s="198"/>
      <c r="AZ431" s="198"/>
      <c r="BA431" s="198"/>
      <c r="BB431" s="198"/>
      <c r="BC431" s="198"/>
      <c r="BD431" s="198"/>
      <c r="BE431" s="198"/>
      <c r="BF431" s="198"/>
      <c r="BG431" s="198"/>
      <c r="BH431" s="198"/>
      <c r="BI431" s="198"/>
      <c r="BJ431" s="198"/>
      <c r="BK431" s="198"/>
      <c r="BL431" s="198"/>
    </row>
    <row r="432" spans="1:64" hidden="1" outlineLevel="1">
      <c r="A432" s="9"/>
      <c r="B432" s="9"/>
      <c r="C432" s="9"/>
      <c r="D432" s="127">
        <f>Asset16</f>
        <v>0</v>
      </c>
      <c r="E432" s="9"/>
      <c r="F432" s="9"/>
      <c r="G432" s="9"/>
      <c r="H432" s="9"/>
      <c r="I432" s="9"/>
      <c r="J432" s="9"/>
      <c r="K432" s="9"/>
      <c r="L432" s="111">
        <f>IF(M$234=0,'Adjustment for previous period'!L431, 0)</f>
        <v>0</v>
      </c>
      <c r="M432" s="343">
        <f>IF(M$234&gt;0, IF(N$234=0,'Adjustment for previous period'!M431, 0), 0)</f>
        <v>0</v>
      </c>
      <c r="N432" s="111">
        <f>IF(O$234=0,'Adjustment for previous period'!N431, 0)</f>
        <v>0</v>
      </c>
      <c r="O432" s="111">
        <f>IF(P$234=0,'Adjustment for previous period'!O431, 0)</f>
        <v>0</v>
      </c>
      <c r="P432" s="111">
        <f>IF(Q$234=0,'Adjustment for previous period'!P431, 0)</f>
        <v>0</v>
      </c>
      <c r="Q432" s="111">
        <f>IF(R$234=0,'Adjustment for previous period'!Q431, 0)</f>
        <v>0</v>
      </c>
      <c r="R432" s="9"/>
      <c r="S432" s="9"/>
      <c r="T432" s="9"/>
      <c r="U432" s="9"/>
      <c r="V432" s="9"/>
      <c r="W432" s="9"/>
      <c r="X432" s="9"/>
      <c r="Y432" s="9"/>
      <c r="Z432" s="9"/>
      <c r="AA432" s="9"/>
      <c r="AB432" s="198"/>
      <c r="AC432" s="198"/>
      <c r="AD432" s="198"/>
      <c r="AE432" s="198"/>
      <c r="AF432" s="198"/>
      <c r="AG432" s="198"/>
      <c r="AH432" s="198"/>
      <c r="AI432" s="198"/>
      <c r="AJ432" s="198"/>
      <c r="AK432" s="198"/>
      <c r="AL432" s="198"/>
      <c r="AM432" s="198"/>
      <c r="AN432" s="198"/>
      <c r="AO432" s="198"/>
      <c r="AP432" s="198"/>
      <c r="AQ432" s="198"/>
      <c r="AR432" s="198"/>
      <c r="AS432" s="198"/>
      <c r="AT432" s="198"/>
      <c r="AU432" s="198"/>
      <c r="AV432" s="198"/>
      <c r="AW432" s="198"/>
      <c r="AX432" s="198"/>
      <c r="AY432" s="198"/>
      <c r="AZ432" s="198"/>
      <c r="BA432" s="198"/>
      <c r="BB432" s="198"/>
      <c r="BC432" s="198"/>
      <c r="BD432" s="198"/>
      <c r="BE432" s="198"/>
      <c r="BF432" s="198"/>
      <c r="BG432" s="198"/>
      <c r="BH432" s="198"/>
      <c r="BI432" s="198"/>
      <c r="BJ432" s="198"/>
      <c r="BK432" s="198"/>
      <c r="BL432" s="198"/>
    </row>
    <row r="433" spans="1:64" hidden="1" outlineLevel="1">
      <c r="A433" s="9"/>
      <c r="B433" s="9"/>
      <c r="C433" s="9"/>
      <c r="D433" s="127">
        <f>Asset17</f>
        <v>0</v>
      </c>
      <c r="E433" s="9"/>
      <c r="F433" s="9"/>
      <c r="G433" s="9"/>
      <c r="H433" s="9"/>
      <c r="I433" s="9"/>
      <c r="J433" s="9"/>
      <c r="K433" s="9"/>
      <c r="L433" s="111">
        <f>IF(M$234=0,'Adjustment for previous period'!L433, 0)</f>
        <v>0</v>
      </c>
      <c r="M433" s="343">
        <f>IF(M$234&gt;0, IF(N$234=0,'Adjustment for previous period'!M433, 0), 0)</f>
        <v>0</v>
      </c>
      <c r="N433" s="111">
        <f>IF(O$234=0,'Adjustment for previous period'!N433, 0)</f>
        <v>0</v>
      </c>
      <c r="O433" s="111">
        <f>IF(P$234=0,'Adjustment for previous period'!O433, 0)</f>
        <v>0</v>
      </c>
      <c r="P433" s="111">
        <f>IF(Q$234=0,'Adjustment for previous period'!P433, 0)</f>
        <v>0</v>
      </c>
      <c r="Q433" s="111">
        <f>IF(R$234=0,'Adjustment for previous period'!Q433, 0)</f>
        <v>0</v>
      </c>
      <c r="R433" s="9"/>
      <c r="S433" s="9"/>
      <c r="T433" s="9"/>
      <c r="U433" s="9"/>
      <c r="V433" s="9"/>
      <c r="W433" s="9"/>
      <c r="X433" s="9"/>
      <c r="Y433" s="9"/>
      <c r="Z433" s="9"/>
      <c r="AA433" s="9"/>
      <c r="AB433" s="198"/>
      <c r="AC433" s="198"/>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c r="AX433" s="198"/>
      <c r="AY433" s="198"/>
      <c r="AZ433" s="198"/>
      <c r="BA433" s="198"/>
      <c r="BB433" s="198"/>
      <c r="BC433" s="198"/>
      <c r="BD433" s="198"/>
      <c r="BE433" s="198"/>
      <c r="BF433" s="198"/>
      <c r="BG433" s="198"/>
      <c r="BH433" s="198"/>
      <c r="BI433" s="198"/>
      <c r="BJ433" s="198"/>
      <c r="BK433" s="198"/>
      <c r="BL433" s="198"/>
    </row>
    <row r="434" spans="1:64" hidden="1" outlineLevel="1">
      <c r="A434" s="9"/>
      <c r="B434" s="9"/>
      <c r="C434" s="9"/>
      <c r="D434" s="127">
        <f>Asset18</f>
        <v>0</v>
      </c>
      <c r="E434" s="9"/>
      <c r="F434" s="9"/>
      <c r="G434" s="9"/>
      <c r="H434" s="9"/>
      <c r="I434" s="9"/>
      <c r="J434" s="9"/>
      <c r="K434" s="9"/>
      <c r="L434" s="111">
        <f>IF(M$234=0,'Adjustment for previous period'!L435, 0)</f>
        <v>0</v>
      </c>
      <c r="M434" s="343">
        <f>IF(M$234&gt;0, IF(N$234=0,'Adjustment for previous period'!M435, 0), 0)</f>
        <v>0</v>
      </c>
      <c r="N434" s="111">
        <f>IF(O$234=0,'Adjustment for previous period'!N435, 0)</f>
        <v>0</v>
      </c>
      <c r="O434" s="111">
        <f>IF(P$234=0,'Adjustment for previous period'!O435, 0)</f>
        <v>0</v>
      </c>
      <c r="P434" s="111">
        <f>IF(Q$234=0,'Adjustment for previous period'!P435, 0)</f>
        <v>0</v>
      </c>
      <c r="Q434" s="111">
        <f>IF(R$234=0,'Adjustment for previous period'!Q435, 0)</f>
        <v>0</v>
      </c>
      <c r="R434" s="9"/>
      <c r="S434" s="9"/>
      <c r="T434" s="9"/>
      <c r="U434" s="9"/>
      <c r="V434" s="9"/>
      <c r="W434" s="9"/>
      <c r="X434" s="9"/>
      <c r="Y434" s="9"/>
      <c r="Z434" s="9"/>
      <c r="AA434" s="9"/>
      <c r="AB434" s="198"/>
      <c r="AC434" s="198"/>
      <c r="AD434" s="198"/>
      <c r="AE434" s="198"/>
      <c r="AF434" s="198"/>
      <c r="AG434" s="198"/>
      <c r="AH434" s="198"/>
      <c r="AI434" s="198"/>
      <c r="AJ434" s="198"/>
      <c r="AK434" s="198"/>
      <c r="AL434" s="198"/>
      <c r="AM434" s="198"/>
      <c r="AN434" s="198"/>
      <c r="AO434" s="198"/>
      <c r="AP434" s="198"/>
      <c r="AQ434" s="198"/>
      <c r="AR434" s="198"/>
      <c r="AS434" s="198"/>
      <c r="AT434" s="198"/>
      <c r="AU434" s="198"/>
      <c r="AV434" s="198"/>
      <c r="AW434" s="198"/>
      <c r="AX434" s="198"/>
      <c r="AY434" s="198"/>
      <c r="AZ434" s="198"/>
      <c r="BA434" s="198"/>
      <c r="BB434" s="198"/>
      <c r="BC434" s="198"/>
      <c r="BD434" s="198"/>
      <c r="BE434" s="198"/>
      <c r="BF434" s="198"/>
      <c r="BG434" s="198"/>
      <c r="BH434" s="198"/>
      <c r="BI434" s="198"/>
      <c r="BJ434" s="198"/>
      <c r="BK434" s="198"/>
      <c r="BL434" s="198"/>
    </row>
    <row r="435" spans="1:64" hidden="1" outlineLevel="1">
      <c r="A435" s="9"/>
      <c r="B435" s="9"/>
      <c r="C435" s="9"/>
      <c r="D435" s="127">
        <f>Asset19</f>
        <v>0</v>
      </c>
      <c r="E435" s="9"/>
      <c r="F435" s="9"/>
      <c r="G435" s="9"/>
      <c r="H435" s="9"/>
      <c r="I435" s="9"/>
      <c r="J435" s="9"/>
      <c r="K435" s="9"/>
      <c r="L435" s="111">
        <f>IF(M$234=0,'Adjustment for previous period'!L437, 0)</f>
        <v>0</v>
      </c>
      <c r="M435" s="343">
        <f>IF(M$234&gt;0, IF(N$234=0,'Adjustment for previous period'!M437, 0), 0)</f>
        <v>0</v>
      </c>
      <c r="N435" s="111">
        <f>IF(O$234=0,'Adjustment for previous period'!N437, 0)</f>
        <v>0</v>
      </c>
      <c r="O435" s="111">
        <f>IF(P$234=0,'Adjustment for previous period'!O437, 0)</f>
        <v>0</v>
      </c>
      <c r="P435" s="111">
        <f>IF(Q$234=0,'Adjustment for previous period'!P437, 0)</f>
        <v>0</v>
      </c>
      <c r="Q435" s="111">
        <f>IF(R$234=0,'Adjustment for previous period'!Q437, 0)</f>
        <v>0</v>
      </c>
      <c r="R435" s="9"/>
      <c r="S435" s="9"/>
      <c r="T435" s="9"/>
      <c r="U435" s="9"/>
      <c r="V435" s="9"/>
      <c r="W435" s="9"/>
      <c r="X435" s="9"/>
      <c r="Y435" s="9"/>
      <c r="Z435" s="9"/>
      <c r="AA435" s="9"/>
      <c r="AB435" s="198"/>
      <c r="AC435" s="198"/>
      <c r="AD435" s="198"/>
      <c r="AE435" s="198"/>
      <c r="AF435" s="198"/>
      <c r="AG435" s="198"/>
      <c r="AH435" s="198"/>
      <c r="AI435" s="198"/>
      <c r="AJ435" s="198"/>
      <c r="AK435" s="198"/>
      <c r="AL435" s="198"/>
      <c r="AM435" s="198"/>
      <c r="AN435" s="198"/>
      <c r="AO435" s="198"/>
      <c r="AP435" s="198"/>
      <c r="AQ435" s="198"/>
      <c r="AR435" s="198"/>
      <c r="AS435" s="198"/>
      <c r="AT435" s="198"/>
      <c r="AU435" s="198"/>
      <c r="AV435" s="198"/>
      <c r="AW435" s="198"/>
      <c r="AX435" s="198"/>
      <c r="AY435" s="198"/>
      <c r="AZ435" s="198"/>
      <c r="BA435" s="198"/>
      <c r="BB435" s="198"/>
      <c r="BC435" s="198"/>
      <c r="BD435" s="198"/>
      <c r="BE435" s="198"/>
      <c r="BF435" s="198"/>
      <c r="BG435" s="198"/>
      <c r="BH435" s="198"/>
      <c r="BI435" s="198"/>
      <c r="BJ435" s="198"/>
      <c r="BK435" s="198"/>
      <c r="BL435" s="198"/>
    </row>
    <row r="436" spans="1:64" hidden="1" outlineLevel="1">
      <c r="A436" s="9"/>
      <c r="B436" s="9"/>
      <c r="C436" s="9"/>
      <c r="D436" s="127">
        <f>Asset20</f>
        <v>0</v>
      </c>
      <c r="E436" s="9"/>
      <c r="F436" s="9"/>
      <c r="G436" s="9"/>
      <c r="H436" s="9"/>
      <c r="I436" s="9"/>
      <c r="J436" s="9"/>
      <c r="K436" s="9"/>
      <c r="L436" s="111">
        <f>IF(M$234=0,'Adjustment for previous period'!L439, 0)</f>
        <v>0</v>
      </c>
      <c r="M436" s="343">
        <f>IF(M$234&gt;0, IF(N$234=0,'Adjustment for previous period'!M439, 0), 0)</f>
        <v>0</v>
      </c>
      <c r="N436" s="111">
        <f>IF(O$234=0,'Adjustment for previous period'!N439, 0)</f>
        <v>0</v>
      </c>
      <c r="O436" s="111">
        <f>IF(P$234=0,'Adjustment for previous period'!O439, 0)</f>
        <v>0</v>
      </c>
      <c r="P436" s="111">
        <f>IF(Q$234=0,'Adjustment for previous period'!P439, 0)</f>
        <v>0</v>
      </c>
      <c r="Q436" s="111">
        <f>IF(R$234=0,'Adjustment for previous period'!Q439, 0)</f>
        <v>0</v>
      </c>
      <c r="R436" s="9"/>
      <c r="S436" s="9"/>
      <c r="T436" s="9"/>
      <c r="U436" s="9"/>
      <c r="V436" s="9"/>
      <c r="W436" s="9"/>
      <c r="X436" s="9"/>
      <c r="Y436" s="9"/>
      <c r="Z436" s="9"/>
      <c r="AA436" s="9"/>
      <c r="AB436" s="198"/>
      <c r="AC436" s="198"/>
      <c r="AD436" s="198"/>
      <c r="AE436" s="198"/>
      <c r="AF436" s="198"/>
      <c r="AG436" s="198"/>
      <c r="AH436" s="198"/>
      <c r="AI436" s="198"/>
      <c r="AJ436" s="198"/>
      <c r="AK436" s="198"/>
      <c r="AL436" s="198"/>
      <c r="AM436" s="198"/>
      <c r="AN436" s="198"/>
      <c r="AO436" s="198"/>
      <c r="AP436" s="198"/>
      <c r="AQ436" s="198"/>
      <c r="AR436" s="198"/>
      <c r="AS436" s="198"/>
      <c r="AT436" s="198"/>
      <c r="AU436" s="198"/>
      <c r="AV436" s="198"/>
      <c r="AW436" s="198"/>
      <c r="AX436" s="198"/>
      <c r="AY436" s="198"/>
      <c r="AZ436" s="198"/>
      <c r="BA436" s="198"/>
      <c r="BB436" s="198"/>
      <c r="BC436" s="198"/>
      <c r="BD436" s="198"/>
      <c r="BE436" s="198"/>
      <c r="BF436" s="198"/>
      <c r="BG436" s="198"/>
      <c r="BH436" s="198"/>
      <c r="BI436" s="198"/>
      <c r="BJ436" s="198"/>
      <c r="BK436" s="198"/>
      <c r="BL436" s="198"/>
    </row>
    <row r="437" spans="1:64" collapsed="1">
      <c r="A437" s="9"/>
      <c r="B437" s="9"/>
      <c r="C437" s="9"/>
      <c r="D437" s="9"/>
      <c r="E437" s="9"/>
      <c r="F437" s="9"/>
      <c r="G437" s="9"/>
      <c r="H437" s="9"/>
      <c r="I437" s="9"/>
      <c r="J437" s="9"/>
      <c r="K437" s="9"/>
      <c r="L437" s="293">
        <v>5</v>
      </c>
      <c r="M437" s="293">
        <v>6</v>
      </c>
      <c r="N437" s="295">
        <v>7</v>
      </c>
      <c r="O437" s="293">
        <v>8</v>
      </c>
      <c r="P437" s="293">
        <v>9</v>
      </c>
      <c r="Q437" s="293">
        <v>10</v>
      </c>
      <c r="R437" s="9"/>
      <c r="S437" s="9"/>
      <c r="T437" s="9"/>
      <c r="U437" s="9"/>
      <c r="V437" s="9"/>
      <c r="W437" s="9"/>
      <c r="X437" s="9"/>
      <c r="Y437" s="9"/>
      <c r="Z437" s="9"/>
      <c r="AA437" s="9"/>
      <c r="AB437" s="198"/>
      <c r="AC437" s="198"/>
      <c r="AD437" s="198"/>
      <c r="AE437" s="198"/>
      <c r="AF437" s="198"/>
      <c r="AG437" s="198"/>
      <c r="AH437" s="198"/>
      <c r="AI437" s="198"/>
      <c r="AJ437" s="198"/>
      <c r="AK437" s="198"/>
      <c r="AL437" s="198"/>
      <c r="AM437" s="198"/>
      <c r="AN437" s="198"/>
      <c r="AO437" s="198"/>
      <c r="AP437" s="198"/>
      <c r="AQ437" s="198"/>
      <c r="AR437" s="198"/>
      <c r="AS437" s="198"/>
      <c r="AT437" s="198"/>
      <c r="AU437" s="198"/>
      <c r="AV437" s="198"/>
      <c r="AW437" s="198"/>
      <c r="AX437" s="198"/>
      <c r="AY437" s="198"/>
      <c r="AZ437" s="198"/>
      <c r="BA437" s="198"/>
      <c r="BB437" s="198"/>
      <c r="BC437" s="198"/>
      <c r="BD437" s="198"/>
      <c r="BE437" s="198"/>
      <c r="BF437" s="198"/>
      <c r="BG437" s="198"/>
      <c r="BH437" s="198"/>
      <c r="BI437" s="198"/>
      <c r="BJ437" s="198"/>
      <c r="BK437" s="198"/>
      <c r="BL437" s="198"/>
    </row>
    <row r="438" spans="1:64">
      <c r="A438" s="74"/>
      <c r="B438" s="74"/>
      <c r="C438" s="81" t="s">
        <v>89</v>
      </c>
      <c r="D438" s="74"/>
      <c r="E438" s="74"/>
      <c r="F438" s="74"/>
      <c r="G438" s="74"/>
      <c r="H438" s="74"/>
      <c r="I438" s="74"/>
      <c r="J438" s="74"/>
      <c r="K438" s="74"/>
      <c r="L438" s="154">
        <f t="shared" ref="L438:Q438" si="20">SUM(L439:L468)</f>
        <v>0</v>
      </c>
      <c r="M438" s="154">
        <f t="shared" si="20"/>
        <v>2721.3199575054459</v>
      </c>
      <c r="N438" s="154">
        <f t="shared" si="20"/>
        <v>0</v>
      </c>
      <c r="O438" s="154">
        <f t="shared" si="20"/>
        <v>0</v>
      </c>
      <c r="P438" s="154">
        <f t="shared" si="20"/>
        <v>0</v>
      </c>
      <c r="Q438" s="154">
        <f t="shared" si="20"/>
        <v>0</v>
      </c>
      <c r="R438" s="154"/>
      <c r="S438" s="9"/>
      <c r="T438" s="9"/>
      <c r="U438" s="9"/>
      <c r="V438" s="9"/>
      <c r="W438" s="9"/>
      <c r="X438" s="9"/>
      <c r="Y438" s="9"/>
      <c r="Z438" s="9"/>
      <c r="AB438" s="198"/>
      <c r="AC438" s="198"/>
      <c r="AD438" s="198"/>
      <c r="AE438" s="198"/>
      <c r="AF438" s="198"/>
      <c r="AG438" s="198"/>
      <c r="AH438" s="198"/>
      <c r="AI438" s="198"/>
      <c r="AJ438" s="198"/>
      <c r="AK438" s="198"/>
      <c r="AL438" s="198"/>
      <c r="AM438" s="198"/>
      <c r="AN438" s="198"/>
      <c r="AO438" s="198"/>
      <c r="AP438" s="198"/>
      <c r="AQ438" s="198"/>
      <c r="AR438" s="198"/>
      <c r="AS438" s="198"/>
      <c r="AT438" s="198"/>
      <c r="AU438" s="198"/>
      <c r="AV438" s="198"/>
      <c r="AW438" s="198"/>
      <c r="AX438" s="198"/>
      <c r="AY438" s="198"/>
      <c r="AZ438" s="198"/>
      <c r="BA438" s="198"/>
      <c r="BB438" s="198"/>
      <c r="BC438" s="198"/>
      <c r="BD438" s="198"/>
      <c r="BE438" s="198"/>
      <c r="BF438" s="198"/>
      <c r="BG438" s="198"/>
      <c r="BH438" s="198"/>
      <c r="BI438" s="198"/>
      <c r="BJ438" s="198"/>
      <c r="BK438" s="198"/>
      <c r="BL438" s="198"/>
    </row>
    <row r="439" spans="1:64" hidden="1" outlineLevel="1">
      <c r="A439" s="9"/>
      <c r="B439" s="9"/>
      <c r="C439" s="9"/>
      <c r="D439" s="270" t="str">
        <f>Asset1</f>
        <v>Secondary</v>
      </c>
      <c r="E439" s="9"/>
      <c r="F439" s="9"/>
      <c r="G439" s="9"/>
      <c r="H439" s="9"/>
      <c r="I439" s="9"/>
      <c r="J439" s="9"/>
      <c r="K439" s="9"/>
      <c r="L439" s="111">
        <f t="shared" ref="L439:Q448" si="21">IF(M$234=0, L235+L267+L299+L331+L363, 0)</f>
        <v>0</v>
      </c>
      <c r="M439" s="331">
        <f>IF(N$234=0, M235+M267+M299+M331+M363+M395+M417, 0)</f>
        <v>175.67510853763036</v>
      </c>
      <c r="N439" s="111">
        <f t="shared" si="21"/>
        <v>0</v>
      </c>
      <c r="O439" s="111">
        <f t="shared" si="21"/>
        <v>0</v>
      </c>
      <c r="P439" s="111">
        <f t="shared" si="21"/>
        <v>0</v>
      </c>
      <c r="Q439" s="111">
        <f t="shared" si="21"/>
        <v>0</v>
      </c>
      <c r="R439" s="9"/>
      <c r="S439" s="9"/>
      <c r="T439" s="9"/>
      <c r="U439" s="9"/>
      <c r="V439" s="9"/>
      <c r="W439" s="9"/>
      <c r="X439" s="9"/>
      <c r="Y439" s="9"/>
      <c r="Z439" s="9"/>
      <c r="AB439" s="198"/>
      <c r="AC439" s="198"/>
      <c r="AD439" s="198"/>
      <c r="AE439" s="198"/>
      <c r="AF439" s="198"/>
      <c r="AG439" s="198"/>
      <c r="AH439" s="198"/>
      <c r="AI439" s="198"/>
      <c r="AJ439" s="198"/>
      <c r="AK439" s="198"/>
      <c r="AL439" s="198"/>
      <c r="AM439" s="198"/>
      <c r="AN439" s="198"/>
      <c r="AO439" s="198"/>
      <c r="AP439" s="198"/>
      <c r="AQ439" s="198"/>
      <c r="AR439" s="198"/>
      <c r="AS439" s="198"/>
      <c r="AT439" s="198"/>
      <c r="AU439" s="198"/>
      <c r="AV439" s="198"/>
      <c r="AW439" s="198"/>
      <c r="AX439" s="198"/>
      <c r="AY439" s="198"/>
      <c r="AZ439" s="198"/>
      <c r="BA439" s="198"/>
      <c r="BB439" s="198"/>
      <c r="BC439" s="198"/>
      <c r="BD439" s="198"/>
      <c r="BE439" s="198"/>
      <c r="BF439" s="198"/>
      <c r="BG439" s="198"/>
      <c r="BH439" s="198"/>
      <c r="BI439" s="198"/>
      <c r="BJ439" s="198"/>
      <c r="BK439" s="198"/>
      <c r="BL439" s="198"/>
    </row>
    <row r="440" spans="1:64" hidden="1" outlineLevel="1">
      <c r="A440" s="9"/>
      <c r="B440" s="9"/>
      <c r="C440" s="9"/>
      <c r="D440" s="270" t="str">
        <f>Asset2</f>
        <v>Switchgear</v>
      </c>
      <c r="E440" s="9"/>
      <c r="F440" s="9"/>
      <c r="G440" s="9"/>
      <c r="H440" s="9"/>
      <c r="I440" s="9"/>
      <c r="J440" s="9"/>
      <c r="K440" s="9"/>
      <c r="L440" s="111">
        <f t="shared" si="21"/>
        <v>0</v>
      </c>
      <c r="M440" s="331">
        <f>IF(N$234=0, M236+M268+M300+M332+M364+M396+M418, 0)</f>
        <v>526.40672128550204</v>
      </c>
      <c r="N440" s="111">
        <f t="shared" si="21"/>
        <v>0</v>
      </c>
      <c r="O440" s="111">
        <f t="shared" si="21"/>
        <v>0</v>
      </c>
      <c r="P440" s="111">
        <f t="shared" si="21"/>
        <v>0</v>
      </c>
      <c r="Q440" s="111">
        <f t="shared" si="21"/>
        <v>0</v>
      </c>
      <c r="R440" s="9"/>
      <c r="S440" s="9"/>
      <c r="T440" s="9"/>
      <c r="U440" s="9"/>
      <c r="V440" s="9"/>
      <c r="W440" s="9"/>
      <c r="X440" s="9"/>
      <c r="Y440" s="9"/>
      <c r="Z440" s="9"/>
      <c r="AB440" s="198"/>
      <c r="AC440" s="198"/>
      <c r="AD440" s="198"/>
      <c r="AE440" s="198"/>
      <c r="AF440" s="198"/>
      <c r="AG440" s="198"/>
      <c r="AH440" s="198"/>
      <c r="AI440" s="198"/>
      <c r="AJ440" s="198"/>
      <c r="AK440" s="198"/>
      <c r="AL440" s="198"/>
      <c r="AM440" s="198"/>
      <c r="AN440" s="198"/>
      <c r="AO440" s="198"/>
      <c r="AP440" s="198"/>
      <c r="AQ440" s="198"/>
      <c r="AR440" s="198"/>
      <c r="AS440" s="198"/>
      <c r="AT440" s="198"/>
      <c r="AU440" s="198"/>
      <c r="AV440" s="198"/>
      <c r="AW440" s="198"/>
      <c r="AX440" s="198"/>
      <c r="AY440" s="198"/>
      <c r="AZ440" s="198"/>
      <c r="BA440" s="198"/>
      <c r="BB440" s="198"/>
      <c r="BC440" s="198"/>
      <c r="BD440" s="198"/>
      <c r="BE440" s="198"/>
      <c r="BF440" s="198"/>
      <c r="BG440" s="198"/>
      <c r="BH440" s="198"/>
      <c r="BI440" s="198"/>
      <c r="BJ440" s="198"/>
      <c r="BK440" s="198"/>
      <c r="BL440" s="198"/>
    </row>
    <row r="441" spans="1:64" hidden="1" outlineLevel="1">
      <c r="A441" s="9"/>
      <c r="B441" s="9"/>
      <c r="C441" s="9"/>
      <c r="D441" s="270" t="str">
        <f>Asset3</f>
        <v>Transformers</v>
      </c>
      <c r="E441" s="9"/>
      <c r="F441" s="9"/>
      <c r="G441" s="9"/>
      <c r="H441" s="9"/>
      <c r="I441" s="9"/>
      <c r="J441" s="9"/>
      <c r="K441" s="9"/>
      <c r="L441" s="111">
        <f t="shared" si="21"/>
        <v>0</v>
      </c>
      <c r="M441" s="331">
        <f t="shared" ref="M441:M457" si="22">IF(N$234=0, M237+M269+M301+M333+M365+M397+M419, 0)</f>
        <v>249.94043670460226</v>
      </c>
      <c r="N441" s="111">
        <f t="shared" si="21"/>
        <v>0</v>
      </c>
      <c r="O441" s="111">
        <f t="shared" si="21"/>
        <v>0</v>
      </c>
      <c r="P441" s="111">
        <f t="shared" si="21"/>
        <v>0</v>
      </c>
      <c r="Q441" s="111">
        <f t="shared" si="21"/>
        <v>0</v>
      </c>
      <c r="R441" s="9"/>
      <c r="S441" s="9"/>
      <c r="T441" s="9"/>
      <c r="U441" s="9"/>
      <c r="V441" s="9"/>
      <c r="W441" s="9"/>
      <c r="X441" s="9"/>
      <c r="Y441" s="9"/>
      <c r="Z441" s="9"/>
      <c r="AB441" s="198"/>
      <c r="AC441" s="198"/>
      <c r="AD441" s="198"/>
      <c r="AE441" s="198"/>
      <c r="AF441" s="198"/>
      <c r="AG441" s="198"/>
      <c r="AH441" s="198"/>
      <c r="AI441" s="198"/>
      <c r="AJ441" s="198"/>
      <c r="AK441" s="198"/>
      <c r="AL441" s="198"/>
      <c r="AM441" s="198"/>
      <c r="AN441" s="198"/>
      <c r="AO441" s="198"/>
      <c r="AP441" s="198"/>
      <c r="AQ441" s="198"/>
      <c r="AR441" s="198"/>
      <c r="AS441" s="198"/>
      <c r="AT441" s="198"/>
      <c r="AU441" s="198"/>
      <c r="AV441" s="198"/>
      <c r="AW441" s="198"/>
      <c r="AX441" s="198"/>
      <c r="AY441" s="198"/>
      <c r="AZ441" s="198"/>
      <c r="BA441" s="198"/>
      <c r="BB441" s="198"/>
      <c r="BC441" s="198"/>
      <c r="BD441" s="198"/>
      <c r="BE441" s="198"/>
      <c r="BF441" s="198"/>
      <c r="BG441" s="198"/>
      <c r="BH441" s="198"/>
      <c r="BI441" s="198"/>
      <c r="BJ441" s="198"/>
      <c r="BK441" s="198"/>
      <c r="BL441" s="198"/>
    </row>
    <row r="442" spans="1:64" hidden="1" outlineLevel="1">
      <c r="A442" s="9"/>
      <c r="B442" s="9"/>
      <c r="C442" s="9"/>
      <c r="D442" s="270" t="str">
        <f>Asset4</f>
        <v>Reactive</v>
      </c>
      <c r="E442" s="9"/>
      <c r="F442" s="9"/>
      <c r="G442" s="9"/>
      <c r="H442" s="9"/>
      <c r="I442" s="9"/>
      <c r="J442" s="9"/>
      <c r="K442" s="9"/>
      <c r="L442" s="111">
        <f t="shared" si="21"/>
        <v>0</v>
      </c>
      <c r="M442" s="331">
        <f t="shared" si="22"/>
        <v>80.017920153563537</v>
      </c>
      <c r="N442" s="111">
        <f t="shared" si="21"/>
        <v>0</v>
      </c>
      <c r="O442" s="111">
        <f t="shared" si="21"/>
        <v>0</v>
      </c>
      <c r="P442" s="111">
        <f t="shared" si="21"/>
        <v>0</v>
      </c>
      <c r="Q442" s="111">
        <f t="shared" si="21"/>
        <v>0</v>
      </c>
      <c r="R442" s="9"/>
      <c r="S442" s="9"/>
      <c r="T442" s="9"/>
      <c r="U442" s="9"/>
      <c r="V442" s="9"/>
      <c r="W442" s="9"/>
      <c r="X442" s="9"/>
      <c r="Y442" s="9"/>
      <c r="Z442" s="9"/>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198"/>
      <c r="BD442" s="198"/>
      <c r="BE442" s="198"/>
      <c r="BF442" s="198"/>
      <c r="BG442" s="198"/>
      <c r="BH442" s="198"/>
      <c r="BI442" s="198"/>
      <c r="BJ442" s="198"/>
      <c r="BK442" s="198"/>
      <c r="BL442" s="198"/>
    </row>
    <row r="443" spans="1:64" hidden="1" outlineLevel="1">
      <c r="A443" s="9"/>
      <c r="B443" s="9"/>
      <c r="C443" s="9"/>
      <c r="D443" s="270" t="str">
        <f>Asset5</f>
        <v>Towers and Conductor</v>
      </c>
      <c r="E443" s="9"/>
      <c r="F443" s="9"/>
      <c r="G443" s="9"/>
      <c r="H443" s="9"/>
      <c r="I443" s="9"/>
      <c r="J443" s="9"/>
      <c r="K443" s="9"/>
      <c r="L443" s="111">
        <f t="shared" si="21"/>
        <v>0</v>
      </c>
      <c r="M443" s="331">
        <f t="shared" si="22"/>
        <v>1085.5109972894495</v>
      </c>
      <c r="N443" s="111">
        <f t="shared" si="21"/>
        <v>0</v>
      </c>
      <c r="O443" s="111">
        <f t="shared" si="21"/>
        <v>0</v>
      </c>
      <c r="P443" s="111">
        <f t="shared" si="21"/>
        <v>0</v>
      </c>
      <c r="Q443" s="111">
        <f t="shared" si="21"/>
        <v>0</v>
      </c>
      <c r="R443" s="9"/>
      <c r="S443" s="9"/>
      <c r="T443" s="9"/>
      <c r="U443" s="9"/>
      <c r="V443" s="9"/>
      <c r="W443" s="9"/>
      <c r="X443" s="9"/>
      <c r="Y443" s="9"/>
      <c r="Z443" s="9"/>
      <c r="AB443" s="198"/>
      <c r="AC443" s="198"/>
      <c r="AD443" s="198"/>
      <c r="AE443" s="198"/>
      <c r="AF443" s="198"/>
      <c r="AG443" s="198"/>
      <c r="AH443" s="198"/>
      <c r="AI443" s="198"/>
      <c r="AJ443" s="198"/>
      <c r="AK443" s="198"/>
      <c r="AL443" s="198"/>
      <c r="AM443" s="198"/>
      <c r="AN443" s="198"/>
      <c r="AO443" s="198"/>
      <c r="AP443" s="198"/>
      <c r="AQ443" s="198"/>
      <c r="AR443" s="198"/>
      <c r="AS443" s="198"/>
      <c r="AT443" s="198"/>
      <c r="AU443" s="198"/>
      <c r="AV443" s="198"/>
      <c r="AW443" s="198"/>
      <c r="AX443" s="198"/>
      <c r="AY443" s="198"/>
      <c r="AZ443" s="198"/>
      <c r="BA443" s="198"/>
      <c r="BB443" s="198"/>
      <c r="BC443" s="198"/>
      <c r="BD443" s="198"/>
      <c r="BE443" s="198"/>
      <c r="BF443" s="198"/>
      <c r="BG443" s="198"/>
      <c r="BH443" s="198"/>
      <c r="BI443" s="198"/>
      <c r="BJ443" s="198"/>
      <c r="BK443" s="198"/>
      <c r="BL443" s="198"/>
    </row>
    <row r="444" spans="1:64" hidden="1" outlineLevel="1">
      <c r="A444" s="9"/>
      <c r="B444" s="9"/>
      <c r="C444" s="9"/>
      <c r="D444" s="270" t="str">
        <f>Asset6</f>
        <v>Establishment</v>
      </c>
      <c r="E444" s="9"/>
      <c r="F444" s="9"/>
      <c r="G444" s="9"/>
      <c r="H444" s="9"/>
      <c r="I444" s="9"/>
      <c r="J444" s="9"/>
      <c r="K444" s="9"/>
      <c r="L444" s="111">
        <f t="shared" si="21"/>
        <v>0</v>
      </c>
      <c r="M444" s="331">
        <f t="shared" si="22"/>
        <v>176.67745120673959</v>
      </c>
      <c r="N444" s="111">
        <f t="shared" si="21"/>
        <v>0</v>
      </c>
      <c r="O444" s="111">
        <f t="shared" si="21"/>
        <v>0</v>
      </c>
      <c r="P444" s="111">
        <f t="shared" si="21"/>
        <v>0</v>
      </c>
      <c r="Q444" s="111">
        <f t="shared" si="21"/>
        <v>0</v>
      </c>
      <c r="R444" s="9"/>
      <c r="S444" s="9"/>
      <c r="T444" s="9"/>
      <c r="U444" s="9"/>
      <c r="V444" s="9"/>
      <c r="W444" s="9"/>
      <c r="X444" s="9"/>
      <c r="Y444" s="9"/>
      <c r="Z444" s="9"/>
      <c r="AB444" s="198"/>
      <c r="AC444" s="198"/>
      <c r="AD444" s="198"/>
      <c r="AE444" s="198"/>
      <c r="AF444" s="198"/>
      <c r="AG444" s="198"/>
      <c r="AH444" s="198"/>
      <c r="AI444" s="198"/>
      <c r="AJ444" s="198"/>
      <c r="AK444" s="198"/>
      <c r="AL444" s="198"/>
      <c r="AM444" s="198"/>
      <c r="AN444" s="198"/>
      <c r="AO444" s="198"/>
      <c r="AP444" s="198"/>
      <c r="AQ444" s="198"/>
      <c r="AR444" s="198"/>
      <c r="AS444" s="198"/>
      <c r="AT444" s="198"/>
      <c r="AU444" s="198"/>
      <c r="AV444" s="198"/>
      <c r="AW444" s="198"/>
      <c r="AX444" s="198"/>
      <c r="AY444" s="198"/>
      <c r="AZ444" s="198"/>
      <c r="BA444" s="198"/>
      <c r="BB444" s="198"/>
      <c r="BC444" s="198"/>
      <c r="BD444" s="198"/>
      <c r="BE444" s="198"/>
      <c r="BF444" s="198"/>
      <c r="BG444" s="198"/>
      <c r="BH444" s="198"/>
      <c r="BI444" s="198"/>
      <c r="BJ444" s="198"/>
      <c r="BK444" s="198"/>
      <c r="BL444" s="198"/>
    </row>
    <row r="445" spans="1:64" hidden="1" outlineLevel="1">
      <c r="A445" s="9"/>
      <c r="B445" s="9"/>
      <c r="C445" s="9"/>
      <c r="D445" s="270" t="str">
        <f>Asset7</f>
        <v>Communications</v>
      </c>
      <c r="E445" s="9"/>
      <c r="F445" s="9"/>
      <c r="G445" s="9"/>
      <c r="H445" s="9"/>
      <c r="I445" s="9"/>
      <c r="J445" s="9"/>
      <c r="K445" s="9"/>
      <c r="L445" s="111">
        <f t="shared" si="21"/>
        <v>0</v>
      </c>
      <c r="M445" s="331">
        <f t="shared" si="22"/>
        <v>40.238922980601608</v>
      </c>
      <c r="N445" s="111">
        <f t="shared" si="21"/>
        <v>0</v>
      </c>
      <c r="O445" s="111">
        <f t="shared" si="21"/>
        <v>0</v>
      </c>
      <c r="P445" s="111">
        <f t="shared" si="21"/>
        <v>0</v>
      </c>
      <c r="Q445" s="111">
        <f t="shared" si="21"/>
        <v>0</v>
      </c>
      <c r="R445" s="9"/>
      <c r="S445" s="9"/>
      <c r="T445" s="9"/>
      <c r="U445" s="9"/>
      <c r="V445" s="9"/>
      <c r="W445" s="9"/>
      <c r="X445" s="9"/>
      <c r="Y445" s="9"/>
      <c r="Z445" s="9"/>
      <c r="AB445" s="198"/>
      <c r="AC445" s="198"/>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c r="AX445" s="198"/>
      <c r="AY445" s="198"/>
      <c r="AZ445" s="198"/>
      <c r="BA445" s="198"/>
      <c r="BB445" s="198"/>
      <c r="BC445" s="198"/>
      <c r="BD445" s="198"/>
      <c r="BE445" s="198"/>
      <c r="BF445" s="198"/>
      <c r="BG445" s="198"/>
      <c r="BH445" s="198"/>
      <c r="BI445" s="198"/>
      <c r="BJ445" s="198"/>
      <c r="BK445" s="198"/>
      <c r="BL445" s="198"/>
    </row>
    <row r="446" spans="1:64" hidden="1" outlineLevel="1">
      <c r="A446" s="9"/>
      <c r="B446" s="9"/>
      <c r="C446" s="9"/>
      <c r="D446" s="270" t="str">
        <f>Asset8</f>
        <v>Inventory</v>
      </c>
      <c r="E446" s="9"/>
      <c r="F446" s="9"/>
      <c r="G446" s="9"/>
      <c r="H446" s="9"/>
      <c r="I446" s="9"/>
      <c r="J446" s="9"/>
      <c r="K446" s="9"/>
      <c r="L446" s="111">
        <f t="shared" si="21"/>
        <v>0</v>
      </c>
      <c r="M446" s="331">
        <f t="shared" si="22"/>
        <v>8.101365571660196</v>
      </c>
      <c r="N446" s="111">
        <f t="shared" si="21"/>
        <v>0</v>
      </c>
      <c r="O446" s="111">
        <f t="shared" si="21"/>
        <v>0</v>
      </c>
      <c r="P446" s="111">
        <f t="shared" si="21"/>
        <v>0</v>
      </c>
      <c r="Q446" s="111">
        <f t="shared" si="21"/>
        <v>0</v>
      </c>
      <c r="R446" s="9"/>
      <c r="S446" s="9"/>
      <c r="T446" s="9"/>
      <c r="U446" s="9"/>
      <c r="V446" s="9"/>
      <c r="W446" s="9"/>
      <c r="X446" s="9"/>
      <c r="Y446" s="9"/>
      <c r="Z446" s="9"/>
      <c r="AB446" s="198"/>
      <c r="AC446" s="198"/>
      <c r="AD446" s="198"/>
      <c r="AE446" s="198"/>
      <c r="AF446" s="198"/>
      <c r="AG446" s="198"/>
      <c r="AH446" s="198"/>
      <c r="AI446" s="198"/>
      <c r="AJ446" s="198"/>
      <c r="AK446" s="198"/>
      <c r="AL446" s="198"/>
      <c r="AM446" s="198"/>
      <c r="AN446" s="198"/>
      <c r="AO446" s="198"/>
      <c r="AP446" s="198"/>
      <c r="AQ446" s="198"/>
      <c r="AR446" s="198"/>
      <c r="AS446" s="198"/>
      <c r="AT446" s="198"/>
      <c r="AU446" s="198"/>
      <c r="AV446" s="198"/>
      <c r="AW446" s="198"/>
      <c r="AX446" s="198"/>
      <c r="AY446" s="198"/>
      <c r="AZ446" s="198"/>
      <c r="BA446" s="198"/>
      <c r="BB446" s="198"/>
      <c r="BC446" s="198"/>
      <c r="BD446" s="198"/>
      <c r="BE446" s="198"/>
      <c r="BF446" s="198"/>
      <c r="BG446" s="198"/>
      <c r="BH446" s="198"/>
      <c r="BI446" s="198"/>
      <c r="BJ446" s="198"/>
      <c r="BK446" s="198"/>
      <c r="BL446" s="198"/>
    </row>
    <row r="447" spans="1:64" hidden="1" outlineLevel="1">
      <c r="A447" s="9"/>
      <c r="B447" s="9"/>
      <c r="C447" s="9"/>
      <c r="D447" s="270" t="str">
        <f>Asset9</f>
        <v>IT</v>
      </c>
      <c r="E447" s="9"/>
      <c r="F447" s="9"/>
      <c r="G447" s="9"/>
      <c r="H447" s="9"/>
      <c r="I447" s="9"/>
      <c r="J447" s="9"/>
      <c r="K447" s="9"/>
      <c r="L447" s="111">
        <f t="shared" si="21"/>
        <v>0</v>
      </c>
      <c r="M447" s="331">
        <f t="shared" si="22"/>
        <v>89.868196504832213</v>
      </c>
      <c r="N447" s="111">
        <f t="shared" si="21"/>
        <v>0</v>
      </c>
      <c r="O447" s="111">
        <f t="shared" si="21"/>
        <v>0</v>
      </c>
      <c r="P447" s="111">
        <f t="shared" si="21"/>
        <v>0</v>
      </c>
      <c r="Q447" s="111">
        <f t="shared" si="21"/>
        <v>0</v>
      </c>
      <c r="R447" s="9"/>
      <c r="S447" s="9"/>
      <c r="T447" s="9"/>
      <c r="U447" s="9"/>
      <c r="V447" s="9"/>
      <c r="W447" s="9"/>
      <c r="X447" s="9"/>
      <c r="Y447" s="9"/>
      <c r="Z447" s="9"/>
      <c r="AB447" s="198"/>
      <c r="AC447" s="198"/>
      <c r="AD447" s="198"/>
      <c r="AE447" s="198"/>
      <c r="AF447" s="198"/>
      <c r="AG447" s="198"/>
      <c r="AH447" s="198"/>
      <c r="AI447" s="198"/>
      <c r="AJ447" s="198"/>
      <c r="AK447" s="198"/>
      <c r="AL447" s="198"/>
      <c r="AM447" s="198"/>
      <c r="AN447" s="198"/>
      <c r="AO447" s="198"/>
      <c r="AP447" s="198"/>
      <c r="AQ447" s="198"/>
      <c r="AR447" s="198"/>
      <c r="AS447" s="198"/>
      <c r="AT447" s="198"/>
      <c r="AU447" s="198"/>
      <c r="AV447" s="198"/>
      <c r="AW447" s="198"/>
      <c r="AX447" s="198"/>
      <c r="AY447" s="198"/>
      <c r="AZ447" s="198"/>
      <c r="BA447" s="198"/>
      <c r="BB447" s="198"/>
      <c r="BC447" s="198"/>
      <c r="BD447" s="198"/>
      <c r="BE447" s="198"/>
      <c r="BF447" s="198"/>
      <c r="BG447" s="198"/>
      <c r="BH447" s="198"/>
      <c r="BI447" s="198"/>
      <c r="BJ447" s="198"/>
      <c r="BK447" s="198"/>
      <c r="BL447" s="198"/>
    </row>
    <row r="448" spans="1:64" hidden="1" outlineLevel="1">
      <c r="A448" s="9"/>
      <c r="B448" s="9"/>
      <c r="C448" s="9"/>
      <c r="D448" s="270" t="str">
        <f>Asset10</f>
        <v>Vehicles</v>
      </c>
      <c r="E448" s="9"/>
      <c r="F448" s="9"/>
      <c r="G448" s="9"/>
      <c r="H448" s="9"/>
      <c r="I448" s="9"/>
      <c r="J448" s="9"/>
      <c r="K448" s="9"/>
      <c r="L448" s="111">
        <f t="shared" si="21"/>
        <v>0</v>
      </c>
      <c r="M448" s="331">
        <f t="shared" si="22"/>
        <v>7.5069826336705034</v>
      </c>
      <c r="N448" s="111">
        <f t="shared" si="21"/>
        <v>0</v>
      </c>
      <c r="O448" s="111">
        <f t="shared" si="21"/>
        <v>0</v>
      </c>
      <c r="P448" s="111">
        <f t="shared" si="21"/>
        <v>0</v>
      </c>
      <c r="Q448" s="111">
        <f t="shared" si="21"/>
        <v>0</v>
      </c>
      <c r="R448" s="9"/>
      <c r="S448" s="9"/>
      <c r="T448" s="9"/>
      <c r="U448" s="9"/>
      <c r="V448" s="9"/>
      <c r="W448" s="9"/>
      <c r="X448" s="9"/>
      <c r="Y448" s="9"/>
      <c r="Z448" s="9"/>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c r="AX448" s="198"/>
      <c r="AY448" s="198"/>
      <c r="AZ448" s="198"/>
      <c r="BA448" s="198"/>
      <c r="BB448" s="198"/>
      <c r="BC448" s="198"/>
      <c r="BD448" s="198"/>
      <c r="BE448" s="198"/>
      <c r="BF448" s="198"/>
      <c r="BG448" s="198"/>
      <c r="BH448" s="198"/>
      <c r="BI448" s="198"/>
      <c r="BJ448" s="198"/>
      <c r="BK448" s="198"/>
      <c r="BL448" s="198"/>
    </row>
    <row r="449" spans="1:64" hidden="1" outlineLevel="1">
      <c r="A449" s="9"/>
      <c r="B449" s="9"/>
      <c r="C449" s="9"/>
      <c r="D449" s="270" t="str">
        <f>Asset11</f>
        <v>other</v>
      </c>
      <c r="E449" s="9"/>
      <c r="F449" s="9"/>
      <c r="G449" s="9"/>
      <c r="H449" s="9"/>
      <c r="I449" s="9"/>
      <c r="J449" s="9"/>
      <c r="K449" s="9"/>
      <c r="L449" s="111">
        <f t="shared" ref="L449:Q458" si="23">IF(M$234=0, L245+L277+L309+L341+L373, 0)</f>
        <v>0</v>
      </c>
      <c r="M449" s="331">
        <f t="shared" si="22"/>
        <v>40.223503495344602</v>
      </c>
      <c r="N449" s="111">
        <f t="shared" si="23"/>
        <v>0</v>
      </c>
      <c r="O449" s="111">
        <f t="shared" si="23"/>
        <v>0</v>
      </c>
      <c r="P449" s="111">
        <f t="shared" si="23"/>
        <v>0</v>
      </c>
      <c r="Q449" s="111">
        <f t="shared" si="23"/>
        <v>0</v>
      </c>
      <c r="R449" s="9"/>
      <c r="S449" s="9"/>
      <c r="T449" s="9"/>
      <c r="U449" s="9"/>
      <c r="V449" s="9"/>
      <c r="W449" s="9"/>
      <c r="X449" s="9"/>
      <c r="Y449" s="9"/>
      <c r="Z449" s="9"/>
      <c r="AB449" s="198"/>
      <c r="AC449" s="198"/>
      <c r="AD449" s="198"/>
      <c r="AE449" s="198"/>
      <c r="AF449" s="198"/>
      <c r="AG449" s="198"/>
      <c r="AH449" s="198"/>
      <c r="AI449" s="198"/>
      <c r="AJ449" s="198"/>
      <c r="AK449" s="198"/>
      <c r="AL449" s="198"/>
      <c r="AM449" s="198"/>
      <c r="AN449" s="198"/>
      <c r="AO449" s="198"/>
      <c r="AP449" s="198"/>
      <c r="AQ449" s="198"/>
      <c r="AR449" s="198"/>
      <c r="AS449" s="198"/>
      <c r="AT449" s="198"/>
      <c r="AU449" s="198"/>
      <c r="AV449" s="198"/>
      <c r="AW449" s="198"/>
      <c r="AX449" s="198"/>
      <c r="AY449" s="198"/>
      <c r="AZ449" s="198"/>
      <c r="BA449" s="198"/>
      <c r="BB449" s="198"/>
      <c r="BC449" s="198"/>
      <c r="BD449" s="198"/>
      <c r="BE449" s="198"/>
      <c r="BF449" s="198"/>
      <c r="BG449" s="198"/>
      <c r="BH449" s="198"/>
      <c r="BI449" s="198"/>
      <c r="BJ449" s="198"/>
      <c r="BK449" s="198"/>
      <c r="BL449" s="198"/>
    </row>
    <row r="450" spans="1:64" hidden="1" outlineLevel="1">
      <c r="A450" s="9"/>
      <c r="B450" s="9"/>
      <c r="C450" s="9"/>
      <c r="D450" s="270" t="str">
        <f>Asset12</f>
        <v>premises</v>
      </c>
      <c r="E450" s="9"/>
      <c r="F450" s="9"/>
      <c r="G450" s="9"/>
      <c r="H450" s="9"/>
      <c r="I450" s="9"/>
      <c r="J450" s="9"/>
      <c r="K450" s="9"/>
      <c r="L450" s="111">
        <f t="shared" si="23"/>
        <v>0</v>
      </c>
      <c r="M450" s="331">
        <f t="shared" si="22"/>
        <v>2.424395692680517</v>
      </c>
      <c r="N450" s="111">
        <f t="shared" si="23"/>
        <v>0</v>
      </c>
      <c r="O450" s="111">
        <f t="shared" si="23"/>
        <v>0</v>
      </c>
      <c r="P450" s="111">
        <f t="shared" si="23"/>
        <v>0</v>
      </c>
      <c r="Q450" s="111">
        <f t="shared" si="23"/>
        <v>0</v>
      </c>
      <c r="R450" s="9"/>
      <c r="S450" s="9"/>
      <c r="T450" s="9"/>
      <c r="U450" s="9"/>
      <c r="V450" s="9"/>
      <c r="W450" s="9"/>
      <c r="X450" s="9"/>
      <c r="Y450" s="9"/>
      <c r="Z450" s="9"/>
      <c r="AB450" s="198"/>
      <c r="AC450" s="198"/>
      <c r="AD450" s="198"/>
      <c r="AE450" s="198"/>
      <c r="AF450" s="198"/>
      <c r="AG450" s="198"/>
      <c r="AH450" s="198"/>
      <c r="AI450" s="198"/>
      <c r="AJ450" s="198"/>
      <c r="AK450" s="198"/>
      <c r="AL450" s="198"/>
      <c r="AM450" s="198"/>
      <c r="AN450" s="198"/>
      <c r="AO450" s="198"/>
      <c r="AP450" s="198"/>
      <c r="AQ450" s="198"/>
      <c r="AR450" s="198"/>
      <c r="AS450" s="198"/>
      <c r="AT450" s="198"/>
      <c r="AU450" s="198"/>
      <c r="AV450" s="198"/>
      <c r="AW450" s="198"/>
      <c r="AX450" s="198"/>
      <c r="AY450" s="198"/>
      <c r="AZ450" s="198"/>
      <c r="BA450" s="198"/>
      <c r="BB450" s="198"/>
      <c r="BC450" s="198"/>
      <c r="BD450" s="198"/>
      <c r="BE450" s="198"/>
      <c r="BF450" s="198"/>
      <c r="BG450" s="198"/>
      <c r="BH450" s="198"/>
      <c r="BI450" s="198"/>
      <c r="BJ450" s="198"/>
      <c r="BK450" s="198"/>
      <c r="BL450" s="198"/>
    </row>
    <row r="451" spans="1:64" hidden="1" outlineLevel="1">
      <c r="A451" s="9"/>
      <c r="B451" s="9"/>
      <c r="C451" s="9"/>
      <c r="D451" s="270" t="str">
        <f>Asset13</f>
        <v>Land</v>
      </c>
      <c r="E451" s="9"/>
      <c r="F451" s="9"/>
      <c r="G451" s="9"/>
      <c r="H451" s="9"/>
      <c r="I451" s="9"/>
      <c r="J451" s="9"/>
      <c r="K451" s="9"/>
      <c r="L451" s="111">
        <f t="shared" si="23"/>
        <v>0</v>
      </c>
      <c r="M451" s="331">
        <f t="shared" si="22"/>
        <v>110.80555049402327</v>
      </c>
      <c r="N451" s="111">
        <f t="shared" si="23"/>
        <v>0</v>
      </c>
      <c r="O451" s="111">
        <f t="shared" si="23"/>
        <v>0</v>
      </c>
      <c r="P451" s="111">
        <f t="shared" si="23"/>
        <v>0</v>
      </c>
      <c r="Q451" s="111">
        <f t="shared" si="23"/>
        <v>0</v>
      </c>
      <c r="R451" s="9"/>
      <c r="S451" s="9"/>
      <c r="T451" s="9"/>
      <c r="U451" s="9"/>
      <c r="V451" s="9"/>
      <c r="W451" s="9"/>
      <c r="X451" s="9"/>
      <c r="Y451" s="9"/>
      <c r="Z451" s="9"/>
      <c r="AB451" s="198"/>
      <c r="AC451" s="198"/>
      <c r="AD451" s="198"/>
      <c r="AE451" s="198"/>
      <c r="AF451" s="198"/>
      <c r="AG451" s="198"/>
      <c r="AH451" s="198"/>
      <c r="AI451" s="198"/>
      <c r="AJ451" s="198"/>
      <c r="AK451" s="198"/>
      <c r="AL451" s="198"/>
      <c r="AM451" s="198"/>
      <c r="AN451" s="198"/>
      <c r="AO451" s="198"/>
      <c r="AP451" s="198"/>
      <c r="AQ451" s="198"/>
      <c r="AR451" s="198"/>
      <c r="AS451" s="198"/>
      <c r="AT451" s="198"/>
      <c r="AU451" s="198"/>
      <c r="AV451" s="198"/>
      <c r="AW451" s="198"/>
      <c r="AX451" s="198"/>
      <c r="AY451" s="198"/>
      <c r="AZ451" s="198"/>
      <c r="BA451" s="198"/>
      <c r="BB451" s="198"/>
      <c r="BC451" s="198"/>
      <c r="BD451" s="198"/>
      <c r="BE451" s="198"/>
      <c r="BF451" s="198"/>
      <c r="BG451" s="198"/>
      <c r="BH451" s="198"/>
      <c r="BI451" s="198"/>
      <c r="BJ451" s="198"/>
      <c r="BK451" s="198"/>
      <c r="BL451" s="198"/>
    </row>
    <row r="452" spans="1:64" hidden="1" outlineLevel="1">
      <c r="A452" s="9"/>
      <c r="B452" s="9"/>
      <c r="C452" s="9"/>
      <c r="D452" s="270" t="str">
        <f>Asset14</f>
        <v>Easements</v>
      </c>
      <c r="E452" s="9"/>
      <c r="F452" s="9"/>
      <c r="G452" s="9"/>
      <c r="H452" s="9"/>
      <c r="I452" s="9"/>
      <c r="J452" s="9"/>
      <c r="K452" s="9"/>
      <c r="L452" s="111">
        <f t="shared" si="23"/>
        <v>0</v>
      </c>
      <c r="M452" s="331">
        <f t="shared" si="22"/>
        <v>127.92240495514515</v>
      </c>
      <c r="N452" s="111">
        <f t="shared" si="23"/>
        <v>0</v>
      </c>
      <c r="O452" s="111">
        <f t="shared" si="23"/>
        <v>0</v>
      </c>
      <c r="P452" s="111">
        <f t="shared" si="23"/>
        <v>0</v>
      </c>
      <c r="Q452" s="111">
        <f t="shared" si="23"/>
        <v>0</v>
      </c>
      <c r="R452" s="9"/>
      <c r="S452" s="9"/>
      <c r="T452" s="9"/>
      <c r="U452" s="9"/>
      <c r="V452" s="9"/>
      <c r="W452" s="9"/>
      <c r="X452" s="9"/>
      <c r="Y452" s="9"/>
      <c r="Z452" s="9"/>
      <c r="AB452" s="198"/>
      <c r="AC452" s="198"/>
      <c r="AD452" s="198"/>
      <c r="AE452" s="198"/>
      <c r="AF452" s="198"/>
      <c r="AG452" s="198"/>
      <c r="AH452" s="198"/>
      <c r="AI452" s="198"/>
      <c r="AJ452" s="198"/>
      <c r="AK452" s="198"/>
      <c r="AL452" s="198"/>
      <c r="AM452" s="198"/>
      <c r="AN452" s="198"/>
      <c r="AO452" s="198"/>
      <c r="AP452" s="198"/>
      <c r="AQ452" s="198"/>
      <c r="AR452" s="198"/>
      <c r="AS452" s="198"/>
      <c r="AT452" s="198"/>
      <c r="AU452" s="198"/>
      <c r="AV452" s="198"/>
      <c r="AW452" s="198"/>
      <c r="AX452" s="198"/>
      <c r="AY452" s="198"/>
      <c r="AZ452" s="198"/>
      <c r="BA452" s="198"/>
      <c r="BB452" s="198"/>
      <c r="BC452" s="198"/>
      <c r="BD452" s="198"/>
      <c r="BE452" s="198"/>
      <c r="BF452" s="198"/>
      <c r="BG452" s="198"/>
      <c r="BH452" s="198"/>
      <c r="BI452" s="198"/>
      <c r="BJ452" s="198"/>
      <c r="BK452" s="198"/>
      <c r="BL452" s="198"/>
    </row>
    <row r="453" spans="1:64" hidden="1" outlineLevel="1">
      <c r="A453" s="9"/>
      <c r="B453" s="9"/>
      <c r="C453" s="9"/>
      <c r="D453" s="270">
        <f>Asset15</f>
        <v>0</v>
      </c>
      <c r="E453" s="9"/>
      <c r="F453" s="9"/>
      <c r="G453" s="9"/>
      <c r="H453" s="9"/>
      <c r="I453" s="9"/>
      <c r="J453" s="9"/>
      <c r="K453" s="9"/>
      <c r="L453" s="111">
        <f t="shared" si="23"/>
        <v>0</v>
      </c>
      <c r="M453" s="111">
        <f t="shared" si="22"/>
        <v>0</v>
      </c>
      <c r="N453" s="111">
        <f t="shared" si="23"/>
        <v>0</v>
      </c>
      <c r="O453" s="111">
        <f t="shared" si="23"/>
        <v>0</v>
      </c>
      <c r="P453" s="111">
        <f t="shared" si="23"/>
        <v>0</v>
      </c>
      <c r="Q453" s="111">
        <f t="shared" si="23"/>
        <v>0</v>
      </c>
      <c r="R453" s="9"/>
      <c r="S453" s="9"/>
      <c r="T453" s="9"/>
      <c r="U453" s="9"/>
      <c r="V453" s="9"/>
      <c r="W453" s="9"/>
      <c r="X453" s="9"/>
      <c r="Y453" s="9"/>
      <c r="Z453" s="9"/>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c r="AX453" s="198"/>
      <c r="AY453" s="198"/>
      <c r="AZ453" s="198"/>
      <c r="BA453" s="198"/>
      <c r="BB453" s="198"/>
      <c r="BC453" s="198"/>
      <c r="BD453" s="198"/>
      <c r="BE453" s="198"/>
      <c r="BF453" s="198"/>
      <c r="BG453" s="198"/>
      <c r="BH453" s="198"/>
      <c r="BI453" s="198"/>
      <c r="BJ453" s="198"/>
      <c r="BK453" s="198"/>
      <c r="BL453" s="198"/>
    </row>
    <row r="454" spans="1:64" hidden="1" outlineLevel="1">
      <c r="A454" s="9"/>
      <c r="B454" s="9"/>
      <c r="C454" s="9"/>
      <c r="D454" s="270">
        <f>Asset16</f>
        <v>0</v>
      </c>
      <c r="E454" s="9"/>
      <c r="F454" s="9"/>
      <c r="G454" s="9"/>
      <c r="H454" s="9"/>
      <c r="I454" s="9"/>
      <c r="J454" s="9"/>
      <c r="K454" s="9"/>
      <c r="L454" s="111">
        <f t="shared" si="23"/>
        <v>0</v>
      </c>
      <c r="M454" s="111">
        <f t="shared" si="22"/>
        <v>0</v>
      </c>
      <c r="N454" s="111">
        <f t="shared" si="23"/>
        <v>0</v>
      </c>
      <c r="O454" s="111">
        <f t="shared" si="23"/>
        <v>0</v>
      </c>
      <c r="P454" s="111">
        <f t="shared" si="23"/>
        <v>0</v>
      </c>
      <c r="Q454" s="111">
        <f t="shared" si="23"/>
        <v>0</v>
      </c>
      <c r="R454" s="9"/>
      <c r="S454" s="9"/>
      <c r="T454" s="9"/>
      <c r="U454" s="9"/>
      <c r="V454" s="9"/>
      <c r="W454" s="9"/>
      <c r="X454" s="9"/>
      <c r="Y454" s="9"/>
      <c r="Z454" s="9"/>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c r="AX454" s="198"/>
      <c r="AY454" s="198"/>
      <c r="AZ454" s="198"/>
      <c r="BA454" s="198"/>
      <c r="BB454" s="198"/>
      <c r="BC454" s="198"/>
      <c r="BD454" s="198"/>
      <c r="BE454" s="198"/>
      <c r="BF454" s="198"/>
      <c r="BG454" s="198"/>
      <c r="BH454" s="198"/>
      <c r="BI454" s="198"/>
      <c r="BJ454" s="198"/>
      <c r="BK454" s="198"/>
      <c r="BL454" s="198"/>
    </row>
    <row r="455" spans="1:64" hidden="1" outlineLevel="1">
      <c r="A455" s="9"/>
      <c r="B455" s="9"/>
      <c r="C455" s="9"/>
      <c r="D455" s="270">
        <f>Asset17</f>
        <v>0</v>
      </c>
      <c r="E455" s="9"/>
      <c r="F455" s="9"/>
      <c r="G455" s="9"/>
      <c r="H455" s="9"/>
      <c r="I455" s="9"/>
      <c r="J455" s="9"/>
      <c r="K455" s="9"/>
      <c r="L455" s="111">
        <f t="shared" si="23"/>
        <v>0</v>
      </c>
      <c r="M455" s="111">
        <f t="shared" si="22"/>
        <v>0</v>
      </c>
      <c r="N455" s="111">
        <f t="shared" si="23"/>
        <v>0</v>
      </c>
      <c r="O455" s="111">
        <f t="shared" si="23"/>
        <v>0</v>
      </c>
      <c r="P455" s="111">
        <f t="shared" si="23"/>
        <v>0</v>
      </c>
      <c r="Q455" s="111">
        <f t="shared" si="23"/>
        <v>0</v>
      </c>
      <c r="R455" s="9"/>
      <c r="S455" s="9"/>
      <c r="T455" s="9"/>
      <c r="U455" s="9"/>
      <c r="V455" s="9"/>
      <c r="W455" s="9"/>
      <c r="X455" s="9"/>
      <c r="Y455" s="9"/>
      <c r="Z455" s="9"/>
      <c r="AB455" s="198"/>
      <c r="AC455" s="198"/>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L455" s="198"/>
    </row>
    <row r="456" spans="1:64" hidden="1" outlineLevel="1">
      <c r="A456" s="9"/>
      <c r="B456" s="9"/>
      <c r="C456" s="9"/>
      <c r="D456" s="270">
        <f>Asset18</f>
        <v>0</v>
      </c>
      <c r="E456" s="9"/>
      <c r="F456" s="9"/>
      <c r="G456" s="9"/>
      <c r="H456" s="9"/>
      <c r="I456" s="9"/>
      <c r="J456" s="9"/>
      <c r="K456" s="9"/>
      <c r="L456" s="111">
        <f t="shared" si="23"/>
        <v>0</v>
      </c>
      <c r="M456" s="111">
        <f t="shared" si="22"/>
        <v>0</v>
      </c>
      <c r="N456" s="111">
        <f t="shared" si="23"/>
        <v>0</v>
      </c>
      <c r="O456" s="111">
        <f t="shared" si="23"/>
        <v>0</v>
      </c>
      <c r="P456" s="111">
        <f t="shared" si="23"/>
        <v>0</v>
      </c>
      <c r="Q456" s="111">
        <f t="shared" si="23"/>
        <v>0</v>
      </c>
      <c r="R456" s="9"/>
      <c r="S456" s="9"/>
      <c r="T456" s="9"/>
      <c r="U456" s="9"/>
      <c r="V456" s="9"/>
      <c r="W456" s="9"/>
      <c r="X456" s="9"/>
      <c r="Y456" s="9"/>
      <c r="Z456" s="9"/>
      <c r="AB456" s="198"/>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L456" s="198"/>
    </row>
    <row r="457" spans="1:64" hidden="1" outlineLevel="1">
      <c r="A457" s="9"/>
      <c r="B457" s="9"/>
      <c r="C457" s="9"/>
      <c r="D457" s="270">
        <f>Asset19</f>
        <v>0</v>
      </c>
      <c r="E457" s="9"/>
      <c r="F457" s="9"/>
      <c r="G457" s="9"/>
      <c r="H457" s="9"/>
      <c r="I457" s="9"/>
      <c r="J457" s="9"/>
      <c r="K457" s="9"/>
      <c r="L457" s="111">
        <f t="shared" si="23"/>
        <v>0</v>
      </c>
      <c r="M457" s="111">
        <f t="shared" si="22"/>
        <v>0</v>
      </c>
      <c r="N457" s="111">
        <f t="shared" si="23"/>
        <v>0</v>
      </c>
      <c r="O457" s="111">
        <f t="shared" si="23"/>
        <v>0</v>
      </c>
      <c r="P457" s="111">
        <f t="shared" si="23"/>
        <v>0</v>
      </c>
      <c r="Q457" s="111">
        <f t="shared" si="23"/>
        <v>0</v>
      </c>
      <c r="R457" s="9"/>
      <c r="S457" s="9"/>
      <c r="T457" s="9"/>
      <c r="U457" s="9"/>
      <c r="V457" s="9"/>
      <c r="W457" s="9"/>
      <c r="X457" s="9"/>
      <c r="Y457" s="9"/>
      <c r="Z457" s="9"/>
      <c r="AB457" s="198"/>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L457" s="198"/>
    </row>
    <row r="458" spans="1:64" hidden="1" outlineLevel="1">
      <c r="A458" s="9"/>
      <c r="B458" s="9"/>
      <c r="C458" s="9"/>
      <c r="D458" s="270">
        <f>Asset20</f>
        <v>0</v>
      </c>
      <c r="E458" s="9"/>
      <c r="F458" s="9"/>
      <c r="G458" s="9"/>
      <c r="H458" s="9"/>
      <c r="I458" s="9"/>
      <c r="J458" s="9"/>
      <c r="K458" s="9"/>
      <c r="L458" s="111">
        <f t="shared" si="23"/>
        <v>0</v>
      </c>
      <c r="M458" s="111">
        <f t="shared" si="23"/>
        <v>0</v>
      </c>
      <c r="N458" s="111">
        <f t="shared" si="23"/>
        <v>0</v>
      </c>
      <c r="O458" s="111">
        <f t="shared" si="23"/>
        <v>0</v>
      </c>
      <c r="P458" s="111">
        <f t="shared" si="23"/>
        <v>0</v>
      </c>
      <c r="Q458" s="111">
        <f t="shared" si="23"/>
        <v>0</v>
      </c>
      <c r="R458" s="9"/>
      <c r="S458" s="9"/>
      <c r="T458" s="9"/>
      <c r="U458" s="9"/>
      <c r="V458" s="9"/>
      <c r="W458" s="9"/>
      <c r="X458" s="9"/>
      <c r="Y458" s="9"/>
      <c r="Z458" s="9"/>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198"/>
      <c r="BL458" s="198"/>
    </row>
    <row r="459" spans="1:64" hidden="1" outlineLevel="1">
      <c r="A459" s="9"/>
      <c r="B459" s="9"/>
      <c r="C459" s="9"/>
      <c r="D459" s="270">
        <f>Asset21</f>
        <v>0</v>
      </c>
      <c r="E459" s="9"/>
      <c r="F459" s="9"/>
      <c r="G459" s="9"/>
      <c r="H459" s="9"/>
      <c r="I459" s="9"/>
      <c r="J459" s="9"/>
      <c r="K459" s="9"/>
      <c r="L459" s="111">
        <f t="shared" ref="L459:Q468" si="24">IF(M$234=0, L255+L287+L319+L351+L383, 0)</f>
        <v>0</v>
      </c>
      <c r="M459" s="111">
        <f t="shared" si="24"/>
        <v>0</v>
      </c>
      <c r="N459" s="111">
        <f t="shared" si="24"/>
        <v>0</v>
      </c>
      <c r="O459" s="111">
        <f t="shared" si="24"/>
        <v>0</v>
      </c>
      <c r="P459" s="111">
        <f t="shared" si="24"/>
        <v>0</v>
      </c>
      <c r="Q459" s="111">
        <f t="shared" si="24"/>
        <v>0</v>
      </c>
      <c r="R459" s="9"/>
      <c r="S459" s="9"/>
      <c r="T459" s="9"/>
      <c r="U459" s="9"/>
      <c r="V459" s="9"/>
      <c r="W459" s="9"/>
      <c r="X459" s="9"/>
      <c r="Y459" s="9"/>
      <c r="Z459" s="9"/>
      <c r="AB459" s="198"/>
      <c r="AC459" s="198"/>
      <c r="AD459" s="198"/>
      <c r="AE459" s="198"/>
      <c r="AF459" s="198"/>
      <c r="AG459" s="198"/>
      <c r="AH459" s="198"/>
      <c r="AI459" s="198"/>
      <c r="AJ459" s="198"/>
      <c r="AK459" s="198"/>
      <c r="AL459" s="198"/>
      <c r="AM459" s="198"/>
      <c r="AN459" s="198"/>
      <c r="AO459" s="198"/>
      <c r="AP459" s="198"/>
      <c r="AQ459" s="198"/>
      <c r="AR459" s="198"/>
      <c r="AS459" s="198"/>
      <c r="AT459" s="198"/>
      <c r="AU459" s="198"/>
      <c r="AV459" s="198"/>
      <c r="AW459" s="198"/>
      <c r="AX459" s="198"/>
      <c r="AY459" s="198"/>
      <c r="AZ459" s="198"/>
      <c r="BA459" s="198"/>
      <c r="BB459" s="198"/>
      <c r="BC459" s="198"/>
      <c r="BD459" s="198"/>
      <c r="BE459" s="198"/>
      <c r="BF459" s="198"/>
      <c r="BG459" s="198"/>
      <c r="BH459" s="198"/>
      <c r="BI459" s="198"/>
      <c r="BJ459" s="198"/>
      <c r="BK459" s="198"/>
      <c r="BL459" s="198"/>
    </row>
    <row r="460" spans="1:64" hidden="1" outlineLevel="1">
      <c r="A460" s="9"/>
      <c r="B460" s="9"/>
      <c r="C460" s="9"/>
      <c r="D460" s="270">
        <f>Asset22</f>
        <v>0</v>
      </c>
      <c r="E460" s="9"/>
      <c r="F460" s="9"/>
      <c r="G460" s="9"/>
      <c r="H460" s="9"/>
      <c r="I460" s="9"/>
      <c r="J460" s="9"/>
      <c r="K460" s="9"/>
      <c r="L460" s="111">
        <f t="shared" si="24"/>
        <v>0</v>
      </c>
      <c r="M460" s="111">
        <f t="shared" si="24"/>
        <v>0</v>
      </c>
      <c r="N460" s="111">
        <f t="shared" si="24"/>
        <v>0</v>
      </c>
      <c r="O460" s="111">
        <f t="shared" si="24"/>
        <v>0</v>
      </c>
      <c r="P460" s="111">
        <f t="shared" si="24"/>
        <v>0</v>
      </c>
      <c r="Q460" s="111">
        <f t="shared" si="24"/>
        <v>0</v>
      </c>
      <c r="R460" s="9"/>
      <c r="S460" s="9"/>
      <c r="T460" s="9"/>
      <c r="U460" s="9"/>
      <c r="V460" s="9"/>
      <c r="W460" s="9"/>
      <c r="X460" s="9"/>
      <c r="Y460" s="9"/>
      <c r="Z460" s="9"/>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c r="AX460" s="198"/>
      <c r="AY460" s="198"/>
      <c r="AZ460" s="198"/>
      <c r="BA460" s="198"/>
      <c r="BB460" s="198"/>
      <c r="BC460" s="198"/>
      <c r="BD460" s="198"/>
      <c r="BE460" s="198"/>
      <c r="BF460" s="198"/>
      <c r="BG460" s="198"/>
      <c r="BH460" s="198"/>
      <c r="BI460" s="198"/>
      <c r="BJ460" s="198"/>
      <c r="BK460" s="198"/>
      <c r="BL460" s="198"/>
    </row>
    <row r="461" spans="1:64" hidden="1" outlineLevel="1">
      <c r="A461" s="9"/>
      <c r="B461" s="9"/>
      <c r="C461" s="9"/>
      <c r="D461" s="270">
        <f>Asset23</f>
        <v>0</v>
      </c>
      <c r="E461" s="9"/>
      <c r="F461" s="9"/>
      <c r="G461" s="9"/>
      <c r="H461" s="9"/>
      <c r="I461" s="9"/>
      <c r="J461" s="9"/>
      <c r="K461" s="9"/>
      <c r="L461" s="111">
        <f t="shared" si="24"/>
        <v>0</v>
      </c>
      <c r="M461" s="111">
        <f t="shared" si="24"/>
        <v>0</v>
      </c>
      <c r="N461" s="111">
        <f t="shared" si="24"/>
        <v>0</v>
      </c>
      <c r="O461" s="111">
        <f t="shared" si="24"/>
        <v>0</v>
      </c>
      <c r="P461" s="111">
        <f t="shared" si="24"/>
        <v>0</v>
      </c>
      <c r="Q461" s="111">
        <f t="shared" si="24"/>
        <v>0</v>
      </c>
      <c r="R461" s="9"/>
      <c r="S461" s="9"/>
      <c r="T461" s="9"/>
      <c r="U461" s="9"/>
      <c r="V461" s="9"/>
      <c r="W461" s="9"/>
      <c r="X461" s="9"/>
      <c r="Y461" s="9"/>
      <c r="Z461" s="9"/>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c r="AX461" s="198"/>
      <c r="AY461" s="198"/>
      <c r="AZ461" s="198"/>
      <c r="BA461" s="198"/>
      <c r="BB461" s="198"/>
      <c r="BC461" s="198"/>
      <c r="BD461" s="198"/>
      <c r="BE461" s="198"/>
      <c r="BF461" s="198"/>
      <c r="BG461" s="198"/>
      <c r="BH461" s="198"/>
      <c r="BI461" s="198"/>
      <c r="BJ461" s="198"/>
      <c r="BK461" s="198"/>
      <c r="BL461" s="198"/>
    </row>
    <row r="462" spans="1:64" hidden="1" outlineLevel="1">
      <c r="A462" s="9"/>
      <c r="B462" s="9"/>
      <c r="C462" s="9"/>
      <c r="D462" s="270">
        <f>Asset24</f>
        <v>0</v>
      </c>
      <c r="E462" s="9"/>
      <c r="F462" s="9"/>
      <c r="G462" s="9"/>
      <c r="H462" s="9"/>
      <c r="I462" s="9"/>
      <c r="J462" s="9"/>
      <c r="K462" s="9"/>
      <c r="L462" s="111">
        <f t="shared" si="24"/>
        <v>0</v>
      </c>
      <c r="M462" s="111">
        <f t="shared" si="24"/>
        <v>0</v>
      </c>
      <c r="N462" s="111">
        <f t="shared" si="24"/>
        <v>0</v>
      </c>
      <c r="O462" s="111">
        <f t="shared" si="24"/>
        <v>0</v>
      </c>
      <c r="P462" s="111">
        <f t="shared" si="24"/>
        <v>0</v>
      </c>
      <c r="Q462" s="111">
        <f t="shared" si="24"/>
        <v>0</v>
      </c>
      <c r="R462" s="9"/>
      <c r="S462" s="9"/>
      <c r="T462" s="9"/>
      <c r="U462" s="9"/>
      <c r="V462" s="9"/>
      <c r="W462" s="9"/>
      <c r="X462" s="9"/>
      <c r="Y462" s="9"/>
      <c r="Z462" s="9"/>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row>
    <row r="463" spans="1:64" hidden="1" outlineLevel="1">
      <c r="A463" s="9"/>
      <c r="B463" s="9"/>
      <c r="C463" s="9"/>
      <c r="D463" s="270">
        <f>Asset25</f>
        <v>0</v>
      </c>
      <c r="E463" s="9"/>
      <c r="F463" s="9"/>
      <c r="G463" s="9"/>
      <c r="H463" s="9"/>
      <c r="I463" s="9"/>
      <c r="J463" s="9"/>
      <c r="K463" s="9"/>
      <c r="L463" s="111">
        <f t="shared" si="24"/>
        <v>0</v>
      </c>
      <c r="M463" s="111">
        <f t="shared" si="24"/>
        <v>0</v>
      </c>
      <c r="N463" s="111">
        <f t="shared" si="24"/>
        <v>0</v>
      </c>
      <c r="O463" s="111">
        <f t="shared" si="24"/>
        <v>0</v>
      </c>
      <c r="P463" s="111">
        <f t="shared" si="24"/>
        <v>0</v>
      </c>
      <c r="Q463" s="111">
        <f t="shared" si="24"/>
        <v>0</v>
      </c>
      <c r="R463" s="9"/>
      <c r="S463" s="9"/>
      <c r="T463" s="9"/>
      <c r="U463" s="9"/>
      <c r="V463" s="9"/>
      <c r="W463" s="9"/>
      <c r="X463" s="9"/>
      <c r="Y463" s="9"/>
      <c r="Z463" s="9"/>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row>
    <row r="464" spans="1:64" hidden="1" outlineLevel="1">
      <c r="A464" s="9"/>
      <c r="B464" s="9"/>
      <c r="C464" s="9"/>
      <c r="D464" s="270">
        <f>Asset26</f>
        <v>0</v>
      </c>
      <c r="E464" s="9"/>
      <c r="F464" s="9"/>
      <c r="G464" s="9"/>
      <c r="H464" s="9"/>
      <c r="I464" s="9"/>
      <c r="J464" s="9"/>
      <c r="K464" s="9"/>
      <c r="L464" s="111">
        <f t="shared" si="24"/>
        <v>0</v>
      </c>
      <c r="M464" s="111">
        <f t="shared" si="24"/>
        <v>0</v>
      </c>
      <c r="N464" s="111">
        <f t="shared" si="24"/>
        <v>0</v>
      </c>
      <c r="O464" s="111">
        <f t="shared" si="24"/>
        <v>0</v>
      </c>
      <c r="P464" s="111">
        <f t="shared" si="24"/>
        <v>0</v>
      </c>
      <c r="Q464" s="111">
        <f t="shared" si="24"/>
        <v>0</v>
      </c>
      <c r="R464" s="9"/>
      <c r="S464" s="9"/>
      <c r="T464" s="9"/>
      <c r="U464" s="9"/>
      <c r="V464" s="9"/>
      <c r="W464" s="9"/>
      <c r="X464" s="9"/>
      <c r="Y464" s="9"/>
      <c r="Z464" s="9"/>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row>
    <row r="465" spans="1:256" hidden="1" outlineLevel="1">
      <c r="A465" s="9"/>
      <c r="B465" s="9"/>
      <c r="C465" s="9"/>
      <c r="D465" s="270">
        <f>Asset27</f>
        <v>0</v>
      </c>
      <c r="E465" s="9"/>
      <c r="F465" s="9"/>
      <c r="G465" s="9"/>
      <c r="H465" s="9"/>
      <c r="I465" s="9"/>
      <c r="J465" s="9"/>
      <c r="K465" s="9"/>
      <c r="L465" s="111">
        <f t="shared" si="24"/>
        <v>0</v>
      </c>
      <c r="M465" s="111">
        <f t="shared" si="24"/>
        <v>0</v>
      </c>
      <c r="N465" s="111">
        <f t="shared" si="24"/>
        <v>0</v>
      </c>
      <c r="O465" s="111">
        <f t="shared" si="24"/>
        <v>0</v>
      </c>
      <c r="P465" s="111">
        <f t="shared" si="24"/>
        <v>0</v>
      </c>
      <c r="Q465" s="111">
        <f t="shared" si="24"/>
        <v>0</v>
      </c>
      <c r="R465" s="9"/>
      <c r="S465" s="9"/>
      <c r="T465" s="9"/>
      <c r="U465" s="9"/>
      <c r="V465" s="9"/>
      <c r="W465" s="9"/>
      <c r="X465" s="9"/>
      <c r="Y465" s="9"/>
      <c r="Z465" s="9"/>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row>
    <row r="466" spans="1:256" hidden="1" outlineLevel="1">
      <c r="A466" s="9"/>
      <c r="B466" s="9"/>
      <c r="C466" s="9"/>
      <c r="D466" s="270">
        <f>Asset28</f>
        <v>0</v>
      </c>
      <c r="E466" s="9"/>
      <c r="F466" s="9"/>
      <c r="G466" s="9"/>
      <c r="H466" s="9"/>
      <c r="I466" s="9"/>
      <c r="J466" s="9"/>
      <c r="K466" s="9"/>
      <c r="L466" s="111">
        <f t="shared" si="24"/>
        <v>0</v>
      </c>
      <c r="M466" s="111">
        <f t="shared" si="24"/>
        <v>0</v>
      </c>
      <c r="N466" s="111">
        <f t="shared" si="24"/>
        <v>0</v>
      </c>
      <c r="O466" s="111">
        <f t="shared" si="24"/>
        <v>0</v>
      </c>
      <c r="P466" s="111">
        <f t="shared" si="24"/>
        <v>0</v>
      </c>
      <c r="Q466" s="111">
        <f t="shared" si="24"/>
        <v>0</v>
      </c>
      <c r="R466" s="9"/>
      <c r="S466" s="9"/>
      <c r="T466" s="9"/>
      <c r="U466" s="9"/>
      <c r="V466" s="9"/>
      <c r="W466" s="9"/>
      <c r="X466" s="9"/>
      <c r="Y466" s="9"/>
      <c r="Z466" s="9"/>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row>
    <row r="467" spans="1:256" hidden="1" outlineLevel="1">
      <c r="A467" s="9"/>
      <c r="B467" s="9"/>
      <c r="C467" s="9"/>
      <c r="D467" s="270">
        <f>Asset29</f>
        <v>0</v>
      </c>
      <c r="E467" s="9"/>
      <c r="F467" s="9"/>
      <c r="G467" s="9"/>
      <c r="H467" s="9"/>
      <c r="I467" s="9"/>
      <c r="J467" s="9"/>
      <c r="K467" s="9"/>
      <c r="L467" s="111">
        <f t="shared" si="24"/>
        <v>0</v>
      </c>
      <c r="M467" s="111">
        <f t="shared" si="24"/>
        <v>0</v>
      </c>
      <c r="N467" s="111">
        <f t="shared" si="24"/>
        <v>0</v>
      </c>
      <c r="O467" s="111">
        <f t="shared" si="24"/>
        <v>0</v>
      </c>
      <c r="P467" s="111">
        <f t="shared" si="24"/>
        <v>0</v>
      </c>
      <c r="Q467" s="111">
        <f t="shared" si="24"/>
        <v>0</v>
      </c>
      <c r="R467" s="9"/>
      <c r="S467" s="9"/>
      <c r="T467" s="9"/>
      <c r="U467" s="9"/>
      <c r="V467" s="9"/>
      <c r="W467" s="9"/>
      <c r="X467" s="9"/>
      <c r="Y467" s="9"/>
      <c r="Z467" s="9"/>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row>
    <row r="468" spans="1:256" hidden="1" outlineLevel="1">
      <c r="B468" s="9"/>
      <c r="C468" s="9"/>
      <c r="D468" s="270">
        <f>Asset30</f>
        <v>0</v>
      </c>
      <c r="E468" s="9"/>
      <c r="F468" s="9"/>
      <c r="G468" s="9"/>
      <c r="H468" s="9"/>
      <c r="I468" s="9"/>
      <c r="J468" s="9"/>
      <c r="K468" s="9"/>
      <c r="L468" s="111">
        <f t="shared" si="24"/>
        <v>0</v>
      </c>
      <c r="M468" s="111">
        <f t="shared" si="24"/>
        <v>0</v>
      </c>
      <c r="N468" s="111">
        <f t="shared" si="24"/>
        <v>0</v>
      </c>
      <c r="O468" s="111">
        <f t="shared" si="24"/>
        <v>0</v>
      </c>
      <c r="P468" s="111">
        <f t="shared" si="24"/>
        <v>0</v>
      </c>
      <c r="Q468" s="111">
        <f t="shared" si="24"/>
        <v>0</v>
      </c>
      <c r="R468" s="9"/>
      <c r="S468" s="9"/>
      <c r="T468" s="9"/>
      <c r="U468" s="9"/>
      <c r="V468" s="9"/>
      <c r="W468" s="9"/>
      <c r="X468" s="9"/>
      <c r="Y468" s="9"/>
      <c r="Z468" s="9"/>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row>
    <row r="469" spans="1:256" collapsed="1">
      <c r="A469" s="9"/>
      <c r="B469" s="9"/>
      <c r="C469" s="9"/>
      <c r="D469" s="9"/>
      <c r="E469" s="9"/>
      <c r="F469" s="9"/>
      <c r="G469" s="9"/>
      <c r="H469" s="9"/>
      <c r="I469" s="9"/>
      <c r="J469" s="9"/>
      <c r="K469" s="9"/>
      <c r="L469" s="9"/>
      <c r="M469" s="35"/>
      <c r="N469" s="9"/>
      <c r="O469" s="9"/>
      <c r="P469" s="9"/>
      <c r="Q469" s="9"/>
      <c r="R469" s="9"/>
      <c r="S469" s="9"/>
      <c r="T469" s="9"/>
      <c r="U469" s="9"/>
      <c r="V469" s="9"/>
      <c r="W469" s="9"/>
      <c r="X469" s="9"/>
      <c r="Y469" s="9"/>
      <c r="Z469" s="9"/>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row>
    <row r="470" spans="1:256">
      <c r="A470" s="74"/>
      <c r="B470" s="74"/>
      <c r="C470" s="81" t="s">
        <v>97</v>
      </c>
      <c r="D470" s="74"/>
      <c r="E470" s="74"/>
      <c r="F470" s="74"/>
      <c r="G470" s="74"/>
      <c r="H470" s="74"/>
      <c r="I470" s="74"/>
      <c r="J470" s="74"/>
      <c r="K470" s="74"/>
      <c r="L470" s="74"/>
      <c r="M470" s="74"/>
      <c r="N470" s="74"/>
      <c r="O470" s="74"/>
      <c r="P470" s="74"/>
      <c r="Q470" s="74"/>
      <c r="R470" s="74"/>
      <c r="S470" s="9"/>
      <c r="T470" s="9"/>
      <c r="U470" s="9"/>
      <c r="V470" s="9"/>
      <c r="W470" s="9"/>
      <c r="X470" s="9"/>
      <c r="Y470" s="9"/>
      <c r="Z470" s="9"/>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row>
    <row r="471" spans="1:256" s="24" customForma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214"/>
      <c r="AB471" s="214"/>
      <c r="AC471" s="214"/>
      <c r="AD471" s="214"/>
      <c r="AE471" s="214"/>
      <c r="AF471" s="214"/>
      <c r="AG471" s="214"/>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c r="BI471" s="214"/>
      <c r="BJ471" s="214"/>
      <c r="BK471" s="221"/>
      <c r="BL471" s="22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c r="A472" s="9"/>
      <c r="B472" s="9"/>
      <c r="C472" s="44" t="s">
        <v>86</v>
      </c>
      <c r="D472" s="9"/>
      <c r="E472" s="9"/>
      <c r="F472" s="9"/>
      <c r="G472" s="309">
        <f>SUM(G473:G502)</f>
        <v>1956.232102585243</v>
      </c>
      <c r="H472" s="330">
        <f>SUM(H473:H502)</f>
        <v>2174.1990292795417</v>
      </c>
      <c r="I472" s="138">
        <f t="shared" ref="I472:P472" si="25">SUM(I473:I502)</f>
        <v>2188.4180220726726</v>
      </c>
      <c r="J472" s="138">
        <f t="shared" si="25"/>
        <v>2208.6910981523019</v>
      </c>
      <c r="K472" s="138">
        <f t="shared" si="25"/>
        <v>2258.8894557200347</v>
      </c>
      <c r="L472" s="138">
        <f t="shared" si="25"/>
        <v>2329.4712192319889</v>
      </c>
      <c r="M472" s="138">
        <f t="shared" si="25"/>
        <v>2396.4417657525819</v>
      </c>
      <c r="N472" s="138">
        <f t="shared" si="25"/>
        <v>0</v>
      </c>
      <c r="O472" s="138">
        <f t="shared" si="25"/>
        <v>0</v>
      </c>
      <c r="P472" s="138">
        <f t="shared" si="25"/>
        <v>0</v>
      </c>
      <c r="Q472" s="138">
        <f>SUM(Q473:Q502)</f>
        <v>0</v>
      </c>
      <c r="R472" s="138"/>
      <c r="S472" s="137"/>
      <c r="T472" s="137"/>
      <c r="U472" s="137"/>
      <c r="V472" s="137"/>
      <c r="W472" s="137"/>
      <c r="X472" s="137"/>
      <c r="Y472" s="137"/>
      <c r="Z472" s="13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1"/>
      <c r="BL472" s="221"/>
    </row>
    <row r="473" spans="1:256" hidden="1" outlineLevel="1">
      <c r="A473" s="9"/>
      <c r="B473" s="9"/>
      <c r="C473" s="9"/>
      <c r="D473" s="270" t="str">
        <f>Asset1</f>
        <v>Secondary</v>
      </c>
      <c r="E473" s="9"/>
      <c r="F473" s="9"/>
      <c r="G473" s="201">
        <f>'Actual RAB roll forward'!G762</f>
        <v>132.02570901226696</v>
      </c>
      <c r="H473" s="331">
        <f t="shared" ref="H473:H502" si="26">G473+G505+G537+G569+G601+G633</f>
        <v>142.69945303295879</v>
      </c>
      <c r="I473" s="111">
        <f t="shared" ref="I473:M492" si="27">H473+H505+H537</f>
        <v>136.88118482617858</v>
      </c>
      <c r="J473" s="111">
        <f t="shared" si="27"/>
        <v>123.04315752119351</v>
      </c>
      <c r="K473" s="111">
        <f t="shared" si="27"/>
        <v>117.09868012573659</v>
      </c>
      <c r="L473" s="111">
        <f t="shared" si="27"/>
        <v>111.46950962105612</v>
      </c>
      <c r="M473" s="111">
        <f t="shared" si="27"/>
        <v>124.50563246040605</v>
      </c>
      <c r="N473" s="111">
        <f>IF(COUNT($H473:M473)&gt;=Input!$Y$7,0, M473+M505+M537)</f>
        <v>0</v>
      </c>
      <c r="O473" s="111">
        <f>IF(COUNT($H473:N473)&gt;=Input!$Y$7,0, N473+N505+N537)</f>
        <v>0</v>
      </c>
      <c r="P473" s="111">
        <f>IF(COUNT($H473:O473)&gt;=Input!$Y$7,0, O473+O505+O537)</f>
        <v>0</v>
      </c>
      <c r="Q473" s="111">
        <f>IF(COUNT($H473:P473)&gt;=Input!$Y$7,0, P473+P505+P537)</f>
        <v>0</v>
      </c>
      <c r="R473" s="111"/>
      <c r="S473" s="9"/>
      <c r="T473" s="9"/>
      <c r="U473" s="9"/>
      <c r="V473" s="9"/>
      <c r="W473" s="9"/>
      <c r="X473" s="9"/>
      <c r="Y473" s="9"/>
      <c r="Z473" s="9"/>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row>
    <row r="474" spans="1:256" hidden="1" outlineLevel="1">
      <c r="A474" s="9"/>
      <c r="B474" s="9"/>
      <c r="C474" s="44"/>
      <c r="D474" s="270" t="str">
        <f>Asset2</f>
        <v>Switchgear</v>
      </c>
      <c r="E474" s="9"/>
      <c r="F474" s="9"/>
      <c r="G474" s="201">
        <f>'Actual RAB roll forward'!G763</f>
        <v>248.91247950836242</v>
      </c>
      <c r="H474" s="331">
        <f t="shared" si="26"/>
        <v>350.07855548198643</v>
      </c>
      <c r="I474" s="111">
        <f t="shared" si="27"/>
        <v>351.33088925520093</v>
      </c>
      <c r="J474" s="111">
        <f t="shared" si="27"/>
        <v>367.05025443942549</v>
      </c>
      <c r="K474" s="111">
        <f t="shared" si="27"/>
        <v>407.88928570698135</v>
      </c>
      <c r="L474" s="111">
        <f t="shared" si="27"/>
        <v>433.30793982679143</v>
      </c>
      <c r="M474" s="111">
        <f t="shared" si="27"/>
        <v>448.40099269190864</v>
      </c>
      <c r="N474" s="111">
        <f>IF(COUNT($H474:M474)&gt;=Input!$Y$7,0, M474+M506+M538)</f>
        <v>0</v>
      </c>
      <c r="O474" s="111">
        <f>IF(COUNT($H474:N474)&gt;=Input!$Y$7,0, N474+N506+N538)</f>
        <v>0</v>
      </c>
      <c r="P474" s="111">
        <f>IF(COUNT($H474:O474)&gt;=Input!$Y$7,0, O474+O506+O538)</f>
        <v>0</v>
      </c>
      <c r="Q474" s="111">
        <f>IF(COUNT($H474:P474)&gt;=Input!$Y$7,0, P474+P506+P538)</f>
        <v>0</v>
      </c>
      <c r="R474" s="111"/>
      <c r="S474" s="100"/>
      <c r="T474" s="100"/>
      <c r="U474" s="100"/>
      <c r="V474" s="100"/>
      <c r="W474" s="100"/>
      <c r="X474" s="100"/>
      <c r="Y474" s="100"/>
      <c r="Z474" s="100"/>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228"/>
      <c r="BE474" s="228"/>
      <c r="BF474" s="228"/>
      <c r="BG474" s="228"/>
      <c r="BH474" s="228"/>
      <c r="BI474" s="228"/>
      <c r="BJ474" s="228"/>
      <c r="BK474" s="221"/>
      <c r="BL474" s="221"/>
    </row>
    <row r="475" spans="1:256" hidden="1" outlineLevel="1">
      <c r="A475" s="9"/>
      <c r="B475" s="9"/>
      <c r="C475" s="44"/>
      <c r="D475" s="270" t="str">
        <f>Asset3</f>
        <v>Transformers</v>
      </c>
      <c r="E475" s="9"/>
      <c r="F475" s="9"/>
      <c r="G475" s="201">
        <f>'Actual RAB roll forward'!G764</f>
        <v>154.11914424024289</v>
      </c>
      <c r="H475" s="331">
        <f t="shared" si="26"/>
        <v>167.05795975892104</v>
      </c>
      <c r="I475" s="111">
        <f t="shared" si="27"/>
        <v>165.27110976612846</v>
      </c>
      <c r="J475" s="111">
        <f t="shared" si="27"/>
        <v>161.55503903169989</v>
      </c>
      <c r="K475" s="111">
        <f t="shared" si="27"/>
        <v>163.14314219511803</v>
      </c>
      <c r="L475" s="111">
        <f t="shared" si="27"/>
        <v>163.02281205349976</v>
      </c>
      <c r="M475" s="111">
        <f t="shared" si="27"/>
        <v>177.13153613094568</v>
      </c>
      <c r="N475" s="111">
        <f>IF(COUNT($H475:M475)&gt;=Input!$Y$7,0, M475+M507+M539)</f>
        <v>0</v>
      </c>
      <c r="O475" s="111">
        <f>IF(COUNT($H475:N475)&gt;=Input!$Y$7,0, N475+N507+N539)</f>
        <v>0</v>
      </c>
      <c r="P475" s="111">
        <f>IF(COUNT($H475:O475)&gt;=Input!$Y$7,0, O475+O507+O539)</f>
        <v>0</v>
      </c>
      <c r="Q475" s="111">
        <f>IF(COUNT($H475:P475)&gt;=Input!$Y$7,0, P475+P507+P539)</f>
        <v>0</v>
      </c>
      <c r="R475" s="111"/>
      <c r="S475" s="100"/>
      <c r="T475" s="100"/>
      <c r="U475" s="100"/>
      <c r="V475" s="100"/>
      <c r="W475" s="100"/>
      <c r="X475" s="100"/>
      <c r="Y475" s="100"/>
      <c r="Z475" s="100"/>
      <c r="AA475" s="228"/>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228"/>
      <c r="BE475" s="228"/>
      <c r="BF475" s="228"/>
      <c r="BG475" s="228"/>
      <c r="BH475" s="228"/>
      <c r="BI475" s="228"/>
      <c r="BJ475" s="228"/>
      <c r="BK475" s="221"/>
      <c r="BL475" s="221"/>
    </row>
    <row r="476" spans="1:256" hidden="1" outlineLevel="1">
      <c r="A476" s="9"/>
      <c r="B476" s="9"/>
      <c r="C476" s="44"/>
      <c r="D476" s="270" t="str">
        <f>Asset4</f>
        <v>Reactive</v>
      </c>
      <c r="E476" s="9"/>
      <c r="F476" s="9"/>
      <c r="G476" s="201">
        <f>'Actual RAB roll forward'!G765</f>
        <v>83.253732687574384</v>
      </c>
      <c r="H476" s="331">
        <f t="shared" si="26"/>
        <v>87.678038523711535</v>
      </c>
      <c r="I476" s="111">
        <f t="shared" si="27"/>
        <v>86.477314202673952</v>
      </c>
      <c r="J476" s="111">
        <f t="shared" si="27"/>
        <v>84.726169853517902</v>
      </c>
      <c r="K476" s="111">
        <f t="shared" si="27"/>
        <v>82.299615372201401</v>
      </c>
      <c r="L476" s="111">
        <f t="shared" si="27"/>
        <v>80.552432754387993</v>
      </c>
      <c r="M476" s="111">
        <f t="shared" si="27"/>
        <v>78.298814085973845</v>
      </c>
      <c r="N476" s="111">
        <f>IF(COUNT($H476:M476)&gt;=Input!$Y$7,0, M476+M508+M540)</f>
        <v>0</v>
      </c>
      <c r="O476" s="111">
        <f>IF(COUNT($H476:N476)&gt;=Input!$Y$7,0, N476+N508+N540)</f>
        <v>0</v>
      </c>
      <c r="P476" s="111">
        <f>IF(COUNT($H476:O476)&gt;=Input!$Y$7,0, O476+O508+O540)</f>
        <v>0</v>
      </c>
      <c r="Q476" s="111">
        <f>IF(COUNT($H476:P476)&gt;=Input!$Y$7,0, P476+P508+P540)</f>
        <v>0</v>
      </c>
      <c r="R476" s="111"/>
      <c r="S476" s="100"/>
      <c r="T476" s="100"/>
      <c r="U476" s="100"/>
      <c r="V476" s="100"/>
      <c r="W476" s="100"/>
      <c r="X476" s="100"/>
      <c r="Y476" s="100"/>
      <c r="Z476" s="100"/>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228"/>
      <c r="BE476" s="228"/>
      <c r="BF476" s="228"/>
      <c r="BG476" s="228"/>
      <c r="BH476" s="228"/>
      <c r="BI476" s="228"/>
      <c r="BJ476" s="228"/>
      <c r="BK476" s="221"/>
      <c r="BL476" s="221"/>
    </row>
    <row r="477" spans="1:256" hidden="1" outlineLevel="1">
      <c r="A477" s="9"/>
      <c r="B477" s="9"/>
      <c r="C477" s="44"/>
      <c r="D477" s="270" t="str">
        <f>Asset5</f>
        <v>Towers and Conductor</v>
      </c>
      <c r="E477" s="9"/>
      <c r="F477" s="9"/>
      <c r="G477" s="201">
        <f>'Actual RAB roll forward'!G766</f>
        <v>984.93801110802451</v>
      </c>
      <c r="H477" s="331">
        <f t="shared" si="26"/>
        <v>1040.296273092953</v>
      </c>
      <c r="I477" s="111">
        <f t="shared" si="27"/>
        <v>1047.1153705241238</v>
      </c>
      <c r="J477" s="111">
        <f t="shared" si="27"/>
        <v>1050.2855849380508</v>
      </c>
      <c r="K477" s="111">
        <f t="shared" si="27"/>
        <v>1047.8759847141114</v>
      </c>
      <c r="L477" s="111">
        <f t="shared" si="27"/>
        <v>1081.9551242163773</v>
      </c>
      <c r="M477" s="111">
        <f t="shared" si="27"/>
        <v>1087.581723590361</v>
      </c>
      <c r="N477" s="111">
        <f>IF(COUNT($H477:M477)&gt;=Input!$Y$7,0, M477+M509+M541)</f>
        <v>0</v>
      </c>
      <c r="O477" s="111">
        <f>IF(COUNT($H477:N477)&gt;=Input!$Y$7,0, N477+N509+N541)</f>
        <v>0</v>
      </c>
      <c r="P477" s="111">
        <f>IF(COUNT($H477:O477)&gt;=Input!$Y$7,0, O477+O509+O541)</f>
        <v>0</v>
      </c>
      <c r="Q477" s="111">
        <f>IF(COUNT($H477:P477)&gt;=Input!$Y$7,0, P477+P509+P541)</f>
        <v>0</v>
      </c>
      <c r="R477" s="111"/>
      <c r="S477" s="100"/>
      <c r="T477" s="100"/>
      <c r="U477" s="100"/>
      <c r="V477" s="100"/>
      <c r="W477" s="100"/>
      <c r="X477" s="100"/>
      <c r="Y477" s="100"/>
      <c r="Z477" s="100"/>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228"/>
      <c r="BE477" s="228"/>
      <c r="BF477" s="228"/>
      <c r="BG477" s="228"/>
      <c r="BH477" s="228"/>
      <c r="BI477" s="228"/>
      <c r="BJ477" s="228"/>
      <c r="BK477" s="221"/>
      <c r="BL477" s="221"/>
    </row>
    <row r="478" spans="1:256" hidden="1" outlineLevel="1">
      <c r="A478" s="9"/>
      <c r="B478" s="9"/>
      <c r="C478" s="44"/>
      <c r="D478" s="270" t="str">
        <f>Asset6</f>
        <v>Establishment</v>
      </c>
      <c r="E478" s="9"/>
      <c r="F478" s="9"/>
      <c r="G478" s="201">
        <f>'Actual RAB roll forward'!G767</f>
        <v>79.839482548432514</v>
      </c>
      <c r="H478" s="331">
        <f t="shared" si="26"/>
        <v>99.813803729564498</v>
      </c>
      <c r="I478" s="111">
        <f t="shared" si="27"/>
        <v>112.46137845837794</v>
      </c>
      <c r="J478" s="111">
        <f t="shared" si="27"/>
        <v>122.05889121266914</v>
      </c>
      <c r="K478" s="111">
        <f t="shared" si="27"/>
        <v>127.40817194591858</v>
      </c>
      <c r="L478" s="111">
        <f t="shared" si="27"/>
        <v>131.82748849895879</v>
      </c>
      <c r="M478" s="111">
        <f t="shared" si="27"/>
        <v>137.35337343281211</v>
      </c>
      <c r="N478" s="111">
        <f>IF(COUNT($H478:M478)&gt;=Input!$Y$7,0, M478+M510+M542)</f>
        <v>0</v>
      </c>
      <c r="O478" s="111">
        <f>IF(COUNT($H478:N478)&gt;=Input!$Y$7,0, N478+N510+N542)</f>
        <v>0</v>
      </c>
      <c r="P478" s="111">
        <f>IF(COUNT($H478:O478)&gt;=Input!$Y$7,0, O478+O510+O542)</f>
        <v>0</v>
      </c>
      <c r="Q478" s="111">
        <f>IF(COUNT($H478:P478)&gt;=Input!$Y$7,0, P478+P510+P542)</f>
        <v>0</v>
      </c>
      <c r="R478" s="111"/>
      <c r="S478" s="100"/>
      <c r="T478" s="100"/>
      <c r="U478" s="100"/>
      <c r="V478" s="100"/>
      <c r="W478" s="100"/>
      <c r="X478" s="100"/>
      <c r="Y478" s="100"/>
      <c r="Z478" s="100"/>
      <c r="AA478" s="228"/>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228"/>
      <c r="BE478" s="228"/>
      <c r="BF478" s="228"/>
      <c r="BG478" s="228"/>
      <c r="BH478" s="228"/>
      <c r="BI478" s="228"/>
      <c r="BJ478" s="228"/>
      <c r="BK478" s="221"/>
      <c r="BL478" s="221"/>
    </row>
    <row r="479" spans="1:256" hidden="1" outlineLevel="1">
      <c r="A479" s="9"/>
      <c r="B479" s="9"/>
      <c r="C479" s="44"/>
      <c r="D479" s="270" t="str">
        <f>Asset7</f>
        <v>Communications</v>
      </c>
      <c r="E479" s="9"/>
      <c r="F479" s="9"/>
      <c r="G479" s="201">
        <f>'Actual RAB roll forward'!G768</f>
        <v>36.743106530439206</v>
      </c>
      <c r="H479" s="331">
        <f t="shared" si="26"/>
        <v>6.8651385503739455</v>
      </c>
      <c r="I479" s="111">
        <f t="shared" si="27"/>
        <v>5.6696485502170155</v>
      </c>
      <c r="J479" s="111">
        <f t="shared" si="27"/>
        <v>6.0422705741393559</v>
      </c>
      <c r="K479" s="111">
        <f t="shared" si="27"/>
        <v>16.481073684634694</v>
      </c>
      <c r="L479" s="111">
        <f t="shared" si="27"/>
        <v>20.963272796611943</v>
      </c>
      <c r="M479" s="111">
        <f t="shared" si="27"/>
        <v>22.705052015783767</v>
      </c>
      <c r="N479" s="111">
        <f>IF(COUNT($H479:M479)&gt;=Input!$Y$7,0, M479+M511+M543)</f>
        <v>0</v>
      </c>
      <c r="O479" s="111">
        <f>IF(COUNT($H479:N479)&gt;=Input!$Y$7,0, N479+N511+N543)</f>
        <v>0</v>
      </c>
      <c r="P479" s="111">
        <f>IF(COUNT($H479:O479)&gt;=Input!$Y$7,0, O479+O511+O543)</f>
        <v>0</v>
      </c>
      <c r="Q479" s="111">
        <f>IF(COUNT($H479:P479)&gt;=Input!$Y$7,0, P479+P511+P543)</f>
        <v>0</v>
      </c>
      <c r="R479" s="111"/>
      <c r="S479" s="100"/>
      <c r="T479" s="100"/>
      <c r="U479" s="100"/>
      <c r="V479" s="100"/>
      <c r="W479" s="100"/>
      <c r="X479" s="100"/>
      <c r="Y479" s="100"/>
      <c r="Z479" s="100"/>
      <c r="AA479" s="228"/>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228"/>
      <c r="BE479" s="228"/>
      <c r="BF479" s="228"/>
      <c r="BG479" s="228"/>
      <c r="BH479" s="228"/>
      <c r="BI479" s="228"/>
      <c r="BJ479" s="228"/>
      <c r="BK479" s="221"/>
      <c r="BL479" s="221"/>
    </row>
    <row r="480" spans="1:256" hidden="1" outlineLevel="1">
      <c r="A480" s="9"/>
      <c r="B480" s="9"/>
      <c r="C480" s="44"/>
      <c r="D480" s="270" t="str">
        <f>Asset8</f>
        <v>Inventory</v>
      </c>
      <c r="E480" s="9"/>
      <c r="F480" s="9"/>
      <c r="G480" s="201">
        <f>'Actual RAB roll forward'!G769</f>
        <v>4.7007864066062357</v>
      </c>
      <c r="H480" s="331">
        <f t="shared" si="26"/>
        <v>7.3396858953920949</v>
      </c>
      <c r="I480" s="111">
        <f t="shared" si="27"/>
        <v>7.6101677616182872</v>
      </c>
      <c r="J480" s="111">
        <f t="shared" si="27"/>
        <v>7.770623105989757</v>
      </c>
      <c r="K480" s="111">
        <f t="shared" si="27"/>
        <v>7.9769228344673619</v>
      </c>
      <c r="L480" s="111">
        <f t="shared" si="27"/>
        <v>8.2244825086404862</v>
      </c>
      <c r="M480" s="111">
        <f t="shared" si="27"/>
        <v>8.4057837262658293</v>
      </c>
      <c r="N480" s="111">
        <f>IF(COUNT($H480:M480)&gt;=Input!$Y$7,0, M480+M512+M544)</f>
        <v>0</v>
      </c>
      <c r="O480" s="111">
        <f>IF(COUNT($H480:N480)&gt;=Input!$Y$7,0, N480+N512+N544)</f>
        <v>0</v>
      </c>
      <c r="P480" s="111">
        <f>IF(COUNT($H480:O480)&gt;=Input!$Y$7,0, O480+O512+O544)</f>
        <v>0</v>
      </c>
      <c r="Q480" s="111">
        <f>IF(COUNT($H480:P480)&gt;=Input!$Y$7,0, P480+P512+P544)</f>
        <v>0</v>
      </c>
      <c r="R480" s="111"/>
      <c r="S480" s="100"/>
      <c r="T480" s="100"/>
      <c r="U480" s="100"/>
      <c r="V480" s="100"/>
      <c r="W480" s="100"/>
      <c r="X480" s="100"/>
      <c r="Y480" s="100"/>
      <c r="Z480" s="100"/>
      <c r="AA480" s="228"/>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228"/>
      <c r="BE480" s="228"/>
      <c r="BF480" s="228"/>
      <c r="BG480" s="228"/>
      <c r="BH480" s="228"/>
      <c r="BI480" s="228"/>
      <c r="BJ480" s="228"/>
      <c r="BK480" s="221"/>
      <c r="BL480" s="221"/>
    </row>
    <row r="481" spans="1:64" hidden="1" outlineLevel="1">
      <c r="A481" s="9"/>
      <c r="B481" s="9"/>
      <c r="C481" s="44"/>
      <c r="D481" s="270" t="str">
        <f>Asset9</f>
        <v>IT</v>
      </c>
      <c r="E481" s="9"/>
      <c r="F481" s="9"/>
      <c r="G481" s="201">
        <f>'Actual RAB roll forward'!G770</f>
        <v>16.14271263150075</v>
      </c>
      <c r="H481" s="331">
        <f t="shared" si="26"/>
        <v>42.630945805012978</v>
      </c>
      <c r="I481" s="111">
        <f t="shared" si="27"/>
        <v>41.066579850722839</v>
      </c>
      <c r="J481" s="111">
        <f t="shared" si="27"/>
        <v>47.951281783020292</v>
      </c>
      <c r="K481" s="111">
        <f t="shared" si="27"/>
        <v>45.558224219398902</v>
      </c>
      <c r="L481" s="111">
        <f t="shared" si="27"/>
        <v>46.82704510029297</v>
      </c>
      <c r="M481" s="111">
        <f t="shared" si="27"/>
        <v>54.900482654339328</v>
      </c>
      <c r="N481" s="111">
        <f>IF(COUNT($H481:M481)&gt;=Input!$Y$7,0, M481+M513+M545)</f>
        <v>0</v>
      </c>
      <c r="O481" s="111">
        <f>IF(COUNT($H481:N481)&gt;=Input!$Y$7,0, N481+N513+N545)</f>
        <v>0</v>
      </c>
      <c r="P481" s="111">
        <f>IF(COUNT($H481:O481)&gt;=Input!$Y$7,0, O481+O513+O545)</f>
        <v>0</v>
      </c>
      <c r="Q481" s="111">
        <f>IF(COUNT($H481:P481)&gt;=Input!$Y$7,0, P481+P513+P545)</f>
        <v>0</v>
      </c>
      <c r="R481" s="111"/>
      <c r="S481" s="100"/>
      <c r="T481" s="100"/>
      <c r="U481" s="100"/>
      <c r="V481" s="100"/>
      <c r="W481" s="100"/>
      <c r="X481" s="100"/>
      <c r="Y481" s="100"/>
      <c r="Z481" s="100"/>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228"/>
      <c r="BE481" s="228"/>
      <c r="BF481" s="228"/>
      <c r="BG481" s="228"/>
      <c r="BH481" s="228"/>
      <c r="BI481" s="228"/>
      <c r="BJ481" s="228"/>
      <c r="BK481" s="221"/>
      <c r="BL481" s="221"/>
    </row>
    <row r="482" spans="1:64" hidden="1" outlineLevel="1">
      <c r="A482" s="9"/>
      <c r="B482" s="9"/>
      <c r="C482" s="44"/>
      <c r="D482" s="270" t="str">
        <f>Asset10</f>
        <v>Vehicles</v>
      </c>
      <c r="E482" s="9"/>
      <c r="F482" s="9"/>
      <c r="G482" s="201">
        <f>'Actual RAB roll forward'!G771</f>
        <v>3.8998256791301116</v>
      </c>
      <c r="H482" s="331">
        <f t="shared" si="26"/>
        <v>4.1948540252504873</v>
      </c>
      <c r="I482" s="111">
        <f t="shared" si="27"/>
        <v>3.3527423067629472</v>
      </c>
      <c r="J482" s="111">
        <f t="shared" si="27"/>
        <v>2.964968707048786</v>
      </c>
      <c r="K482" s="111">
        <f t="shared" si="27"/>
        <v>2.0052157838819316</v>
      </c>
      <c r="L482" s="111">
        <f t="shared" si="27"/>
        <v>1.9590556160644685</v>
      </c>
      <c r="M482" s="111">
        <f t="shared" si="27"/>
        <v>3.3176497129460554</v>
      </c>
      <c r="N482" s="111">
        <f>IF(COUNT($H482:M482)&gt;=Input!$Y$7,0, M482+M514+M546)</f>
        <v>0</v>
      </c>
      <c r="O482" s="111">
        <f>IF(COUNT($H482:N482)&gt;=Input!$Y$7,0, N482+N514+N546)</f>
        <v>0</v>
      </c>
      <c r="P482" s="111">
        <f>IF(COUNT($H482:O482)&gt;=Input!$Y$7,0, O482+O514+O546)</f>
        <v>0</v>
      </c>
      <c r="Q482" s="111">
        <f>IF(COUNT($H482:P482)&gt;=Input!$Y$7,0, P482+P514+P546)</f>
        <v>0</v>
      </c>
      <c r="R482" s="111"/>
      <c r="S482" s="100"/>
      <c r="T482" s="100"/>
      <c r="U482" s="100"/>
      <c r="V482" s="100"/>
      <c r="W482" s="100"/>
      <c r="X482" s="100"/>
      <c r="Y482" s="100"/>
      <c r="Z482" s="100"/>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c r="BF482" s="228"/>
      <c r="BG482" s="228"/>
      <c r="BH482" s="228"/>
      <c r="BI482" s="228"/>
      <c r="BJ482" s="228"/>
      <c r="BK482" s="221"/>
      <c r="BL482" s="221"/>
    </row>
    <row r="483" spans="1:64" hidden="1" outlineLevel="1">
      <c r="A483" s="9"/>
      <c r="B483" s="9"/>
      <c r="C483" s="44"/>
      <c r="D483" s="270" t="str">
        <f>Asset11</f>
        <v>other</v>
      </c>
      <c r="E483" s="9"/>
      <c r="F483" s="9"/>
      <c r="G483" s="201">
        <f>'Actual RAB roll forward'!G772</f>
        <v>3.8757526879064059</v>
      </c>
      <c r="H483" s="331">
        <f t="shared" si="26"/>
        <v>12.405939770158419</v>
      </c>
      <c r="I483" s="111">
        <f t="shared" si="27"/>
        <v>11.631519264730752</v>
      </c>
      <c r="J483" s="111">
        <f t="shared" si="27"/>
        <v>11.968692078801022</v>
      </c>
      <c r="K483" s="111">
        <f t="shared" si="27"/>
        <v>13.780421230889699</v>
      </c>
      <c r="L483" s="111">
        <f t="shared" si="27"/>
        <v>15.915573364896785</v>
      </c>
      <c r="M483" s="111">
        <f t="shared" si="27"/>
        <v>16.270027244677127</v>
      </c>
      <c r="N483" s="111">
        <f>IF(COUNT($H483:M483)&gt;=Input!$Y$7,0, M483+M515+M547)</f>
        <v>0</v>
      </c>
      <c r="O483" s="111">
        <f>IF(COUNT($H483:N483)&gt;=Input!$Y$7,0, N483+N515+N547)</f>
        <v>0</v>
      </c>
      <c r="P483" s="111">
        <f>IF(COUNT($H483:O483)&gt;=Input!$Y$7,0, O483+O515+O547)</f>
        <v>0</v>
      </c>
      <c r="Q483" s="111">
        <f>IF(COUNT($H483:P483)&gt;=Input!$Y$7,0, P483+P515+P547)</f>
        <v>0</v>
      </c>
      <c r="R483" s="111"/>
      <c r="S483" s="100"/>
      <c r="T483" s="100"/>
      <c r="U483" s="100"/>
      <c r="V483" s="100"/>
      <c r="W483" s="100"/>
      <c r="X483" s="100"/>
      <c r="Y483" s="100"/>
      <c r="Z483" s="100"/>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228"/>
      <c r="BE483" s="228"/>
      <c r="BF483" s="228"/>
      <c r="BG483" s="228"/>
      <c r="BH483" s="228"/>
      <c r="BI483" s="228"/>
      <c r="BJ483" s="228"/>
      <c r="BK483" s="221"/>
      <c r="BL483" s="221"/>
    </row>
    <row r="484" spans="1:64" hidden="1" outlineLevel="1">
      <c r="A484" s="9"/>
      <c r="B484" s="9"/>
      <c r="C484" s="44"/>
      <c r="D484" s="270" t="str">
        <f>Asset12</f>
        <v>premises</v>
      </c>
      <c r="E484" s="9"/>
      <c r="F484" s="9"/>
      <c r="G484" s="201">
        <f>'Actual RAB roll forward'!G773</f>
        <v>5.2657279599188227</v>
      </c>
      <c r="H484" s="331">
        <f t="shared" si="26"/>
        <v>8.4078322708407711</v>
      </c>
      <c r="I484" s="111">
        <f t="shared" si="27"/>
        <v>7.2748444087394422</v>
      </c>
      <c r="J484" s="111">
        <f t="shared" si="27"/>
        <v>6.3228473207392319</v>
      </c>
      <c r="K484" s="111">
        <f t="shared" si="27"/>
        <v>5.158391258090238</v>
      </c>
      <c r="L484" s="111">
        <f t="shared" si="27"/>
        <v>5.3525448768625177</v>
      </c>
      <c r="M484" s="111">
        <f t="shared" si="27"/>
        <v>4.4486371269044387</v>
      </c>
      <c r="N484" s="111">
        <f>IF(COUNT($H484:M484)&gt;=Input!$Y$7,0, M484+M516+M548)</f>
        <v>0</v>
      </c>
      <c r="O484" s="111">
        <f>IF(COUNT($H484:N484)&gt;=Input!$Y$7,0, N484+N516+N548)</f>
        <v>0</v>
      </c>
      <c r="P484" s="111">
        <f>IF(COUNT($H484:O484)&gt;=Input!$Y$7,0, O484+O516+O548)</f>
        <v>0</v>
      </c>
      <c r="Q484" s="111">
        <f>IF(COUNT($H484:P484)&gt;=Input!$Y$7,0, P484+P516+P548)</f>
        <v>0</v>
      </c>
      <c r="R484" s="111"/>
      <c r="S484" s="100"/>
      <c r="T484" s="100"/>
      <c r="U484" s="100"/>
      <c r="V484" s="100"/>
      <c r="W484" s="100"/>
      <c r="X484" s="100"/>
      <c r="Y484" s="100"/>
      <c r="Z484" s="100"/>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228"/>
      <c r="BE484" s="228"/>
      <c r="BF484" s="228"/>
      <c r="BG484" s="228"/>
      <c r="BH484" s="228"/>
      <c r="BI484" s="228"/>
      <c r="BJ484" s="228"/>
      <c r="BK484" s="221"/>
      <c r="BL484" s="221"/>
    </row>
    <row r="485" spans="1:64" hidden="1" outlineLevel="1">
      <c r="A485" s="9"/>
      <c r="B485" s="9"/>
      <c r="C485" s="44"/>
      <c r="D485" s="270" t="str">
        <f>Asset13</f>
        <v>Land</v>
      </c>
      <c r="E485" s="9"/>
      <c r="F485" s="9"/>
      <c r="G485" s="201">
        <f>'Actual RAB roll forward'!G774</f>
        <v>96.385254729241879</v>
      </c>
      <c r="H485" s="331">
        <f t="shared" si="26"/>
        <v>95.756770018212507</v>
      </c>
      <c r="I485" s="111">
        <f t="shared" si="27"/>
        <v>99.285595396772493</v>
      </c>
      <c r="J485" s="111">
        <f t="shared" si="27"/>
        <v>101.57932760816327</v>
      </c>
      <c r="K485" s="111">
        <f t="shared" si="27"/>
        <v>103.779363485508</v>
      </c>
      <c r="L485" s="111">
        <f t="shared" si="27"/>
        <v>105.9834070121492</v>
      </c>
      <c r="M485" s="111">
        <f t="shared" si="27"/>
        <v>108.3197145815553</v>
      </c>
      <c r="N485" s="111">
        <f>IF(COUNT($H485:M485)&gt;=Input!$Y$7,0, M485+M517+M549)</f>
        <v>0</v>
      </c>
      <c r="O485" s="111">
        <f>IF(COUNT($H485:N485)&gt;=Input!$Y$7,0, N485+N517+N549)</f>
        <v>0</v>
      </c>
      <c r="P485" s="111">
        <f>IF(COUNT($H485:O485)&gt;=Input!$Y$7,0, O485+O517+O549)</f>
        <v>0</v>
      </c>
      <c r="Q485" s="111">
        <f>IF(COUNT($H485:P485)&gt;=Input!$Y$7,0, P485+P517+P549)</f>
        <v>0</v>
      </c>
      <c r="R485" s="111"/>
      <c r="S485" s="100"/>
      <c r="T485" s="100"/>
      <c r="U485" s="100"/>
      <c r="V485" s="100"/>
      <c r="W485" s="100"/>
      <c r="X485" s="100"/>
      <c r="Y485" s="100"/>
      <c r="Z485" s="100"/>
      <c r="AA485" s="228"/>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228"/>
      <c r="BE485" s="228"/>
      <c r="BF485" s="228"/>
      <c r="BG485" s="228"/>
      <c r="BH485" s="228"/>
      <c r="BI485" s="228"/>
      <c r="BJ485" s="228"/>
      <c r="BK485" s="221"/>
      <c r="BL485" s="221"/>
    </row>
    <row r="486" spans="1:64" hidden="1" outlineLevel="1">
      <c r="A486" s="9"/>
      <c r="B486" s="9"/>
      <c r="C486" s="44"/>
      <c r="D486" s="270" t="str">
        <f>Asset14</f>
        <v>Easements</v>
      </c>
      <c r="E486" s="9"/>
      <c r="F486" s="9"/>
      <c r="G486" s="201">
        <f>'Actual RAB roll forward'!G775</f>
        <v>106.13037685559563</v>
      </c>
      <c r="H486" s="331">
        <f t="shared" si="26"/>
        <v>108.97377932420517</v>
      </c>
      <c r="I486" s="111">
        <f t="shared" si="27"/>
        <v>112.9896775004251</v>
      </c>
      <c r="J486" s="111">
        <f t="shared" si="27"/>
        <v>115.37198997784371</v>
      </c>
      <c r="K486" s="111">
        <f t="shared" si="27"/>
        <v>118.4349631630962</v>
      </c>
      <c r="L486" s="111">
        <f t="shared" si="27"/>
        <v>122.11053098539918</v>
      </c>
      <c r="M486" s="111">
        <f t="shared" si="27"/>
        <v>124.80234629770258</v>
      </c>
      <c r="N486" s="111">
        <f>IF(COUNT($H486:M486)&gt;=Input!$Y$7,0, M486+M518+M550)</f>
        <v>0</v>
      </c>
      <c r="O486" s="111">
        <f>IF(COUNT($H486:N486)&gt;=Input!$Y$7,0, N486+N518+N550)</f>
        <v>0</v>
      </c>
      <c r="P486" s="111">
        <f>IF(COUNT($H486:O486)&gt;=Input!$Y$7,0, O486+O518+O550)</f>
        <v>0</v>
      </c>
      <c r="Q486" s="111">
        <f>IF(COUNT($H486:P486)&gt;=Input!$Y$7,0, P486+P518+P550)</f>
        <v>0</v>
      </c>
      <c r="R486" s="111"/>
      <c r="S486" s="100"/>
      <c r="T486" s="100"/>
      <c r="U486" s="100"/>
      <c r="V486" s="100"/>
      <c r="W486" s="100"/>
      <c r="X486" s="100"/>
      <c r="Y486" s="100"/>
      <c r="Z486" s="100"/>
      <c r="AA486" s="228"/>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228"/>
      <c r="BE486" s="228"/>
      <c r="BF486" s="228"/>
      <c r="BG486" s="228"/>
      <c r="BH486" s="228"/>
      <c r="BI486" s="228"/>
      <c r="BJ486" s="228"/>
      <c r="BK486" s="221"/>
      <c r="BL486" s="221"/>
    </row>
    <row r="487" spans="1:64" hidden="1" outlineLevel="1">
      <c r="A487" s="9"/>
      <c r="B487" s="9"/>
      <c r="C487" s="44"/>
      <c r="D487" s="270">
        <f>Asset15</f>
        <v>0</v>
      </c>
      <c r="E487" s="9"/>
      <c r="F487" s="9"/>
      <c r="G487" s="201">
        <f>'Actual RAB roll forward'!G776</f>
        <v>0</v>
      </c>
      <c r="H487" s="331">
        <f t="shared" si="26"/>
        <v>0</v>
      </c>
      <c r="I487" s="111">
        <f t="shared" si="27"/>
        <v>0</v>
      </c>
      <c r="J487" s="111">
        <f t="shared" si="27"/>
        <v>0</v>
      </c>
      <c r="K487" s="111">
        <f t="shared" si="27"/>
        <v>0</v>
      </c>
      <c r="L487" s="111">
        <f t="shared" si="27"/>
        <v>0</v>
      </c>
      <c r="M487" s="111">
        <f t="shared" si="27"/>
        <v>0</v>
      </c>
      <c r="N487" s="111">
        <f>IF(COUNT($H487:M487)&gt;=Input!$Y$7,0, M487+M519+M551)</f>
        <v>0</v>
      </c>
      <c r="O487" s="111">
        <f>IF(COUNT($H487:N487)&gt;=Input!$Y$7,0, N487+N519+N551)</f>
        <v>0</v>
      </c>
      <c r="P487" s="111">
        <f>IF(COUNT($H487:O487)&gt;=Input!$Y$7,0, O487+O519+O551)</f>
        <v>0</v>
      </c>
      <c r="Q487" s="111">
        <f>IF(COUNT($H487:P487)&gt;=Input!$Y$7,0, P487+P519+P551)</f>
        <v>0</v>
      </c>
      <c r="R487" s="111"/>
      <c r="S487" s="100"/>
      <c r="T487" s="100"/>
      <c r="U487" s="100"/>
      <c r="V487" s="100"/>
      <c r="W487" s="100"/>
      <c r="X487" s="100"/>
      <c r="Y487" s="100"/>
      <c r="Z487" s="100"/>
      <c r="AA487" s="228"/>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228"/>
      <c r="BE487" s="228"/>
      <c r="BF487" s="228"/>
      <c r="BG487" s="228"/>
      <c r="BH487" s="228"/>
      <c r="BI487" s="228"/>
      <c r="BJ487" s="228"/>
      <c r="BK487" s="221"/>
      <c r="BL487" s="221"/>
    </row>
    <row r="488" spans="1:64" hidden="1" outlineLevel="1">
      <c r="A488" s="9"/>
      <c r="B488" s="9"/>
      <c r="C488" s="44"/>
      <c r="D488" s="270">
        <f>Asset16</f>
        <v>0</v>
      </c>
      <c r="E488" s="9"/>
      <c r="F488" s="9"/>
      <c r="G488" s="201">
        <f>'Actual RAB roll forward'!G777</f>
        <v>0</v>
      </c>
      <c r="H488" s="331">
        <f t="shared" si="26"/>
        <v>0</v>
      </c>
      <c r="I488" s="111">
        <f t="shared" si="27"/>
        <v>0</v>
      </c>
      <c r="J488" s="111">
        <f t="shared" si="27"/>
        <v>0</v>
      </c>
      <c r="K488" s="111">
        <f t="shared" si="27"/>
        <v>0</v>
      </c>
      <c r="L488" s="111">
        <f t="shared" si="27"/>
        <v>0</v>
      </c>
      <c r="M488" s="111">
        <f t="shared" si="27"/>
        <v>0</v>
      </c>
      <c r="N488" s="111">
        <f>IF(COUNT($H488:M488)&gt;=Input!$Y$7,0, M488+M520+M552)</f>
        <v>0</v>
      </c>
      <c r="O488" s="111">
        <f>IF(COUNT($H488:N488)&gt;=Input!$Y$7,0, N488+N520+N552)</f>
        <v>0</v>
      </c>
      <c r="P488" s="111">
        <f>IF(COUNT($H488:O488)&gt;=Input!$Y$7,0, O488+O520+O552)</f>
        <v>0</v>
      </c>
      <c r="Q488" s="111">
        <f>IF(COUNT($H488:P488)&gt;=Input!$Y$7,0, P488+P520+P552)</f>
        <v>0</v>
      </c>
      <c r="R488" s="111"/>
      <c r="S488" s="100"/>
      <c r="T488" s="100"/>
      <c r="U488" s="100"/>
      <c r="V488" s="100"/>
      <c r="W488" s="100"/>
      <c r="X488" s="100"/>
      <c r="Y488" s="100"/>
      <c r="Z488" s="100"/>
      <c r="AA488" s="228"/>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228"/>
      <c r="BE488" s="228"/>
      <c r="BF488" s="228"/>
      <c r="BG488" s="228"/>
      <c r="BH488" s="228"/>
      <c r="BI488" s="228"/>
      <c r="BJ488" s="228"/>
      <c r="BK488" s="221"/>
      <c r="BL488" s="221"/>
    </row>
    <row r="489" spans="1:64" hidden="1" outlineLevel="1">
      <c r="A489" s="9"/>
      <c r="B489" s="9"/>
      <c r="C489" s="44"/>
      <c r="D489" s="270">
        <f>Asset17</f>
        <v>0</v>
      </c>
      <c r="E489" s="9"/>
      <c r="F489" s="9"/>
      <c r="G489" s="201">
        <f>'Actual RAB roll forward'!G778</f>
        <v>0</v>
      </c>
      <c r="H489" s="331">
        <f t="shared" si="26"/>
        <v>0</v>
      </c>
      <c r="I489" s="111">
        <f t="shared" si="27"/>
        <v>0</v>
      </c>
      <c r="J489" s="111">
        <f t="shared" si="27"/>
        <v>0</v>
      </c>
      <c r="K489" s="111">
        <f t="shared" si="27"/>
        <v>0</v>
      </c>
      <c r="L489" s="111">
        <f t="shared" si="27"/>
        <v>0</v>
      </c>
      <c r="M489" s="111">
        <f t="shared" si="27"/>
        <v>0</v>
      </c>
      <c r="N489" s="111">
        <f>IF(COUNT($H489:M489)&gt;=Input!$Y$7,0, M489+M521+M553)</f>
        <v>0</v>
      </c>
      <c r="O489" s="111">
        <f>IF(COUNT($H489:N489)&gt;=Input!$Y$7,0, N489+N521+N553)</f>
        <v>0</v>
      </c>
      <c r="P489" s="111">
        <f>IF(COUNT($H489:O489)&gt;=Input!$Y$7,0, O489+O521+O553)</f>
        <v>0</v>
      </c>
      <c r="Q489" s="111">
        <f>IF(COUNT($H489:P489)&gt;=Input!$Y$7,0, P489+P521+P553)</f>
        <v>0</v>
      </c>
      <c r="R489" s="111"/>
      <c r="S489" s="100"/>
      <c r="T489" s="100"/>
      <c r="U489" s="100"/>
      <c r="V489" s="100"/>
      <c r="W489" s="100"/>
      <c r="X489" s="100"/>
      <c r="Y489" s="100"/>
      <c r="Z489" s="100"/>
      <c r="AA489" s="228"/>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228"/>
      <c r="BE489" s="228"/>
      <c r="BF489" s="228"/>
      <c r="BG489" s="228"/>
      <c r="BH489" s="228"/>
      <c r="BI489" s="228"/>
      <c r="BJ489" s="228"/>
      <c r="BK489" s="221"/>
      <c r="BL489" s="221"/>
    </row>
    <row r="490" spans="1:64" hidden="1" outlineLevel="1">
      <c r="A490" s="9"/>
      <c r="B490" s="9"/>
      <c r="C490" s="44"/>
      <c r="D490" s="270">
        <f>Asset18</f>
        <v>0</v>
      </c>
      <c r="E490" s="9"/>
      <c r="F490" s="9"/>
      <c r="G490" s="201">
        <f>'Actual RAB roll forward'!G779</f>
        <v>0</v>
      </c>
      <c r="H490" s="331">
        <f t="shared" si="26"/>
        <v>0</v>
      </c>
      <c r="I490" s="111">
        <f t="shared" si="27"/>
        <v>0</v>
      </c>
      <c r="J490" s="111">
        <f t="shared" si="27"/>
        <v>0</v>
      </c>
      <c r="K490" s="111">
        <f t="shared" si="27"/>
        <v>0</v>
      </c>
      <c r="L490" s="111">
        <f t="shared" si="27"/>
        <v>0</v>
      </c>
      <c r="M490" s="111">
        <f t="shared" si="27"/>
        <v>0</v>
      </c>
      <c r="N490" s="111">
        <f>IF(COUNT($H490:M490)&gt;=Input!$Y$7,0, M490+M522+M554)</f>
        <v>0</v>
      </c>
      <c r="O490" s="111">
        <f>IF(COUNT($H490:N490)&gt;=Input!$Y$7,0, N490+N522+N554)</f>
        <v>0</v>
      </c>
      <c r="P490" s="111">
        <f>IF(COUNT($H490:O490)&gt;=Input!$Y$7,0, O490+O522+O554)</f>
        <v>0</v>
      </c>
      <c r="Q490" s="111">
        <f>IF(COUNT($H490:P490)&gt;=Input!$Y$7,0, P490+P522+P554)</f>
        <v>0</v>
      </c>
      <c r="R490" s="111"/>
      <c r="S490" s="100"/>
      <c r="T490" s="100"/>
      <c r="U490" s="100"/>
      <c r="V490" s="100"/>
      <c r="W490" s="100"/>
      <c r="X490" s="100"/>
      <c r="Y490" s="100"/>
      <c r="Z490" s="100"/>
      <c r="AA490" s="228"/>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228"/>
      <c r="BE490" s="228"/>
      <c r="BF490" s="228"/>
      <c r="BG490" s="228"/>
      <c r="BH490" s="228"/>
      <c r="BI490" s="228"/>
      <c r="BJ490" s="228"/>
      <c r="BK490" s="221"/>
      <c r="BL490" s="221"/>
    </row>
    <row r="491" spans="1:64" hidden="1" outlineLevel="1">
      <c r="A491" s="9"/>
      <c r="B491" s="9"/>
      <c r="C491" s="44"/>
      <c r="D491" s="270">
        <f>Asset19</f>
        <v>0</v>
      </c>
      <c r="E491" s="9"/>
      <c r="F491" s="9"/>
      <c r="G491" s="201">
        <f>'Actual RAB roll forward'!G780</f>
        <v>0</v>
      </c>
      <c r="H491" s="331">
        <f t="shared" si="26"/>
        <v>0</v>
      </c>
      <c r="I491" s="111">
        <f t="shared" si="27"/>
        <v>0</v>
      </c>
      <c r="J491" s="111">
        <f t="shared" si="27"/>
        <v>0</v>
      </c>
      <c r="K491" s="111">
        <f t="shared" si="27"/>
        <v>0</v>
      </c>
      <c r="L491" s="111">
        <f t="shared" si="27"/>
        <v>0</v>
      </c>
      <c r="M491" s="111">
        <f t="shared" si="27"/>
        <v>0</v>
      </c>
      <c r="N491" s="111">
        <f>IF(COUNT($H491:M491)&gt;=Input!$Y$7,0, M491+M523+M555)</f>
        <v>0</v>
      </c>
      <c r="O491" s="111">
        <f>IF(COUNT($H491:N491)&gt;=Input!$Y$7,0, N491+N523+N555)</f>
        <v>0</v>
      </c>
      <c r="P491" s="111">
        <f>IF(COUNT($H491:O491)&gt;=Input!$Y$7,0, O491+O523+O555)</f>
        <v>0</v>
      </c>
      <c r="Q491" s="111">
        <f>IF(COUNT($H491:P491)&gt;=Input!$Y$7,0, P491+P523+P555)</f>
        <v>0</v>
      </c>
      <c r="R491" s="111"/>
      <c r="S491" s="100"/>
      <c r="T491" s="100"/>
      <c r="U491" s="100"/>
      <c r="V491" s="100"/>
      <c r="W491" s="100"/>
      <c r="X491" s="100"/>
      <c r="Y491" s="100"/>
      <c r="Z491" s="100"/>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228"/>
      <c r="BE491" s="228"/>
      <c r="BF491" s="228"/>
      <c r="BG491" s="228"/>
      <c r="BH491" s="228"/>
      <c r="BI491" s="228"/>
      <c r="BJ491" s="228"/>
      <c r="BK491" s="221"/>
      <c r="BL491" s="221"/>
    </row>
    <row r="492" spans="1:64" hidden="1" outlineLevel="1">
      <c r="A492" s="9"/>
      <c r="B492" s="9"/>
      <c r="C492" s="44"/>
      <c r="D492" s="270">
        <f>Asset20</f>
        <v>0</v>
      </c>
      <c r="E492" s="9"/>
      <c r="F492" s="9"/>
      <c r="G492" s="201">
        <f>'Actual RAB roll forward'!G781</f>
        <v>0</v>
      </c>
      <c r="H492" s="331">
        <f t="shared" si="26"/>
        <v>0</v>
      </c>
      <c r="I492" s="111">
        <f t="shared" si="27"/>
        <v>0</v>
      </c>
      <c r="J492" s="111">
        <f t="shared" si="27"/>
        <v>0</v>
      </c>
      <c r="K492" s="111">
        <f t="shared" si="27"/>
        <v>0</v>
      </c>
      <c r="L492" s="111">
        <f t="shared" si="27"/>
        <v>0</v>
      </c>
      <c r="M492" s="111">
        <f t="shared" si="27"/>
        <v>0</v>
      </c>
      <c r="N492" s="111">
        <f>IF(COUNT($H492:M492)&gt;=Input!$Y$7,0, M492+M524+M556)</f>
        <v>0</v>
      </c>
      <c r="O492" s="111">
        <f>IF(COUNT($H492:N492)&gt;=Input!$Y$7,0, N492+N524+N556)</f>
        <v>0</v>
      </c>
      <c r="P492" s="111">
        <f>IF(COUNT($H492:O492)&gt;=Input!$Y$7,0, O492+O524+O556)</f>
        <v>0</v>
      </c>
      <c r="Q492" s="111">
        <f>IF(COUNT($H492:P492)&gt;=Input!$Y$7,0, P492+P524+P556)</f>
        <v>0</v>
      </c>
      <c r="R492" s="111"/>
      <c r="S492" s="100"/>
      <c r="T492" s="100"/>
      <c r="U492" s="100"/>
      <c r="V492" s="100"/>
      <c r="W492" s="100"/>
      <c r="X492" s="100"/>
      <c r="Y492" s="100"/>
      <c r="Z492" s="100"/>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228"/>
      <c r="BE492" s="228"/>
      <c r="BF492" s="228"/>
      <c r="BG492" s="228"/>
      <c r="BH492" s="228"/>
      <c r="BI492" s="228"/>
      <c r="BJ492" s="228"/>
      <c r="BK492" s="221"/>
      <c r="BL492" s="221"/>
    </row>
    <row r="493" spans="1:64" hidden="1" outlineLevel="1">
      <c r="A493" s="9"/>
      <c r="B493" s="9"/>
      <c r="C493" s="44"/>
      <c r="D493" s="270">
        <f>Asset21</f>
        <v>0</v>
      </c>
      <c r="E493" s="9"/>
      <c r="F493" s="9"/>
      <c r="G493" s="201">
        <f>'Actual RAB roll forward'!G782</f>
        <v>0</v>
      </c>
      <c r="H493" s="331">
        <f t="shared" si="26"/>
        <v>0</v>
      </c>
      <c r="I493" s="111">
        <f t="shared" ref="I493:M501" si="28">H493+H525+H557</f>
        <v>0</v>
      </c>
      <c r="J493" s="111">
        <f t="shared" si="28"/>
        <v>0</v>
      </c>
      <c r="K493" s="111">
        <f t="shared" si="28"/>
        <v>0</v>
      </c>
      <c r="L493" s="111">
        <f t="shared" si="28"/>
        <v>0</v>
      </c>
      <c r="M493" s="111">
        <f t="shared" si="28"/>
        <v>0</v>
      </c>
      <c r="N493" s="111">
        <f>IF(COUNT($H493:M493)&gt;=Input!$Y$7,0, M493+M525+M557)</f>
        <v>0</v>
      </c>
      <c r="O493" s="111">
        <f>IF(COUNT($H493:N493)&gt;=Input!$Y$7,0, N493+N525+N557)</f>
        <v>0</v>
      </c>
      <c r="P493" s="111">
        <f>IF(COUNT($H493:O493)&gt;=Input!$Y$7,0, O493+O525+O557)</f>
        <v>0</v>
      </c>
      <c r="Q493" s="111">
        <f>IF(COUNT($H493:P493)&gt;=Input!$Y$7,0, P493+P525+P557)</f>
        <v>0</v>
      </c>
      <c r="R493" s="111"/>
      <c r="S493" s="100"/>
      <c r="T493" s="100"/>
      <c r="U493" s="100"/>
      <c r="V493" s="100"/>
      <c r="W493" s="100"/>
      <c r="X493" s="100"/>
      <c r="Y493" s="100"/>
      <c r="Z493" s="100"/>
      <c r="AA493" s="228"/>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228"/>
      <c r="BE493" s="228"/>
      <c r="BF493" s="228"/>
      <c r="BG493" s="228"/>
      <c r="BH493" s="228"/>
      <c r="BI493" s="228"/>
      <c r="BJ493" s="228"/>
      <c r="BK493" s="221"/>
      <c r="BL493" s="221"/>
    </row>
    <row r="494" spans="1:64" hidden="1" outlineLevel="1">
      <c r="A494" s="9"/>
      <c r="B494" s="9"/>
      <c r="C494" s="44"/>
      <c r="D494" s="270">
        <f>Asset22</f>
        <v>0</v>
      </c>
      <c r="E494" s="9"/>
      <c r="F494" s="9"/>
      <c r="G494" s="201">
        <f>'Actual RAB roll forward'!G783</f>
        <v>0</v>
      </c>
      <c r="H494" s="331">
        <f t="shared" si="26"/>
        <v>0</v>
      </c>
      <c r="I494" s="111">
        <f t="shared" si="28"/>
        <v>0</v>
      </c>
      <c r="J494" s="111">
        <f t="shared" si="28"/>
        <v>0</v>
      </c>
      <c r="K494" s="111">
        <f t="shared" si="28"/>
        <v>0</v>
      </c>
      <c r="L494" s="111">
        <f t="shared" si="28"/>
        <v>0</v>
      </c>
      <c r="M494" s="111">
        <f t="shared" si="28"/>
        <v>0</v>
      </c>
      <c r="N494" s="111">
        <f>IF(COUNT($H494:M494)&gt;=Input!$Y$7,0, M494+M526+M558)</f>
        <v>0</v>
      </c>
      <c r="O494" s="111">
        <f>IF(COUNT($H494:N494)&gt;=Input!$Y$7,0, N494+N526+N558)</f>
        <v>0</v>
      </c>
      <c r="P494" s="111">
        <f>IF(COUNT($H494:O494)&gt;=Input!$Y$7,0, O494+O526+O558)</f>
        <v>0</v>
      </c>
      <c r="Q494" s="111">
        <f>IF(COUNT($H494:P494)&gt;=Input!$Y$7,0, P494+P526+P558)</f>
        <v>0</v>
      </c>
      <c r="R494" s="111"/>
      <c r="S494" s="100"/>
      <c r="T494" s="100"/>
      <c r="U494" s="100"/>
      <c r="V494" s="100"/>
      <c r="W494" s="100"/>
      <c r="X494" s="100"/>
      <c r="Y494" s="100"/>
      <c r="Z494" s="100"/>
      <c r="AA494" s="228"/>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228"/>
      <c r="BE494" s="228"/>
      <c r="BF494" s="228"/>
      <c r="BG494" s="228"/>
      <c r="BH494" s="228"/>
      <c r="BI494" s="228"/>
      <c r="BJ494" s="228"/>
      <c r="BK494" s="221"/>
      <c r="BL494" s="221"/>
    </row>
    <row r="495" spans="1:64" hidden="1" outlineLevel="1">
      <c r="A495" s="9"/>
      <c r="B495" s="9"/>
      <c r="C495" s="44"/>
      <c r="D495" s="270">
        <f>Asset23</f>
        <v>0</v>
      </c>
      <c r="E495" s="9"/>
      <c r="F495" s="9"/>
      <c r="G495" s="201">
        <f>'Actual RAB roll forward'!G784</f>
        <v>0</v>
      </c>
      <c r="H495" s="331">
        <f t="shared" si="26"/>
        <v>0</v>
      </c>
      <c r="I495" s="111">
        <f t="shared" si="28"/>
        <v>0</v>
      </c>
      <c r="J495" s="111">
        <f t="shared" si="28"/>
        <v>0</v>
      </c>
      <c r="K495" s="111">
        <f t="shared" si="28"/>
        <v>0</v>
      </c>
      <c r="L495" s="111">
        <f t="shared" si="28"/>
        <v>0</v>
      </c>
      <c r="M495" s="111">
        <f t="shared" si="28"/>
        <v>0</v>
      </c>
      <c r="N495" s="111">
        <f>IF(COUNT($H495:M495)&gt;=Input!$Y$7,0, M495+M527+M559)</f>
        <v>0</v>
      </c>
      <c r="O495" s="111">
        <f>IF(COUNT($H495:N495)&gt;=Input!$Y$7,0, N495+N527+N559)</f>
        <v>0</v>
      </c>
      <c r="P495" s="111">
        <f>IF(COUNT($H495:O495)&gt;=Input!$Y$7,0, O495+O527+O559)</f>
        <v>0</v>
      </c>
      <c r="Q495" s="111">
        <f>IF(COUNT($H495:P495)&gt;=Input!$Y$7,0, P495+P527+P559)</f>
        <v>0</v>
      </c>
      <c r="R495" s="111"/>
      <c r="S495" s="100"/>
      <c r="T495" s="100"/>
      <c r="U495" s="100"/>
      <c r="V495" s="100"/>
      <c r="W495" s="100"/>
      <c r="X495" s="100"/>
      <c r="Y495" s="100"/>
      <c r="Z495" s="100"/>
      <c r="AA495" s="228"/>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228"/>
      <c r="BE495" s="228"/>
      <c r="BF495" s="228"/>
      <c r="BG495" s="228"/>
      <c r="BH495" s="228"/>
      <c r="BI495" s="228"/>
      <c r="BJ495" s="228"/>
      <c r="BK495" s="221"/>
      <c r="BL495" s="221"/>
    </row>
    <row r="496" spans="1:64" hidden="1" outlineLevel="1">
      <c r="A496" s="9"/>
      <c r="B496" s="9"/>
      <c r="C496" s="44"/>
      <c r="D496" s="270">
        <f>Asset24</f>
        <v>0</v>
      </c>
      <c r="E496" s="9"/>
      <c r="F496" s="9"/>
      <c r="G496" s="201">
        <f>'Actual RAB roll forward'!G785</f>
        <v>0</v>
      </c>
      <c r="H496" s="331">
        <f t="shared" si="26"/>
        <v>0</v>
      </c>
      <c r="I496" s="111">
        <f t="shared" si="28"/>
        <v>0</v>
      </c>
      <c r="J496" s="111">
        <f t="shared" si="28"/>
        <v>0</v>
      </c>
      <c r="K496" s="111">
        <f t="shared" si="28"/>
        <v>0</v>
      </c>
      <c r="L496" s="111">
        <f t="shared" si="28"/>
        <v>0</v>
      </c>
      <c r="M496" s="111">
        <f t="shared" si="28"/>
        <v>0</v>
      </c>
      <c r="N496" s="111">
        <f>IF(COUNT($H496:M496)&gt;=Input!$Y$7,0, M496+M528+M560)</f>
        <v>0</v>
      </c>
      <c r="O496" s="111">
        <f>IF(COUNT($H496:N496)&gt;=Input!$Y$7,0, N496+N528+N560)</f>
        <v>0</v>
      </c>
      <c r="P496" s="111">
        <f>IF(COUNT($H496:O496)&gt;=Input!$Y$7,0, O496+O528+O560)</f>
        <v>0</v>
      </c>
      <c r="Q496" s="111">
        <f>IF(COUNT($H496:P496)&gt;=Input!$Y$7,0, P496+P528+P560)</f>
        <v>0</v>
      </c>
      <c r="R496" s="111"/>
      <c r="S496" s="100"/>
      <c r="T496" s="100"/>
      <c r="U496" s="100"/>
      <c r="V496" s="100"/>
      <c r="W496" s="100"/>
      <c r="X496" s="100"/>
      <c r="Y496" s="100"/>
      <c r="Z496" s="100"/>
      <c r="AA496" s="228"/>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228"/>
      <c r="BE496" s="228"/>
      <c r="BF496" s="228"/>
      <c r="BG496" s="228"/>
      <c r="BH496" s="228"/>
      <c r="BI496" s="228"/>
      <c r="BJ496" s="228"/>
      <c r="BK496" s="221"/>
      <c r="BL496" s="221"/>
    </row>
    <row r="497" spans="1:64" hidden="1" outlineLevel="1">
      <c r="A497" s="9"/>
      <c r="B497" s="9"/>
      <c r="C497" s="44"/>
      <c r="D497" s="270">
        <f>Asset25</f>
        <v>0</v>
      </c>
      <c r="E497" s="9"/>
      <c r="F497" s="9"/>
      <c r="G497" s="201">
        <f>'Actual RAB roll forward'!G786</f>
        <v>0</v>
      </c>
      <c r="H497" s="331">
        <f t="shared" si="26"/>
        <v>0</v>
      </c>
      <c r="I497" s="111">
        <f t="shared" si="28"/>
        <v>0</v>
      </c>
      <c r="J497" s="111">
        <f t="shared" si="28"/>
        <v>0</v>
      </c>
      <c r="K497" s="111">
        <f t="shared" si="28"/>
        <v>0</v>
      </c>
      <c r="L497" s="111">
        <f t="shared" si="28"/>
        <v>0</v>
      </c>
      <c r="M497" s="111">
        <f t="shared" si="28"/>
        <v>0</v>
      </c>
      <c r="N497" s="111">
        <f>IF(COUNT($H497:M497)&gt;=Input!$Y$7,0, M497+M529+M561)</f>
        <v>0</v>
      </c>
      <c r="O497" s="111">
        <f>IF(COUNT($H497:N497)&gt;=Input!$Y$7,0, N497+N529+N561)</f>
        <v>0</v>
      </c>
      <c r="P497" s="111">
        <f>IF(COUNT($H497:O497)&gt;=Input!$Y$7,0, O497+O529+O561)</f>
        <v>0</v>
      </c>
      <c r="Q497" s="111">
        <f>IF(COUNT($H497:P497)&gt;=Input!$Y$7,0, P497+P529+P561)</f>
        <v>0</v>
      </c>
      <c r="R497" s="111"/>
      <c r="S497" s="100"/>
      <c r="T497" s="100"/>
      <c r="U497" s="100"/>
      <c r="V497" s="100"/>
      <c r="W497" s="100"/>
      <c r="X497" s="100"/>
      <c r="Y497" s="100"/>
      <c r="Z497" s="100"/>
      <c r="AA497" s="228"/>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228"/>
      <c r="BE497" s="228"/>
      <c r="BF497" s="228"/>
      <c r="BG497" s="228"/>
      <c r="BH497" s="228"/>
      <c r="BI497" s="228"/>
      <c r="BJ497" s="228"/>
      <c r="BK497" s="221"/>
      <c r="BL497" s="221"/>
    </row>
    <row r="498" spans="1:64" hidden="1" outlineLevel="1">
      <c r="A498" s="9"/>
      <c r="B498" s="9"/>
      <c r="C498" s="44"/>
      <c r="D498" s="270">
        <f>Asset26</f>
        <v>0</v>
      </c>
      <c r="E498" s="9"/>
      <c r="F498" s="9"/>
      <c r="G498" s="201">
        <f>'Actual RAB roll forward'!G787</f>
        <v>0</v>
      </c>
      <c r="H498" s="331">
        <f t="shared" si="26"/>
        <v>0</v>
      </c>
      <c r="I498" s="111">
        <f t="shared" si="28"/>
        <v>0</v>
      </c>
      <c r="J498" s="111">
        <f t="shared" si="28"/>
        <v>0</v>
      </c>
      <c r="K498" s="111">
        <f t="shared" si="28"/>
        <v>0</v>
      </c>
      <c r="L498" s="111">
        <f t="shared" si="28"/>
        <v>0</v>
      </c>
      <c r="M498" s="111">
        <f t="shared" si="28"/>
        <v>0</v>
      </c>
      <c r="N498" s="111">
        <f>IF(COUNT($H498:M498)&gt;=Input!$Y$7,0, M498+M530+M562)</f>
        <v>0</v>
      </c>
      <c r="O498" s="111">
        <f>IF(COUNT($H498:N498)&gt;=Input!$Y$7,0, N498+N530+N562)</f>
        <v>0</v>
      </c>
      <c r="P498" s="111">
        <f>IF(COUNT($H498:O498)&gt;=Input!$Y$7,0, O498+O530+O562)</f>
        <v>0</v>
      </c>
      <c r="Q498" s="111">
        <f>IF(COUNT($H498:P498)&gt;=Input!$Y$7,0, P498+P530+P562)</f>
        <v>0</v>
      </c>
      <c r="R498" s="111"/>
      <c r="S498" s="100"/>
      <c r="T498" s="100"/>
      <c r="U498" s="100"/>
      <c r="V498" s="100"/>
      <c r="W498" s="100"/>
      <c r="X498" s="100"/>
      <c r="Y498" s="100"/>
      <c r="Z498" s="100"/>
      <c r="AA498" s="228"/>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228"/>
      <c r="BE498" s="228"/>
      <c r="BF498" s="228"/>
      <c r="BG498" s="228"/>
      <c r="BH498" s="228"/>
      <c r="BI498" s="228"/>
      <c r="BJ498" s="228"/>
      <c r="BK498" s="221"/>
      <c r="BL498" s="221"/>
    </row>
    <row r="499" spans="1:64" hidden="1" outlineLevel="1">
      <c r="A499" s="9"/>
      <c r="B499" s="9"/>
      <c r="C499" s="44"/>
      <c r="D499" s="270">
        <f>Asset27</f>
        <v>0</v>
      </c>
      <c r="E499" s="9"/>
      <c r="F499" s="9"/>
      <c r="G499" s="201">
        <f>'Actual RAB roll forward'!G788</f>
        <v>0</v>
      </c>
      <c r="H499" s="331">
        <f t="shared" si="26"/>
        <v>0</v>
      </c>
      <c r="I499" s="111">
        <f t="shared" si="28"/>
        <v>0</v>
      </c>
      <c r="J499" s="111">
        <f t="shared" si="28"/>
        <v>0</v>
      </c>
      <c r="K499" s="111">
        <f t="shared" si="28"/>
        <v>0</v>
      </c>
      <c r="L499" s="111">
        <f t="shared" si="28"/>
        <v>0</v>
      </c>
      <c r="M499" s="111">
        <f t="shared" si="28"/>
        <v>0</v>
      </c>
      <c r="N499" s="111">
        <f>IF(COUNT($H499:M499)&gt;=Input!$Y$7,0, M499+M531+M563)</f>
        <v>0</v>
      </c>
      <c r="O499" s="111">
        <f>IF(COUNT($H499:N499)&gt;=Input!$Y$7,0, N499+N531+N563)</f>
        <v>0</v>
      </c>
      <c r="P499" s="111">
        <f>IF(COUNT($H499:O499)&gt;=Input!$Y$7,0, O499+O531+O563)</f>
        <v>0</v>
      </c>
      <c r="Q499" s="111">
        <f>IF(COUNT($H499:P499)&gt;=Input!$Y$7,0, P499+P531+P563)</f>
        <v>0</v>
      </c>
      <c r="R499" s="111"/>
      <c r="S499" s="100"/>
      <c r="T499" s="100"/>
      <c r="U499" s="100"/>
      <c r="V499" s="100"/>
      <c r="W499" s="100"/>
      <c r="X499" s="100"/>
      <c r="Y499" s="100"/>
      <c r="Z499" s="100"/>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228"/>
      <c r="BE499" s="228"/>
      <c r="BF499" s="228"/>
      <c r="BG499" s="228"/>
      <c r="BH499" s="228"/>
      <c r="BI499" s="228"/>
      <c r="BJ499" s="228"/>
      <c r="BK499" s="221"/>
      <c r="BL499" s="221"/>
    </row>
    <row r="500" spans="1:64" hidden="1" outlineLevel="1">
      <c r="A500" s="9"/>
      <c r="B500" s="9"/>
      <c r="C500" s="44"/>
      <c r="D500" s="270">
        <f>Asset28</f>
        <v>0</v>
      </c>
      <c r="E500" s="9"/>
      <c r="F500" s="9"/>
      <c r="G500" s="201">
        <f>'Actual RAB roll forward'!G789</f>
        <v>0</v>
      </c>
      <c r="H500" s="331">
        <f t="shared" si="26"/>
        <v>0</v>
      </c>
      <c r="I500" s="111">
        <f t="shared" si="28"/>
        <v>0</v>
      </c>
      <c r="J500" s="111">
        <f t="shared" si="28"/>
        <v>0</v>
      </c>
      <c r="K500" s="111">
        <f t="shared" si="28"/>
        <v>0</v>
      </c>
      <c r="L500" s="111">
        <f t="shared" si="28"/>
        <v>0</v>
      </c>
      <c r="M500" s="111">
        <f t="shared" si="28"/>
        <v>0</v>
      </c>
      <c r="N500" s="111">
        <f>IF(COUNT($H500:M500)&gt;=Input!$Y$7,0, M500+M532+M564)</f>
        <v>0</v>
      </c>
      <c r="O500" s="111">
        <f>IF(COUNT($H500:N500)&gt;=Input!$Y$7,0, N500+N532+N564)</f>
        <v>0</v>
      </c>
      <c r="P500" s="111">
        <f>IF(COUNT($H500:O500)&gt;=Input!$Y$7,0, O500+O532+O564)</f>
        <v>0</v>
      </c>
      <c r="Q500" s="111">
        <f>IF(COUNT($H500:P500)&gt;=Input!$Y$7,0, P500+P532+P564)</f>
        <v>0</v>
      </c>
      <c r="R500" s="111"/>
      <c r="S500" s="100"/>
      <c r="T500" s="100"/>
      <c r="U500" s="100"/>
      <c r="V500" s="100"/>
      <c r="W500" s="100"/>
      <c r="X500" s="100"/>
      <c r="Y500" s="100"/>
      <c r="Z500" s="100"/>
      <c r="AA500" s="228"/>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228"/>
      <c r="BE500" s="228"/>
      <c r="BF500" s="228"/>
      <c r="BG500" s="228"/>
      <c r="BH500" s="228"/>
      <c r="BI500" s="228"/>
      <c r="BJ500" s="228"/>
      <c r="BK500" s="221"/>
      <c r="BL500" s="221"/>
    </row>
    <row r="501" spans="1:64" hidden="1" outlineLevel="1">
      <c r="A501" s="9"/>
      <c r="B501" s="9"/>
      <c r="C501" s="44"/>
      <c r="D501" s="270">
        <f>Asset29</f>
        <v>0</v>
      </c>
      <c r="E501" s="9"/>
      <c r="F501" s="9"/>
      <c r="G501" s="201">
        <f>'Actual RAB roll forward'!G790</f>
        <v>0</v>
      </c>
      <c r="H501" s="331">
        <f t="shared" si="26"/>
        <v>0</v>
      </c>
      <c r="I501" s="111">
        <f t="shared" si="28"/>
        <v>0</v>
      </c>
      <c r="J501" s="111">
        <f t="shared" si="28"/>
        <v>0</v>
      </c>
      <c r="K501" s="111">
        <f t="shared" si="28"/>
        <v>0</v>
      </c>
      <c r="L501" s="111">
        <f t="shared" si="28"/>
        <v>0</v>
      </c>
      <c r="M501" s="111">
        <f t="shared" si="28"/>
        <v>0</v>
      </c>
      <c r="N501" s="111">
        <f>IF(COUNT($H501:M501)&gt;=Input!$Y$7,0, M501+M533+M565)</f>
        <v>0</v>
      </c>
      <c r="O501" s="111">
        <f>IF(COUNT($H501:N501)&gt;=Input!$Y$7,0, N501+N533+N565)</f>
        <v>0</v>
      </c>
      <c r="P501" s="111">
        <f>IF(COUNT($H501:O501)&gt;=Input!$Y$7,0, O501+O533+O565)</f>
        <v>0</v>
      </c>
      <c r="Q501" s="111">
        <f>IF(COUNT($H501:P501)&gt;=Input!$Y$7,0, P501+P533+P565)</f>
        <v>0</v>
      </c>
      <c r="R501" s="111"/>
      <c r="S501" s="100"/>
      <c r="T501" s="100"/>
      <c r="U501" s="100"/>
      <c r="V501" s="100"/>
      <c r="W501" s="100"/>
      <c r="X501" s="100"/>
      <c r="Y501" s="100"/>
      <c r="Z501" s="100"/>
      <c r="AA501" s="228"/>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228"/>
      <c r="BE501" s="228"/>
      <c r="BF501" s="228"/>
      <c r="BG501" s="228"/>
      <c r="BH501" s="228"/>
      <c r="BI501" s="228"/>
      <c r="BJ501" s="228"/>
      <c r="BK501" s="221"/>
      <c r="BL501" s="221"/>
    </row>
    <row r="502" spans="1:64" hidden="1" outlineLevel="1">
      <c r="A502" s="9"/>
      <c r="B502" s="9"/>
      <c r="C502" s="44"/>
      <c r="D502" s="270">
        <f>Asset30</f>
        <v>0</v>
      </c>
      <c r="E502" s="9"/>
      <c r="F502" s="9"/>
      <c r="G502" s="201">
        <f>'Actual RAB roll forward'!G791</f>
        <v>0</v>
      </c>
      <c r="H502" s="331">
        <f t="shared" si="26"/>
        <v>0</v>
      </c>
      <c r="I502" s="111">
        <f>H502+H534+H566</f>
        <v>0</v>
      </c>
      <c r="J502" s="111">
        <f>I502+I534+I566</f>
        <v>0</v>
      </c>
      <c r="K502" s="111">
        <f>J502+J534+J566</f>
        <v>0</v>
      </c>
      <c r="L502" s="111">
        <f>K502+K534+K566</f>
        <v>0</v>
      </c>
      <c r="M502" s="111">
        <f>L502+L534+L566</f>
        <v>0</v>
      </c>
      <c r="N502" s="111">
        <f>IF(COUNT($H502:M502)&gt;=Input!$Y$7,0, M502+M534+M566)</f>
        <v>0</v>
      </c>
      <c r="O502" s="111">
        <f>IF(COUNT($H502:N502)&gt;=Input!$Y$7,0, N502+N534+N566)</f>
        <v>0</v>
      </c>
      <c r="P502" s="111">
        <f>IF(COUNT($H502:O502)&gt;=Input!$Y$7,0, O502+O534+O566)</f>
        <v>0</v>
      </c>
      <c r="Q502" s="111">
        <f>IF(COUNT($H502:P502)&gt;=Input!$Y$7,0, P502+P534+P566)</f>
        <v>0</v>
      </c>
      <c r="R502" s="111"/>
      <c r="S502" s="100"/>
      <c r="T502" s="100"/>
      <c r="U502" s="100"/>
      <c r="V502" s="100"/>
      <c r="W502" s="100"/>
      <c r="X502" s="100"/>
      <c r="Y502" s="100"/>
      <c r="Z502" s="100"/>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228"/>
      <c r="BE502" s="228"/>
      <c r="BF502" s="228"/>
      <c r="BG502" s="228"/>
      <c r="BH502" s="228"/>
      <c r="BI502" s="228"/>
      <c r="BJ502" s="228"/>
      <c r="BK502" s="221"/>
      <c r="BL502" s="221"/>
    </row>
    <row r="503" spans="1:64" collapsed="1">
      <c r="A503" s="9"/>
      <c r="B503" s="9"/>
      <c r="C503" s="44"/>
      <c r="D503" s="113"/>
      <c r="E503" s="9"/>
      <c r="F503" s="9"/>
      <c r="G503" s="210"/>
      <c r="H503" s="35"/>
      <c r="I503" s="35"/>
      <c r="J503" s="35"/>
      <c r="K503" s="35"/>
      <c r="L503" s="35"/>
      <c r="M503" s="35"/>
      <c r="N503" s="100"/>
      <c r="O503" s="29"/>
      <c r="P503" s="29"/>
      <c r="Q503" s="29"/>
      <c r="R503" s="29"/>
      <c r="S503" s="100"/>
      <c r="T503" s="100"/>
      <c r="U503" s="100"/>
      <c r="V503" s="100"/>
      <c r="W503" s="100"/>
      <c r="X503" s="100"/>
      <c r="Y503" s="100"/>
      <c r="Z503" s="100"/>
      <c r="AA503" s="228"/>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228"/>
      <c r="BE503" s="228"/>
      <c r="BF503" s="228"/>
      <c r="BG503" s="228"/>
      <c r="BH503" s="228"/>
      <c r="BI503" s="228"/>
      <c r="BJ503" s="228"/>
      <c r="BK503" s="221"/>
      <c r="BL503" s="221"/>
    </row>
    <row r="504" spans="1:64">
      <c r="A504" s="9"/>
      <c r="B504" s="9"/>
      <c r="C504" s="44" t="s">
        <v>31</v>
      </c>
      <c r="D504" s="9"/>
      <c r="E504" s="9"/>
      <c r="F504" s="9"/>
      <c r="G504" s="202">
        <f>SUM(G505:G534)</f>
        <v>85.232652528569361</v>
      </c>
      <c r="H504" s="35">
        <f>SUM(H505:H534)</f>
        <v>41.111650747726756</v>
      </c>
      <c r="I504" s="35">
        <f t="shared" ref="I504:P504" si="29">SUM(I505:I534)</f>
        <v>86.892948301384251</v>
      </c>
      <c r="J504" s="35">
        <f t="shared" si="29"/>
        <v>110.37891203890059</v>
      </c>
      <c r="K504" s="35">
        <f t="shared" si="29"/>
        <v>124.14160064027246</v>
      </c>
      <c r="L504" s="35">
        <f t="shared" si="29"/>
        <v>145.15783706054353</v>
      </c>
      <c r="M504" s="35">
        <f t="shared" si="29"/>
        <v>144.03307928448825</v>
      </c>
      <c r="N504" s="35">
        <f t="shared" si="29"/>
        <v>0</v>
      </c>
      <c r="O504" s="35">
        <f t="shared" si="29"/>
        <v>0</v>
      </c>
      <c r="P504" s="35">
        <f t="shared" si="29"/>
        <v>0</v>
      </c>
      <c r="Q504" s="35">
        <f>SUM(Q505:Q534)</f>
        <v>0</v>
      </c>
      <c r="R504" s="29"/>
      <c r="S504" s="100"/>
      <c r="T504" s="100"/>
      <c r="U504" s="100"/>
      <c r="V504" s="100"/>
      <c r="W504" s="100"/>
      <c r="X504" s="100"/>
      <c r="Y504" s="100"/>
      <c r="Z504" s="100"/>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228"/>
      <c r="BE504" s="228"/>
      <c r="BF504" s="228"/>
      <c r="BG504" s="228"/>
      <c r="BH504" s="228"/>
      <c r="BI504" s="228"/>
      <c r="BJ504" s="228"/>
      <c r="BK504" s="221"/>
      <c r="BL504" s="221"/>
    </row>
    <row r="505" spans="1:64" hidden="1" outlineLevel="1">
      <c r="A505" s="9"/>
      <c r="B505" s="9"/>
      <c r="C505" s="44"/>
      <c r="D505" s="270" t="str">
        <f>Asset1</f>
        <v>Secondary</v>
      </c>
      <c r="E505" s="9"/>
      <c r="F505" s="9"/>
      <c r="G505" s="201">
        <f>'Actual RAB roll forward'!G794</f>
        <v>14.463151023717792</v>
      </c>
      <c r="H505" s="111">
        <f>'Actual RAB roll forward'!H794</f>
        <v>7.5118820252378349</v>
      </c>
      <c r="I505" s="111">
        <f>'Actual RAB roll forward'!I794</f>
        <v>3.067290947435942</v>
      </c>
      <c r="J505" s="111">
        <f>'Actual RAB roll forward'!J794</f>
        <v>11.207948770012964</v>
      </c>
      <c r="K505" s="111">
        <f>'Actual RAB roll forward'!K794</f>
        <v>12.462879566457271</v>
      </c>
      <c r="L505" s="111">
        <f>'Actual RAB roll forward'!L794</f>
        <v>30.578622997678913</v>
      </c>
      <c r="M505" s="111">
        <f>'Actual RAB roll forward'!M794</f>
        <v>20.473159126558649</v>
      </c>
      <c r="N505" s="111">
        <f>'Actual RAB roll forward'!N794</f>
        <v>0</v>
      </c>
      <c r="O505" s="111">
        <f>'Actual RAB roll forward'!O794</f>
        <v>0</v>
      </c>
      <c r="P505" s="111">
        <f>'Actual RAB roll forward'!P794</f>
        <v>0</v>
      </c>
      <c r="Q505" s="111">
        <f>'Actual RAB roll forward'!Q794</f>
        <v>0</v>
      </c>
      <c r="R505" s="29"/>
      <c r="S505" s="100"/>
      <c r="T505" s="100"/>
      <c r="U505" s="100"/>
      <c r="V505" s="100"/>
      <c r="W505" s="100"/>
      <c r="X505" s="100"/>
      <c r="Y505" s="100"/>
      <c r="Z505" s="100"/>
      <c r="AA505" s="228"/>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228"/>
      <c r="BE505" s="228"/>
      <c r="BF505" s="228"/>
      <c r="BG505" s="228"/>
      <c r="BH505" s="228"/>
      <c r="BI505" s="228"/>
      <c r="BJ505" s="228"/>
      <c r="BK505" s="221"/>
      <c r="BL505" s="221"/>
    </row>
    <row r="506" spans="1:64" hidden="1" outlineLevel="1">
      <c r="A506" s="9"/>
      <c r="B506" s="9"/>
      <c r="C506" s="44"/>
      <c r="D506" s="270" t="str">
        <f>Asset2</f>
        <v>Switchgear</v>
      </c>
      <c r="E506" s="9"/>
      <c r="F506" s="9"/>
      <c r="G506" s="201">
        <f>'Actual RAB roll forward'!G795</f>
        <v>40.012027975872329</v>
      </c>
      <c r="H506" s="111">
        <f>'Actual RAB roll forward'!H795</f>
        <v>6.5621289699150802</v>
      </c>
      <c r="I506" s="111">
        <f>'Actual RAB roll forward'!I795</f>
        <v>27.34443968400279</v>
      </c>
      <c r="J506" s="111">
        <f>'Actual RAB roll forward'!J795</f>
        <v>51.153517106249133</v>
      </c>
      <c r="K506" s="111">
        <f>'Actual RAB roll forward'!K795</f>
        <v>34.515562621268977</v>
      </c>
      <c r="L506" s="111">
        <f>'Actual RAB roll forward'!L795</f>
        <v>28.760982043446226</v>
      </c>
      <c r="M506" s="111">
        <f>'Actual RAB roll forward'!M795</f>
        <v>44.8214832995994</v>
      </c>
      <c r="N506" s="111">
        <f>'Actual RAB roll forward'!N795</f>
        <v>0</v>
      </c>
      <c r="O506" s="111">
        <f>'Actual RAB roll forward'!O795</f>
        <v>0</v>
      </c>
      <c r="P506" s="111">
        <f>'Actual RAB roll forward'!P795</f>
        <v>0</v>
      </c>
      <c r="Q506" s="111">
        <f>'Actual RAB roll forward'!Q795</f>
        <v>0</v>
      </c>
      <c r="R506" s="29"/>
      <c r="S506" s="100"/>
      <c r="T506" s="100"/>
      <c r="U506" s="100"/>
      <c r="V506" s="100"/>
      <c r="W506" s="100"/>
      <c r="X506" s="100"/>
      <c r="Y506" s="100"/>
      <c r="Z506" s="100"/>
      <c r="AA506" s="228"/>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228"/>
      <c r="BE506" s="228"/>
      <c r="BF506" s="228"/>
      <c r="BG506" s="228"/>
      <c r="BH506" s="228"/>
      <c r="BI506" s="228"/>
      <c r="BJ506" s="228"/>
      <c r="BK506" s="221"/>
      <c r="BL506" s="221"/>
    </row>
    <row r="507" spans="1:64" hidden="1" outlineLevel="1">
      <c r="A507" s="9"/>
      <c r="B507" s="9"/>
      <c r="C507" s="44"/>
      <c r="D507" s="270" t="str">
        <f>Asset3</f>
        <v>Transformers</v>
      </c>
      <c r="E507" s="9"/>
      <c r="F507" s="9"/>
      <c r="G507" s="201">
        <f>'Actual RAB roll forward'!G796</f>
        <v>7.479869950034308</v>
      </c>
      <c r="H507" s="111">
        <f>'Actual RAB roll forward'!H796</f>
        <v>5.0189368567437231</v>
      </c>
      <c r="I507" s="111">
        <f>'Actual RAB roll forward'!I796</f>
        <v>6.3544173840643454</v>
      </c>
      <c r="J507" s="111">
        <f>'Actual RAB roll forward'!J796</f>
        <v>11.285247585580244</v>
      </c>
      <c r="K507" s="111">
        <f>'Actual RAB roll forward'!K796</f>
        <v>9.4308937020548598</v>
      </c>
      <c r="L507" s="111">
        <f>'Actual RAB roll forward'!L796</f>
        <v>25.798477455280093</v>
      </c>
      <c r="M507" s="111">
        <f>'Actual RAB roll forward'!M796</f>
        <v>35.395894451738023</v>
      </c>
      <c r="N507" s="111">
        <f>'Actual RAB roll forward'!N796</f>
        <v>0</v>
      </c>
      <c r="O507" s="111">
        <f>'Actual RAB roll forward'!O796</f>
        <v>0</v>
      </c>
      <c r="P507" s="111">
        <f>'Actual RAB roll forward'!P796</f>
        <v>0</v>
      </c>
      <c r="Q507" s="111">
        <f>'Actual RAB roll forward'!Q796</f>
        <v>0</v>
      </c>
      <c r="R507" s="29"/>
      <c r="S507" s="100"/>
      <c r="T507" s="100"/>
      <c r="U507" s="100"/>
      <c r="V507" s="100"/>
      <c r="W507" s="100"/>
      <c r="X507" s="100"/>
      <c r="Y507" s="100"/>
      <c r="Z507" s="100"/>
      <c r="AA507" s="228"/>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228"/>
      <c r="BE507" s="228"/>
      <c r="BF507" s="228"/>
      <c r="BG507" s="228"/>
      <c r="BH507" s="228"/>
      <c r="BI507" s="228"/>
      <c r="BJ507" s="228"/>
      <c r="BK507" s="221"/>
      <c r="BL507" s="221"/>
    </row>
    <row r="508" spans="1:64" hidden="1" outlineLevel="1">
      <c r="A508" s="9"/>
      <c r="B508" s="9"/>
      <c r="C508" s="44"/>
      <c r="D508" s="270" t="str">
        <f>Asset4</f>
        <v>Reactive</v>
      </c>
      <c r="E508" s="9"/>
      <c r="F508" s="9"/>
      <c r="G508" s="201">
        <f>'Actual RAB roll forward'!G797</f>
        <v>0.62073609543853181</v>
      </c>
      <c r="H508" s="111">
        <f>'Actual RAB roll forward'!H797</f>
        <v>6.3505502262786824E-3</v>
      </c>
      <c r="I508" s="111">
        <f>'Actual RAB roll forward'!I797</f>
        <v>1.0274417001215055</v>
      </c>
      <c r="J508" s="111">
        <f>'Actual RAB roll forward'!J797</f>
        <v>4.9438509852332432E-2</v>
      </c>
      <c r="K508" s="111">
        <f>'Actual RAB roll forward'!K797</f>
        <v>0.55076915906634394</v>
      </c>
      <c r="L508" s="111">
        <f>'Actual RAB roll forward'!L797</f>
        <v>0.98750152938871161</v>
      </c>
      <c r="M508" s="111">
        <f>'Actual RAB roll forward'!M797</f>
        <v>0.88976931453972907</v>
      </c>
      <c r="N508" s="111">
        <f>'Actual RAB roll forward'!N797</f>
        <v>0</v>
      </c>
      <c r="O508" s="111">
        <f>'Actual RAB roll forward'!O797</f>
        <v>0</v>
      </c>
      <c r="P508" s="111">
        <f>'Actual RAB roll forward'!P797</f>
        <v>0</v>
      </c>
      <c r="Q508" s="111">
        <f>'Actual RAB roll forward'!Q797</f>
        <v>0</v>
      </c>
      <c r="R508" s="29"/>
      <c r="S508" s="100"/>
      <c r="T508" s="100"/>
      <c r="U508" s="100"/>
      <c r="V508" s="100"/>
      <c r="W508" s="100"/>
      <c r="X508" s="100"/>
      <c r="Y508" s="100"/>
      <c r="Z508" s="100"/>
      <c r="AA508" s="228"/>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228"/>
      <c r="BE508" s="228"/>
      <c r="BF508" s="228"/>
      <c r="BG508" s="228"/>
      <c r="BH508" s="228"/>
      <c r="BI508" s="228"/>
      <c r="BJ508" s="228"/>
      <c r="BK508" s="221"/>
      <c r="BL508" s="221"/>
    </row>
    <row r="509" spans="1:64" hidden="1" outlineLevel="1">
      <c r="A509" s="9"/>
      <c r="B509" s="9"/>
      <c r="C509" s="44"/>
      <c r="D509" s="270" t="str">
        <f>Asset5</f>
        <v>Towers and Conductor</v>
      </c>
      <c r="E509" s="9"/>
      <c r="F509" s="9"/>
      <c r="G509" s="201">
        <f>'Actual RAB roll forward'!G798</f>
        <v>1.7484066688185314</v>
      </c>
      <c r="H509" s="111">
        <f>'Actual RAB roll forward'!H798</f>
        <v>5.6721887984491692</v>
      </c>
      <c r="I509" s="111">
        <f>'Actual RAB roll forward'!I798</f>
        <v>19.750739354453621</v>
      </c>
      <c r="J509" s="111">
        <f>'Actual RAB roll forward'!J798</f>
        <v>9.5187588578587192</v>
      </c>
      <c r="K509" s="111">
        <f>'Actual RAB roll forward'!K798</f>
        <v>42.590278299098642</v>
      </c>
      <c r="L509" s="111">
        <f>'Actual RAB roll forward'!L798</f>
        <v>24.810975925891377</v>
      </c>
      <c r="M509" s="111">
        <f>'Actual RAB roll forward'!M798</f>
        <v>5.0849681894479817</v>
      </c>
      <c r="N509" s="111">
        <f>'Actual RAB roll forward'!N798</f>
        <v>0</v>
      </c>
      <c r="O509" s="111">
        <f>'Actual RAB roll forward'!O798</f>
        <v>0</v>
      </c>
      <c r="P509" s="111">
        <f>'Actual RAB roll forward'!P798</f>
        <v>0</v>
      </c>
      <c r="Q509" s="111">
        <f>'Actual RAB roll forward'!Q798</f>
        <v>0</v>
      </c>
      <c r="R509" s="29"/>
      <c r="S509" s="100"/>
      <c r="T509" s="100"/>
      <c r="U509" s="100"/>
      <c r="V509" s="100"/>
      <c r="W509" s="100"/>
      <c r="X509" s="100"/>
      <c r="Y509" s="100"/>
      <c r="Z509" s="100"/>
      <c r="AA509" s="228"/>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228"/>
      <c r="BE509" s="228"/>
      <c r="BF509" s="228"/>
      <c r="BG509" s="228"/>
      <c r="BH509" s="228"/>
      <c r="BI509" s="228"/>
      <c r="BJ509" s="228"/>
      <c r="BK509" s="221"/>
      <c r="BL509" s="221"/>
    </row>
    <row r="510" spans="1:64" hidden="1" outlineLevel="1">
      <c r="A510" s="9"/>
      <c r="B510" s="9"/>
      <c r="C510" s="44"/>
      <c r="D510" s="270" t="str">
        <f>Asset6</f>
        <v>Establishment</v>
      </c>
      <c r="E510" s="9"/>
      <c r="F510" s="9"/>
      <c r="G510" s="201">
        <f>'Actual RAB roll forward'!G799</f>
        <v>13.314789247156508</v>
      </c>
      <c r="H510" s="111">
        <f>'Actual RAB roll forward'!H799</f>
        <v>12.891146892749086</v>
      </c>
      <c r="I510" s="111">
        <f>'Actual RAB roll forward'!I799</f>
        <v>11.588760091862021</v>
      </c>
      <c r="J510" s="111">
        <f>'Actual RAB roll forward'!J799</f>
        <v>6.8281592663851711</v>
      </c>
      <c r="K510" s="111">
        <f>'Actual RAB roll forward'!K799</f>
        <v>5.4652933448205765</v>
      </c>
      <c r="L510" s="111">
        <f>'Actual RAB roll forward'!L799</f>
        <v>7.9000122351096929</v>
      </c>
      <c r="M510" s="111">
        <f>'Actual RAB roll forward'!M799</f>
        <v>9.6825826235139782</v>
      </c>
      <c r="N510" s="111">
        <f>'Actual RAB roll forward'!N799</f>
        <v>0</v>
      </c>
      <c r="O510" s="111">
        <f>'Actual RAB roll forward'!O799</f>
        <v>0</v>
      </c>
      <c r="P510" s="111">
        <f>'Actual RAB roll forward'!P799</f>
        <v>0</v>
      </c>
      <c r="Q510" s="111">
        <f>'Actual RAB roll forward'!Q799</f>
        <v>0</v>
      </c>
      <c r="R510" s="29"/>
      <c r="S510" s="100"/>
      <c r="T510" s="100"/>
      <c r="U510" s="100"/>
      <c r="V510" s="100"/>
      <c r="W510" s="100"/>
      <c r="X510" s="100"/>
      <c r="Y510" s="100"/>
      <c r="Z510" s="100"/>
      <c r="AA510" s="228"/>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228"/>
      <c r="BE510" s="228"/>
      <c r="BF510" s="228"/>
      <c r="BG510" s="228"/>
      <c r="BH510" s="228"/>
      <c r="BI510" s="228"/>
      <c r="BJ510" s="228"/>
      <c r="BK510" s="221"/>
      <c r="BL510" s="221"/>
    </row>
    <row r="511" spans="1:64" hidden="1" outlineLevel="1">
      <c r="A511" s="9"/>
      <c r="B511" s="9"/>
      <c r="C511" s="44"/>
      <c r="D511" s="270" t="str">
        <f>Asset7</f>
        <v>Communications</v>
      </c>
      <c r="E511" s="9"/>
      <c r="F511" s="9"/>
      <c r="G511" s="201">
        <f>'Actual RAB roll forward'!G800</f>
        <v>3.465776532865136</v>
      </c>
      <c r="H511" s="111">
        <f>'Actual RAB roll forward'!H800</f>
        <v>0.35678790748495165</v>
      </c>
      <c r="I511" s="111">
        <f>'Actual RAB roll forward'!I800</f>
        <v>2.1494566312853984</v>
      </c>
      <c r="J511" s="111">
        <f>'Actual RAB roll forward'!J800</f>
        <v>12.36219188924561</v>
      </c>
      <c r="K511" s="111">
        <f>'Actual RAB roll forward'!K800</f>
        <v>6.9536141630740991</v>
      </c>
      <c r="L511" s="111">
        <f>'Actual RAB roll forward'!L800</f>
        <v>4.6906322645963803</v>
      </c>
      <c r="M511" s="111">
        <f>'Actual RAB roll forward'!M800</f>
        <v>5.6775286672153449</v>
      </c>
      <c r="N511" s="111">
        <f>'Actual RAB roll forward'!N800</f>
        <v>0</v>
      </c>
      <c r="O511" s="111">
        <f>'Actual RAB roll forward'!O800</f>
        <v>0</v>
      </c>
      <c r="P511" s="111">
        <f>'Actual RAB roll forward'!P800</f>
        <v>0</v>
      </c>
      <c r="Q511" s="111">
        <f>'Actual RAB roll forward'!Q800</f>
        <v>0</v>
      </c>
      <c r="R511" s="29"/>
      <c r="S511" s="100"/>
      <c r="T511" s="100"/>
      <c r="U511" s="100"/>
      <c r="V511" s="100"/>
      <c r="W511" s="100"/>
      <c r="X511" s="100"/>
      <c r="Y511" s="100"/>
      <c r="Z511" s="100"/>
      <c r="AA511" s="228"/>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228"/>
      <c r="BE511" s="228"/>
      <c r="BF511" s="228"/>
      <c r="BG511" s="228"/>
      <c r="BH511" s="228"/>
      <c r="BI511" s="228"/>
      <c r="BJ511" s="228"/>
      <c r="BK511" s="221"/>
      <c r="BL511" s="221"/>
    </row>
    <row r="512" spans="1:64" hidden="1" outlineLevel="1">
      <c r="A512" s="9"/>
      <c r="B512" s="9"/>
      <c r="C512" s="44"/>
      <c r="D512" s="270" t="str">
        <f>Asset8</f>
        <v>Inventory</v>
      </c>
      <c r="E512" s="9"/>
      <c r="F512" s="9"/>
      <c r="G512" s="201">
        <f>'Actual RAB roll forward'!G801</f>
        <v>0.29219122749760001</v>
      </c>
      <c r="H512" s="111">
        <f>'Actual RAB roll forward'!H801</f>
        <v>0</v>
      </c>
      <c r="I512" s="111">
        <f>'Actual RAB roll forward'!I801</f>
        <v>0</v>
      </c>
      <c r="J512" s="111">
        <f>'Actual RAB roll forward'!J801</f>
        <v>0</v>
      </c>
      <c r="K512" s="111">
        <f>'Actual RAB roll forward'!K801</f>
        <v>0</v>
      </c>
      <c r="L512" s="111">
        <f>'Actual RAB roll forward'!L801</f>
        <v>0</v>
      </c>
      <c r="M512" s="111">
        <f>'Actual RAB roll forward'!M801</f>
        <v>0</v>
      </c>
      <c r="N512" s="111">
        <f>'Actual RAB roll forward'!N801</f>
        <v>0</v>
      </c>
      <c r="O512" s="111">
        <f>'Actual RAB roll forward'!O801</f>
        <v>0</v>
      </c>
      <c r="P512" s="111">
        <f>'Actual RAB roll forward'!P801</f>
        <v>0</v>
      </c>
      <c r="Q512" s="111">
        <f>'Actual RAB roll forward'!Q801</f>
        <v>0</v>
      </c>
      <c r="R512" s="29"/>
      <c r="S512" s="100"/>
      <c r="T512" s="100"/>
      <c r="U512" s="100"/>
      <c r="V512" s="100"/>
      <c r="W512" s="100"/>
      <c r="X512" s="100"/>
      <c r="Y512" s="100"/>
      <c r="Z512" s="100"/>
      <c r="AA512" s="228"/>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228"/>
      <c r="BE512" s="228"/>
      <c r="BF512" s="228"/>
      <c r="BG512" s="228"/>
      <c r="BH512" s="228"/>
      <c r="BI512" s="228"/>
      <c r="BJ512" s="228"/>
      <c r="BK512" s="221"/>
      <c r="BL512" s="221"/>
    </row>
    <row r="513" spans="1:64" hidden="1" outlineLevel="1">
      <c r="A513" s="9"/>
      <c r="B513" s="9"/>
      <c r="C513" s="44"/>
      <c r="D513" s="270" t="str">
        <f>Asset9</f>
        <v>IT</v>
      </c>
      <c r="E513" s="9"/>
      <c r="F513" s="9"/>
      <c r="G513" s="201">
        <f>'Actual RAB roll forward'!G802</f>
        <v>2.3183776984613531</v>
      </c>
      <c r="H513" s="111">
        <f>'Actual RAB roll forward'!H802</f>
        <v>2.7324034403125035</v>
      </c>
      <c r="I513" s="111">
        <f>'Actual RAB roll forward'!I802</f>
        <v>12.667513674447584</v>
      </c>
      <c r="J513" s="111">
        <f>'Actual RAB roll forward'!J802</f>
        <v>5.2000444562152399</v>
      </c>
      <c r="K513" s="111">
        <f>'Actual RAB roll forward'!K802</f>
        <v>8.3904885341639019</v>
      </c>
      <c r="L513" s="111">
        <f>'Actual RAB roll forward'!L802</f>
        <v>17.568026484590561</v>
      </c>
      <c r="M513" s="111">
        <f>'Actual RAB roll forward'!M802</f>
        <v>18.358849747921251</v>
      </c>
      <c r="N513" s="111">
        <f>'Actual RAB roll forward'!N802</f>
        <v>0</v>
      </c>
      <c r="O513" s="111">
        <f>'Actual RAB roll forward'!O802</f>
        <v>0</v>
      </c>
      <c r="P513" s="111">
        <f>'Actual RAB roll forward'!P802</f>
        <v>0</v>
      </c>
      <c r="Q513" s="111">
        <f>'Actual RAB roll forward'!Q802</f>
        <v>0</v>
      </c>
      <c r="R513" s="29"/>
      <c r="S513" s="100"/>
      <c r="T513" s="100"/>
      <c r="U513" s="100"/>
      <c r="V513" s="100"/>
      <c r="W513" s="100"/>
      <c r="X513" s="100"/>
      <c r="Y513" s="100"/>
      <c r="Z513" s="100"/>
      <c r="AA513" s="228"/>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228"/>
      <c r="BE513" s="228"/>
      <c r="BF513" s="228"/>
      <c r="BG513" s="228"/>
      <c r="BH513" s="228"/>
      <c r="BI513" s="228"/>
      <c r="BJ513" s="228"/>
      <c r="BK513" s="221"/>
      <c r="BL513" s="221"/>
    </row>
    <row r="514" spans="1:64" hidden="1" outlineLevel="1">
      <c r="A514" s="9"/>
      <c r="B514" s="9"/>
      <c r="C514" s="44"/>
      <c r="D514" s="270" t="str">
        <f>Asset10</f>
        <v>Vehicles</v>
      </c>
      <c r="E514" s="9"/>
      <c r="F514" s="9"/>
      <c r="G514" s="201">
        <f>'Actual RAB roll forward'!G803</f>
        <v>0.31500994680163003</v>
      </c>
      <c r="H514" s="111">
        <f>'Actual RAB roll forward'!H803</f>
        <v>-5.0697648354472054E-2</v>
      </c>
      <c r="I514" s="111">
        <f>'Actual RAB roll forward'!I803</f>
        <v>0.51491775586845978</v>
      </c>
      <c r="J514" s="111">
        <f>'Actual RAB roll forward'!J803</f>
        <v>-0.15877333224300491</v>
      </c>
      <c r="K514" s="111">
        <f>'Actual RAB roll forward'!K803</f>
        <v>0.18661995428945383</v>
      </c>
      <c r="L514" s="111">
        <f>'Actual RAB roll forward'!L803</f>
        <v>1.6470024829303653</v>
      </c>
      <c r="M514" s="111">
        <f>'Actual RAB roll forward'!M803</f>
        <v>1.7009132647820038</v>
      </c>
      <c r="N514" s="111">
        <f>'Actual RAB roll forward'!N803</f>
        <v>0</v>
      </c>
      <c r="O514" s="111">
        <f>'Actual RAB roll forward'!O803</f>
        <v>0</v>
      </c>
      <c r="P514" s="111">
        <f>'Actual RAB roll forward'!P803</f>
        <v>0</v>
      </c>
      <c r="Q514" s="111">
        <f>'Actual RAB roll forward'!Q803</f>
        <v>0</v>
      </c>
      <c r="R514" s="29"/>
      <c r="S514" s="100"/>
      <c r="T514" s="100"/>
      <c r="U514" s="100"/>
      <c r="V514" s="100"/>
      <c r="W514" s="100"/>
      <c r="X514" s="100"/>
      <c r="Y514" s="100"/>
      <c r="Z514" s="100"/>
      <c r="AA514" s="228"/>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228"/>
      <c r="BE514" s="228"/>
      <c r="BF514" s="228"/>
      <c r="BG514" s="228"/>
      <c r="BH514" s="228"/>
      <c r="BI514" s="228"/>
      <c r="BJ514" s="228"/>
      <c r="BK514" s="221"/>
      <c r="BL514" s="221"/>
    </row>
    <row r="515" spans="1:64" hidden="1" outlineLevel="1">
      <c r="A515" s="9"/>
      <c r="B515" s="9"/>
      <c r="C515" s="44"/>
      <c r="D515" s="270" t="str">
        <f>Asset11</f>
        <v>other</v>
      </c>
      <c r="E515" s="9"/>
      <c r="F515" s="9"/>
      <c r="G515" s="201">
        <f>'Actual RAB roll forward'!G804</f>
        <v>0.56364122439537223</v>
      </c>
      <c r="H515" s="111">
        <f>'Actual RAB roll forward'!H804</f>
        <v>0.43125953319773602</v>
      </c>
      <c r="I515" s="111">
        <f>'Actual RAB roll forward'!I804</f>
        <v>1.8606312429749983</v>
      </c>
      <c r="J515" s="111">
        <f>'Actual RAB roll forward'!J804</f>
        <v>3.3418725334400627</v>
      </c>
      <c r="K515" s="111">
        <f>'Actual RAB roll forward'!K804</f>
        <v>3.4860409229471054</v>
      </c>
      <c r="L515" s="111">
        <f>'Actual RAB roll forward'!L804</f>
        <v>2.1960033105738201</v>
      </c>
      <c r="M515" s="111">
        <f>'Actual RAB roll forward'!M804</f>
        <v>1.7211421638676174</v>
      </c>
      <c r="N515" s="111">
        <f>'Actual RAB roll forward'!N804</f>
        <v>0</v>
      </c>
      <c r="O515" s="111">
        <f>'Actual RAB roll forward'!O804</f>
        <v>0</v>
      </c>
      <c r="P515" s="111">
        <f>'Actual RAB roll forward'!P804</f>
        <v>0</v>
      </c>
      <c r="Q515" s="111">
        <f>'Actual RAB roll forward'!Q804</f>
        <v>0</v>
      </c>
      <c r="R515" s="29"/>
      <c r="S515" s="100"/>
      <c r="T515" s="100"/>
      <c r="U515" s="100"/>
      <c r="V515" s="100"/>
      <c r="W515" s="100"/>
      <c r="X515" s="100"/>
      <c r="Y515" s="100"/>
      <c r="Z515" s="100"/>
      <c r="AA515" s="228"/>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228"/>
      <c r="BE515" s="228"/>
      <c r="BF515" s="228"/>
      <c r="BG515" s="228"/>
      <c r="BH515" s="228"/>
      <c r="BI515" s="228"/>
      <c r="BJ515" s="228"/>
      <c r="BK515" s="221"/>
      <c r="BL515" s="221"/>
    </row>
    <row r="516" spans="1:64" hidden="1" outlineLevel="1">
      <c r="A516" s="9"/>
      <c r="B516" s="9"/>
      <c r="C516" s="44"/>
      <c r="D516" s="270" t="str">
        <f>Asset12</f>
        <v>premises</v>
      </c>
      <c r="E516" s="9"/>
      <c r="F516" s="9"/>
      <c r="G516" s="201">
        <f>'Actual RAB roll forward'!G805</f>
        <v>0.63867493751028093</v>
      </c>
      <c r="H516" s="111">
        <f>'Actual RAB roll forward'!H805</f>
        <v>-2.0736578235140576E-2</v>
      </c>
      <c r="I516" s="111">
        <f>'Actual RAB roll forward'!I805</f>
        <v>0.36697861075815064</v>
      </c>
      <c r="J516" s="111">
        <f>'Actual RAB roll forward'!J805</f>
        <v>8.7266827140717124E-2</v>
      </c>
      <c r="K516" s="111">
        <f>'Actual RAB roll forward'!K805</f>
        <v>1.1258557131816536</v>
      </c>
      <c r="L516" s="111">
        <f>'Actual RAB roll forward'!L805</f>
        <v>0.21960033105738203</v>
      </c>
      <c r="M516" s="111">
        <f>'Actual RAB roll forward'!M805</f>
        <v>0.22678843530426721</v>
      </c>
      <c r="N516" s="111">
        <f>'Actual RAB roll forward'!N805</f>
        <v>0</v>
      </c>
      <c r="O516" s="111">
        <f>'Actual RAB roll forward'!O805</f>
        <v>0</v>
      </c>
      <c r="P516" s="111">
        <f>'Actual RAB roll forward'!P805</f>
        <v>0</v>
      </c>
      <c r="Q516" s="111">
        <f>'Actual RAB roll forward'!Q805</f>
        <v>0</v>
      </c>
      <c r="R516" s="29"/>
      <c r="S516" s="100"/>
      <c r="T516" s="100"/>
      <c r="U516" s="100"/>
      <c r="V516" s="100"/>
      <c r="W516" s="100"/>
      <c r="X516" s="100"/>
      <c r="Y516" s="100"/>
      <c r="Z516" s="100"/>
      <c r="AA516" s="228"/>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228"/>
      <c r="BE516" s="228"/>
      <c r="BF516" s="228"/>
      <c r="BG516" s="228"/>
      <c r="BH516" s="228"/>
      <c r="BI516" s="228"/>
      <c r="BJ516" s="228"/>
      <c r="BK516" s="221"/>
      <c r="BL516" s="221"/>
    </row>
    <row r="517" spans="1:64" hidden="1" outlineLevel="1">
      <c r="A517" s="9"/>
      <c r="B517" s="9"/>
      <c r="C517" s="44"/>
      <c r="D517" s="270" t="str">
        <f>Asset13</f>
        <v>Land</v>
      </c>
      <c r="E517" s="9"/>
      <c r="F517" s="9"/>
      <c r="G517" s="201">
        <f>'Actual RAB roll forward'!G806</f>
        <v>0</v>
      </c>
      <c r="H517" s="111">
        <f>'Actual RAB roll forward'!H806</f>
        <v>0</v>
      </c>
      <c r="I517" s="111">
        <f>'Actual RAB roll forward'!I806</f>
        <v>0.20036122410942422</v>
      </c>
      <c r="J517" s="111">
        <f>'Actual RAB roll forward'!J806</f>
        <v>-0.49676043083659671</v>
      </c>
      <c r="K517" s="111">
        <f>'Actual RAB roll forward'!K806</f>
        <v>-1.0166953401504202</v>
      </c>
      <c r="L517" s="111">
        <f>'Actual RAB roll forward'!L806</f>
        <v>0</v>
      </c>
      <c r="M517" s="111">
        <f>'Actual RAB roll forward'!M806</f>
        <v>0</v>
      </c>
      <c r="N517" s="111">
        <f>'Actual RAB roll forward'!N806</f>
        <v>0</v>
      </c>
      <c r="O517" s="111">
        <f>'Actual RAB roll forward'!O806</f>
        <v>0</v>
      </c>
      <c r="P517" s="111">
        <f>'Actual RAB roll forward'!P806</f>
        <v>0</v>
      </c>
      <c r="Q517" s="111">
        <f>'Actual RAB roll forward'!Q806</f>
        <v>0</v>
      </c>
      <c r="R517" s="29"/>
      <c r="S517" s="100"/>
      <c r="T517" s="100"/>
      <c r="U517" s="100"/>
      <c r="V517" s="100"/>
      <c r="W517" s="100"/>
      <c r="X517" s="100"/>
      <c r="Y517" s="100"/>
      <c r="Z517" s="100"/>
      <c r="AA517" s="228"/>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228"/>
      <c r="BE517" s="228"/>
      <c r="BF517" s="228"/>
      <c r="BG517" s="228"/>
      <c r="BH517" s="228"/>
      <c r="BI517" s="228"/>
      <c r="BJ517" s="228"/>
      <c r="BK517" s="221"/>
      <c r="BL517" s="221"/>
    </row>
    <row r="518" spans="1:64" hidden="1" outlineLevel="1">
      <c r="A518" s="9"/>
      <c r="B518" s="9"/>
      <c r="C518" s="44"/>
      <c r="D518" s="270" t="str">
        <f>Asset14</f>
        <v>Easements</v>
      </c>
      <c r="E518" s="9"/>
      <c r="F518" s="9"/>
      <c r="G518" s="201">
        <f>'Actual RAB roll forward'!G807</f>
        <v>0</v>
      </c>
      <c r="H518" s="111">
        <f>'Actual RAB roll forward'!H807</f>
        <v>0</v>
      </c>
      <c r="I518" s="111">
        <f>'Actual RAB roll forward'!I807</f>
        <v>0</v>
      </c>
      <c r="J518" s="111">
        <f>'Actual RAB roll forward'!J807</f>
        <v>0</v>
      </c>
      <c r="K518" s="111">
        <f>'Actual RAB roll forward'!K807</f>
        <v>0</v>
      </c>
      <c r="L518" s="111">
        <f>'Actual RAB roll forward'!L807</f>
        <v>0</v>
      </c>
      <c r="M518" s="111">
        <f>'Actual RAB roll forward'!M807</f>
        <v>0</v>
      </c>
      <c r="N518" s="111">
        <f>'Actual RAB roll forward'!N807</f>
        <v>0</v>
      </c>
      <c r="O518" s="111">
        <f>'Actual RAB roll forward'!O807</f>
        <v>0</v>
      </c>
      <c r="P518" s="111">
        <f>'Actual RAB roll forward'!P807</f>
        <v>0</v>
      </c>
      <c r="Q518" s="111">
        <f>'Actual RAB roll forward'!Q807</f>
        <v>0</v>
      </c>
      <c r="R518" s="29"/>
      <c r="S518" s="100"/>
      <c r="T518" s="100"/>
      <c r="U518" s="100"/>
      <c r="V518" s="100"/>
      <c r="W518" s="100"/>
      <c r="X518" s="100"/>
      <c r="Y518" s="100"/>
      <c r="Z518" s="100"/>
      <c r="AA518" s="228"/>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228"/>
      <c r="BE518" s="228"/>
      <c r="BF518" s="228"/>
      <c r="BG518" s="228"/>
      <c r="BH518" s="228"/>
      <c r="BI518" s="228"/>
      <c r="BJ518" s="228"/>
      <c r="BK518" s="221"/>
      <c r="BL518" s="221"/>
    </row>
    <row r="519" spans="1:64" hidden="1" outlineLevel="1">
      <c r="A519" s="9"/>
      <c r="B519" s="9"/>
      <c r="C519" s="44"/>
      <c r="D519" s="270">
        <f>Asset15</f>
        <v>0</v>
      </c>
      <c r="E519" s="9"/>
      <c r="F519" s="9"/>
      <c r="G519" s="201">
        <f>'Actual RAB roll forward'!G808</f>
        <v>0</v>
      </c>
      <c r="H519" s="111">
        <f>'Actual RAB roll forward'!H808</f>
        <v>0</v>
      </c>
      <c r="I519" s="111">
        <f>'Actual RAB roll forward'!I808</f>
        <v>0</v>
      </c>
      <c r="J519" s="111">
        <f>'Actual RAB roll forward'!J808</f>
        <v>0</v>
      </c>
      <c r="K519" s="111">
        <f>'Actual RAB roll forward'!K808</f>
        <v>0</v>
      </c>
      <c r="L519" s="111">
        <f>'Actual RAB roll forward'!L808</f>
        <v>0</v>
      </c>
      <c r="M519" s="111">
        <f>'Actual RAB roll forward'!M808</f>
        <v>0</v>
      </c>
      <c r="N519" s="111">
        <f>'Actual RAB roll forward'!N808</f>
        <v>0</v>
      </c>
      <c r="O519" s="111">
        <f>'Actual RAB roll forward'!O808</f>
        <v>0</v>
      </c>
      <c r="P519" s="111">
        <f>'Actual RAB roll forward'!P808</f>
        <v>0</v>
      </c>
      <c r="Q519" s="111">
        <f>'Actual RAB roll forward'!Q808</f>
        <v>0</v>
      </c>
      <c r="R519" s="29"/>
      <c r="S519" s="100"/>
      <c r="T519" s="100"/>
      <c r="U519" s="100"/>
      <c r="V519" s="100"/>
      <c r="W519" s="100"/>
      <c r="X519" s="100"/>
      <c r="Y519" s="100"/>
      <c r="Z519" s="100"/>
      <c r="AA519" s="228"/>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228"/>
      <c r="BE519" s="228"/>
      <c r="BF519" s="228"/>
      <c r="BG519" s="228"/>
      <c r="BH519" s="228"/>
      <c r="BI519" s="228"/>
      <c r="BJ519" s="228"/>
      <c r="BK519" s="221"/>
      <c r="BL519" s="221"/>
    </row>
    <row r="520" spans="1:64" hidden="1" outlineLevel="1">
      <c r="A520" s="9"/>
      <c r="B520" s="9"/>
      <c r="C520" s="44"/>
      <c r="D520" s="270">
        <f>Asset16</f>
        <v>0</v>
      </c>
      <c r="E520" s="9"/>
      <c r="F520" s="9"/>
      <c r="G520" s="201">
        <f>'Actual RAB roll forward'!G809</f>
        <v>0</v>
      </c>
      <c r="H520" s="111">
        <f>'Actual RAB roll forward'!H809</f>
        <v>0</v>
      </c>
      <c r="I520" s="111">
        <f>'Actual RAB roll forward'!I809</f>
        <v>0</v>
      </c>
      <c r="J520" s="111">
        <f>'Actual RAB roll forward'!J809</f>
        <v>0</v>
      </c>
      <c r="K520" s="111">
        <f>'Actual RAB roll forward'!K809</f>
        <v>0</v>
      </c>
      <c r="L520" s="111">
        <f>'Actual RAB roll forward'!L809</f>
        <v>0</v>
      </c>
      <c r="M520" s="111">
        <f>'Actual RAB roll forward'!M809</f>
        <v>0</v>
      </c>
      <c r="N520" s="111">
        <f>'Actual RAB roll forward'!N809</f>
        <v>0</v>
      </c>
      <c r="O520" s="111">
        <f>'Actual RAB roll forward'!O809</f>
        <v>0</v>
      </c>
      <c r="P520" s="111">
        <f>'Actual RAB roll forward'!P809</f>
        <v>0</v>
      </c>
      <c r="Q520" s="111">
        <f>'Actual RAB roll forward'!Q809</f>
        <v>0</v>
      </c>
      <c r="R520" s="29"/>
      <c r="S520" s="100"/>
      <c r="T520" s="100"/>
      <c r="U520" s="100"/>
      <c r="V520" s="100"/>
      <c r="W520" s="100"/>
      <c r="X520" s="100"/>
      <c r="Y520" s="100"/>
      <c r="Z520" s="100"/>
      <c r="AA520" s="228"/>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228"/>
      <c r="BE520" s="228"/>
      <c r="BF520" s="228"/>
      <c r="BG520" s="228"/>
      <c r="BH520" s="228"/>
      <c r="BI520" s="228"/>
      <c r="BJ520" s="228"/>
      <c r="BK520" s="221"/>
      <c r="BL520" s="221"/>
    </row>
    <row r="521" spans="1:64" hidden="1" outlineLevel="1">
      <c r="A521" s="9"/>
      <c r="B521" s="9"/>
      <c r="C521" s="44"/>
      <c r="D521" s="270">
        <f>Asset17</f>
        <v>0</v>
      </c>
      <c r="E521" s="9"/>
      <c r="F521" s="9"/>
      <c r="G521" s="201">
        <f>'Actual RAB roll forward'!G810</f>
        <v>0</v>
      </c>
      <c r="H521" s="111">
        <f>'Actual RAB roll forward'!H810</f>
        <v>0</v>
      </c>
      <c r="I521" s="111">
        <f>'Actual RAB roll forward'!I810</f>
        <v>0</v>
      </c>
      <c r="J521" s="111">
        <f>'Actual RAB roll forward'!J810</f>
        <v>0</v>
      </c>
      <c r="K521" s="111">
        <f>'Actual RAB roll forward'!K810</f>
        <v>0</v>
      </c>
      <c r="L521" s="111">
        <f>'Actual RAB roll forward'!L810</f>
        <v>0</v>
      </c>
      <c r="M521" s="111">
        <f>'Actual RAB roll forward'!M810</f>
        <v>0</v>
      </c>
      <c r="N521" s="111">
        <f>'Actual RAB roll forward'!N810</f>
        <v>0</v>
      </c>
      <c r="O521" s="111">
        <f>'Actual RAB roll forward'!O810</f>
        <v>0</v>
      </c>
      <c r="P521" s="111">
        <f>'Actual RAB roll forward'!P810</f>
        <v>0</v>
      </c>
      <c r="Q521" s="111">
        <f>'Actual RAB roll forward'!Q810</f>
        <v>0</v>
      </c>
      <c r="R521" s="29"/>
      <c r="S521" s="100"/>
      <c r="T521" s="100"/>
      <c r="U521" s="100"/>
      <c r="V521" s="100"/>
      <c r="W521" s="100"/>
      <c r="X521" s="100"/>
      <c r="Y521" s="100"/>
      <c r="Z521" s="100"/>
      <c r="AA521" s="228"/>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228"/>
      <c r="BE521" s="228"/>
      <c r="BF521" s="228"/>
      <c r="BG521" s="228"/>
      <c r="BH521" s="228"/>
      <c r="BI521" s="228"/>
      <c r="BJ521" s="228"/>
      <c r="BK521" s="221"/>
      <c r="BL521" s="221"/>
    </row>
    <row r="522" spans="1:64" hidden="1" outlineLevel="1">
      <c r="A522" s="9"/>
      <c r="B522" s="9"/>
      <c r="C522" s="44"/>
      <c r="D522" s="270">
        <f>Asset18</f>
        <v>0</v>
      </c>
      <c r="E522" s="9"/>
      <c r="F522" s="9"/>
      <c r="G522" s="201">
        <f>'Actual RAB roll forward'!G811</f>
        <v>0</v>
      </c>
      <c r="H522" s="111">
        <f>'Actual RAB roll forward'!H811</f>
        <v>0</v>
      </c>
      <c r="I522" s="111">
        <f>'Actual RAB roll forward'!I811</f>
        <v>0</v>
      </c>
      <c r="J522" s="111">
        <f>'Actual RAB roll forward'!J811</f>
        <v>0</v>
      </c>
      <c r="K522" s="111">
        <f>'Actual RAB roll forward'!K811</f>
        <v>0</v>
      </c>
      <c r="L522" s="111">
        <f>'Actual RAB roll forward'!L811</f>
        <v>0</v>
      </c>
      <c r="M522" s="111">
        <f>'Actual RAB roll forward'!M811</f>
        <v>0</v>
      </c>
      <c r="N522" s="111">
        <f>'Actual RAB roll forward'!N811</f>
        <v>0</v>
      </c>
      <c r="O522" s="111">
        <f>'Actual RAB roll forward'!O811</f>
        <v>0</v>
      </c>
      <c r="P522" s="111">
        <f>'Actual RAB roll forward'!P811</f>
        <v>0</v>
      </c>
      <c r="Q522" s="111">
        <f>'Actual RAB roll forward'!Q811</f>
        <v>0</v>
      </c>
      <c r="R522" s="29"/>
      <c r="S522" s="100"/>
      <c r="T522" s="100"/>
      <c r="U522" s="100"/>
      <c r="V522" s="100"/>
      <c r="W522" s="100"/>
      <c r="X522" s="100"/>
      <c r="Y522" s="100"/>
      <c r="Z522" s="100"/>
      <c r="AA522" s="228"/>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228"/>
      <c r="BE522" s="228"/>
      <c r="BF522" s="228"/>
      <c r="BG522" s="228"/>
      <c r="BH522" s="228"/>
      <c r="BI522" s="228"/>
      <c r="BJ522" s="228"/>
      <c r="BK522" s="221"/>
      <c r="BL522" s="221"/>
    </row>
    <row r="523" spans="1:64" hidden="1" outlineLevel="1">
      <c r="A523" s="9"/>
      <c r="B523" s="9"/>
      <c r="C523" s="44"/>
      <c r="D523" s="270">
        <f>Asset19</f>
        <v>0</v>
      </c>
      <c r="E523" s="9"/>
      <c r="F523" s="9"/>
      <c r="G523" s="201">
        <f>'Actual RAB roll forward'!G812</f>
        <v>0</v>
      </c>
      <c r="H523" s="111">
        <f>'Actual RAB roll forward'!H812</f>
        <v>0</v>
      </c>
      <c r="I523" s="111">
        <f>'Actual RAB roll forward'!I812</f>
        <v>0</v>
      </c>
      <c r="J523" s="111">
        <f>'Actual RAB roll forward'!J812</f>
        <v>0</v>
      </c>
      <c r="K523" s="111">
        <f>'Actual RAB roll forward'!K812</f>
        <v>0</v>
      </c>
      <c r="L523" s="111">
        <f>'Actual RAB roll forward'!L812</f>
        <v>0</v>
      </c>
      <c r="M523" s="111">
        <f>'Actual RAB roll forward'!M812</f>
        <v>0</v>
      </c>
      <c r="N523" s="111">
        <f>'Actual RAB roll forward'!N812</f>
        <v>0</v>
      </c>
      <c r="O523" s="111">
        <f>'Actual RAB roll forward'!O812</f>
        <v>0</v>
      </c>
      <c r="P523" s="111">
        <f>'Actual RAB roll forward'!P812</f>
        <v>0</v>
      </c>
      <c r="Q523" s="111">
        <f>'Actual RAB roll forward'!Q812</f>
        <v>0</v>
      </c>
      <c r="R523" s="29"/>
      <c r="S523" s="100"/>
      <c r="T523" s="100"/>
      <c r="U523" s="100"/>
      <c r="V523" s="100"/>
      <c r="W523" s="100"/>
      <c r="X523" s="100"/>
      <c r="Y523" s="100"/>
      <c r="Z523" s="100"/>
      <c r="AA523" s="228"/>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228"/>
      <c r="BE523" s="228"/>
      <c r="BF523" s="228"/>
      <c r="BG523" s="228"/>
      <c r="BH523" s="228"/>
      <c r="BI523" s="228"/>
      <c r="BJ523" s="228"/>
      <c r="BK523" s="221"/>
      <c r="BL523" s="221"/>
    </row>
    <row r="524" spans="1:64" hidden="1" outlineLevel="1">
      <c r="A524" s="9"/>
      <c r="B524" s="9"/>
      <c r="C524" s="44"/>
      <c r="D524" s="270">
        <f>Asset20</f>
        <v>0</v>
      </c>
      <c r="E524" s="9"/>
      <c r="F524" s="9"/>
      <c r="G524" s="201">
        <f>'Actual RAB roll forward'!G813</f>
        <v>0</v>
      </c>
      <c r="H524" s="111">
        <f>'Actual RAB roll forward'!H813</f>
        <v>0</v>
      </c>
      <c r="I524" s="111">
        <f>'Actual RAB roll forward'!I813</f>
        <v>0</v>
      </c>
      <c r="J524" s="111">
        <f>'Actual RAB roll forward'!J813</f>
        <v>0</v>
      </c>
      <c r="K524" s="111">
        <f>'Actual RAB roll forward'!K813</f>
        <v>0</v>
      </c>
      <c r="L524" s="111">
        <f>'Actual RAB roll forward'!L813</f>
        <v>0</v>
      </c>
      <c r="M524" s="111">
        <f>'Actual RAB roll forward'!M813</f>
        <v>0</v>
      </c>
      <c r="N524" s="111">
        <f>'Actual RAB roll forward'!N813</f>
        <v>0</v>
      </c>
      <c r="O524" s="111">
        <f>'Actual RAB roll forward'!O813</f>
        <v>0</v>
      </c>
      <c r="P524" s="111">
        <f>'Actual RAB roll forward'!P813</f>
        <v>0</v>
      </c>
      <c r="Q524" s="111">
        <f>'Actual RAB roll forward'!Q813</f>
        <v>0</v>
      </c>
      <c r="R524" s="29"/>
      <c r="S524" s="100"/>
      <c r="T524" s="100"/>
      <c r="U524" s="100"/>
      <c r="V524" s="100"/>
      <c r="W524" s="100"/>
      <c r="X524" s="100"/>
      <c r="Y524" s="100"/>
      <c r="Z524" s="100"/>
      <c r="AA524" s="228"/>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228"/>
      <c r="BE524" s="228"/>
      <c r="BF524" s="228"/>
      <c r="BG524" s="228"/>
      <c r="BH524" s="228"/>
      <c r="BI524" s="228"/>
      <c r="BJ524" s="228"/>
      <c r="BK524" s="221"/>
      <c r="BL524" s="221"/>
    </row>
    <row r="525" spans="1:64" hidden="1" outlineLevel="1">
      <c r="A525" s="9"/>
      <c r="B525" s="9"/>
      <c r="C525" s="44"/>
      <c r="D525" s="270">
        <f>Asset21</f>
        <v>0</v>
      </c>
      <c r="E525" s="9"/>
      <c r="F525" s="9"/>
      <c r="G525" s="201">
        <f>'Actual RAB roll forward'!G814</f>
        <v>0</v>
      </c>
      <c r="H525" s="111">
        <f>'Actual RAB roll forward'!H814</f>
        <v>0</v>
      </c>
      <c r="I525" s="111">
        <f>'Actual RAB roll forward'!I814</f>
        <v>0</v>
      </c>
      <c r="J525" s="111">
        <f>'Actual RAB roll forward'!J814</f>
        <v>0</v>
      </c>
      <c r="K525" s="111">
        <f>'Actual RAB roll forward'!K814</f>
        <v>0</v>
      </c>
      <c r="L525" s="111">
        <f>'Actual RAB roll forward'!L814</f>
        <v>0</v>
      </c>
      <c r="M525" s="111">
        <f>'Actual RAB roll forward'!M814</f>
        <v>0</v>
      </c>
      <c r="N525" s="111">
        <f>'Actual RAB roll forward'!N814</f>
        <v>0</v>
      </c>
      <c r="O525" s="111">
        <f>'Actual RAB roll forward'!O814</f>
        <v>0</v>
      </c>
      <c r="P525" s="111">
        <f>'Actual RAB roll forward'!P814</f>
        <v>0</v>
      </c>
      <c r="Q525" s="111">
        <f>'Actual RAB roll forward'!Q814</f>
        <v>0</v>
      </c>
      <c r="R525" s="29"/>
      <c r="S525" s="100"/>
      <c r="T525" s="100"/>
      <c r="U525" s="100"/>
      <c r="V525" s="100"/>
      <c r="W525" s="100"/>
      <c r="X525" s="100"/>
      <c r="Y525" s="100"/>
      <c r="Z525" s="100"/>
      <c r="AA525" s="228"/>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228"/>
      <c r="BE525" s="228"/>
      <c r="BF525" s="228"/>
      <c r="BG525" s="228"/>
      <c r="BH525" s="228"/>
      <c r="BI525" s="228"/>
      <c r="BJ525" s="228"/>
      <c r="BK525" s="221"/>
      <c r="BL525" s="221"/>
    </row>
    <row r="526" spans="1:64" hidden="1" outlineLevel="1">
      <c r="A526" s="9"/>
      <c r="B526" s="9"/>
      <c r="C526" s="44"/>
      <c r="D526" s="270">
        <f>Asset22</f>
        <v>0</v>
      </c>
      <c r="E526" s="9"/>
      <c r="F526" s="9"/>
      <c r="G526" s="201">
        <f>'Actual RAB roll forward'!G815</f>
        <v>0</v>
      </c>
      <c r="H526" s="111">
        <f>'Actual RAB roll forward'!H815</f>
        <v>0</v>
      </c>
      <c r="I526" s="111">
        <f>'Actual RAB roll forward'!I815</f>
        <v>0</v>
      </c>
      <c r="J526" s="111">
        <f>'Actual RAB roll forward'!J815</f>
        <v>0</v>
      </c>
      <c r="K526" s="111">
        <f>'Actual RAB roll forward'!K815</f>
        <v>0</v>
      </c>
      <c r="L526" s="111">
        <f>'Actual RAB roll forward'!L815</f>
        <v>0</v>
      </c>
      <c r="M526" s="111">
        <f>'Actual RAB roll forward'!M815</f>
        <v>0</v>
      </c>
      <c r="N526" s="111">
        <f>'Actual RAB roll forward'!N815</f>
        <v>0</v>
      </c>
      <c r="O526" s="111">
        <f>'Actual RAB roll forward'!O815</f>
        <v>0</v>
      </c>
      <c r="P526" s="111">
        <f>'Actual RAB roll forward'!P815</f>
        <v>0</v>
      </c>
      <c r="Q526" s="111">
        <f>'Actual RAB roll forward'!Q815</f>
        <v>0</v>
      </c>
      <c r="R526" s="29"/>
      <c r="S526" s="100"/>
      <c r="T526" s="100"/>
      <c r="U526" s="100"/>
      <c r="V526" s="100"/>
      <c r="W526" s="100"/>
      <c r="X526" s="100"/>
      <c r="Y526" s="100"/>
      <c r="Z526" s="100"/>
      <c r="AA526" s="228"/>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228"/>
      <c r="BE526" s="228"/>
      <c r="BF526" s="228"/>
      <c r="BG526" s="228"/>
      <c r="BH526" s="228"/>
      <c r="BI526" s="228"/>
      <c r="BJ526" s="228"/>
      <c r="BK526" s="221"/>
      <c r="BL526" s="221"/>
    </row>
    <row r="527" spans="1:64" hidden="1" outlineLevel="1">
      <c r="A527" s="9"/>
      <c r="B527" s="9"/>
      <c r="C527" s="44"/>
      <c r="D527" s="270">
        <f>Asset23</f>
        <v>0</v>
      </c>
      <c r="E527" s="9"/>
      <c r="F527" s="9"/>
      <c r="G527" s="201">
        <f>'Actual RAB roll forward'!G816</f>
        <v>0</v>
      </c>
      <c r="H527" s="111">
        <f>'Actual RAB roll forward'!H816</f>
        <v>0</v>
      </c>
      <c r="I527" s="111">
        <f>'Actual RAB roll forward'!I816</f>
        <v>0</v>
      </c>
      <c r="J527" s="111">
        <f>'Actual RAB roll forward'!J816</f>
        <v>0</v>
      </c>
      <c r="K527" s="111">
        <f>'Actual RAB roll forward'!K816</f>
        <v>0</v>
      </c>
      <c r="L527" s="111">
        <f>'Actual RAB roll forward'!L816</f>
        <v>0</v>
      </c>
      <c r="M527" s="111">
        <f>'Actual RAB roll forward'!M816</f>
        <v>0</v>
      </c>
      <c r="N527" s="111">
        <f>'Actual RAB roll forward'!N816</f>
        <v>0</v>
      </c>
      <c r="O527" s="111">
        <f>'Actual RAB roll forward'!O816</f>
        <v>0</v>
      </c>
      <c r="P527" s="111">
        <f>'Actual RAB roll forward'!P816</f>
        <v>0</v>
      </c>
      <c r="Q527" s="111">
        <f>'Actual RAB roll forward'!Q816</f>
        <v>0</v>
      </c>
      <c r="R527" s="29"/>
      <c r="S527" s="100"/>
      <c r="T527" s="100"/>
      <c r="U527" s="100"/>
      <c r="V527" s="100"/>
      <c r="W527" s="100"/>
      <c r="X527" s="100"/>
      <c r="Y527" s="100"/>
      <c r="Z527" s="100"/>
      <c r="AA527" s="228"/>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228"/>
      <c r="BE527" s="228"/>
      <c r="BF527" s="228"/>
      <c r="BG527" s="228"/>
      <c r="BH527" s="228"/>
      <c r="BI527" s="228"/>
      <c r="BJ527" s="228"/>
      <c r="BK527" s="221"/>
      <c r="BL527" s="221"/>
    </row>
    <row r="528" spans="1:64" hidden="1" outlineLevel="1">
      <c r="A528" s="9"/>
      <c r="B528" s="9"/>
      <c r="C528" s="44"/>
      <c r="D528" s="270">
        <f>Asset24</f>
        <v>0</v>
      </c>
      <c r="E528" s="9"/>
      <c r="F528" s="9"/>
      <c r="G528" s="201">
        <f>'Actual RAB roll forward'!G817</f>
        <v>0</v>
      </c>
      <c r="H528" s="111">
        <f>'Actual RAB roll forward'!H817</f>
        <v>0</v>
      </c>
      <c r="I528" s="111">
        <f>'Actual RAB roll forward'!I817</f>
        <v>0</v>
      </c>
      <c r="J528" s="111">
        <f>'Actual RAB roll forward'!J817</f>
        <v>0</v>
      </c>
      <c r="K528" s="111">
        <f>'Actual RAB roll forward'!K817</f>
        <v>0</v>
      </c>
      <c r="L528" s="111">
        <f>'Actual RAB roll forward'!L817</f>
        <v>0</v>
      </c>
      <c r="M528" s="111">
        <f>'Actual RAB roll forward'!M817</f>
        <v>0</v>
      </c>
      <c r="N528" s="111">
        <f>'Actual RAB roll forward'!N817</f>
        <v>0</v>
      </c>
      <c r="O528" s="111">
        <f>'Actual RAB roll forward'!O817</f>
        <v>0</v>
      </c>
      <c r="P528" s="111">
        <f>'Actual RAB roll forward'!P817</f>
        <v>0</v>
      </c>
      <c r="Q528" s="111">
        <f>'Actual RAB roll forward'!Q817</f>
        <v>0</v>
      </c>
      <c r="R528" s="29"/>
      <c r="S528" s="100"/>
      <c r="T528" s="100"/>
      <c r="U528" s="100"/>
      <c r="V528" s="100"/>
      <c r="W528" s="100"/>
      <c r="X528" s="100"/>
      <c r="Y528" s="100"/>
      <c r="Z528" s="100"/>
      <c r="AA528" s="228"/>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228"/>
      <c r="BE528" s="228"/>
      <c r="BF528" s="228"/>
      <c r="BG528" s="228"/>
      <c r="BH528" s="228"/>
      <c r="BI528" s="228"/>
      <c r="BJ528" s="228"/>
      <c r="BK528" s="221"/>
      <c r="BL528" s="221"/>
    </row>
    <row r="529" spans="1:64" hidden="1" outlineLevel="1">
      <c r="A529" s="9"/>
      <c r="B529" s="9"/>
      <c r="C529" s="44"/>
      <c r="D529" s="270">
        <f>Asset25</f>
        <v>0</v>
      </c>
      <c r="E529" s="9"/>
      <c r="F529" s="9"/>
      <c r="G529" s="201">
        <f>'Actual RAB roll forward'!G818</f>
        <v>0</v>
      </c>
      <c r="H529" s="111">
        <f>'Actual RAB roll forward'!H818</f>
        <v>0</v>
      </c>
      <c r="I529" s="111">
        <f>'Actual RAB roll forward'!I818</f>
        <v>0</v>
      </c>
      <c r="J529" s="111">
        <f>'Actual RAB roll forward'!J818</f>
        <v>0</v>
      </c>
      <c r="K529" s="111">
        <f>'Actual RAB roll forward'!K818</f>
        <v>0</v>
      </c>
      <c r="L529" s="111">
        <f>'Actual RAB roll forward'!L818</f>
        <v>0</v>
      </c>
      <c r="M529" s="111">
        <f>'Actual RAB roll forward'!M818</f>
        <v>0</v>
      </c>
      <c r="N529" s="111">
        <f>'Actual RAB roll forward'!N818</f>
        <v>0</v>
      </c>
      <c r="O529" s="111">
        <f>'Actual RAB roll forward'!O818</f>
        <v>0</v>
      </c>
      <c r="P529" s="111">
        <f>'Actual RAB roll forward'!P818</f>
        <v>0</v>
      </c>
      <c r="Q529" s="111">
        <f>'Actual RAB roll forward'!Q818</f>
        <v>0</v>
      </c>
      <c r="R529" s="29"/>
      <c r="S529" s="100"/>
      <c r="T529" s="100"/>
      <c r="U529" s="100"/>
      <c r="V529" s="100"/>
      <c r="W529" s="100"/>
      <c r="X529" s="100"/>
      <c r="Y529" s="100"/>
      <c r="Z529" s="100"/>
      <c r="AA529" s="228"/>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228"/>
      <c r="BE529" s="228"/>
      <c r="BF529" s="228"/>
      <c r="BG529" s="228"/>
      <c r="BH529" s="228"/>
      <c r="BI529" s="228"/>
      <c r="BJ529" s="228"/>
      <c r="BK529" s="221"/>
      <c r="BL529" s="221"/>
    </row>
    <row r="530" spans="1:64" hidden="1" outlineLevel="1">
      <c r="A530" s="9"/>
      <c r="B530" s="9"/>
      <c r="C530" s="44"/>
      <c r="D530" s="270">
        <f>Asset26</f>
        <v>0</v>
      </c>
      <c r="E530" s="9"/>
      <c r="F530" s="9"/>
      <c r="G530" s="201">
        <f>'Actual RAB roll forward'!G819</f>
        <v>0</v>
      </c>
      <c r="H530" s="111">
        <f>'Actual RAB roll forward'!H819</f>
        <v>0</v>
      </c>
      <c r="I530" s="111">
        <f>'Actual RAB roll forward'!I819</f>
        <v>0</v>
      </c>
      <c r="J530" s="111">
        <f>'Actual RAB roll forward'!J819</f>
        <v>0</v>
      </c>
      <c r="K530" s="111">
        <f>'Actual RAB roll forward'!K819</f>
        <v>0</v>
      </c>
      <c r="L530" s="111">
        <f>'Actual RAB roll forward'!L819</f>
        <v>0</v>
      </c>
      <c r="M530" s="111">
        <f>'Actual RAB roll forward'!M819</f>
        <v>0</v>
      </c>
      <c r="N530" s="111">
        <f>'Actual RAB roll forward'!N819</f>
        <v>0</v>
      </c>
      <c r="O530" s="111">
        <f>'Actual RAB roll forward'!O819</f>
        <v>0</v>
      </c>
      <c r="P530" s="111">
        <f>'Actual RAB roll forward'!P819</f>
        <v>0</v>
      </c>
      <c r="Q530" s="111">
        <f>'Actual RAB roll forward'!Q819</f>
        <v>0</v>
      </c>
      <c r="R530" s="29"/>
      <c r="S530" s="100"/>
      <c r="T530" s="100"/>
      <c r="U530" s="100"/>
      <c r="V530" s="100"/>
      <c r="W530" s="100"/>
      <c r="X530" s="100"/>
      <c r="Y530" s="100"/>
      <c r="Z530" s="100"/>
      <c r="AA530" s="228"/>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228"/>
      <c r="BE530" s="228"/>
      <c r="BF530" s="228"/>
      <c r="BG530" s="228"/>
      <c r="BH530" s="228"/>
      <c r="BI530" s="228"/>
      <c r="BJ530" s="228"/>
      <c r="BK530" s="221"/>
      <c r="BL530" s="221"/>
    </row>
    <row r="531" spans="1:64" hidden="1" outlineLevel="1">
      <c r="A531" s="9"/>
      <c r="B531" s="9"/>
      <c r="C531" s="44"/>
      <c r="D531" s="270">
        <f>Asset27</f>
        <v>0</v>
      </c>
      <c r="E531" s="9"/>
      <c r="F531" s="9"/>
      <c r="G531" s="201">
        <f>'Actual RAB roll forward'!G820</f>
        <v>0</v>
      </c>
      <c r="H531" s="111">
        <f>'Actual RAB roll forward'!H820</f>
        <v>0</v>
      </c>
      <c r="I531" s="111">
        <f>'Actual RAB roll forward'!I820</f>
        <v>0</v>
      </c>
      <c r="J531" s="111">
        <f>'Actual RAB roll forward'!J820</f>
        <v>0</v>
      </c>
      <c r="K531" s="111">
        <f>'Actual RAB roll forward'!K820</f>
        <v>0</v>
      </c>
      <c r="L531" s="111">
        <f>'Actual RAB roll forward'!L820</f>
        <v>0</v>
      </c>
      <c r="M531" s="111">
        <f>'Actual RAB roll forward'!M820</f>
        <v>0</v>
      </c>
      <c r="N531" s="111">
        <f>'Actual RAB roll forward'!N820</f>
        <v>0</v>
      </c>
      <c r="O531" s="111">
        <f>'Actual RAB roll forward'!O820</f>
        <v>0</v>
      </c>
      <c r="P531" s="111">
        <f>'Actual RAB roll forward'!P820</f>
        <v>0</v>
      </c>
      <c r="Q531" s="111">
        <f>'Actual RAB roll forward'!Q820</f>
        <v>0</v>
      </c>
      <c r="R531" s="29"/>
      <c r="S531" s="100"/>
      <c r="T531" s="100"/>
      <c r="U531" s="100"/>
      <c r="V531" s="100"/>
      <c r="W531" s="100"/>
      <c r="X531" s="100"/>
      <c r="Y531" s="100"/>
      <c r="Z531" s="100"/>
      <c r="AA531" s="228"/>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228"/>
      <c r="BE531" s="228"/>
      <c r="BF531" s="228"/>
      <c r="BG531" s="228"/>
      <c r="BH531" s="228"/>
      <c r="BI531" s="228"/>
      <c r="BJ531" s="228"/>
      <c r="BK531" s="221"/>
      <c r="BL531" s="221"/>
    </row>
    <row r="532" spans="1:64" hidden="1" outlineLevel="1">
      <c r="A532" s="9"/>
      <c r="B532" s="9"/>
      <c r="C532" s="44"/>
      <c r="D532" s="270">
        <f>Asset28</f>
        <v>0</v>
      </c>
      <c r="E532" s="9"/>
      <c r="F532" s="9"/>
      <c r="G532" s="201">
        <f>'Actual RAB roll forward'!G821</f>
        <v>0</v>
      </c>
      <c r="H532" s="111">
        <f>'Actual RAB roll forward'!H821</f>
        <v>0</v>
      </c>
      <c r="I532" s="111">
        <f>'Actual RAB roll forward'!I821</f>
        <v>0</v>
      </c>
      <c r="J532" s="111">
        <f>'Actual RAB roll forward'!J821</f>
        <v>0</v>
      </c>
      <c r="K532" s="111">
        <f>'Actual RAB roll forward'!K821</f>
        <v>0</v>
      </c>
      <c r="L532" s="111">
        <f>'Actual RAB roll forward'!L821</f>
        <v>0</v>
      </c>
      <c r="M532" s="111">
        <f>'Actual RAB roll forward'!M821</f>
        <v>0</v>
      </c>
      <c r="N532" s="111">
        <f>'Actual RAB roll forward'!N821</f>
        <v>0</v>
      </c>
      <c r="O532" s="111">
        <f>'Actual RAB roll forward'!O821</f>
        <v>0</v>
      </c>
      <c r="P532" s="111">
        <f>'Actual RAB roll forward'!P821</f>
        <v>0</v>
      </c>
      <c r="Q532" s="111">
        <f>'Actual RAB roll forward'!Q821</f>
        <v>0</v>
      </c>
      <c r="R532" s="29"/>
      <c r="S532" s="100"/>
      <c r="T532" s="100"/>
      <c r="U532" s="100"/>
      <c r="V532" s="100"/>
      <c r="W532" s="100"/>
      <c r="X532" s="100"/>
      <c r="Y532" s="100"/>
      <c r="Z532" s="100"/>
      <c r="AA532" s="228"/>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228"/>
      <c r="BE532" s="228"/>
      <c r="BF532" s="228"/>
      <c r="BG532" s="228"/>
      <c r="BH532" s="228"/>
      <c r="BI532" s="228"/>
      <c r="BJ532" s="228"/>
      <c r="BK532" s="221"/>
      <c r="BL532" s="221"/>
    </row>
    <row r="533" spans="1:64" hidden="1" outlineLevel="1">
      <c r="A533" s="9"/>
      <c r="B533" s="9"/>
      <c r="C533" s="44"/>
      <c r="D533" s="270">
        <f>Asset29</f>
        <v>0</v>
      </c>
      <c r="E533" s="9"/>
      <c r="F533" s="9"/>
      <c r="G533" s="201">
        <f>'Actual RAB roll forward'!G822</f>
        <v>0</v>
      </c>
      <c r="H533" s="111">
        <f>'Actual RAB roll forward'!H822</f>
        <v>0</v>
      </c>
      <c r="I533" s="111">
        <f>'Actual RAB roll forward'!I822</f>
        <v>0</v>
      </c>
      <c r="J533" s="111">
        <f>'Actual RAB roll forward'!J822</f>
        <v>0</v>
      </c>
      <c r="K533" s="111">
        <f>'Actual RAB roll forward'!K822</f>
        <v>0</v>
      </c>
      <c r="L533" s="111">
        <f>'Actual RAB roll forward'!L822</f>
        <v>0</v>
      </c>
      <c r="M533" s="111">
        <f>'Actual RAB roll forward'!M822</f>
        <v>0</v>
      </c>
      <c r="N533" s="111">
        <f>'Actual RAB roll forward'!N822</f>
        <v>0</v>
      </c>
      <c r="O533" s="111">
        <f>'Actual RAB roll forward'!O822</f>
        <v>0</v>
      </c>
      <c r="P533" s="111">
        <f>'Actual RAB roll forward'!P822</f>
        <v>0</v>
      </c>
      <c r="Q533" s="111">
        <f>'Actual RAB roll forward'!Q822</f>
        <v>0</v>
      </c>
      <c r="R533" s="29"/>
      <c r="S533" s="100"/>
      <c r="T533" s="100"/>
      <c r="U533" s="100"/>
      <c r="V533" s="100"/>
      <c r="W533" s="100"/>
      <c r="X533" s="100"/>
      <c r="Y533" s="100"/>
      <c r="Z533" s="100"/>
      <c r="AA533" s="228"/>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228"/>
      <c r="BE533" s="228"/>
      <c r="BF533" s="228"/>
      <c r="BG533" s="228"/>
      <c r="BH533" s="228"/>
      <c r="BI533" s="228"/>
      <c r="BJ533" s="228"/>
      <c r="BK533" s="221"/>
      <c r="BL533" s="221"/>
    </row>
    <row r="534" spans="1:64" hidden="1" outlineLevel="1">
      <c r="A534" s="9"/>
      <c r="B534" s="9"/>
      <c r="C534" s="44"/>
      <c r="D534" s="270">
        <f>Asset30</f>
        <v>0</v>
      </c>
      <c r="E534" s="9"/>
      <c r="F534" s="9"/>
      <c r="G534" s="201">
        <f>'Actual RAB roll forward'!G823</f>
        <v>0</v>
      </c>
      <c r="H534" s="111">
        <f>'Actual RAB roll forward'!H823</f>
        <v>0</v>
      </c>
      <c r="I534" s="111">
        <f>'Actual RAB roll forward'!I823</f>
        <v>0</v>
      </c>
      <c r="J534" s="111">
        <f>'Actual RAB roll forward'!J823</f>
        <v>0</v>
      </c>
      <c r="K534" s="111">
        <f>'Actual RAB roll forward'!K823</f>
        <v>0</v>
      </c>
      <c r="L534" s="111">
        <f>'Actual RAB roll forward'!L823</f>
        <v>0</v>
      </c>
      <c r="M534" s="111">
        <f>'Actual RAB roll forward'!M823</f>
        <v>0</v>
      </c>
      <c r="N534" s="111">
        <f>'Actual RAB roll forward'!N823</f>
        <v>0</v>
      </c>
      <c r="O534" s="111">
        <f>'Actual RAB roll forward'!O823</f>
        <v>0</v>
      </c>
      <c r="P534" s="111">
        <f>'Actual RAB roll forward'!P823</f>
        <v>0</v>
      </c>
      <c r="Q534" s="111">
        <f>'Actual RAB roll forward'!Q823</f>
        <v>0</v>
      </c>
      <c r="R534" s="29"/>
      <c r="S534" s="100"/>
      <c r="T534" s="100"/>
      <c r="U534" s="100"/>
      <c r="V534" s="100"/>
      <c r="W534" s="100"/>
      <c r="X534" s="100"/>
      <c r="Y534" s="100"/>
      <c r="Z534" s="100"/>
      <c r="AA534" s="228"/>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228"/>
      <c r="BE534" s="228"/>
      <c r="BF534" s="228"/>
      <c r="BG534" s="228"/>
      <c r="BH534" s="228"/>
      <c r="BI534" s="228"/>
      <c r="BJ534" s="228"/>
      <c r="BK534" s="221"/>
      <c r="BL534" s="221"/>
    </row>
    <row r="535" spans="1:64" collapsed="1">
      <c r="A535" s="9"/>
      <c r="B535" s="9"/>
      <c r="C535" s="44"/>
      <c r="D535" s="113"/>
      <c r="E535" s="9"/>
      <c r="F535" s="9"/>
      <c r="G535" s="210"/>
      <c r="H535" s="35"/>
      <c r="I535" s="35"/>
      <c r="J535" s="35"/>
      <c r="K535" s="35"/>
      <c r="L535" s="35"/>
      <c r="M535" s="35"/>
      <c r="N535" s="100"/>
      <c r="O535" s="29"/>
      <c r="P535" s="29"/>
      <c r="Q535" s="29"/>
      <c r="R535" s="29"/>
      <c r="S535" s="100"/>
      <c r="T535" s="100"/>
      <c r="U535" s="100"/>
      <c r="V535" s="100"/>
      <c r="W535" s="100"/>
      <c r="X535" s="100"/>
      <c r="Y535" s="100"/>
      <c r="Z535" s="100"/>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228"/>
      <c r="BE535" s="228"/>
      <c r="BF535" s="228"/>
      <c r="BG535" s="228"/>
      <c r="BH535" s="228"/>
      <c r="BI535" s="228"/>
      <c r="BJ535" s="228"/>
      <c r="BK535" s="221"/>
      <c r="BL535" s="221"/>
    </row>
    <row r="536" spans="1:64">
      <c r="A536" s="9"/>
      <c r="B536" s="9"/>
      <c r="C536" s="90" t="s">
        <v>72</v>
      </c>
      <c r="D536" s="12"/>
      <c r="E536" s="9"/>
      <c r="F536" s="9"/>
      <c r="G536" s="202">
        <f>SUM(G537:G566)</f>
        <v>-45.523352281960584</v>
      </c>
      <c r="H536" s="35">
        <f>SUM(H537:H566)</f>
        <v>-26.892657954596011</v>
      </c>
      <c r="I536" s="35">
        <f t="shared" ref="I536:Q536" si="30">SUM(I537:I566)</f>
        <v>-66.619872221754633</v>
      </c>
      <c r="J536" s="35">
        <f t="shared" si="30"/>
        <v>-60.180554471168421</v>
      </c>
      <c r="K536" s="35">
        <f t="shared" si="30"/>
        <v>-53.55983712831781</v>
      </c>
      <c r="L536" s="35">
        <f t="shared" si="30"/>
        <v>-78.187290539950766</v>
      </c>
      <c r="M536" s="35">
        <f t="shared" si="30"/>
        <v>-69.25373500820821</v>
      </c>
      <c r="N536" s="35">
        <f t="shared" si="30"/>
        <v>0</v>
      </c>
      <c r="O536" s="35">
        <f t="shared" si="30"/>
        <v>0</v>
      </c>
      <c r="P536" s="35">
        <f t="shared" si="30"/>
        <v>0</v>
      </c>
      <c r="Q536" s="35">
        <f t="shared" si="30"/>
        <v>0</v>
      </c>
      <c r="R536" s="29"/>
      <c r="S536" s="100"/>
      <c r="T536" s="100"/>
      <c r="U536" s="100"/>
      <c r="V536" s="100"/>
      <c r="W536" s="100"/>
      <c r="X536" s="100"/>
      <c r="Y536" s="100"/>
      <c r="Z536" s="100"/>
      <c r="AA536" s="228"/>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228"/>
      <c r="BE536" s="228"/>
      <c r="BF536" s="228"/>
      <c r="BG536" s="228"/>
      <c r="BH536" s="228"/>
      <c r="BI536" s="228"/>
      <c r="BJ536" s="228"/>
      <c r="BK536" s="221"/>
      <c r="BL536" s="221"/>
    </row>
    <row r="537" spans="1:64" hidden="1" outlineLevel="1">
      <c r="A537" s="9"/>
      <c r="B537" s="9"/>
      <c r="C537" s="44"/>
      <c r="D537" s="270" t="str">
        <f>Asset1</f>
        <v>Secondary</v>
      </c>
      <c r="E537" s="9"/>
      <c r="F537" s="9"/>
      <c r="G537" s="201">
        <f>'Actual RAB roll forward'!G826</f>
        <v>-5.009896309442194</v>
      </c>
      <c r="H537" s="111">
        <f>'Actual RAB roll forward'!H826</f>
        <v>-13.330150232018052</v>
      </c>
      <c r="I537" s="111">
        <f>'Actual RAB roll forward'!I826</f>
        <v>-16.905318252421011</v>
      </c>
      <c r="J537" s="111">
        <f>'Actual RAB roll forward'!J826</f>
        <v>-17.152426165469869</v>
      </c>
      <c r="K537" s="111">
        <f>'Actual RAB roll forward'!K826</f>
        <v>-18.092050071137745</v>
      </c>
      <c r="L537" s="111">
        <f>'Actual RAB roll forward'!L826</f>
        <v>-17.542500158328981</v>
      </c>
      <c r="M537" s="111">
        <f>'Actual RAB roll forward'!M826</f>
        <v>-9.4390228145012109</v>
      </c>
      <c r="N537" s="111">
        <f>'Actual RAB roll forward'!N826</f>
        <v>0</v>
      </c>
      <c r="O537" s="111">
        <f>'Actual RAB roll forward'!O826</f>
        <v>0</v>
      </c>
      <c r="P537" s="111">
        <f>'Actual RAB roll forward'!P826</f>
        <v>0</v>
      </c>
      <c r="Q537" s="111">
        <f>'Actual RAB roll forward'!Q826</f>
        <v>0</v>
      </c>
      <c r="R537" s="29"/>
      <c r="S537" s="100"/>
      <c r="T537" s="100"/>
      <c r="U537" s="100"/>
      <c r="V537" s="100"/>
      <c r="W537" s="100"/>
      <c r="X537" s="100"/>
      <c r="Y537" s="100"/>
      <c r="Z537" s="100"/>
      <c r="AA537" s="228"/>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228"/>
      <c r="BE537" s="228"/>
      <c r="BF537" s="228"/>
      <c r="BG537" s="228"/>
      <c r="BH537" s="228"/>
      <c r="BI537" s="228"/>
      <c r="BJ537" s="228"/>
      <c r="BK537" s="221"/>
      <c r="BL537" s="221"/>
    </row>
    <row r="538" spans="1:64" hidden="1" outlineLevel="1">
      <c r="A538" s="9"/>
      <c r="B538" s="9"/>
      <c r="C538" s="44"/>
      <c r="D538" s="270" t="str">
        <f>Asset2</f>
        <v>Switchgear</v>
      </c>
      <c r="E538" s="9"/>
      <c r="F538" s="9"/>
      <c r="G538" s="201">
        <f>'Actual RAB roll forward'!G827</f>
        <v>-9.9700462083033674</v>
      </c>
      <c r="H538" s="111">
        <f>'Actual RAB roll forward'!H827</f>
        <v>-5.3097951967005965</v>
      </c>
      <c r="I538" s="111">
        <f>'Actual RAB roll forward'!I827</f>
        <v>-11.625074499778215</v>
      </c>
      <c r="J538" s="111">
        <f>'Actual RAB roll forward'!J827</f>
        <v>-10.314485838693257</v>
      </c>
      <c r="K538" s="111">
        <f>'Actual RAB roll forward'!K827</f>
        <v>-9.0969085014589002</v>
      </c>
      <c r="L538" s="111">
        <f>'Actual RAB roll forward'!L827</f>
        <v>-13.66792917832902</v>
      </c>
      <c r="M538" s="111">
        <f>'Actual RAB roll forward'!M827</f>
        <v>-13.1777310557032</v>
      </c>
      <c r="N538" s="111">
        <f>'Actual RAB roll forward'!N827</f>
        <v>0</v>
      </c>
      <c r="O538" s="111">
        <f>'Actual RAB roll forward'!O827</f>
        <v>0</v>
      </c>
      <c r="P538" s="111">
        <f>'Actual RAB roll forward'!P827</f>
        <v>0</v>
      </c>
      <c r="Q538" s="111">
        <f>'Actual RAB roll forward'!Q827</f>
        <v>0</v>
      </c>
      <c r="R538" s="29"/>
      <c r="S538" s="100"/>
      <c r="T538" s="100"/>
      <c r="U538" s="100"/>
      <c r="V538" s="100"/>
      <c r="W538" s="100"/>
      <c r="X538" s="100"/>
      <c r="Y538" s="100"/>
      <c r="Z538" s="100"/>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228"/>
      <c r="BE538" s="228"/>
      <c r="BF538" s="228"/>
      <c r="BG538" s="228"/>
      <c r="BH538" s="228"/>
      <c r="BI538" s="228"/>
      <c r="BJ538" s="228"/>
      <c r="BK538" s="221"/>
      <c r="BL538" s="221"/>
    </row>
    <row r="539" spans="1:64" hidden="1" outlineLevel="1">
      <c r="A539" s="9"/>
      <c r="B539" s="9"/>
      <c r="C539" s="44"/>
      <c r="D539" s="270" t="str">
        <f>Asset3</f>
        <v>Transformers</v>
      </c>
      <c r="E539" s="9"/>
      <c r="F539" s="9"/>
      <c r="G539" s="201">
        <f>'Actual RAB roll forward'!G828</f>
        <v>-9.0020269407922626</v>
      </c>
      <c r="H539" s="111">
        <f>'Actual RAB roll forward'!H828</f>
        <v>-6.8057868495363012</v>
      </c>
      <c r="I539" s="111">
        <f>'Actual RAB roll forward'!I828</f>
        <v>-10.070488118492914</v>
      </c>
      <c r="J539" s="111">
        <f>'Actual RAB roll forward'!J828</f>
        <v>-9.6971444221620864</v>
      </c>
      <c r="K539" s="111">
        <f>'Actual RAB roll forward'!K828</f>
        <v>-9.5512238436731529</v>
      </c>
      <c r="L539" s="111">
        <f>'Actual RAB roll forward'!L828</f>
        <v>-11.689753377834174</v>
      </c>
      <c r="M539" s="111">
        <f>'Actual RAB roll forward'!M828</f>
        <v>-11.780572590527891</v>
      </c>
      <c r="N539" s="111">
        <f>'Actual RAB roll forward'!N828</f>
        <v>0</v>
      </c>
      <c r="O539" s="111">
        <f>'Actual RAB roll forward'!O828</f>
        <v>0</v>
      </c>
      <c r="P539" s="111">
        <f>'Actual RAB roll forward'!P828</f>
        <v>0</v>
      </c>
      <c r="Q539" s="111">
        <f>'Actual RAB roll forward'!Q828</f>
        <v>0</v>
      </c>
      <c r="R539" s="29"/>
      <c r="S539" s="100"/>
      <c r="T539" s="100"/>
      <c r="U539" s="100"/>
      <c r="V539" s="100"/>
      <c r="W539" s="100"/>
      <c r="X539" s="100"/>
      <c r="Y539" s="100"/>
      <c r="Z539" s="100"/>
      <c r="AA539" s="228"/>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228"/>
      <c r="BE539" s="228"/>
      <c r="BF539" s="228"/>
      <c r="BG539" s="228"/>
      <c r="BH539" s="228"/>
      <c r="BI539" s="228"/>
      <c r="BJ539" s="228"/>
      <c r="BK539" s="221"/>
      <c r="BL539" s="221"/>
    </row>
    <row r="540" spans="1:64" hidden="1" outlineLevel="1">
      <c r="A540" s="9"/>
      <c r="B540" s="9"/>
      <c r="C540" s="44"/>
      <c r="D540" s="270" t="str">
        <f>Asset4</f>
        <v>Reactive</v>
      </c>
      <c r="E540" s="9"/>
      <c r="F540" s="9"/>
      <c r="G540" s="201">
        <f>'Actual RAB roll forward'!G829</f>
        <v>-1.9565416146037446</v>
      </c>
      <c r="H540" s="111">
        <f>'Actual RAB roll forward'!H829</f>
        <v>-1.2070748712638504</v>
      </c>
      <c r="I540" s="111">
        <f>'Actual RAB roll forward'!I829</f>
        <v>-2.7785860492775516</v>
      </c>
      <c r="J540" s="111">
        <f>'Actual RAB roll forward'!J829</f>
        <v>-2.4759929911688445</v>
      </c>
      <c r="K540" s="111">
        <f>'Actual RAB roll forward'!K829</f>
        <v>-2.2979517768797524</v>
      </c>
      <c r="L540" s="111">
        <f>'Actual RAB roll forward'!L829</f>
        <v>-3.2411201978028608</v>
      </c>
      <c r="M540" s="111">
        <f>'Actual RAB roll forward'!M829</f>
        <v>-3.1952885964823894</v>
      </c>
      <c r="N540" s="111">
        <f>'Actual RAB roll forward'!N829</f>
        <v>0</v>
      </c>
      <c r="O540" s="111">
        <f>'Actual RAB roll forward'!O829</f>
        <v>0</v>
      </c>
      <c r="P540" s="111">
        <f>'Actual RAB roll forward'!P829</f>
        <v>0</v>
      </c>
      <c r="Q540" s="111">
        <f>'Actual RAB roll forward'!Q829</f>
        <v>0</v>
      </c>
      <c r="R540" s="29"/>
      <c r="S540" s="100"/>
      <c r="T540" s="100"/>
      <c r="U540" s="100"/>
      <c r="V540" s="100"/>
      <c r="W540" s="100"/>
      <c r="X540" s="100"/>
      <c r="Y540" s="100"/>
      <c r="Z540" s="100"/>
      <c r="AA540" s="228"/>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228"/>
      <c r="BE540" s="228"/>
      <c r="BF540" s="228"/>
      <c r="BG540" s="228"/>
      <c r="BH540" s="228"/>
      <c r="BI540" s="228"/>
      <c r="BJ540" s="228"/>
      <c r="BK540" s="221"/>
      <c r="BL540" s="221"/>
    </row>
    <row r="541" spans="1:64" hidden="1" outlineLevel="1">
      <c r="A541" s="9"/>
      <c r="B541" s="9"/>
      <c r="C541" s="44"/>
      <c r="D541" s="270" t="str">
        <f>Asset5</f>
        <v>Towers and Conductor</v>
      </c>
      <c r="E541" s="9"/>
      <c r="F541" s="9"/>
      <c r="G541" s="201">
        <f>'Actual RAB roll forward'!G830</f>
        <v>-9.3974643039723151</v>
      </c>
      <c r="H541" s="111">
        <f>'Actual RAB roll forward'!H830</f>
        <v>1.1469086327215052</v>
      </c>
      <c r="I541" s="111">
        <f>'Actual RAB roll forward'!I830</f>
        <v>-16.580524940526654</v>
      </c>
      <c r="J541" s="111">
        <f>'Actual RAB roll forward'!J830</f>
        <v>-11.928359081798185</v>
      </c>
      <c r="K541" s="111">
        <f>'Actual RAB roll forward'!K830</f>
        <v>-8.5111387968326113</v>
      </c>
      <c r="L541" s="111">
        <f>'Actual RAB roll forward'!L830</f>
        <v>-19.18437655190775</v>
      </c>
      <c r="M541" s="111">
        <f>'Actual RAB roll forward'!M830</f>
        <v>-17.218703579304055</v>
      </c>
      <c r="N541" s="111">
        <f>'Actual RAB roll forward'!N830</f>
        <v>0</v>
      </c>
      <c r="O541" s="111">
        <f>'Actual RAB roll forward'!O830</f>
        <v>0</v>
      </c>
      <c r="P541" s="111">
        <f>'Actual RAB roll forward'!P830</f>
        <v>0</v>
      </c>
      <c r="Q541" s="111">
        <f>'Actual RAB roll forward'!Q830</f>
        <v>0</v>
      </c>
      <c r="R541" s="29"/>
      <c r="S541" s="100"/>
      <c r="T541" s="100"/>
      <c r="U541" s="100"/>
      <c r="V541" s="100"/>
      <c r="W541" s="100"/>
      <c r="X541" s="100"/>
      <c r="Y541" s="100"/>
      <c r="Z541" s="100"/>
      <c r="AA541" s="228"/>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228"/>
      <c r="BE541" s="228"/>
      <c r="BF541" s="228"/>
      <c r="BG541" s="228"/>
      <c r="BH541" s="228"/>
      <c r="BI541" s="228"/>
      <c r="BJ541" s="228"/>
      <c r="BK541" s="221"/>
      <c r="BL541" s="221"/>
    </row>
    <row r="542" spans="1:64" hidden="1" outlineLevel="1">
      <c r="A542" s="9"/>
      <c r="B542" s="9"/>
      <c r="C542" s="44"/>
      <c r="D542" s="270" t="str">
        <f>Asset6</f>
        <v>Establishment</v>
      </c>
      <c r="E542" s="9"/>
      <c r="F542" s="9"/>
      <c r="G542" s="201">
        <f>'Actual RAB roll forward'!G831</f>
        <v>-1.9292989819905269</v>
      </c>
      <c r="H542" s="111">
        <f>'Actual RAB roll forward'!H831</f>
        <v>-0.24357216393564984</v>
      </c>
      <c r="I542" s="111">
        <f>'Actual RAB roll forward'!I831</f>
        <v>-1.9912473375708166</v>
      </c>
      <c r="J542" s="111">
        <f>'Actual RAB roll forward'!J831</f>
        <v>-1.4788785331357421</v>
      </c>
      <c r="K542" s="111">
        <f>'Actual RAB roll forward'!K831</f>
        <v>-1.0459767917803755</v>
      </c>
      <c r="L542" s="111">
        <f>'Actual RAB roll forward'!L831</f>
        <v>-2.374127301256368</v>
      </c>
      <c r="M542" s="111">
        <f>'Actual RAB roll forward'!M831</f>
        <v>-2.1429189335012659</v>
      </c>
      <c r="N542" s="111">
        <f>'Actual RAB roll forward'!N831</f>
        <v>0</v>
      </c>
      <c r="O542" s="111">
        <f>'Actual RAB roll forward'!O831</f>
        <v>0</v>
      </c>
      <c r="P542" s="111">
        <f>'Actual RAB roll forward'!P831</f>
        <v>0</v>
      </c>
      <c r="Q542" s="111">
        <f>'Actual RAB roll forward'!Q831</f>
        <v>0</v>
      </c>
      <c r="R542" s="29"/>
      <c r="S542" s="100"/>
      <c r="T542" s="100"/>
      <c r="U542" s="100"/>
      <c r="V542" s="100"/>
      <c r="W542" s="100"/>
      <c r="X542" s="100"/>
      <c r="Y542" s="100"/>
      <c r="Z542" s="100"/>
      <c r="AA542" s="228"/>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228"/>
      <c r="BE542" s="228"/>
      <c r="BF542" s="228"/>
      <c r="BG542" s="228"/>
      <c r="BH542" s="228"/>
      <c r="BI542" s="228"/>
      <c r="BJ542" s="228"/>
      <c r="BK542" s="221"/>
      <c r="BL542" s="221"/>
    </row>
    <row r="543" spans="1:64" hidden="1" outlineLevel="1">
      <c r="A543" s="9"/>
      <c r="B543" s="9"/>
      <c r="C543" s="44"/>
      <c r="D543" s="270" t="str">
        <f>Asset7</f>
        <v>Communications</v>
      </c>
      <c r="E543" s="9"/>
      <c r="F543" s="9"/>
      <c r="G543" s="201">
        <f>'Actual RAB roll forward'!G832</f>
        <v>-6.3024287901060712</v>
      </c>
      <c r="H543" s="111">
        <f>'Actual RAB roll forward'!H832</f>
        <v>-1.5522779076418818</v>
      </c>
      <c r="I543" s="111">
        <f>'Actual RAB roll forward'!I832</f>
        <v>-1.7768346073630576</v>
      </c>
      <c r="J543" s="111">
        <f>'Actual RAB roll forward'!J832</f>
        <v>-1.9233887787502715</v>
      </c>
      <c r="K543" s="111">
        <f>'Actual RAB roll forward'!K832</f>
        <v>-2.4714150510968524</v>
      </c>
      <c r="L543" s="111">
        <f>'Actual RAB roll forward'!L832</f>
        <v>-2.9488530454245567</v>
      </c>
      <c r="M543" s="111">
        <f>'Actual RAB roll forward'!M832</f>
        <v>-2.8059264498065115</v>
      </c>
      <c r="N543" s="111">
        <f>'Actual RAB roll forward'!N832</f>
        <v>0</v>
      </c>
      <c r="O543" s="111">
        <f>'Actual RAB roll forward'!O832</f>
        <v>0</v>
      </c>
      <c r="P543" s="111">
        <f>'Actual RAB roll forward'!P832</f>
        <v>0</v>
      </c>
      <c r="Q543" s="111">
        <f>'Actual RAB roll forward'!Q832</f>
        <v>0</v>
      </c>
      <c r="R543" s="29"/>
      <c r="S543" s="100"/>
      <c r="T543" s="100"/>
      <c r="U543" s="100"/>
      <c r="V543" s="100"/>
      <c r="W543" s="100"/>
      <c r="X543" s="100"/>
      <c r="Y543" s="100"/>
      <c r="Z543" s="100"/>
      <c r="AA543" s="228"/>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228"/>
      <c r="BE543" s="228"/>
      <c r="BF543" s="228"/>
      <c r="BG543" s="228"/>
      <c r="BH543" s="228"/>
      <c r="BI543" s="228"/>
      <c r="BJ543" s="228"/>
      <c r="BK543" s="221"/>
      <c r="BL543" s="221"/>
    </row>
    <row r="544" spans="1:64" hidden="1" outlineLevel="1">
      <c r="A544" s="9"/>
      <c r="B544" s="9"/>
      <c r="C544" s="44"/>
      <c r="D544" s="270" t="str">
        <f>Asset8</f>
        <v>Inventory</v>
      </c>
      <c r="E544" s="9"/>
      <c r="F544" s="9"/>
      <c r="G544" s="201">
        <f>'Actual RAB roll forward'!G833</f>
        <v>0.1190149191478946</v>
      </c>
      <c r="H544" s="111">
        <f>'Actual RAB roll forward'!H833</f>
        <v>0.27048186622619236</v>
      </c>
      <c r="I544" s="111">
        <f>'Actual RAB roll forward'!I833</f>
        <v>0.16045534437147022</v>
      </c>
      <c r="J544" s="111">
        <f>'Actual RAB roll forward'!J833</f>
        <v>0.2062997284776045</v>
      </c>
      <c r="K544" s="111">
        <f>'Actual RAB roll forward'!K833</f>
        <v>0.24755967417312463</v>
      </c>
      <c r="L544" s="111">
        <f>'Actual RAB roll forward'!L833</f>
        <v>0.18130121762534249</v>
      </c>
      <c r="M544" s="111">
        <f>'Actual RAB roll forward'!M833</f>
        <v>0.21014459315664574</v>
      </c>
      <c r="N544" s="111">
        <f>'Actual RAB roll forward'!N833</f>
        <v>0</v>
      </c>
      <c r="O544" s="111">
        <f>'Actual RAB roll forward'!O833</f>
        <v>0</v>
      </c>
      <c r="P544" s="111">
        <f>'Actual RAB roll forward'!P833</f>
        <v>0</v>
      </c>
      <c r="Q544" s="111">
        <f>'Actual RAB roll forward'!Q833</f>
        <v>0</v>
      </c>
      <c r="R544" s="29"/>
      <c r="S544" s="100"/>
      <c r="T544" s="100"/>
      <c r="U544" s="100"/>
      <c r="V544" s="100"/>
      <c r="W544" s="100"/>
      <c r="X544" s="100"/>
      <c r="Y544" s="100"/>
      <c r="Z544" s="100"/>
      <c r="AA544" s="228"/>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228"/>
      <c r="BE544" s="228"/>
      <c r="BF544" s="228"/>
      <c r="BG544" s="228"/>
      <c r="BH544" s="228"/>
      <c r="BI544" s="228"/>
      <c r="BJ544" s="228"/>
      <c r="BK544" s="221"/>
      <c r="BL544" s="221"/>
    </row>
    <row r="545" spans="1:64" hidden="1" outlineLevel="1">
      <c r="A545" s="9"/>
      <c r="B545" s="9"/>
      <c r="C545" s="44"/>
      <c r="D545" s="270" t="str">
        <f>Asset9</f>
        <v>IT</v>
      </c>
      <c r="E545" s="9"/>
      <c r="F545" s="9"/>
      <c r="G545" s="201">
        <f>'Actual RAB roll forward'!G834</f>
        <v>-3.9008862920846168</v>
      </c>
      <c r="H545" s="111">
        <f>'Actual RAB roll forward'!H834</f>
        <v>-4.2967693946026442</v>
      </c>
      <c r="I545" s="111">
        <f>'Actual RAB roll forward'!I834</f>
        <v>-5.7828117421501304</v>
      </c>
      <c r="J545" s="111">
        <f>'Actual RAB roll forward'!J834</f>
        <v>-7.5931020198366266</v>
      </c>
      <c r="K545" s="111">
        <f>'Actual RAB roll forward'!K834</f>
        <v>-7.1216676532698289</v>
      </c>
      <c r="L545" s="111">
        <f>'Actual RAB roll forward'!L834</f>
        <v>-9.4945889305442144</v>
      </c>
      <c r="M545" s="111">
        <f>'Actual RAB roll forward'!M834</f>
        <v>-11.919331085738401</v>
      </c>
      <c r="N545" s="111">
        <f>'Actual RAB roll forward'!N834</f>
        <v>0</v>
      </c>
      <c r="O545" s="111">
        <f>'Actual RAB roll forward'!O834</f>
        <v>0</v>
      </c>
      <c r="P545" s="111">
        <f>'Actual RAB roll forward'!P834</f>
        <v>0</v>
      </c>
      <c r="Q545" s="111">
        <f>'Actual RAB roll forward'!Q834</f>
        <v>0</v>
      </c>
      <c r="R545" s="29"/>
      <c r="S545" s="100"/>
      <c r="T545" s="100"/>
      <c r="U545" s="100"/>
      <c r="V545" s="100"/>
      <c r="W545" s="100"/>
      <c r="X545" s="100"/>
      <c r="Y545" s="100"/>
      <c r="Z545" s="100"/>
      <c r="AA545" s="228"/>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228"/>
      <c r="BE545" s="228"/>
      <c r="BF545" s="228"/>
      <c r="BG545" s="228"/>
      <c r="BH545" s="228"/>
      <c r="BI545" s="228"/>
      <c r="BJ545" s="228"/>
      <c r="BK545" s="221"/>
      <c r="BL545" s="221"/>
    </row>
    <row r="546" spans="1:64" hidden="1" outlineLevel="1">
      <c r="A546" s="9"/>
      <c r="B546" s="9"/>
      <c r="C546" s="44"/>
      <c r="D546" s="270" t="str">
        <f>Asset10</f>
        <v>Vehicles</v>
      </c>
      <c r="E546" s="9"/>
      <c r="F546" s="9"/>
      <c r="G546" s="201">
        <f>'Actual RAB roll forward'!G835</f>
        <v>-0.14566511533793916</v>
      </c>
      <c r="H546" s="111">
        <f>'Actual RAB roll forward'!H835</f>
        <v>-0.7914140701330683</v>
      </c>
      <c r="I546" s="111">
        <f>'Actual RAB roll forward'!I835</f>
        <v>-0.90269135558262092</v>
      </c>
      <c r="J546" s="111">
        <f>'Actual RAB roll forward'!J835</f>
        <v>-0.80097959092384974</v>
      </c>
      <c r="K546" s="111">
        <f>'Actual RAB roll forward'!K835</f>
        <v>-0.23278012210691693</v>
      </c>
      <c r="L546" s="111">
        <f>'Actual RAB roll forward'!L835</f>
        <v>-0.28840838604877828</v>
      </c>
      <c r="M546" s="111">
        <f>'Actual RAB roll forward'!M835</f>
        <v>-0.54374986105743095</v>
      </c>
      <c r="N546" s="111">
        <f>'Actual RAB roll forward'!N835</f>
        <v>0</v>
      </c>
      <c r="O546" s="111">
        <f>'Actual RAB roll forward'!O835</f>
        <v>0</v>
      </c>
      <c r="P546" s="111">
        <f>'Actual RAB roll forward'!P835</f>
        <v>0</v>
      </c>
      <c r="Q546" s="111">
        <f>'Actual RAB roll forward'!Q835</f>
        <v>0</v>
      </c>
      <c r="R546" s="29"/>
      <c r="S546" s="100"/>
      <c r="T546" s="100"/>
      <c r="U546" s="100"/>
      <c r="V546" s="100"/>
      <c r="W546" s="100"/>
      <c r="X546" s="100"/>
      <c r="Y546" s="100"/>
      <c r="Z546" s="100"/>
      <c r="AA546" s="228"/>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228"/>
      <c r="BE546" s="228"/>
      <c r="BF546" s="228"/>
      <c r="BG546" s="228"/>
      <c r="BH546" s="228"/>
      <c r="BI546" s="228"/>
      <c r="BJ546" s="228"/>
      <c r="BK546" s="221"/>
      <c r="BL546" s="221"/>
    </row>
    <row r="547" spans="1:64" hidden="1" outlineLevel="1">
      <c r="A547" s="9"/>
      <c r="B547" s="9"/>
      <c r="C547" s="44"/>
      <c r="D547" s="270" t="str">
        <f>Asset11</f>
        <v>other</v>
      </c>
      <c r="E547" s="9"/>
      <c r="F547" s="9"/>
      <c r="G547" s="201">
        <f>'Actual RAB roll forward'!G836</f>
        <v>-1.5380787381567749</v>
      </c>
      <c r="H547" s="111">
        <f>'Actual RAB roll forward'!H836</f>
        <v>-1.2056800386254016</v>
      </c>
      <c r="I547" s="111">
        <f>'Actual RAB roll forward'!I836</f>
        <v>-1.5234584289047286</v>
      </c>
      <c r="J547" s="111">
        <f>'Actual RAB roll forward'!J836</f>
        <v>-1.5301433813513852</v>
      </c>
      <c r="K547" s="111">
        <f>'Actual RAB roll forward'!K836</f>
        <v>-1.3508887889400207</v>
      </c>
      <c r="L547" s="111">
        <f>'Actual RAB roll forward'!L836</f>
        <v>-1.8415494307934774</v>
      </c>
      <c r="M547" s="111">
        <f>'Actual RAB roll forward'!M836</f>
        <v>-1.9807205460211164</v>
      </c>
      <c r="N547" s="111">
        <f>'Actual RAB roll forward'!N836</f>
        <v>0</v>
      </c>
      <c r="O547" s="111">
        <f>'Actual RAB roll forward'!O836</f>
        <v>0</v>
      </c>
      <c r="P547" s="111">
        <f>'Actual RAB roll forward'!P836</f>
        <v>0</v>
      </c>
      <c r="Q547" s="111">
        <f>'Actual RAB roll forward'!Q836</f>
        <v>0</v>
      </c>
      <c r="R547" s="29"/>
      <c r="S547" s="100"/>
      <c r="T547" s="100"/>
      <c r="U547" s="100"/>
      <c r="V547" s="100"/>
      <c r="W547" s="100"/>
      <c r="X547" s="100"/>
      <c r="Y547" s="100"/>
      <c r="Z547" s="100"/>
      <c r="AA547" s="228"/>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228"/>
      <c r="BE547" s="228"/>
      <c r="BF547" s="228"/>
      <c r="BG547" s="228"/>
      <c r="BH547" s="228"/>
      <c r="BI547" s="228"/>
      <c r="BJ547" s="228"/>
      <c r="BK547" s="221"/>
      <c r="BL547" s="221"/>
    </row>
    <row r="548" spans="1:64" hidden="1" outlineLevel="1">
      <c r="A548" s="9"/>
      <c r="B548" s="9"/>
      <c r="C548" s="44"/>
      <c r="D548" s="270" t="str">
        <f>Asset12</f>
        <v>premises</v>
      </c>
      <c r="E548" s="9"/>
      <c r="F548" s="9"/>
      <c r="G548" s="201">
        <f>'Actual RAB roll forward'!G837</f>
        <v>-1.7554403275244403</v>
      </c>
      <c r="H548" s="111">
        <f>'Actual RAB roll forward'!H837</f>
        <v>-1.1122512838661884</v>
      </c>
      <c r="I548" s="111">
        <f>'Actual RAB roll forward'!I837</f>
        <v>-1.3189756987583601</v>
      </c>
      <c r="J548" s="111">
        <f>'Actual RAB roll forward'!J837</f>
        <v>-1.2517228897897112</v>
      </c>
      <c r="K548" s="111">
        <f>'Actual RAB roll forward'!K837</f>
        <v>-0.93170209440937446</v>
      </c>
      <c r="L548" s="111">
        <f>'Actual RAB roll forward'!L837</f>
        <v>-1.1235080810154616</v>
      </c>
      <c r="M548" s="111">
        <f>'Actual RAB roll forward'!M837</f>
        <v>-1.0879656107028264</v>
      </c>
      <c r="N548" s="111">
        <f>'Actual RAB roll forward'!N837</f>
        <v>0</v>
      </c>
      <c r="O548" s="111">
        <f>'Actual RAB roll forward'!O837</f>
        <v>0</v>
      </c>
      <c r="P548" s="111">
        <f>'Actual RAB roll forward'!P837</f>
        <v>0</v>
      </c>
      <c r="Q548" s="111">
        <f>'Actual RAB roll forward'!Q837</f>
        <v>0</v>
      </c>
      <c r="R548" s="29"/>
      <c r="S548" s="100"/>
      <c r="T548" s="100"/>
      <c r="U548" s="100"/>
      <c r="V548" s="100"/>
      <c r="W548" s="100"/>
      <c r="X548" s="100"/>
      <c r="Y548" s="100"/>
      <c r="Z548" s="100"/>
      <c r="AA548" s="228"/>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228"/>
      <c r="BE548" s="228"/>
      <c r="BF548" s="228"/>
      <c r="BG548" s="228"/>
      <c r="BH548" s="228"/>
      <c r="BI548" s="228"/>
      <c r="BJ548" s="228"/>
      <c r="BK548" s="221"/>
      <c r="BL548" s="221"/>
    </row>
    <row r="549" spans="1:64" hidden="1" outlineLevel="1">
      <c r="A549" s="9"/>
      <c r="B549" s="9"/>
      <c r="C549" s="44"/>
      <c r="D549" s="270" t="str">
        <f>Asset13</f>
        <v>Land</v>
      </c>
      <c r="E549" s="9"/>
      <c r="F549" s="9"/>
      <c r="G549" s="201">
        <f>'Actual RAB roll forward'!G838</f>
        <v>2.5060166229602889</v>
      </c>
      <c r="H549" s="111">
        <f>'Actual RAB roll forward'!H838</f>
        <v>3.528825378559989</v>
      </c>
      <c r="I549" s="111">
        <f>'Actual RAB roll forward'!I838</f>
        <v>2.0933709872813515</v>
      </c>
      <c r="J549" s="111">
        <f>'Actual RAB roll forward'!J838</f>
        <v>2.6967963081813298</v>
      </c>
      <c r="K549" s="111">
        <f>'Actual RAB roll forward'!K838</f>
        <v>3.2207388667916224</v>
      </c>
      <c r="L549" s="111">
        <f>'Actual RAB roll forward'!L838</f>
        <v>2.3363075694061086</v>
      </c>
      <c r="M549" s="111">
        <f>'Actual RAB roll forward'!M838</f>
        <v>2.7079928645388827</v>
      </c>
      <c r="N549" s="111">
        <f>'Actual RAB roll forward'!N838</f>
        <v>0</v>
      </c>
      <c r="O549" s="111">
        <f>'Actual RAB roll forward'!O838</f>
        <v>0</v>
      </c>
      <c r="P549" s="111">
        <f>'Actual RAB roll forward'!P838</f>
        <v>0</v>
      </c>
      <c r="Q549" s="111">
        <f>'Actual RAB roll forward'!Q838</f>
        <v>0</v>
      </c>
      <c r="R549" s="29"/>
      <c r="S549" s="100"/>
      <c r="T549" s="100"/>
      <c r="U549" s="100"/>
      <c r="V549" s="100"/>
      <c r="W549" s="100"/>
      <c r="X549" s="100"/>
      <c r="Y549" s="100"/>
      <c r="Z549" s="100"/>
      <c r="AA549" s="228"/>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228"/>
      <c r="BE549" s="228"/>
      <c r="BF549" s="228"/>
      <c r="BG549" s="228"/>
      <c r="BH549" s="228"/>
      <c r="BI549" s="228"/>
      <c r="BJ549" s="228"/>
      <c r="BK549" s="221"/>
      <c r="BL549" s="221"/>
    </row>
    <row r="550" spans="1:64" hidden="1" outlineLevel="1">
      <c r="A550" s="9"/>
      <c r="B550" s="9"/>
      <c r="C550" s="44"/>
      <c r="D550" s="270" t="str">
        <f>Asset14</f>
        <v>Easements</v>
      </c>
      <c r="E550" s="9"/>
      <c r="F550" s="9"/>
      <c r="G550" s="201">
        <f>'Actual RAB roll forward'!G839</f>
        <v>2.7593897982454862</v>
      </c>
      <c r="H550" s="111">
        <f>'Actual RAB roll forward'!H839</f>
        <v>4.0158981762199319</v>
      </c>
      <c r="I550" s="111">
        <f>'Actual RAB roll forward'!I839</f>
        <v>2.3823124774186062</v>
      </c>
      <c r="J550" s="111">
        <f>'Actual RAB roll forward'!J839</f>
        <v>3.0629731852524928</v>
      </c>
      <c r="K550" s="111">
        <f>'Actual RAB roll forward'!K839</f>
        <v>3.6755678223029795</v>
      </c>
      <c r="L550" s="111">
        <f>'Actual RAB roll forward'!L839</f>
        <v>2.691815312303405</v>
      </c>
      <c r="M550" s="111">
        <f>'Actual RAB roll forward'!M839</f>
        <v>3.1200586574425646</v>
      </c>
      <c r="N550" s="111">
        <f>'Actual RAB roll forward'!N839</f>
        <v>0</v>
      </c>
      <c r="O550" s="111">
        <f>'Actual RAB roll forward'!O839</f>
        <v>0</v>
      </c>
      <c r="P550" s="111">
        <f>'Actual RAB roll forward'!P839</f>
        <v>0</v>
      </c>
      <c r="Q550" s="111">
        <f>'Actual RAB roll forward'!Q839</f>
        <v>0</v>
      </c>
      <c r="R550" s="29"/>
      <c r="S550" s="100"/>
      <c r="T550" s="100"/>
      <c r="U550" s="100"/>
      <c r="V550" s="100"/>
      <c r="W550" s="100"/>
      <c r="X550" s="100"/>
      <c r="Y550" s="100"/>
      <c r="Z550" s="100"/>
      <c r="AA550" s="228"/>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228"/>
      <c r="BE550" s="228"/>
      <c r="BF550" s="228"/>
      <c r="BG550" s="228"/>
      <c r="BH550" s="228"/>
      <c r="BI550" s="228"/>
      <c r="BJ550" s="228"/>
      <c r="BK550" s="221"/>
      <c r="BL550" s="221"/>
    </row>
    <row r="551" spans="1:64" hidden="1" outlineLevel="1">
      <c r="A551" s="9"/>
      <c r="B551" s="9"/>
      <c r="C551" s="44"/>
      <c r="D551" s="270">
        <f>Asset15</f>
        <v>0</v>
      </c>
      <c r="E551" s="9"/>
      <c r="F551" s="9"/>
      <c r="G551" s="201">
        <f>'Actual RAB roll forward'!G840</f>
        <v>0</v>
      </c>
      <c r="H551" s="111">
        <f>'Actual RAB roll forward'!H840</f>
        <v>0</v>
      </c>
      <c r="I551" s="111">
        <f>'Actual RAB roll forward'!I840</f>
        <v>0</v>
      </c>
      <c r="J551" s="111">
        <f>'Actual RAB roll forward'!J840</f>
        <v>0</v>
      </c>
      <c r="K551" s="111">
        <f>'Actual RAB roll forward'!K840</f>
        <v>0</v>
      </c>
      <c r="L551" s="111">
        <f>'Actual RAB roll forward'!L840</f>
        <v>0</v>
      </c>
      <c r="M551" s="111">
        <f>'Actual RAB roll forward'!M840</f>
        <v>0</v>
      </c>
      <c r="N551" s="111">
        <f>'Actual RAB roll forward'!N840</f>
        <v>0</v>
      </c>
      <c r="O551" s="111">
        <f>'Actual RAB roll forward'!O840</f>
        <v>0</v>
      </c>
      <c r="P551" s="111">
        <f>'Actual RAB roll forward'!P840</f>
        <v>0</v>
      </c>
      <c r="Q551" s="111">
        <f>'Actual RAB roll forward'!Q840</f>
        <v>0</v>
      </c>
      <c r="R551" s="29"/>
      <c r="S551" s="100"/>
      <c r="T551" s="100"/>
      <c r="U551" s="100"/>
      <c r="V551" s="100"/>
      <c r="W551" s="100"/>
      <c r="X551" s="100"/>
      <c r="Y551" s="100"/>
      <c r="Z551" s="100"/>
      <c r="AA551" s="228"/>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228"/>
      <c r="BE551" s="228"/>
      <c r="BF551" s="228"/>
      <c r="BG551" s="228"/>
      <c r="BH551" s="228"/>
      <c r="BI551" s="228"/>
      <c r="BJ551" s="228"/>
      <c r="BK551" s="221"/>
      <c r="BL551" s="221"/>
    </row>
    <row r="552" spans="1:64" hidden="1" outlineLevel="1">
      <c r="A552" s="9"/>
      <c r="B552" s="9"/>
      <c r="C552" s="44"/>
      <c r="D552" s="270">
        <f>Asset16</f>
        <v>0</v>
      </c>
      <c r="E552" s="9"/>
      <c r="F552" s="9"/>
      <c r="G552" s="201">
        <f>'Actual RAB roll forward'!G841</f>
        <v>0</v>
      </c>
      <c r="H552" s="111">
        <f>'Actual RAB roll forward'!H841</f>
        <v>0</v>
      </c>
      <c r="I552" s="111">
        <f>'Actual RAB roll forward'!I841</f>
        <v>0</v>
      </c>
      <c r="J552" s="111">
        <f>'Actual RAB roll forward'!J841</f>
        <v>0</v>
      </c>
      <c r="K552" s="111">
        <f>'Actual RAB roll forward'!K841</f>
        <v>0</v>
      </c>
      <c r="L552" s="111">
        <f>'Actual RAB roll forward'!L841</f>
        <v>0</v>
      </c>
      <c r="M552" s="111">
        <f>'Actual RAB roll forward'!M841</f>
        <v>0</v>
      </c>
      <c r="N552" s="111">
        <f>'Actual RAB roll forward'!N841</f>
        <v>0</v>
      </c>
      <c r="O552" s="111">
        <f>'Actual RAB roll forward'!O841</f>
        <v>0</v>
      </c>
      <c r="P552" s="111">
        <f>'Actual RAB roll forward'!P841</f>
        <v>0</v>
      </c>
      <c r="Q552" s="111">
        <f>'Actual RAB roll forward'!Q841</f>
        <v>0</v>
      </c>
      <c r="R552" s="29"/>
      <c r="S552" s="100"/>
      <c r="T552" s="100"/>
      <c r="U552" s="100"/>
      <c r="V552" s="100"/>
      <c r="W552" s="100"/>
      <c r="X552" s="100"/>
      <c r="Y552" s="100"/>
      <c r="Z552" s="100"/>
      <c r="AA552" s="228"/>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228"/>
      <c r="BE552" s="228"/>
      <c r="BF552" s="228"/>
      <c r="BG552" s="228"/>
      <c r="BH552" s="228"/>
      <c r="BI552" s="228"/>
      <c r="BJ552" s="228"/>
      <c r="BK552" s="221"/>
      <c r="BL552" s="221"/>
    </row>
    <row r="553" spans="1:64" hidden="1" outlineLevel="1">
      <c r="A553" s="9"/>
      <c r="B553" s="9"/>
      <c r="C553" s="44"/>
      <c r="D553" s="270">
        <f>Asset17</f>
        <v>0</v>
      </c>
      <c r="E553" s="9"/>
      <c r="F553" s="9"/>
      <c r="G553" s="201">
        <f>'Actual RAB roll forward'!G842</f>
        <v>0</v>
      </c>
      <c r="H553" s="111">
        <f>'Actual RAB roll forward'!H842</f>
        <v>0</v>
      </c>
      <c r="I553" s="111">
        <f>'Actual RAB roll forward'!I842</f>
        <v>0</v>
      </c>
      <c r="J553" s="111">
        <f>'Actual RAB roll forward'!J842</f>
        <v>0</v>
      </c>
      <c r="K553" s="111">
        <f>'Actual RAB roll forward'!K842</f>
        <v>0</v>
      </c>
      <c r="L553" s="111">
        <f>'Actual RAB roll forward'!L842</f>
        <v>0</v>
      </c>
      <c r="M553" s="111">
        <f>'Actual RAB roll forward'!M842</f>
        <v>0</v>
      </c>
      <c r="N553" s="111">
        <f>'Actual RAB roll forward'!N842</f>
        <v>0</v>
      </c>
      <c r="O553" s="111">
        <f>'Actual RAB roll forward'!O842</f>
        <v>0</v>
      </c>
      <c r="P553" s="111">
        <f>'Actual RAB roll forward'!P842</f>
        <v>0</v>
      </c>
      <c r="Q553" s="111">
        <f>'Actual RAB roll forward'!Q842</f>
        <v>0</v>
      </c>
      <c r="R553" s="29"/>
      <c r="S553" s="100"/>
      <c r="T553" s="100"/>
      <c r="U553" s="100"/>
      <c r="V553" s="100"/>
      <c r="W553" s="100"/>
      <c r="X553" s="100"/>
      <c r="Y553" s="100"/>
      <c r="Z553" s="100"/>
      <c r="AA553" s="228"/>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228"/>
      <c r="BE553" s="228"/>
      <c r="BF553" s="228"/>
      <c r="BG553" s="228"/>
      <c r="BH553" s="228"/>
      <c r="BI553" s="228"/>
      <c r="BJ553" s="228"/>
      <c r="BK553" s="221"/>
      <c r="BL553" s="221"/>
    </row>
    <row r="554" spans="1:64" hidden="1" outlineLevel="1">
      <c r="A554" s="9"/>
      <c r="B554" s="9"/>
      <c r="C554" s="44"/>
      <c r="D554" s="270">
        <f>Asset18</f>
        <v>0</v>
      </c>
      <c r="E554" s="9"/>
      <c r="F554" s="9"/>
      <c r="G554" s="201">
        <f>'Actual RAB roll forward'!G843</f>
        <v>0</v>
      </c>
      <c r="H554" s="111">
        <f>'Actual RAB roll forward'!H843</f>
        <v>0</v>
      </c>
      <c r="I554" s="111">
        <f>'Actual RAB roll forward'!I843</f>
        <v>0</v>
      </c>
      <c r="J554" s="111">
        <f>'Actual RAB roll forward'!J843</f>
        <v>0</v>
      </c>
      <c r="K554" s="111">
        <f>'Actual RAB roll forward'!K843</f>
        <v>0</v>
      </c>
      <c r="L554" s="111">
        <f>'Actual RAB roll forward'!L843</f>
        <v>0</v>
      </c>
      <c r="M554" s="111">
        <f>'Actual RAB roll forward'!M843</f>
        <v>0</v>
      </c>
      <c r="N554" s="111">
        <f>'Actual RAB roll forward'!N843</f>
        <v>0</v>
      </c>
      <c r="O554" s="111">
        <f>'Actual RAB roll forward'!O843</f>
        <v>0</v>
      </c>
      <c r="P554" s="111">
        <f>'Actual RAB roll forward'!P843</f>
        <v>0</v>
      </c>
      <c r="Q554" s="111">
        <f>'Actual RAB roll forward'!Q843</f>
        <v>0</v>
      </c>
      <c r="R554" s="29"/>
      <c r="S554" s="100"/>
      <c r="T554" s="100"/>
      <c r="U554" s="100"/>
      <c r="V554" s="100"/>
      <c r="W554" s="100"/>
      <c r="X554" s="100"/>
      <c r="Y554" s="100"/>
      <c r="Z554" s="100"/>
      <c r="AA554" s="228"/>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228"/>
      <c r="BE554" s="228"/>
      <c r="BF554" s="228"/>
      <c r="BG554" s="228"/>
      <c r="BH554" s="228"/>
      <c r="BI554" s="228"/>
      <c r="BJ554" s="228"/>
      <c r="BK554" s="221"/>
      <c r="BL554" s="221"/>
    </row>
    <row r="555" spans="1:64" hidden="1" outlineLevel="1">
      <c r="A555" s="9"/>
      <c r="B555" s="9"/>
      <c r="C555" s="44"/>
      <c r="D555" s="270">
        <f>Asset19</f>
        <v>0</v>
      </c>
      <c r="E555" s="9"/>
      <c r="F555" s="9"/>
      <c r="G555" s="201">
        <f>'Actual RAB roll forward'!G844</f>
        <v>0</v>
      </c>
      <c r="H555" s="111">
        <f>'Actual RAB roll forward'!H844</f>
        <v>0</v>
      </c>
      <c r="I555" s="111">
        <f>'Actual RAB roll forward'!I844</f>
        <v>0</v>
      </c>
      <c r="J555" s="111">
        <f>'Actual RAB roll forward'!J844</f>
        <v>0</v>
      </c>
      <c r="K555" s="111">
        <f>'Actual RAB roll forward'!K844</f>
        <v>0</v>
      </c>
      <c r="L555" s="111">
        <f>'Actual RAB roll forward'!L844</f>
        <v>0</v>
      </c>
      <c r="M555" s="111">
        <f>'Actual RAB roll forward'!M844</f>
        <v>0</v>
      </c>
      <c r="N555" s="111">
        <f>'Actual RAB roll forward'!N844</f>
        <v>0</v>
      </c>
      <c r="O555" s="111">
        <f>'Actual RAB roll forward'!O844</f>
        <v>0</v>
      </c>
      <c r="P555" s="111">
        <f>'Actual RAB roll forward'!P844</f>
        <v>0</v>
      </c>
      <c r="Q555" s="111">
        <f>'Actual RAB roll forward'!Q844</f>
        <v>0</v>
      </c>
      <c r="R555" s="29"/>
      <c r="S555" s="100"/>
      <c r="T555" s="100"/>
      <c r="U555" s="100"/>
      <c r="V555" s="100"/>
      <c r="W555" s="100"/>
      <c r="X555" s="100"/>
      <c r="Y555" s="100"/>
      <c r="Z555" s="100"/>
      <c r="AA555" s="228"/>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228"/>
      <c r="BE555" s="228"/>
      <c r="BF555" s="228"/>
      <c r="BG555" s="228"/>
      <c r="BH555" s="228"/>
      <c r="BI555" s="228"/>
      <c r="BJ555" s="228"/>
      <c r="BK555" s="221"/>
      <c r="BL555" s="221"/>
    </row>
    <row r="556" spans="1:64" hidden="1" outlineLevel="1">
      <c r="A556" s="9"/>
      <c r="B556" s="9"/>
      <c r="C556" s="44"/>
      <c r="D556" s="270">
        <f>Asset20</f>
        <v>0</v>
      </c>
      <c r="E556" s="9"/>
      <c r="F556" s="9"/>
      <c r="G556" s="201">
        <f>'Actual RAB roll forward'!G845</f>
        <v>0</v>
      </c>
      <c r="H556" s="111">
        <f>'Actual RAB roll forward'!H845</f>
        <v>0</v>
      </c>
      <c r="I556" s="111">
        <f>'Actual RAB roll forward'!I845</f>
        <v>0</v>
      </c>
      <c r="J556" s="111">
        <f>'Actual RAB roll forward'!J845</f>
        <v>0</v>
      </c>
      <c r="K556" s="111">
        <f>'Actual RAB roll forward'!K845</f>
        <v>0</v>
      </c>
      <c r="L556" s="111">
        <f>'Actual RAB roll forward'!L845</f>
        <v>0</v>
      </c>
      <c r="M556" s="111">
        <f>'Actual RAB roll forward'!M845</f>
        <v>0</v>
      </c>
      <c r="N556" s="111">
        <f>'Actual RAB roll forward'!N845</f>
        <v>0</v>
      </c>
      <c r="O556" s="111">
        <f>'Actual RAB roll forward'!O845</f>
        <v>0</v>
      </c>
      <c r="P556" s="111">
        <f>'Actual RAB roll forward'!P845</f>
        <v>0</v>
      </c>
      <c r="Q556" s="111">
        <f>'Actual RAB roll forward'!Q845</f>
        <v>0</v>
      </c>
      <c r="R556" s="29"/>
      <c r="S556" s="100"/>
      <c r="T556" s="100"/>
      <c r="U556" s="100"/>
      <c r="V556" s="100"/>
      <c r="W556" s="100"/>
      <c r="X556" s="100"/>
      <c r="Y556" s="100"/>
      <c r="Z556" s="100"/>
      <c r="AA556" s="228"/>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228"/>
      <c r="BE556" s="228"/>
      <c r="BF556" s="228"/>
      <c r="BG556" s="228"/>
      <c r="BH556" s="228"/>
      <c r="BI556" s="228"/>
      <c r="BJ556" s="228"/>
      <c r="BK556" s="221"/>
      <c r="BL556" s="221"/>
    </row>
    <row r="557" spans="1:64" hidden="1" outlineLevel="1">
      <c r="A557" s="9"/>
      <c r="B557" s="9"/>
      <c r="C557" s="44"/>
      <c r="D557" s="270">
        <f>Asset21</f>
        <v>0</v>
      </c>
      <c r="E557" s="9"/>
      <c r="F557" s="9"/>
      <c r="G557" s="201">
        <f>'Actual RAB roll forward'!G846</f>
        <v>0</v>
      </c>
      <c r="H557" s="111">
        <f>'Actual RAB roll forward'!H846</f>
        <v>0</v>
      </c>
      <c r="I557" s="111">
        <f>'Actual RAB roll forward'!I846</f>
        <v>0</v>
      </c>
      <c r="J557" s="111">
        <f>'Actual RAB roll forward'!J846</f>
        <v>0</v>
      </c>
      <c r="K557" s="111">
        <f>'Actual RAB roll forward'!K846</f>
        <v>0</v>
      </c>
      <c r="L557" s="111">
        <f>'Actual RAB roll forward'!L846</f>
        <v>0</v>
      </c>
      <c r="M557" s="111">
        <f>'Actual RAB roll forward'!M846</f>
        <v>0</v>
      </c>
      <c r="N557" s="111">
        <f>'Actual RAB roll forward'!N846</f>
        <v>0</v>
      </c>
      <c r="O557" s="111">
        <f>'Actual RAB roll forward'!O846</f>
        <v>0</v>
      </c>
      <c r="P557" s="111">
        <f>'Actual RAB roll forward'!P846</f>
        <v>0</v>
      </c>
      <c r="Q557" s="111">
        <f>'Actual RAB roll forward'!Q846</f>
        <v>0</v>
      </c>
      <c r="R557" s="29"/>
      <c r="S557" s="100"/>
      <c r="T557" s="100"/>
      <c r="U557" s="100"/>
      <c r="V557" s="100"/>
      <c r="W557" s="100"/>
      <c r="X557" s="100"/>
      <c r="Y557" s="100"/>
      <c r="Z557" s="100"/>
      <c r="AA557" s="228"/>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228"/>
      <c r="BE557" s="228"/>
      <c r="BF557" s="228"/>
      <c r="BG557" s="228"/>
      <c r="BH557" s="228"/>
      <c r="BI557" s="228"/>
      <c r="BJ557" s="228"/>
      <c r="BK557" s="221"/>
      <c r="BL557" s="221"/>
    </row>
    <row r="558" spans="1:64" hidden="1" outlineLevel="1">
      <c r="A558" s="9"/>
      <c r="B558" s="9"/>
      <c r="C558" s="44"/>
      <c r="D558" s="270">
        <f>Asset22</f>
        <v>0</v>
      </c>
      <c r="E558" s="9"/>
      <c r="F558" s="9"/>
      <c r="G558" s="201">
        <f>'Actual RAB roll forward'!G847</f>
        <v>0</v>
      </c>
      <c r="H558" s="111">
        <f>'Actual RAB roll forward'!H847</f>
        <v>0</v>
      </c>
      <c r="I558" s="111">
        <f>'Actual RAB roll forward'!I847</f>
        <v>0</v>
      </c>
      <c r="J558" s="111">
        <f>'Actual RAB roll forward'!J847</f>
        <v>0</v>
      </c>
      <c r="K558" s="111">
        <f>'Actual RAB roll forward'!K847</f>
        <v>0</v>
      </c>
      <c r="L558" s="111">
        <f>'Actual RAB roll forward'!L847</f>
        <v>0</v>
      </c>
      <c r="M558" s="111">
        <f>'Actual RAB roll forward'!M847</f>
        <v>0</v>
      </c>
      <c r="N558" s="111">
        <f>'Actual RAB roll forward'!N847</f>
        <v>0</v>
      </c>
      <c r="O558" s="111">
        <f>'Actual RAB roll forward'!O847</f>
        <v>0</v>
      </c>
      <c r="P558" s="111">
        <f>'Actual RAB roll forward'!P847</f>
        <v>0</v>
      </c>
      <c r="Q558" s="111">
        <f>'Actual RAB roll forward'!Q847</f>
        <v>0</v>
      </c>
      <c r="R558" s="29"/>
      <c r="S558" s="100"/>
      <c r="T558" s="100"/>
      <c r="U558" s="100"/>
      <c r="V558" s="100"/>
      <c r="W558" s="100"/>
      <c r="X558" s="100"/>
      <c r="Y558" s="100"/>
      <c r="Z558" s="100"/>
      <c r="AA558" s="228"/>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228"/>
      <c r="BE558" s="228"/>
      <c r="BF558" s="228"/>
      <c r="BG558" s="228"/>
      <c r="BH558" s="228"/>
      <c r="BI558" s="228"/>
      <c r="BJ558" s="228"/>
      <c r="BK558" s="221"/>
      <c r="BL558" s="221"/>
    </row>
    <row r="559" spans="1:64" hidden="1" outlineLevel="1">
      <c r="A559" s="9"/>
      <c r="B559" s="9"/>
      <c r="C559" s="44"/>
      <c r="D559" s="270">
        <f>Asset23</f>
        <v>0</v>
      </c>
      <c r="E559" s="9"/>
      <c r="F559" s="9"/>
      <c r="G559" s="201">
        <f>'Actual RAB roll forward'!G848</f>
        <v>0</v>
      </c>
      <c r="H559" s="111">
        <f>'Actual RAB roll forward'!H848</f>
        <v>0</v>
      </c>
      <c r="I559" s="111">
        <f>'Actual RAB roll forward'!I848</f>
        <v>0</v>
      </c>
      <c r="J559" s="111">
        <f>'Actual RAB roll forward'!J848</f>
        <v>0</v>
      </c>
      <c r="K559" s="111">
        <f>'Actual RAB roll forward'!K848</f>
        <v>0</v>
      </c>
      <c r="L559" s="111">
        <f>'Actual RAB roll forward'!L848</f>
        <v>0</v>
      </c>
      <c r="M559" s="111">
        <f>'Actual RAB roll forward'!M848</f>
        <v>0</v>
      </c>
      <c r="N559" s="111">
        <f>'Actual RAB roll forward'!N848</f>
        <v>0</v>
      </c>
      <c r="O559" s="111">
        <f>'Actual RAB roll forward'!O848</f>
        <v>0</v>
      </c>
      <c r="P559" s="111">
        <f>'Actual RAB roll forward'!P848</f>
        <v>0</v>
      </c>
      <c r="Q559" s="111">
        <f>'Actual RAB roll forward'!Q848</f>
        <v>0</v>
      </c>
      <c r="R559" s="29"/>
      <c r="S559" s="100"/>
      <c r="T559" s="100"/>
      <c r="U559" s="100"/>
      <c r="V559" s="100"/>
      <c r="W559" s="100"/>
      <c r="X559" s="100"/>
      <c r="Y559" s="100"/>
      <c r="Z559" s="100"/>
      <c r="AA559" s="228"/>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228"/>
      <c r="BE559" s="228"/>
      <c r="BF559" s="228"/>
      <c r="BG559" s="228"/>
      <c r="BH559" s="228"/>
      <c r="BI559" s="228"/>
      <c r="BJ559" s="228"/>
      <c r="BK559" s="221"/>
      <c r="BL559" s="221"/>
    </row>
    <row r="560" spans="1:64" hidden="1" outlineLevel="1">
      <c r="A560" s="9"/>
      <c r="B560" s="9"/>
      <c r="C560" s="44"/>
      <c r="D560" s="270">
        <f>Asset24</f>
        <v>0</v>
      </c>
      <c r="E560" s="9"/>
      <c r="F560" s="9"/>
      <c r="G560" s="201">
        <f>'Actual RAB roll forward'!G849</f>
        <v>0</v>
      </c>
      <c r="H560" s="111">
        <f>'Actual RAB roll forward'!H849</f>
        <v>0</v>
      </c>
      <c r="I560" s="111">
        <f>'Actual RAB roll forward'!I849</f>
        <v>0</v>
      </c>
      <c r="J560" s="111">
        <f>'Actual RAB roll forward'!J849</f>
        <v>0</v>
      </c>
      <c r="K560" s="111">
        <f>'Actual RAB roll forward'!K849</f>
        <v>0</v>
      </c>
      <c r="L560" s="111">
        <f>'Actual RAB roll forward'!L849</f>
        <v>0</v>
      </c>
      <c r="M560" s="111">
        <f>'Actual RAB roll forward'!M849</f>
        <v>0</v>
      </c>
      <c r="N560" s="111">
        <f>'Actual RAB roll forward'!N849</f>
        <v>0</v>
      </c>
      <c r="O560" s="111">
        <f>'Actual RAB roll forward'!O849</f>
        <v>0</v>
      </c>
      <c r="P560" s="111">
        <f>'Actual RAB roll forward'!P849</f>
        <v>0</v>
      </c>
      <c r="Q560" s="111">
        <f>'Actual RAB roll forward'!Q849</f>
        <v>0</v>
      </c>
      <c r="R560" s="29"/>
      <c r="S560" s="100"/>
      <c r="T560" s="100"/>
      <c r="U560" s="100"/>
      <c r="V560" s="100"/>
      <c r="W560" s="100"/>
      <c r="X560" s="100"/>
      <c r="Y560" s="100"/>
      <c r="Z560" s="100"/>
      <c r="AA560" s="228"/>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228"/>
      <c r="BE560" s="228"/>
      <c r="BF560" s="228"/>
      <c r="BG560" s="228"/>
      <c r="BH560" s="228"/>
      <c r="BI560" s="228"/>
      <c r="BJ560" s="228"/>
      <c r="BK560" s="221"/>
      <c r="BL560" s="221"/>
    </row>
    <row r="561" spans="1:64" hidden="1" outlineLevel="1">
      <c r="A561" s="9"/>
      <c r="B561" s="9"/>
      <c r="C561" s="44"/>
      <c r="D561" s="270">
        <f>Asset25</f>
        <v>0</v>
      </c>
      <c r="E561" s="9"/>
      <c r="F561" s="9"/>
      <c r="G561" s="201">
        <f>'Actual RAB roll forward'!G850</f>
        <v>0</v>
      </c>
      <c r="H561" s="111">
        <f>'Actual RAB roll forward'!H850</f>
        <v>0</v>
      </c>
      <c r="I561" s="111">
        <f>'Actual RAB roll forward'!I850</f>
        <v>0</v>
      </c>
      <c r="J561" s="111">
        <f>'Actual RAB roll forward'!J850</f>
        <v>0</v>
      </c>
      <c r="K561" s="111">
        <f>'Actual RAB roll forward'!K850</f>
        <v>0</v>
      </c>
      <c r="L561" s="111">
        <f>'Actual RAB roll forward'!L850</f>
        <v>0</v>
      </c>
      <c r="M561" s="111">
        <f>'Actual RAB roll forward'!M850</f>
        <v>0</v>
      </c>
      <c r="N561" s="111">
        <f>'Actual RAB roll forward'!N850</f>
        <v>0</v>
      </c>
      <c r="O561" s="111">
        <f>'Actual RAB roll forward'!O850</f>
        <v>0</v>
      </c>
      <c r="P561" s="111">
        <f>'Actual RAB roll forward'!P850</f>
        <v>0</v>
      </c>
      <c r="Q561" s="111">
        <f>'Actual RAB roll forward'!Q850</f>
        <v>0</v>
      </c>
      <c r="R561" s="29"/>
      <c r="S561" s="100"/>
      <c r="T561" s="100"/>
      <c r="U561" s="100"/>
      <c r="V561" s="100"/>
      <c r="W561" s="100"/>
      <c r="X561" s="100"/>
      <c r="Y561" s="100"/>
      <c r="Z561" s="100"/>
      <c r="AA561" s="228"/>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228"/>
      <c r="BE561" s="228"/>
      <c r="BF561" s="228"/>
      <c r="BG561" s="228"/>
      <c r="BH561" s="228"/>
      <c r="BI561" s="228"/>
      <c r="BJ561" s="228"/>
      <c r="BK561" s="221"/>
      <c r="BL561" s="221"/>
    </row>
    <row r="562" spans="1:64" hidden="1" outlineLevel="1">
      <c r="A562" s="9"/>
      <c r="B562" s="9"/>
      <c r="C562" s="44"/>
      <c r="D562" s="270">
        <f>Asset26</f>
        <v>0</v>
      </c>
      <c r="E562" s="9"/>
      <c r="F562" s="9"/>
      <c r="G562" s="201">
        <f>'Actual RAB roll forward'!G851</f>
        <v>0</v>
      </c>
      <c r="H562" s="111">
        <f>'Actual RAB roll forward'!H851</f>
        <v>0</v>
      </c>
      <c r="I562" s="111">
        <f>'Actual RAB roll forward'!I851</f>
        <v>0</v>
      </c>
      <c r="J562" s="111">
        <f>'Actual RAB roll forward'!J851</f>
        <v>0</v>
      </c>
      <c r="K562" s="111">
        <f>'Actual RAB roll forward'!K851</f>
        <v>0</v>
      </c>
      <c r="L562" s="111">
        <f>'Actual RAB roll forward'!L851</f>
        <v>0</v>
      </c>
      <c r="M562" s="111">
        <f>'Actual RAB roll forward'!M851</f>
        <v>0</v>
      </c>
      <c r="N562" s="111">
        <f>'Actual RAB roll forward'!N851</f>
        <v>0</v>
      </c>
      <c r="O562" s="111">
        <f>'Actual RAB roll forward'!O851</f>
        <v>0</v>
      </c>
      <c r="P562" s="111">
        <f>'Actual RAB roll forward'!P851</f>
        <v>0</v>
      </c>
      <c r="Q562" s="111">
        <f>'Actual RAB roll forward'!Q851</f>
        <v>0</v>
      </c>
      <c r="R562" s="29"/>
      <c r="S562" s="100"/>
      <c r="T562" s="100"/>
      <c r="U562" s="100"/>
      <c r="V562" s="100"/>
      <c r="W562" s="100"/>
      <c r="X562" s="100"/>
      <c r="Y562" s="100"/>
      <c r="Z562" s="100"/>
      <c r="AA562" s="228"/>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228"/>
      <c r="BE562" s="228"/>
      <c r="BF562" s="228"/>
      <c r="BG562" s="228"/>
      <c r="BH562" s="228"/>
      <c r="BI562" s="228"/>
      <c r="BJ562" s="228"/>
      <c r="BK562" s="221"/>
      <c r="BL562" s="221"/>
    </row>
    <row r="563" spans="1:64" hidden="1" outlineLevel="1">
      <c r="A563" s="9"/>
      <c r="B563" s="9"/>
      <c r="C563" s="44"/>
      <c r="D563" s="270">
        <f>Asset27</f>
        <v>0</v>
      </c>
      <c r="E563" s="9"/>
      <c r="F563" s="9"/>
      <c r="G563" s="201">
        <f>'Actual RAB roll forward'!G852</f>
        <v>0</v>
      </c>
      <c r="H563" s="111">
        <f>'Actual RAB roll forward'!H852</f>
        <v>0</v>
      </c>
      <c r="I563" s="111">
        <f>'Actual RAB roll forward'!I852</f>
        <v>0</v>
      </c>
      <c r="J563" s="111">
        <f>'Actual RAB roll forward'!J852</f>
        <v>0</v>
      </c>
      <c r="K563" s="111">
        <f>'Actual RAB roll forward'!K852</f>
        <v>0</v>
      </c>
      <c r="L563" s="111">
        <f>'Actual RAB roll forward'!L852</f>
        <v>0</v>
      </c>
      <c r="M563" s="111">
        <f>'Actual RAB roll forward'!M852</f>
        <v>0</v>
      </c>
      <c r="N563" s="111">
        <f>'Actual RAB roll forward'!N852</f>
        <v>0</v>
      </c>
      <c r="O563" s="111">
        <f>'Actual RAB roll forward'!O852</f>
        <v>0</v>
      </c>
      <c r="P563" s="111">
        <f>'Actual RAB roll forward'!P852</f>
        <v>0</v>
      </c>
      <c r="Q563" s="111">
        <f>'Actual RAB roll forward'!Q852</f>
        <v>0</v>
      </c>
      <c r="R563" s="29"/>
      <c r="S563" s="100"/>
      <c r="T563" s="100"/>
      <c r="U563" s="100"/>
      <c r="V563" s="100"/>
      <c r="W563" s="100"/>
      <c r="X563" s="100"/>
      <c r="Y563" s="100"/>
      <c r="Z563" s="100"/>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228"/>
      <c r="BE563" s="228"/>
      <c r="BF563" s="228"/>
      <c r="BG563" s="228"/>
      <c r="BH563" s="228"/>
      <c r="BI563" s="228"/>
      <c r="BJ563" s="228"/>
      <c r="BK563" s="221"/>
      <c r="BL563" s="221"/>
    </row>
    <row r="564" spans="1:64" hidden="1" outlineLevel="1">
      <c r="A564" s="9"/>
      <c r="B564" s="9"/>
      <c r="C564" s="44"/>
      <c r="D564" s="270">
        <f>Asset28</f>
        <v>0</v>
      </c>
      <c r="E564" s="9"/>
      <c r="F564" s="9"/>
      <c r="G564" s="201">
        <f>'Actual RAB roll forward'!G853</f>
        <v>0</v>
      </c>
      <c r="H564" s="111">
        <f>'Actual RAB roll forward'!H853</f>
        <v>0</v>
      </c>
      <c r="I564" s="111">
        <f>'Actual RAB roll forward'!I853</f>
        <v>0</v>
      </c>
      <c r="J564" s="111">
        <f>'Actual RAB roll forward'!J853</f>
        <v>0</v>
      </c>
      <c r="K564" s="111">
        <f>'Actual RAB roll forward'!K853</f>
        <v>0</v>
      </c>
      <c r="L564" s="111">
        <f>'Actual RAB roll forward'!L853</f>
        <v>0</v>
      </c>
      <c r="M564" s="111">
        <f>'Actual RAB roll forward'!M853</f>
        <v>0</v>
      </c>
      <c r="N564" s="111">
        <f>'Actual RAB roll forward'!N853</f>
        <v>0</v>
      </c>
      <c r="O564" s="111">
        <f>'Actual RAB roll forward'!O853</f>
        <v>0</v>
      </c>
      <c r="P564" s="111">
        <f>'Actual RAB roll forward'!P853</f>
        <v>0</v>
      </c>
      <c r="Q564" s="111">
        <f>'Actual RAB roll forward'!Q853</f>
        <v>0</v>
      </c>
      <c r="R564" s="29"/>
      <c r="S564" s="100"/>
      <c r="T564" s="100"/>
      <c r="U564" s="100"/>
      <c r="V564" s="100"/>
      <c r="W564" s="100"/>
      <c r="X564" s="100"/>
      <c r="Y564" s="100"/>
      <c r="Z564" s="100"/>
      <c r="AA564" s="228"/>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228"/>
      <c r="BE564" s="228"/>
      <c r="BF564" s="228"/>
      <c r="BG564" s="228"/>
      <c r="BH564" s="228"/>
      <c r="BI564" s="228"/>
      <c r="BJ564" s="228"/>
      <c r="BK564" s="221"/>
      <c r="BL564" s="221"/>
    </row>
    <row r="565" spans="1:64" hidden="1" outlineLevel="1">
      <c r="A565" s="9"/>
      <c r="B565" s="9"/>
      <c r="C565" s="44"/>
      <c r="D565" s="270">
        <f>Asset29</f>
        <v>0</v>
      </c>
      <c r="E565" s="9"/>
      <c r="F565" s="9"/>
      <c r="G565" s="201">
        <f>'Actual RAB roll forward'!G854</f>
        <v>0</v>
      </c>
      <c r="H565" s="111">
        <f>'Actual RAB roll forward'!H854</f>
        <v>0</v>
      </c>
      <c r="I565" s="111">
        <f>'Actual RAB roll forward'!I854</f>
        <v>0</v>
      </c>
      <c r="J565" s="111">
        <f>'Actual RAB roll forward'!J854</f>
        <v>0</v>
      </c>
      <c r="K565" s="111">
        <f>'Actual RAB roll forward'!K854</f>
        <v>0</v>
      </c>
      <c r="L565" s="111">
        <f>'Actual RAB roll forward'!L854</f>
        <v>0</v>
      </c>
      <c r="M565" s="111">
        <f>'Actual RAB roll forward'!M854</f>
        <v>0</v>
      </c>
      <c r="N565" s="111">
        <f>'Actual RAB roll forward'!N854</f>
        <v>0</v>
      </c>
      <c r="O565" s="111">
        <f>'Actual RAB roll forward'!O854</f>
        <v>0</v>
      </c>
      <c r="P565" s="111">
        <f>'Actual RAB roll forward'!P854</f>
        <v>0</v>
      </c>
      <c r="Q565" s="111">
        <f>'Actual RAB roll forward'!Q854</f>
        <v>0</v>
      </c>
      <c r="R565" s="29"/>
      <c r="S565" s="100"/>
      <c r="T565" s="100"/>
      <c r="U565" s="100"/>
      <c r="V565" s="100"/>
      <c r="W565" s="100"/>
      <c r="X565" s="100"/>
      <c r="Y565" s="100"/>
      <c r="Z565" s="100"/>
      <c r="AA565" s="228"/>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228"/>
      <c r="BE565" s="228"/>
      <c r="BF565" s="228"/>
      <c r="BG565" s="228"/>
      <c r="BH565" s="228"/>
      <c r="BI565" s="228"/>
      <c r="BJ565" s="228"/>
      <c r="BK565" s="221"/>
      <c r="BL565" s="221"/>
    </row>
    <row r="566" spans="1:64" hidden="1" outlineLevel="1">
      <c r="A566" s="9"/>
      <c r="B566" s="9"/>
      <c r="C566" s="44"/>
      <c r="D566" s="270">
        <f>Asset30</f>
        <v>0</v>
      </c>
      <c r="E566" s="9"/>
      <c r="F566" s="9"/>
      <c r="G566" s="201">
        <f>'Actual RAB roll forward'!G855</f>
        <v>0</v>
      </c>
      <c r="H566" s="111">
        <f>'Actual RAB roll forward'!H855</f>
        <v>0</v>
      </c>
      <c r="I566" s="111">
        <f>'Actual RAB roll forward'!I855</f>
        <v>0</v>
      </c>
      <c r="J566" s="111">
        <f>'Actual RAB roll forward'!J855</f>
        <v>0</v>
      </c>
      <c r="K566" s="111">
        <f>'Actual RAB roll forward'!K855</f>
        <v>0</v>
      </c>
      <c r="L566" s="111">
        <f>'Actual RAB roll forward'!L855</f>
        <v>0</v>
      </c>
      <c r="M566" s="111">
        <f>'Actual RAB roll forward'!M855</f>
        <v>0</v>
      </c>
      <c r="N566" s="111">
        <f>'Actual RAB roll forward'!N855</f>
        <v>0</v>
      </c>
      <c r="O566" s="111">
        <f>'Actual RAB roll forward'!O855</f>
        <v>0</v>
      </c>
      <c r="P566" s="111">
        <f>'Actual RAB roll forward'!P855</f>
        <v>0</v>
      </c>
      <c r="Q566" s="111">
        <f>'Actual RAB roll forward'!Q855</f>
        <v>0</v>
      </c>
      <c r="R566" s="29"/>
      <c r="S566" s="100"/>
      <c r="T566" s="100"/>
      <c r="U566" s="100"/>
      <c r="V566" s="100"/>
      <c r="W566" s="100"/>
      <c r="X566" s="100"/>
      <c r="Y566" s="100"/>
      <c r="Z566" s="100"/>
      <c r="AA566" s="228"/>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228"/>
      <c r="BE566" s="228"/>
      <c r="BF566" s="228"/>
      <c r="BG566" s="228"/>
      <c r="BH566" s="228"/>
      <c r="BI566" s="228"/>
      <c r="BJ566" s="228"/>
      <c r="BK566" s="221"/>
      <c r="BL566" s="221"/>
    </row>
    <row r="567" spans="1:64" collapsed="1">
      <c r="A567" s="9"/>
      <c r="B567" s="9"/>
      <c r="C567" s="44"/>
      <c r="D567" s="127"/>
      <c r="E567" s="9"/>
      <c r="F567" s="9"/>
      <c r="G567" s="210"/>
      <c r="H567" s="111"/>
      <c r="I567" s="111"/>
      <c r="J567" s="111"/>
      <c r="K567" s="111"/>
      <c r="L567" s="111"/>
      <c r="M567" s="111"/>
      <c r="N567" s="100"/>
      <c r="O567" s="29"/>
      <c r="P567" s="29"/>
      <c r="Q567" s="29"/>
      <c r="R567" s="29"/>
      <c r="S567" s="100"/>
      <c r="T567" s="100"/>
      <c r="U567" s="100"/>
      <c r="V567" s="100"/>
      <c r="W567" s="100"/>
      <c r="X567" s="100"/>
      <c r="Y567" s="100"/>
      <c r="Z567" s="100"/>
      <c r="AA567" s="228"/>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228"/>
      <c r="BE567" s="228"/>
      <c r="BF567" s="228"/>
      <c r="BG567" s="228"/>
      <c r="BH567" s="228"/>
      <c r="BI567" s="228"/>
      <c r="BJ567" s="228"/>
      <c r="BK567" s="221"/>
      <c r="BL567" s="221"/>
    </row>
    <row r="568" spans="1:64">
      <c r="A568" s="9"/>
      <c r="B568" s="9"/>
      <c r="C568" s="44" t="s">
        <v>49</v>
      </c>
      <c r="D568" s="113"/>
      <c r="E568" s="9"/>
      <c r="F568" s="9"/>
      <c r="G568" s="312">
        <f>SUM(G569:G598)</f>
        <v>81.395520835936082</v>
      </c>
      <c r="H568" s="35"/>
      <c r="I568" s="35"/>
      <c r="J568" s="35"/>
      <c r="K568" s="35"/>
      <c r="L568" s="35"/>
      <c r="M568" s="35"/>
      <c r="N568" s="100"/>
      <c r="O568" s="29"/>
      <c r="P568" s="29"/>
      <c r="Q568" s="29"/>
      <c r="R568" s="29"/>
      <c r="S568" s="100"/>
      <c r="T568" s="100"/>
      <c r="U568" s="100"/>
      <c r="V568" s="100"/>
      <c r="W568" s="100"/>
      <c r="X568" s="100"/>
      <c r="Y568" s="100"/>
      <c r="Z568" s="100"/>
      <c r="AA568" s="228"/>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228"/>
      <c r="BE568" s="228"/>
      <c r="BF568" s="228"/>
      <c r="BG568" s="228"/>
      <c r="BH568" s="228"/>
      <c r="BI568" s="228"/>
      <c r="BJ568" s="228"/>
      <c r="BK568" s="221"/>
      <c r="BL568" s="221"/>
    </row>
    <row r="569" spans="1:64" hidden="1" outlineLevel="1">
      <c r="A569" s="9"/>
      <c r="B569" s="9"/>
      <c r="C569" s="9"/>
      <c r="D569" s="270" t="str">
        <f>Asset1</f>
        <v>Secondary</v>
      </c>
      <c r="E569" s="9"/>
      <c r="F569" s="9"/>
      <c r="G569" s="204">
        <f>'Actual RAB roll forward'!G858</f>
        <v>-4.1510932628817514</v>
      </c>
      <c r="H569" s="35"/>
      <c r="I569" s="35"/>
      <c r="J569" s="35"/>
      <c r="K569" s="35"/>
      <c r="L569" s="35"/>
      <c r="M569" s="35"/>
      <c r="N569" s="100"/>
      <c r="O569" s="29"/>
      <c r="P569" s="29"/>
      <c r="Q569" s="29"/>
      <c r="R569" s="29"/>
      <c r="S569" s="100"/>
      <c r="T569" s="100"/>
      <c r="U569" s="100"/>
      <c r="V569" s="100"/>
      <c r="W569" s="100"/>
      <c r="X569" s="100"/>
      <c r="Y569" s="100"/>
      <c r="Z569" s="100"/>
      <c r="AA569" s="228"/>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228"/>
      <c r="BE569" s="228"/>
      <c r="BF569" s="228"/>
      <c r="BG569" s="228"/>
      <c r="BH569" s="228"/>
      <c r="BI569" s="228"/>
      <c r="BJ569" s="228"/>
      <c r="BK569" s="221"/>
      <c r="BL569" s="221"/>
    </row>
    <row r="570" spans="1:64" hidden="1" outlineLevel="1">
      <c r="A570" s="9"/>
      <c r="B570" s="9"/>
      <c r="C570" s="44"/>
      <c r="D570" s="270" t="str">
        <f>Asset2</f>
        <v>Switchgear</v>
      </c>
      <c r="E570" s="9"/>
      <c r="F570" s="9"/>
      <c r="G570" s="204">
        <f>'Actual RAB roll forward'!G859</f>
        <v>13.423609217639783</v>
      </c>
      <c r="H570" s="35"/>
      <c r="I570" s="35"/>
      <c r="J570" s="35"/>
      <c r="K570" s="35"/>
      <c r="L570" s="35"/>
      <c r="M570" s="35"/>
      <c r="N570" s="100"/>
      <c r="O570" s="29"/>
      <c r="P570" s="29"/>
      <c r="Q570" s="29"/>
      <c r="R570" s="29"/>
      <c r="S570" s="100"/>
      <c r="T570" s="100"/>
      <c r="U570" s="100"/>
      <c r="V570" s="100"/>
      <c r="W570" s="100"/>
      <c r="X570" s="100"/>
      <c r="Y570" s="100"/>
      <c r="Z570" s="100"/>
      <c r="AA570" s="228"/>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228"/>
      <c r="BE570" s="228"/>
      <c r="BF570" s="228"/>
      <c r="BG570" s="228"/>
      <c r="BH570" s="228"/>
      <c r="BI570" s="228"/>
      <c r="BJ570" s="228"/>
      <c r="BK570" s="221"/>
      <c r="BL570" s="221"/>
    </row>
    <row r="571" spans="1:64" hidden="1" outlineLevel="1">
      <c r="A571" s="9"/>
      <c r="B571" s="9"/>
      <c r="C571" s="44"/>
      <c r="D571" s="270" t="str">
        <f>Asset3</f>
        <v>Transformers</v>
      </c>
      <c r="E571" s="9"/>
      <c r="F571" s="9"/>
      <c r="G571" s="204">
        <f>'Actual RAB roll forward'!G860</f>
        <v>4.4844492725845431</v>
      </c>
      <c r="H571" s="35"/>
      <c r="I571" s="35"/>
      <c r="J571" s="35"/>
      <c r="K571" s="35"/>
      <c r="L571" s="35"/>
      <c r="M571" s="35"/>
      <c r="N571" s="100"/>
      <c r="O571" s="29"/>
      <c r="P571" s="29"/>
      <c r="Q571" s="29"/>
      <c r="R571" s="29"/>
      <c r="S571" s="100"/>
      <c r="T571" s="100"/>
      <c r="U571" s="100"/>
      <c r="V571" s="100"/>
      <c r="W571" s="100"/>
      <c r="X571" s="100"/>
      <c r="Y571" s="100"/>
      <c r="Z571" s="100"/>
      <c r="AA571" s="228"/>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228"/>
      <c r="BE571" s="228"/>
      <c r="BF571" s="228"/>
      <c r="BG571" s="228"/>
      <c r="BH571" s="228"/>
      <c r="BI571" s="228"/>
      <c r="BJ571" s="228"/>
      <c r="BK571" s="221"/>
      <c r="BL571" s="221"/>
    </row>
    <row r="572" spans="1:64" hidden="1" outlineLevel="1">
      <c r="A572" s="9"/>
      <c r="B572" s="9"/>
      <c r="C572" s="44"/>
      <c r="D572" s="270" t="str">
        <f>Asset4</f>
        <v>Reactive</v>
      </c>
      <c r="E572" s="9"/>
      <c r="F572" s="9"/>
      <c r="G572" s="204">
        <f>'Actual RAB roll forward'!G861</f>
        <v>-5.2786908582716139</v>
      </c>
      <c r="H572" s="35"/>
      <c r="I572" s="35"/>
      <c r="J572" s="35"/>
      <c r="K572" s="35"/>
      <c r="L572" s="35"/>
      <c r="M572" s="35"/>
      <c r="N572" s="100"/>
      <c r="O572" s="29"/>
      <c r="P572" s="29"/>
      <c r="Q572" s="29"/>
      <c r="R572" s="29"/>
      <c r="S572" s="100"/>
      <c r="T572" s="100"/>
      <c r="U572" s="100"/>
      <c r="V572" s="100"/>
      <c r="W572" s="100"/>
      <c r="X572" s="100"/>
      <c r="Y572" s="100"/>
      <c r="Z572" s="100"/>
      <c r="AA572" s="228"/>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228"/>
      <c r="BE572" s="228"/>
      <c r="BF572" s="228"/>
      <c r="BG572" s="228"/>
      <c r="BH572" s="228"/>
      <c r="BI572" s="228"/>
      <c r="BJ572" s="228"/>
      <c r="BK572" s="221"/>
      <c r="BL572" s="221"/>
    </row>
    <row r="573" spans="1:64" hidden="1" outlineLevel="1">
      <c r="A573" s="9"/>
      <c r="B573" s="9"/>
      <c r="C573" s="44"/>
      <c r="D573" s="270" t="str">
        <f>Asset5</f>
        <v>Towers and Conductor</v>
      </c>
      <c r="E573" s="9"/>
      <c r="F573" s="9"/>
      <c r="G573" s="204">
        <f>'Actual RAB roll forward'!G862</f>
        <v>43.78033030015623</v>
      </c>
      <c r="H573" s="35"/>
      <c r="I573" s="35"/>
      <c r="J573" s="35"/>
      <c r="K573" s="35"/>
      <c r="L573" s="35"/>
      <c r="M573" s="35"/>
      <c r="N573" s="100"/>
      <c r="O573" s="29"/>
      <c r="P573" s="29"/>
      <c r="Q573" s="29"/>
      <c r="R573" s="29"/>
      <c r="S573" s="100"/>
      <c r="T573" s="100"/>
      <c r="U573" s="100"/>
      <c r="V573" s="100"/>
      <c r="W573" s="100"/>
      <c r="X573" s="100"/>
      <c r="Y573" s="100"/>
      <c r="Z573" s="100"/>
      <c r="AA573" s="228"/>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228"/>
      <c r="BE573" s="228"/>
      <c r="BF573" s="228"/>
      <c r="BG573" s="228"/>
      <c r="BH573" s="228"/>
      <c r="BI573" s="228"/>
      <c r="BJ573" s="228"/>
      <c r="BK573" s="221"/>
      <c r="BL573" s="221"/>
    </row>
    <row r="574" spans="1:64" hidden="1" outlineLevel="1">
      <c r="A574" s="9"/>
      <c r="B574" s="9"/>
      <c r="C574" s="44"/>
      <c r="D574" s="270" t="str">
        <f>Asset6</f>
        <v>Establishment</v>
      </c>
      <c r="E574" s="9"/>
      <c r="F574" s="9"/>
      <c r="G574" s="204">
        <f>'Actual RAB roll forward'!G863</f>
        <v>8.3654138145799326</v>
      </c>
      <c r="H574" s="35"/>
      <c r="I574" s="35"/>
      <c r="J574" s="35"/>
      <c r="K574" s="35"/>
      <c r="L574" s="35"/>
      <c r="M574" s="35"/>
      <c r="N574" s="100"/>
      <c r="O574" s="29"/>
      <c r="P574" s="29"/>
      <c r="Q574" s="29"/>
      <c r="R574" s="29"/>
      <c r="S574" s="100"/>
      <c r="T574" s="100"/>
      <c r="U574" s="100"/>
      <c r="V574" s="100"/>
      <c r="W574" s="100"/>
      <c r="X574" s="100"/>
      <c r="Y574" s="100"/>
      <c r="Z574" s="100"/>
      <c r="AA574" s="228"/>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228"/>
      <c r="BE574" s="228"/>
      <c r="BF574" s="228"/>
      <c r="BG574" s="228"/>
      <c r="BH574" s="228"/>
      <c r="BI574" s="228"/>
      <c r="BJ574" s="228"/>
      <c r="BK574" s="221"/>
      <c r="BL574" s="221"/>
    </row>
    <row r="575" spans="1:64" hidden="1" outlineLevel="1">
      <c r="A575" s="9"/>
      <c r="B575" s="9"/>
      <c r="C575" s="44"/>
      <c r="D575" s="270" t="str">
        <f>Asset7</f>
        <v>Communications</v>
      </c>
      <c r="E575" s="9"/>
      <c r="F575" s="9"/>
      <c r="G575" s="204">
        <f>'Actual RAB roll forward'!G864</f>
        <v>-15.18343373681337</v>
      </c>
      <c r="H575" s="35"/>
      <c r="I575" s="35"/>
      <c r="J575" s="35"/>
      <c r="K575" s="35"/>
      <c r="L575" s="35"/>
      <c r="M575" s="35"/>
      <c r="N575" s="100"/>
      <c r="O575" s="29"/>
      <c r="P575" s="29"/>
      <c r="Q575" s="29"/>
      <c r="R575" s="29"/>
      <c r="S575" s="100"/>
      <c r="T575" s="100"/>
      <c r="U575" s="100"/>
      <c r="V575" s="100"/>
      <c r="W575" s="100"/>
      <c r="X575" s="100"/>
      <c r="Y575" s="100"/>
      <c r="Z575" s="100"/>
      <c r="AA575" s="228"/>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228"/>
      <c r="BE575" s="228"/>
      <c r="BF575" s="228"/>
      <c r="BG575" s="228"/>
      <c r="BH575" s="228"/>
      <c r="BI575" s="228"/>
      <c r="BJ575" s="228"/>
      <c r="BK575" s="221"/>
      <c r="BL575" s="221"/>
    </row>
    <row r="576" spans="1:64" hidden="1" outlineLevel="1">
      <c r="A576" s="9"/>
      <c r="B576" s="9"/>
      <c r="C576" s="44"/>
      <c r="D576" s="270" t="str">
        <f>Asset8</f>
        <v>Inventory</v>
      </c>
      <c r="E576" s="9"/>
      <c r="F576" s="9"/>
      <c r="G576" s="204">
        <f>'Actual RAB roll forward'!G865</f>
        <v>1.5261711059192087</v>
      </c>
      <c r="H576" s="35"/>
      <c r="I576" s="35"/>
      <c r="J576" s="35"/>
      <c r="K576" s="35"/>
      <c r="L576" s="35"/>
      <c r="M576" s="35"/>
      <c r="N576" s="100"/>
      <c r="O576" s="29"/>
      <c r="P576" s="29"/>
      <c r="Q576" s="29"/>
      <c r="R576" s="29"/>
      <c r="S576" s="100"/>
      <c r="T576" s="100"/>
      <c r="U576" s="100"/>
      <c r="V576" s="100"/>
      <c r="W576" s="100"/>
      <c r="X576" s="100"/>
      <c r="Y576" s="100"/>
      <c r="Z576" s="100"/>
      <c r="AA576" s="228"/>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228"/>
      <c r="BE576" s="228"/>
      <c r="BF576" s="228"/>
      <c r="BG576" s="228"/>
      <c r="BH576" s="228"/>
      <c r="BI576" s="228"/>
      <c r="BJ576" s="228"/>
      <c r="BK576" s="221"/>
      <c r="BL576" s="221"/>
    </row>
    <row r="577" spans="1:64" hidden="1" outlineLevel="1">
      <c r="A577" s="9"/>
      <c r="B577" s="9"/>
      <c r="C577" s="44"/>
      <c r="D577" s="270" t="str">
        <f>Asset9</f>
        <v>IT</v>
      </c>
      <c r="E577" s="9"/>
      <c r="F577" s="9"/>
      <c r="G577" s="204">
        <f>'Actual RAB roll forward'!G866</f>
        <v>24.968912459906932</v>
      </c>
      <c r="H577" s="35"/>
      <c r="I577" s="35"/>
      <c r="J577" s="35"/>
      <c r="K577" s="35"/>
      <c r="L577" s="35"/>
      <c r="M577" s="35"/>
      <c r="N577" s="100"/>
      <c r="O577" s="29"/>
      <c r="P577" s="29"/>
      <c r="Q577" s="29"/>
      <c r="R577" s="29"/>
      <c r="S577" s="100"/>
      <c r="T577" s="100"/>
      <c r="U577" s="100"/>
      <c r="V577" s="100"/>
      <c r="W577" s="100"/>
      <c r="X577" s="100"/>
      <c r="Y577" s="100"/>
      <c r="Z577" s="100"/>
      <c r="AA577" s="228"/>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228"/>
      <c r="BE577" s="228"/>
      <c r="BF577" s="228"/>
      <c r="BG577" s="228"/>
      <c r="BH577" s="228"/>
      <c r="BI577" s="228"/>
      <c r="BJ577" s="228"/>
      <c r="BK577" s="221"/>
      <c r="BL577" s="221"/>
    </row>
    <row r="578" spans="1:64" hidden="1" outlineLevel="1">
      <c r="A578" s="9"/>
      <c r="B578" s="9"/>
      <c r="C578" s="44"/>
      <c r="D578" s="270" t="str">
        <f>Asset10</f>
        <v>Vehicles</v>
      </c>
      <c r="E578" s="9"/>
      <c r="F578" s="9"/>
      <c r="G578" s="204">
        <f>'Actual RAB roll forward'!G867</f>
        <v>0.47844527194667513</v>
      </c>
      <c r="H578" s="35"/>
      <c r="I578" s="35"/>
      <c r="J578" s="35"/>
      <c r="K578" s="35"/>
      <c r="L578" s="35"/>
      <c r="M578" s="35"/>
      <c r="N578" s="100"/>
      <c r="O578" s="29"/>
      <c r="P578" s="29"/>
      <c r="Q578" s="29"/>
      <c r="R578" s="29"/>
      <c r="S578" s="100"/>
      <c r="T578" s="100"/>
      <c r="U578" s="100"/>
      <c r="V578" s="100"/>
      <c r="W578" s="100"/>
      <c r="X578" s="100"/>
      <c r="Y578" s="100"/>
      <c r="Z578" s="100"/>
      <c r="AA578" s="228"/>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228"/>
      <c r="BE578" s="228"/>
      <c r="BF578" s="228"/>
      <c r="BG578" s="228"/>
      <c r="BH578" s="228"/>
      <c r="BI578" s="228"/>
      <c r="BJ578" s="228"/>
      <c r="BK578" s="221"/>
      <c r="BL578" s="221"/>
    </row>
    <row r="579" spans="1:64" hidden="1" outlineLevel="1">
      <c r="A579" s="9"/>
      <c r="B579" s="9"/>
      <c r="C579" s="44"/>
      <c r="D579" s="270" t="str">
        <f>Asset11</f>
        <v>other</v>
      </c>
      <c r="E579" s="9"/>
      <c r="F579" s="9"/>
      <c r="G579" s="204">
        <f>'Actual RAB roll forward'!G868</f>
        <v>7.8062479102810922</v>
      </c>
      <c r="H579" s="35"/>
      <c r="I579" s="35"/>
      <c r="J579" s="35"/>
      <c r="K579" s="35"/>
      <c r="L579" s="35"/>
      <c r="M579" s="35"/>
      <c r="N579" s="100"/>
      <c r="O579" s="29"/>
      <c r="P579" s="29"/>
      <c r="Q579" s="29"/>
      <c r="R579" s="29"/>
      <c r="S579" s="100"/>
      <c r="T579" s="100"/>
      <c r="U579" s="100"/>
      <c r="V579" s="100"/>
      <c r="W579" s="100"/>
      <c r="X579" s="100"/>
      <c r="Y579" s="100"/>
      <c r="Z579" s="100"/>
      <c r="AA579" s="228"/>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228"/>
      <c r="BE579" s="228"/>
      <c r="BF579" s="228"/>
      <c r="BG579" s="228"/>
      <c r="BH579" s="228"/>
      <c r="BI579" s="228"/>
      <c r="BJ579" s="228"/>
      <c r="BK579" s="221"/>
      <c r="BL579" s="221"/>
    </row>
    <row r="580" spans="1:64" hidden="1" outlineLevel="1">
      <c r="A580" s="9"/>
      <c r="B580" s="9"/>
      <c r="C580" s="44"/>
      <c r="D580" s="270" t="str">
        <f>Asset12</f>
        <v>premises</v>
      </c>
      <c r="E580" s="9"/>
      <c r="F580" s="9"/>
      <c r="G580" s="204">
        <f>'Actual RAB roll forward'!G869</f>
        <v>3.5830352175562075</v>
      </c>
      <c r="H580" s="35"/>
      <c r="I580" s="35"/>
      <c r="J580" s="35"/>
      <c r="K580" s="35"/>
      <c r="L580" s="35"/>
      <c r="M580" s="35"/>
      <c r="N580" s="100"/>
      <c r="O580" s="29"/>
      <c r="P580" s="29"/>
      <c r="Q580" s="29"/>
      <c r="R580" s="29"/>
      <c r="S580" s="100"/>
      <c r="T580" s="100"/>
      <c r="U580" s="100"/>
      <c r="V580" s="100"/>
      <c r="W580" s="100"/>
      <c r="X580" s="100"/>
      <c r="Y580" s="100"/>
      <c r="Z580" s="100"/>
      <c r="AA580" s="228"/>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228"/>
      <c r="BE580" s="228"/>
      <c r="BF580" s="228"/>
      <c r="BG580" s="228"/>
      <c r="BH580" s="228"/>
      <c r="BI580" s="228"/>
      <c r="BJ580" s="228"/>
      <c r="BK580" s="221"/>
      <c r="BL580" s="221"/>
    </row>
    <row r="581" spans="1:64" hidden="1" outlineLevel="1">
      <c r="A581" s="9"/>
      <c r="B581" s="9"/>
      <c r="C581" s="44"/>
      <c r="D581" s="270" t="str">
        <f>Asset13</f>
        <v>Land</v>
      </c>
      <c r="E581" s="9"/>
      <c r="F581" s="9"/>
      <c r="G581" s="204">
        <f>'Actual RAB roll forward'!G870</f>
        <v>-2.4674295714323651</v>
      </c>
      <c r="H581" s="35"/>
      <c r="I581" s="35"/>
      <c r="J581" s="35"/>
      <c r="K581" s="35"/>
      <c r="L581" s="35"/>
      <c r="M581" s="35"/>
      <c r="N581" s="100"/>
      <c r="O581" s="29"/>
      <c r="P581" s="29"/>
      <c r="Q581" s="29"/>
      <c r="R581" s="29"/>
      <c r="S581" s="100"/>
      <c r="T581" s="100"/>
      <c r="U581" s="100"/>
      <c r="V581" s="100"/>
      <c r="W581" s="100"/>
      <c r="X581" s="100"/>
      <c r="Y581" s="100"/>
      <c r="Z581" s="100"/>
      <c r="AA581" s="228"/>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228"/>
      <c r="BE581" s="228"/>
      <c r="BF581" s="228"/>
      <c r="BG581" s="228"/>
      <c r="BH581" s="228"/>
      <c r="BI581" s="228"/>
      <c r="BJ581" s="228"/>
      <c r="BK581" s="221"/>
      <c r="BL581" s="221"/>
    </row>
    <row r="582" spans="1:64" hidden="1" outlineLevel="1">
      <c r="A582" s="9"/>
      <c r="B582" s="9"/>
      <c r="C582" s="44"/>
      <c r="D582" s="270" t="str">
        <f>Asset14</f>
        <v>Easements</v>
      </c>
      <c r="E582" s="9"/>
      <c r="F582" s="9"/>
      <c r="G582" s="204">
        <f>'Actual RAB roll forward'!G871</f>
        <v>5.9553694764592276E-2</v>
      </c>
      <c r="H582" s="35"/>
      <c r="I582" s="35"/>
      <c r="J582" s="35"/>
      <c r="K582" s="35"/>
      <c r="L582" s="35"/>
      <c r="M582" s="35"/>
      <c r="N582" s="100"/>
      <c r="O582" s="29"/>
      <c r="P582" s="29"/>
      <c r="Q582" s="29"/>
      <c r="R582" s="29"/>
      <c r="S582" s="100"/>
      <c r="T582" s="100"/>
      <c r="U582" s="100"/>
      <c r="V582" s="100"/>
      <c r="W582" s="100"/>
      <c r="X582" s="100"/>
      <c r="Y582" s="100"/>
      <c r="Z582" s="100"/>
      <c r="AA582" s="228"/>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228"/>
      <c r="BE582" s="228"/>
      <c r="BF582" s="228"/>
      <c r="BG582" s="228"/>
      <c r="BH582" s="228"/>
      <c r="BI582" s="228"/>
      <c r="BJ582" s="228"/>
      <c r="BK582" s="221"/>
      <c r="BL582" s="221"/>
    </row>
    <row r="583" spans="1:64" hidden="1" outlineLevel="1">
      <c r="A583" s="9"/>
      <c r="B583" s="9"/>
      <c r="C583" s="44"/>
      <c r="D583" s="270">
        <f>Asset15</f>
        <v>0</v>
      </c>
      <c r="E583" s="9"/>
      <c r="F583" s="9"/>
      <c r="G583" s="204">
        <f>'Actual RAB roll forward'!G872</f>
        <v>0</v>
      </c>
      <c r="H583" s="35"/>
      <c r="I583" s="35"/>
      <c r="J583" s="35"/>
      <c r="K583" s="35"/>
      <c r="L583" s="35"/>
      <c r="M583" s="35"/>
      <c r="N583" s="100"/>
      <c r="O583" s="29"/>
      <c r="P583" s="29"/>
      <c r="Q583" s="29"/>
      <c r="R583" s="29"/>
      <c r="S583" s="100"/>
      <c r="T583" s="100"/>
      <c r="U583" s="100"/>
      <c r="V583" s="100"/>
      <c r="W583" s="100"/>
      <c r="X583" s="100"/>
      <c r="Y583" s="100"/>
      <c r="Z583" s="100"/>
      <c r="AA583" s="228"/>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228"/>
      <c r="BE583" s="228"/>
      <c r="BF583" s="228"/>
      <c r="BG583" s="228"/>
      <c r="BH583" s="228"/>
      <c r="BI583" s="228"/>
      <c r="BJ583" s="228"/>
      <c r="BK583" s="221"/>
      <c r="BL583" s="221"/>
    </row>
    <row r="584" spans="1:64" hidden="1" outlineLevel="1">
      <c r="A584" s="9"/>
      <c r="B584" s="9"/>
      <c r="C584" s="44"/>
      <c r="D584" s="270">
        <f>Asset16</f>
        <v>0</v>
      </c>
      <c r="E584" s="9"/>
      <c r="F584" s="9"/>
      <c r="G584" s="204">
        <f>'Actual RAB roll forward'!G873</f>
        <v>0</v>
      </c>
      <c r="H584" s="35"/>
      <c r="I584" s="35"/>
      <c r="J584" s="35"/>
      <c r="K584" s="35"/>
      <c r="L584" s="35"/>
      <c r="M584" s="35"/>
      <c r="N584" s="100"/>
      <c r="O584" s="29"/>
      <c r="P584" s="29"/>
      <c r="Q584" s="29"/>
      <c r="R584" s="29"/>
      <c r="S584" s="100"/>
      <c r="T584" s="100"/>
      <c r="U584" s="100"/>
      <c r="V584" s="100"/>
      <c r="W584" s="100"/>
      <c r="X584" s="100"/>
      <c r="Y584" s="100"/>
      <c r="Z584" s="100"/>
      <c r="AA584" s="228"/>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228"/>
      <c r="BE584" s="228"/>
      <c r="BF584" s="228"/>
      <c r="BG584" s="228"/>
      <c r="BH584" s="228"/>
      <c r="BI584" s="228"/>
      <c r="BJ584" s="228"/>
      <c r="BK584" s="221"/>
      <c r="BL584" s="221"/>
    </row>
    <row r="585" spans="1:64" hidden="1" outlineLevel="1">
      <c r="A585" s="9"/>
      <c r="B585" s="9"/>
      <c r="C585" s="44"/>
      <c r="D585" s="270">
        <f>Asset17</f>
        <v>0</v>
      </c>
      <c r="E585" s="9"/>
      <c r="F585" s="9"/>
      <c r="G585" s="204">
        <f>'Actual RAB roll forward'!G874</f>
        <v>0</v>
      </c>
      <c r="H585" s="35"/>
      <c r="I585" s="35"/>
      <c r="J585" s="35"/>
      <c r="K585" s="35"/>
      <c r="L585" s="35"/>
      <c r="M585" s="35"/>
      <c r="N585" s="100"/>
      <c r="O585" s="29"/>
      <c r="P585" s="29"/>
      <c r="Q585" s="29"/>
      <c r="R585" s="29"/>
      <c r="S585" s="100"/>
      <c r="T585" s="100"/>
      <c r="U585" s="100"/>
      <c r="V585" s="100"/>
      <c r="W585" s="100"/>
      <c r="X585" s="100"/>
      <c r="Y585" s="100"/>
      <c r="Z585" s="100"/>
      <c r="AA585" s="228"/>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228"/>
      <c r="BE585" s="228"/>
      <c r="BF585" s="228"/>
      <c r="BG585" s="228"/>
      <c r="BH585" s="228"/>
      <c r="BI585" s="228"/>
      <c r="BJ585" s="228"/>
      <c r="BK585" s="221"/>
      <c r="BL585" s="221"/>
    </row>
    <row r="586" spans="1:64" hidden="1" outlineLevel="1">
      <c r="A586" s="9"/>
      <c r="B586" s="9"/>
      <c r="C586" s="44"/>
      <c r="D586" s="270">
        <f>Asset18</f>
        <v>0</v>
      </c>
      <c r="E586" s="9"/>
      <c r="F586" s="9"/>
      <c r="G586" s="204">
        <f>'Actual RAB roll forward'!G875</f>
        <v>0</v>
      </c>
      <c r="H586" s="35"/>
      <c r="I586" s="35"/>
      <c r="J586" s="35"/>
      <c r="K586" s="35"/>
      <c r="L586" s="35"/>
      <c r="M586" s="35"/>
      <c r="N586" s="100"/>
      <c r="O586" s="29"/>
      <c r="P586" s="29"/>
      <c r="Q586" s="29"/>
      <c r="R586" s="29"/>
      <c r="S586" s="100"/>
      <c r="T586" s="100"/>
      <c r="U586" s="100"/>
      <c r="V586" s="100"/>
      <c r="W586" s="100"/>
      <c r="X586" s="100"/>
      <c r="Y586" s="100"/>
      <c r="Z586" s="100"/>
      <c r="AA586" s="228"/>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228"/>
      <c r="BE586" s="228"/>
      <c r="BF586" s="228"/>
      <c r="BG586" s="228"/>
      <c r="BH586" s="228"/>
      <c r="BI586" s="228"/>
      <c r="BJ586" s="228"/>
      <c r="BK586" s="221"/>
      <c r="BL586" s="221"/>
    </row>
    <row r="587" spans="1:64" hidden="1" outlineLevel="1">
      <c r="A587" s="9"/>
      <c r="B587" s="9"/>
      <c r="C587" s="44"/>
      <c r="D587" s="270">
        <f>Asset19</f>
        <v>0</v>
      </c>
      <c r="E587" s="9"/>
      <c r="F587" s="9"/>
      <c r="G587" s="204">
        <f>'Actual RAB roll forward'!G876</f>
        <v>0</v>
      </c>
      <c r="H587" s="35"/>
      <c r="I587" s="35"/>
      <c r="J587" s="35"/>
      <c r="K587" s="35"/>
      <c r="L587" s="35"/>
      <c r="M587" s="35"/>
      <c r="N587" s="100"/>
      <c r="O587" s="29"/>
      <c r="P587" s="29"/>
      <c r="Q587" s="29"/>
      <c r="R587" s="29"/>
      <c r="S587" s="100"/>
      <c r="T587" s="100"/>
      <c r="U587" s="100"/>
      <c r="V587" s="100"/>
      <c r="W587" s="100"/>
      <c r="X587" s="100"/>
      <c r="Y587" s="100"/>
      <c r="Z587" s="100"/>
      <c r="AA587" s="228"/>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228"/>
      <c r="BE587" s="228"/>
      <c r="BF587" s="228"/>
      <c r="BG587" s="228"/>
      <c r="BH587" s="228"/>
      <c r="BI587" s="228"/>
      <c r="BJ587" s="228"/>
      <c r="BK587" s="221"/>
      <c r="BL587" s="221"/>
    </row>
    <row r="588" spans="1:64" hidden="1" outlineLevel="1">
      <c r="A588" s="9"/>
      <c r="B588" s="9"/>
      <c r="C588" s="44"/>
      <c r="D588" s="270">
        <f>Asset20</f>
        <v>0</v>
      </c>
      <c r="E588" s="9"/>
      <c r="F588" s="9"/>
      <c r="G588" s="204">
        <f>'Actual RAB roll forward'!G877</f>
        <v>0</v>
      </c>
      <c r="H588" s="35"/>
      <c r="I588" s="35"/>
      <c r="J588" s="35"/>
      <c r="K588" s="35"/>
      <c r="L588" s="35"/>
      <c r="M588" s="35"/>
      <c r="N588" s="100"/>
      <c r="O588" s="29"/>
      <c r="P588" s="29"/>
      <c r="Q588" s="29"/>
      <c r="R588" s="29"/>
      <c r="S588" s="100"/>
      <c r="T588" s="100"/>
      <c r="U588" s="100"/>
      <c r="V588" s="100"/>
      <c r="W588" s="100"/>
      <c r="X588" s="100"/>
      <c r="Y588" s="100"/>
      <c r="Z588" s="100"/>
      <c r="AA588" s="228"/>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228"/>
      <c r="BE588" s="228"/>
      <c r="BF588" s="228"/>
      <c r="BG588" s="228"/>
      <c r="BH588" s="228"/>
      <c r="BI588" s="228"/>
      <c r="BJ588" s="228"/>
      <c r="BK588" s="221"/>
      <c r="BL588" s="221"/>
    </row>
    <row r="589" spans="1:64" hidden="1" outlineLevel="1">
      <c r="A589" s="9"/>
      <c r="B589" s="9"/>
      <c r="C589" s="44"/>
      <c r="D589" s="270">
        <f>Asset21</f>
        <v>0</v>
      </c>
      <c r="E589" s="9"/>
      <c r="F589" s="9"/>
      <c r="G589" s="204">
        <f>'Actual RAB roll forward'!G878</f>
        <v>0</v>
      </c>
      <c r="H589" s="35"/>
      <c r="I589" s="35"/>
      <c r="J589" s="35"/>
      <c r="K589" s="35"/>
      <c r="L589" s="35"/>
      <c r="M589" s="35"/>
      <c r="N589" s="100"/>
      <c r="O589" s="29"/>
      <c r="P589" s="29"/>
      <c r="Q589" s="29"/>
      <c r="R589" s="29"/>
      <c r="S589" s="100"/>
      <c r="T589" s="100"/>
      <c r="U589" s="100"/>
      <c r="V589" s="100"/>
      <c r="W589" s="100"/>
      <c r="X589" s="100"/>
      <c r="Y589" s="100"/>
      <c r="Z589" s="100"/>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228"/>
      <c r="BE589" s="228"/>
      <c r="BF589" s="228"/>
      <c r="BG589" s="228"/>
      <c r="BH589" s="228"/>
      <c r="BI589" s="228"/>
      <c r="BJ589" s="228"/>
      <c r="BK589" s="221"/>
      <c r="BL589" s="221"/>
    </row>
    <row r="590" spans="1:64" hidden="1" outlineLevel="1">
      <c r="A590" s="9"/>
      <c r="B590" s="9"/>
      <c r="C590" s="44"/>
      <c r="D590" s="270">
        <f>Asset22</f>
        <v>0</v>
      </c>
      <c r="E590" s="9"/>
      <c r="F590" s="9"/>
      <c r="G590" s="204">
        <f>'Actual RAB roll forward'!G879</f>
        <v>0</v>
      </c>
      <c r="H590" s="35"/>
      <c r="I590" s="35"/>
      <c r="J590" s="35"/>
      <c r="K590" s="35"/>
      <c r="L590" s="35"/>
      <c r="M590" s="35"/>
      <c r="N590" s="100"/>
      <c r="O590" s="29"/>
      <c r="P590" s="29"/>
      <c r="Q590" s="29"/>
      <c r="R590" s="29"/>
      <c r="S590" s="100"/>
      <c r="T590" s="100"/>
      <c r="U590" s="100"/>
      <c r="V590" s="100"/>
      <c r="W590" s="100"/>
      <c r="X590" s="100"/>
      <c r="Y590" s="100"/>
      <c r="Z590" s="100"/>
      <c r="AA590" s="228"/>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228"/>
      <c r="BE590" s="228"/>
      <c r="BF590" s="228"/>
      <c r="BG590" s="228"/>
      <c r="BH590" s="228"/>
      <c r="BI590" s="228"/>
      <c r="BJ590" s="228"/>
      <c r="BK590" s="221"/>
      <c r="BL590" s="221"/>
    </row>
    <row r="591" spans="1:64" hidden="1" outlineLevel="1">
      <c r="A591" s="9"/>
      <c r="B591" s="9"/>
      <c r="C591" s="44"/>
      <c r="D591" s="270">
        <f>Asset23</f>
        <v>0</v>
      </c>
      <c r="E591" s="9"/>
      <c r="F591" s="9"/>
      <c r="G591" s="204">
        <f>'Actual RAB roll forward'!G880</f>
        <v>0</v>
      </c>
      <c r="H591" s="35"/>
      <c r="I591" s="35"/>
      <c r="J591" s="35"/>
      <c r="K591" s="35"/>
      <c r="L591" s="35"/>
      <c r="M591" s="35"/>
      <c r="N591" s="100"/>
      <c r="O591" s="29"/>
      <c r="P591" s="29"/>
      <c r="Q591" s="29"/>
      <c r="R591" s="29"/>
      <c r="S591" s="100"/>
      <c r="T591" s="100"/>
      <c r="U591" s="100"/>
      <c r="V591" s="100"/>
      <c r="W591" s="100"/>
      <c r="X591" s="100"/>
      <c r="Y591" s="100"/>
      <c r="Z591" s="100"/>
      <c r="AA591" s="228"/>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228"/>
      <c r="BE591" s="228"/>
      <c r="BF591" s="228"/>
      <c r="BG591" s="228"/>
      <c r="BH591" s="228"/>
      <c r="BI591" s="228"/>
      <c r="BJ591" s="228"/>
      <c r="BK591" s="221"/>
      <c r="BL591" s="221"/>
    </row>
    <row r="592" spans="1:64" hidden="1" outlineLevel="1">
      <c r="A592" s="9"/>
      <c r="B592" s="9"/>
      <c r="C592" s="44"/>
      <c r="D592" s="270">
        <f>Asset24</f>
        <v>0</v>
      </c>
      <c r="E592" s="9"/>
      <c r="F592" s="9"/>
      <c r="G592" s="204">
        <f>'Actual RAB roll forward'!G881</f>
        <v>0</v>
      </c>
      <c r="H592" s="35"/>
      <c r="I592" s="35"/>
      <c r="J592" s="35"/>
      <c r="K592" s="35"/>
      <c r="L592" s="35"/>
      <c r="M592" s="35"/>
      <c r="N592" s="100"/>
      <c r="O592" s="29"/>
      <c r="P592" s="29"/>
      <c r="Q592" s="29"/>
      <c r="R592" s="29"/>
      <c r="S592" s="100"/>
      <c r="T592" s="100"/>
      <c r="U592" s="100"/>
      <c r="V592" s="100"/>
      <c r="W592" s="100"/>
      <c r="X592" s="100"/>
      <c r="Y592" s="100"/>
      <c r="Z592" s="100"/>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228"/>
      <c r="BE592" s="228"/>
      <c r="BF592" s="228"/>
      <c r="BG592" s="228"/>
      <c r="BH592" s="228"/>
      <c r="BI592" s="228"/>
      <c r="BJ592" s="228"/>
      <c r="BK592" s="221"/>
      <c r="BL592" s="221"/>
    </row>
    <row r="593" spans="1:64" hidden="1" outlineLevel="1">
      <c r="A593" s="9"/>
      <c r="B593" s="9"/>
      <c r="C593" s="44"/>
      <c r="D593" s="270">
        <f>Asset25</f>
        <v>0</v>
      </c>
      <c r="E593" s="9"/>
      <c r="F593" s="9"/>
      <c r="G593" s="204">
        <f>'Actual RAB roll forward'!G882</f>
        <v>0</v>
      </c>
      <c r="H593" s="35"/>
      <c r="I593" s="35"/>
      <c r="J593" s="35"/>
      <c r="K593" s="35"/>
      <c r="L593" s="35"/>
      <c r="M593" s="35"/>
      <c r="N593" s="100"/>
      <c r="O593" s="29"/>
      <c r="P593" s="29"/>
      <c r="Q593" s="29"/>
      <c r="R593" s="29"/>
      <c r="S593" s="100"/>
      <c r="T593" s="100"/>
      <c r="U593" s="100"/>
      <c r="V593" s="100"/>
      <c r="W593" s="100"/>
      <c r="X593" s="100"/>
      <c r="Y593" s="100"/>
      <c r="Z593" s="100"/>
      <c r="AA593" s="228"/>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228"/>
      <c r="BE593" s="228"/>
      <c r="BF593" s="228"/>
      <c r="BG593" s="228"/>
      <c r="BH593" s="228"/>
      <c r="BI593" s="228"/>
      <c r="BJ593" s="228"/>
      <c r="BK593" s="221"/>
      <c r="BL593" s="221"/>
    </row>
    <row r="594" spans="1:64" hidden="1" outlineLevel="1">
      <c r="A594" s="9"/>
      <c r="B594" s="9"/>
      <c r="C594" s="44"/>
      <c r="D594" s="270">
        <f>Asset26</f>
        <v>0</v>
      </c>
      <c r="E594" s="9"/>
      <c r="F594" s="9"/>
      <c r="G594" s="204">
        <f>'Actual RAB roll forward'!G883</f>
        <v>0</v>
      </c>
      <c r="H594" s="35"/>
      <c r="I594" s="35"/>
      <c r="J594" s="35"/>
      <c r="K594" s="35"/>
      <c r="L594" s="35"/>
      <c r="M594" s="35"/>
      <c r="N594" s="100"/>
      <c r="O594" s="29"/>
      <c r="P594" s="29"/>
      <c r="Q594" s="29"/>
      <c r="R594" s="29"/>
      <c r="S594" s="100"/>
      <c r="T594" s="100"/>
      <c r="U594" s="100"/>
      <c r="V594" s="100"/>
      <c r="W594" s="100"/>
      <c r="X594" s="100"/>
      <c r="Y594" s="100"/>
      <c r="Z594" s="100"/>
      <c r="AA594" s="228"/>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228"/>
      <c r="BE594" s="228"/>
      <c r="BF594" s="228"/>
      <c r="BG594" s="228"/>
      <c r="BH594" s="228"/>
      <c r="BI594" s="228"/>
      <c r="BJ594" s="228"/>
      <c r="BK594" s="221"/>
      <c r="BL594" s="221"/>
    </row>
    <row r="595" spans="1:64" hidden="1" outlineLevel="1">
      <c r="A595" s="9"/>
      <c r="B595" s="9"/>
      <c r="C595" s="44"/>
      <c r="D595" s="270">
        <f>Asset27</f>
        <v>0</v>
      </c>
      <c r="E595" s="9"/>
      <c r="F595" s="9"/>
      <c r="G595" s="204">
        <f>'Actual RAB roll forward'!G884</f>
        <v>0</v>
      </c>
      <c r="H595" s="35"/>
      <c r="I595" s="35"/>
      <c r="J595" s="35"/>
      <c r="K595" s="35"/>
      <c r="L595" s="35"/>
      <c r="M595" s="35"/>
      <c r="N595" s="100"/>
      <c r="O595" s="29"/>
      <c r="P595" s="29"/>
      <c r="Q595" s="29"/>
      <c r="R595" s="29"/>
      <c r="S595" s="100"/>
      <c r="T595" s="100"/>
      <c r="U595" s="100"/>
      <c r="V595" s="100"/>
      <c r="W595" s="100"/>
      <c r="X595" s="100"/>
      <c r="Y595" s="100"/>
      <c r="Z595" s="100"/>
      <c r="AA595" s="228"/>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228"/>
      <c r="BE595" s="228"/>
      <c r="BF595" s="228"/>
      <c r="BG595" s="228"/>
      <c r="BH595" s="228"/>
      <c r="BI595" s="228"/>
      <c r="BJ595" s="228"/>
      <c r="BK595" s="221"/>
      <c r="BL595" s="221"/>
    </row>
    <row r="596" spans="1:64" hidden="1" outlineLevel="1">
      <c r="A596" s="9"/>
      <c r="B596" s="9"/>
      <c r="C596" s="44"/>
      <c r="D596" s="270">
        <f>Asset28</f>
        <v>0</v>
      </c>
      <c r="E596" s="9"/>
      <c r="F596" s="9"/>
      <c r="G596" s="204">
        <f>'Actual RAB roll forward'!G885</f>
        <v>0</v>
      </c>
      <c r="H596" s="35"/>
      <c r="I596" s="35"/>
      <c r="J596" s="35"/>
      <c r="K596" s="35"/>
      <c r="L596" s="35"/>
      <c r="M596" s="35"/>
      <c r="N596" s="100"/>
      <c r="O596" s="29"/>
      <c r="P596" s="29"/>
      <c r="Q596" s="29"/>
      <c r="R596" s="29"/>
      <c r="S596" s="100"/>
      <c r="T596" s="100"/>
      <c r="U596" s="100"/>
      <c r="V596" s="100"/>
      <c r="W596" s="100"/>
      <c r="X596" s="100"/>
      <c r="Y596" s="100"/>
      <c r="Z596" s="100"/>
      <c r="AA596" s="228"/>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228"/>
      <c r="BE596" s="228"/>
      <c r="BF596" s="228"/>
      <c r="BG596" s="228"/>
      <c r="BH596" s="228"/>
      <c r="BI596" s="228"/>
      <c r="BJ596" s="228"/>
      <c r="BK596" s="221"/>
      <c r="BL596" s="221"/>
    </row>
    <row r="597" spans="1:64" hidden="1" outlineLevel="1">
      <c r="A597" s="9"/>
      <c r="B597" s="9"/>
      <c r="C597" s="44"/>
      <c r="D597" s="270">
        <f>Asset29</f>
        <v>0</v>
      </c>
      <c r="E597" s="9"/>
      <c r="F597" s="9"/>
      <c r="G597" s="204">
        <f>'Actual RAB roll forward'!G886</f>
        <v>0</v>
      </c>
      <c r="H597" s="35"/>
      <c r="I597" s="35"/>
      <c r="J597" s="35"/>
      <c r="K597" s="35"/>
      <c r="L597" s="35"/>
      <c r="M597" s="35"/>
      <c r="N597" s="100"/>
      <c r="O597" s="29"/>
      <c r="P597" s="29"/>
      <c r="Q597" s="29"/>
      <c r="R597" s="29"/>
      <c r="S597" s="100"/>
      <c r="T597" s="100"/>
      <c r="U597" s="100"/>
      <c r="V597" s="100"/>
      <c r="W597" s="100"/>
      <c r="X597" s="100"/>
      <c r="Y597" s="100"/>
      <c r="Z597" s="100"/>
      <c r="AA597" s="228"/>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228"/>
      <c r="BE597" s="228"/>
      <c r="BF597" s="228"/>
      <c r="BG597" s="228"/>
      <c r="BH597" s="228"/>
      <c r="BI597" s="228"/>
      <c r="BJ597" s="228"/>
      <c r="BK597" s="221"/>
      <c r="BL597" s="221"/>
    </row>
    <row r="598" spans="1:64" hidden="1" outlineLevel="1">
      <c r="A598" s="9"/>
      <c r="B598" s="9"/>
      <c r="C598" s="44"/>
      <c r="D598" s="270">
        <f>Asset30</f>
        <v>0</v>
      </c>
      <c r="E598" s="9"/>
      <c r="F598" s="9"/>
      <c r="G598" s="204">
        <f>'Actual RAB roll forward'!G887</f>
        <v>0</v>
      </c>
      <c r="H598" s="35"/>
      <c r="I598" s="35"/>
      <c r="J598" s="35"/>
      <c r="K598" s="35"/>
      <c r="L598" s="35"/>
      <c r="M598" s="35"/>
      <c r="N598" s="100"/>
      <c r="O598" s="29"/>
      <c r="P598" s="29"/>
      <c r="Q598" s="29"/>
      <c r="R598" s="29"/>
      <c r="S598" s="100"/>
      <c r="T598" s="100"/>
      <c r="U598" s="100"/>
      <c r="V598" s="100"/>
      <c r="W598" s="100"/>
      <c r="X598" s="100"/>
      <c r="Y598" s="100"/>
      <c r="Z598" s="100"/>
      <c r="AA598" s="228"/>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228"/>
      <c r="BE598" s="228"/>
      <c r="BF598" s="228"/>
      <c r="BG598" s="228"/>
      <c r="BH598" s="228"/>
      <c r="BI598" s="228"/>
      <c r="BJ598" s="228"/>
      <c r="BK598" s="221"/>
      <c r="BL598" s="221"/>
    </row>
    <row r="599" spans="1:64" s="9" customFormat="1" collapsed="1">
      <c r="G599" s="209"/>
      <c r="AA599" s="198"/>
      <c r="AB599" s="198"/>
      <c r="AC599" s="198"/>
      <c r="AD599" s="198"/>
      <c r="AE599" s="198"/>
      <c r="AF599" s="198"/>
      <c r="AG599" s="198"/>
      <c r="AH599" s="198"/>
      <c r="AI599" s="198"/>
      <c r="AJ599" s="198"/>
      <c r="AK599" s="198"/>
      <c r="AL599" s="198"/>
      <c r="AM599" s="198"/>
      <c r="AN599" s="198"/>
      <c r="AO599" s="198"/>
      <c r="AP599" s="198"/>
      <c r="AQ599" s="198"/>
      <c r="AR599" s="198"/>
      <c r="AS599" s="198"/>
      <c r="AT599" s="198"/>
      <c r="AU599" s="198"/>
      <c r="AV599" s="198"/>
      <c r="AW599" s="198"/>
      <c r="AX599" s="198"/>
      <c r="AY599" s="198"/>
      <c r="AZ599" s="198"/>
      <c r="BA599" s="198"/>
      <c r="BB599" s="198"/>
      <c r="BC599" s="198"/>
      <c r="BD599" s="198"/>
      <c r="BE599" s="198"/>
      <c r="BF599" s="198"/>
      <c r="BG599" s="198"/>
      <c r="BH599" s="198"/>
      <c r="BI599" s="198"/>
      <c r="BJ599" s="198"/>
      <c r="BK599" s="198"/>
      <c r="BL599" s="198"/>
    </row>
    <row r="600" spans="1:64">
      <c r="A600" s="9"/>
      <c r="B600" s="9"/>
      <c r="C600" s="44" t="s">
        <v>61</v>
      </c>
      <c r="D600" s="113"/>
      <c r="E600" s="9"/>
      <c r="F600" s="9"/>
      <c r="G600" s="312">
        <f>SUM(G601:G630)</f>
        <v>-18.986894388246089</v>
      </c>
      <c r="H600" s="35"/>
      <c r="I600" s="35"/>
      <c r="J600" s="35"/>
      <c r="K600" s="35"/>
      <c r="L600" s="35"/>
      <c r="M600" s="35"/>
      <c r="N600" s="100"/>
      <c r="O600" s="29"/>
      <c r="P600" s="29"/>
      <c r="Q600" s="29"/>
      <c r="R600" s="29"/>
      <c r="S600" s="100"/>
      <c r="T600" s="100"/>
      <c r="U600" s="100"/>
      <c r="V600" s="100"/>
      <c r="W600" s="100"/>
      <c r="X600" s="100"/>
      <c r="Y600" s="100"/>
      <c r="Z600" s="100"/>
      <c r="AA600" s="228"/>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228"/>
      <c r="BE600" s="228"/>
      <c r="BF600" s="228"/>
      <c r="BG600" s="228"/>
      <c r="BH600" s="228"/>
      <c r="BI600" s="228"/>
      <c r="BJ600" s="228"/>
      <c r="BK600" s="221"/>
      <c r="BL600" s="221"/>
    </row>
    <row r="601" spans="1:64" hidden="1" outlineLevel="1">
      <c r="A601" s="9"/>
      <c r="B601" s="9"/>
      <c r="C601" s="9"/>
      <c r="D601" s="270" t="str">
        <f>Asset1</f>
        <v>Secondary</v>
      </c>
      <c r="E601" s="9"/>
      <c r="F601" s="9"/>
      <c r="G601" s="204">
        <f>'Actual RAB roll forward'!G890</f>
        <v>-12.351417430702048</v>
      </c>
      <c r="H601" s="35"/>
      <c r="I601" s="35"/>
      <c r="J601" s="35"/>
      <c r="K601" s="35"/>
      <c r="L601" s="35"/>
      <c r="M601" s="35"/>
      <c r="N601" s="100"/>
      <c r="O601" s="29"/>
      <c r="P601" s="29"/>
      <c r="Q601" s="29"/>
      <c r="R601" s="29"/>
      <c r="S601" s="100"/>
      <c r="T601" s="100"/>
      <c r="U601" s="100"/>
      <c r="V601" s="100"/>
      <c r="W601" s="100"/>
      <c r="X601" s="100"/>
      <c r="Y601" s="100"/>
      <c r="Z601" s="100"/>
      <c r="AA601" s="228"/>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228"/>
      <c r="BE601" s="228"/>
      <c r="BF601" s="228"/>
      <c r="BG601" s="228"/>
      <c r="BH601" s="228"/>
      <c r="BI601" s="228"/>
      <c r="BJ601" s="228"/>
      <c r="BK601" s="221"/>
      <c r="BL601" s="221"/>
    </row>
    <row r="602" spans="1:64" hidden="1" outlineLevel="1">
      <c r="A602" s="9"/>
      <c r="B602" s="9"/>
      <c r="C602" s="44"/>
      <c r="D602" s="270" t="str">
        <f>Asset2</f>
        <v>Switchgear</v>
      </c>
      <c r="E602" s="9"/>
      <c r="F602" s="9"/>
      <c r="G602" s="204">
        <f>'Actual RAB roll forward'!G891</f>
        <v>-1.428515011584818</v>
      </c>
      <c r="H602" s="35"/>
      <c r="I602" s="35"/>
      <c r="J602" s="35"/>
      <c r="K602" s="35"/>
      <c r="L602" s="35"/>
      <c r="M602" s="35"/>
      <c r="N602" s="100"/>
      <c r="O602" s="29"/>
      <c r="P602" s="29"/>
      <c r="Q602" s="29"/>
      <c r="R602" s="29"/>
      <c r="S602" s="100"/>
      <c r="T602" s="100"/>
      <c r="U602" s="100"/>
      <c r="V602" s="100"/>
      <c r="W602" s="100"/>
      <c r="X602" s="100"/>
      <c r="Y602" s="100"/>
      <c r="Z602" s="100"/>
      <c r="AA602" s="228"/>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228"/>
      <c r="BE602" s="228"/>
      <c r="BF602" s="228"/>
      <c r="BG602" s="228"/>
      <c r="BH602" s="228"/>
      <c r="BI602" s="228"/>
      <c r="BJ602" s="228"/>
      <c r="BK602" s="221"/>
      <c r="BL602" s="221"/>
    </row>
    <row r="603" spans="1:64" hidden="1" outlineLevel="1">
      <c r="A603" s="9"/>
      <c r="B603" s="9"/>
      <c r="C603" s="44"/>
      <c r="D603" s="270" t="str">
        <f>Asset3</f>
        <v>Transformers</v>
      </c>
      <c r="E603" s="9"/>
      <c r="F603" s="9"/>
      <c r="G603" s="204">
        <f>'Actual RAB roll forward'!G892</f>
        <v>-5.1534767631484444</v>
      </c>
      <c r="H603" s="35"/>
      <c r="I603" s="35"/>
      <c r="J603" s="35"/>
      <c r="K603" s="35"/>
      <c r="L603" s="35"/>
      <c r="M603" s="35"/>
      <c r="N603" s="100"/>
      <c r="O603" s="29"/>
      <c r="P603" s="29"/>
      <c r="Q603" s="29"/>
      <c r="R603" s="29"/>
      <c r="S603" s="100"/>
      <c r="T603" s="100"/>
      <c r="U603" s="100"/>
      <c r="V603" s="100"/>
      <c r="W603" s="100"/>
      <c r="X603" s="100"/>
      <c r="Y603" s="100"/>
      <c r="Z603" s="100"/>
      <c r="AA603" s="228"/>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228"/>
      <c r="BE603" s="228"/>
      <c r="BF603" s="228"/>
      <c r="BG603" s="228"/>
      <c r="BH603" s="228"/>
      <c r="BI603" s="228"/>
      <c r="BJ603" s="228"/>
      <c r="BK603" s="221"/>
      <c r="BL603" s="221"/>
    </row>
    <row r="604" spans="1:64" hidden="1" outlineLevel="1">
      <c r="A604" s="9"/>
      <c r="B604" s="9"/>
      <c r="C604" s="44"/>
      <c r="D604" s="270" t="str">
        <f>Asset4</f>
        <v>Reactive</v>
      </c>
      <c r="E604" s="9"/>
      <c r="F604" s="9"/>
      <c r="G604" s="204">
        <f>'Actual RAB roll forward'!G893</f>
        <v>-1.474197786426011</v>
      </c>
      <c r="H604" s="35"/>
      <c r="I604" s="35"/>
      <c r="J604" s="35"/>
      <c r="K604" s="35"/>
      <c r="L604" s="35"/>
      <c r="M604" s="35"/>
      <c r="N604" s="100"/>
      <c r="O604" s="29"/>
      <c r="P604" s="29"/>
      <c r="Q604" s="29"/>
      <c r="R604" s="29"/>
      <c r="S604" s="100"/>
      <c r="T604" s="100"/>
      <c r="U604" s="100"/>
      <c r="V604" s="100"/>
      <c r="W604" s="100"/>
      <c r="X604" s="100"/>
      <c r="Y604" s="100"/>
      <c r="Z604" s="100"/>
      <c r="AA604" s="228"/>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228"/>
      <c r="BE604" s="228"/>
      <c r="BF604" s="228"/>
      <c r="BG604" s="228"/>
      <c r="BH604" s="228"/>
      <c r="BI604" s="228"/>
      <c r="BJ604" s="228"/>
      <c r="BK604" s="221"/>
      <c r="BL604" s="221"/>
    </row>
    <row r="605" spans="1:64" hidden="1" outlineLevel="1">
      <c r="A605" s="9"/>
      <c r="B605" s="9"/>
      <c r="C605" s="44"/>
      <c r="D605" s="270" t="str">
        <f>Asset5</f>
        <v>Towers and Conductor</v>
      </c>
      <c r="E605" s="9"/>
      <c r="F605" s="9"/>
      <c r="G605" s="204">
        <f>'Actual RAB roll forward'!G894</f>
        <v>13.319989319926002</v>
      </c>
      <c r="H605" s="35"/>
      <c r="I605" s="35"/>
      <c r="J605" s="35"/>
      <c r="K605" s="35"/>
      <c r="L605" s="35"/>
      <c r="M605" s="35"/>
      <c r="N605" s="100"/>
      <c r="O605" s="29"/>
      <c r="P605" s="29"/>
      <c r="Q605" s="29"/>
      <c r="R605" s="29"/>
      <c r="S605" s="100"/>
      <c r="T605" s="100"/>
      <c r="U605" s="100"/>
      <c r="V605" s="100"/>
      <c r="W605" s="100"/>
      <c r="X605" s="100"/>
      <c r="Y605" s="100"/>
      <c r="Z605" s="100"/>
      <c r="AA605" s="228"/>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228"/>
      <c r="BE605" s="228"/>
      <c r="BF605" s="228"/>
      <c r="BG605" s="228"/>
      <c r="BH605" s="228"/>
      <c r="BI605" s="228"/>
      <c r="BJ605" s="228"/>
      <c r="BK605" s="221"/>
      <c r="BL605" s="221"/>
    </row>
    <row r="606" spans="1:64" hidden="1" outlineLevel="1">
      <c r="A606" s="9"/>
      <c r="B606" s="9"/>
      <c r="C606" s="44"/>
      <c r="D606" s="270" t="str">
        <f>Asset6</f>
        <v>Establishment</v>
      </c>
      <c r="E606" s="9"/>
      <c r="F606" s="9"/>
      <c r="G606" s="204">
        <f>'Actual RAB roll forward'!G895</f>
        <v>-3.8615828986139329</v>
      </c>
      <c r="H606" s="35"/>
      <c r="I606" s="35"/>
      <c r="J606" s="35"/>
      <c r="K606" s="35"/>
      <c r="L606" s="35"/>
      <c r="M606" s="35"/>
      <c r="N606" s="100"/>
      <c r="O606" s="29"/>
      <c r="P606" s="29"/>
      <c r="Q606" s="29"/>
      <c r="R606" s="29"/>
      <c r="S606" s="100"/>
      <c r="T606" s="100"/>
      <c r="U606" s="100"/>
      <c r="V606" s="100"/>
      <c r="W606" s="100"/>
      <c r="X606" s="100"/>
      <c r="Y606" s="100"/>
      <c r="Z606" s="100"/>
      <c r="AA606" s="228"/>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228"/>
      <c r="BE606" s="228"/>
      <c r="BF606" s="228"/>
      <c r="BG606" s="228"/>
      <c r="BH606" s="228"/>
      <c r="BI606" s="228"/>
      <c r="BJ606" s="228"/>
      <c r="BK606" s="221"/>
      <c r="BL606" s="221"/>
    </row>
    <row r="607" spans="1:64" hidden="1" outlineLevel="1">
      <c r="A607" s="9"/>
      <c r="B607" s="9"/>
      <c r="C607" s="44"/>
      <c r="D607" s="270" t="str">
        <f>Asset7</f>
        <v>Communications</v>
      </c>
      <c r="E607" s="9"/>
      <c r="F607" s="9"/>
      <c r="G607" s="204">
        <f>'Actual RAB roll forward'!G896</f>
        <v>-13.219881986010956</v>
      </c>
      <c r="H607" s="35"/>
      <c r="I607" s="35"/>
      <c r="J607" s="35"/>
      <c r="K607" s="35"/>
      <c r="L607" s="35"/>
      <c r="M607" s="35"/>
      <c r="N607" s="100"/>
      <c r="O607" s="29"/>
      <c r="P607" s="29"/>
      <c r="Q607" s="29"/>
      <c r="R607" s="29"/>
      <c r="S607" s="100"/>
      <c r="T607" s="100"/>
      <c r="U607" s="100"/>
      <c r="V607" s="100"/>
      <c r="W607" s="100"/>
      <c r="X607" s="100"/>
      <c r="Y607" s="100"/>
      <c r="Z607" s="100"/>
      <c r="AA607" s="228"/>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228"/>
      <c r="BE607" s="228"/>
      <c r="BF607" s="228"/>
      <c r="BG607" s="228"/>
      <c r="BH607" s="228"/>
      <c r="BI607" s="228"/>
      <c r="BJ607" s="228"/>
      <c r="BK607" s="221"/>
      <c r="BL607" s="221"/>
    </row>
    <row r="608" spans="1:64" hidden="1" outlineLevel="1">
      <c r="A608" s="9"/>
      <c r="B608" s="9"/>
      <c r="C608" s="44"/>
      <c r="D608" s="270" t="str">
        <f>Asset8</f>
        <v>Inventory</v>
      </c>
      <c r="E608" s="9"/>
      <c r="F608" s="9"/>
      <c r="G608" s="204">
        <f>'Actual RAB roll forward'!G897</f>
        <v>0.70152223622115595</v>
      </c>
      <c r="H608" s="35"/>
      <c r="I608" s="35"/>
      <c r="J608" s="35"/>
      <c r="K608" s="35"/>
      <c r="L608" s="35"/>
      <c r="M608" s="35"/>
      <c r="N608" s="100"/>
      <c r="O608" s="29"/>
      <c r="P608" s="29"/>
      <c r="Q608" s="29"/>
      <c r="R608" s="29"/>
      <c r="S608" s="100"/>
      <c r="T608" s="100"/>
      <c r="U608" s="100"/>
      <c r="V608" s="100"/>
      <c r="W608" s="100"/>
      <c r="X608" s="100"/>
      <c r="Y608" s="100"/>
      <c r="Z608" s="100"/>
      <c r="AA608" s="228"/>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228"/>
      <c r="BE608" s="228"/>
      <c r="BF608" s="228"/>
      <c r="BG608" s="228"/>
      <c r="BH608" s="228"/>
      <c r="BI608" s="228"/>
      <c r="BJ608" s="228"/>
      <c r="BK608" s="221"/>
      <c r="BL608" s="221"/>
    </row>
    <row r="609" spans="1:64" hidden="1" outlineLevel="1">
      <c r="A609" s="9"/>
      <c r="B609" s="9"/>
      <c r="C609" s="44"/>
      <c r="D609" s="270" t="str">
        <f>Asset9</f>
        <v>IT</v>
      </c>
      <c r="E609" s="9"/>
      <c r="F609" s="9"/>
      <c r="G609" s="204">
        <f>'Actual RAB roll forward'!G898</f>
        <v>3.1018293072285652</v>
      </c>
      <c r="H609" s="35"/>
      <c r="I609" s="35"/>
      <c r="J609" s="35"/>
      <c r="K609" s="35"/>
      <c r="L609" s="35"/>
      <c r="M609" s="35"/>
      <c r="N609" s="100"/>
      <c r="O609" s="29"/>
      <c r="P609" s="29"/>
      <c r="Q609" s="29"/>
      <c r="R609" s="29"/>
      <c r="S609" s="100"/>
      <c r="T609" s="100"/>
      <c r="U609" s="100"/>
      <c r="V609" s="100"/>
      <c r="W609" s="100"/>
      <c r="X609" s="100"/>
      <c r="Y609" s="100"/>
      <c r="Z609" s="100"/>
      <c r="AA609" s="228"/>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228"/>
      <c r="BE609" s="228"/>
      <c r="BF609" s="228"/>
      <c r="BG609" s="228"/>
      <c r="BH609" s="228"/>
      <c r="BI609" s="228"/>
      <c r="BJ609" s="228"/>
      <c r="BK609" s="221"/>
      <c r="BL609" s="221"/>
    </row>
    <row r="610" spans="1:64" hidden="1" outlineLevel="1">
      <c r="A610" s="9"/>
      <c r="B610" s="9"/>
      <c r="C610" s="44"/>
      <c r="D610" s="270" t="str">
        <f>Asset10</f>
        <v>Vehicles</v>
      </c>
      <c r="E610" s="9"/>
      <c r="F610" s="9"/>
      <c r="G610" s="204">
        <f>'Actual RAB roll forward'!G899</f>
        <v>-0.35276175728998993</v>
      </c>
      <c r="H610" s="35"/>
      <c r="I610" s="35"/>
      <c r="J610" s="35"/>
      <c r="K610" s="35"/>
      <c r="L610" s="35"/>
      <c r="M610" s="35"/>
      <c r="N610" s="100"/>
      <c r="O610" s="29"/>
      <c r="P610" s="29"/>
      <c r="Q610" s="29"/>
      <c r="R610" s="29"/>
      <c r="S610" s="100"/>
      <c r="T610" s="100"/>
      <c r="U610" s="100"/>
      <c r="V610" s="100"/>
      <c r="W610" s="100"/>
      <c r="X610" s="100"/>
      <c r="Y610" s="100"/>
      <c r="Z610" s="100"/>
      <c r="AA610" s="228"/>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228"/>
      <c r="BE610" s="228"/>
      <c r="BF610" s="228"/>
      <c r="BG610" s="228"/>
      <c r="BH610" s="228"/>
      <c r="BI610" s="228"/>
      <c r="BJ610" s="228"/>
      <c r="BK610" s="221"/>
      <c r="BL610" s="221"/>
    </row>
    <row r="611" spans="1:64" hidden="1" outlineLevel="1">
      <c r="A611" s="9"/>
      <c r="B611" s="9"/>
      <c r="C611" s="44"/>
      <c r="D611" s="270" t="str">
        <f>Asset11</f>
        <v>other</v>
      </c>
      <c r="E611" s="9"/>
      <c r="F611" s="9"/>
      <c r="G611" s="204">
        <f>'Actual RAB roll forward'!G900</f>
        <v>1.6983766857323237</v>
      </c>
      <c r="H611" s="35"/>
      <c r="I611" s="35"/>
      <c r="J611" s="35"/>
      <c r="K611" s="35"/>
      <c r="L611" s="35"/>
      <c r="M611" s="35"/>
      <c r="N611" s="100"/>
      <c r="O611" s="29"/>
      <c r="P611" s="29"/>
      <c r="Q611" s="29"/>
      <c r="R611" s="29"/>
      <c r="S611" s="100"/>
      <c r="T611" s="100"/>
      <c r="U611" s="100"/>
      <c r="V611" s="100"/>
      <c r="W611" s="100"/>
      <c r="X611" s="100"/>
      <c r="Y611" s="100"/>
      <c r="Z611" s="100"/>
      <c r="AA611" s="228"/>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228"/>
      <c r="BE611" s="228"/>
      <c r="BF611" s="228"/>
      <c r="BG611" s="228"/>
      <c r="BH611" s="228"/>
      <c r="BI611" s="228"/>
      <c r="BJ611" s="228"/>
      <c r="BK611" s="221"/>
      <c r="BL611" s="221"/>
    </row>
    <row r="612" spans="1:64" hidden="1" outlineLevel="1">
      <c r="A612" s="9"/>
      <c r="B612" s="9"/>
      <c r="C612" s="44"/>
      <c r="D612" s="270" t="str">
        <f>Asset12</f>
        <v>premises</v>
      </c>
      <c r="E612" s="9"/>
      <c r="F612" s="9"/>
      <c r="G612" s="204">
        <f>'Actual RAB roll forward'!G901</f>
        <v>0.67583448337990049</v>
      </c>
      <c r="H612" s="35"/>
      <c r="I612" s="35"/>
      <c r="J612" s="35"/>
      <c r="K612" s="35"/>
      <c r="L612" s="35"/>
      <c r="M612" s="35"/>
      <c r="N612" s="100"/>
      <c r="O612" s="29"/>
      <c r="P612" s="29"/>
      <c r="Q612" s="29"/>
      <c r="R612" s="29"/>
      <c r="S612" s="100"/>
      <c r="T612" s="100"/>
      <c r="U612" s="100"/>
      <c r="V612" s="100"/>
      <c r="W612" s="100"/>
      <c r="X612" s="100"/>
      <c r="Y612" s="100"/>
      <c r="Z612" s="100"/>
      <c r="AA612" s="228"/>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228"/>
      <c r="BE612" s="228"/>
      <c r="BF612" s="228"/>
      <c r="BG612" s="228"/>
      <c r="BH612" s="228"/>
      <c r="BI612" s="228"/>
      <c r="BJ612" s="228"/>
      <c r="BK612" s="221"/>
      <c r="BL612" s="221"/>
    </row>
    <row r="613" spans="1:64" hidden="1" outlineLevel="1">
      <c r="A613" s="9"/>
      <c r="B613" s="9"/>
      <c r="C613" s="44"/>
      <c r="D613" s="270" t="str">
        <f>Asset13</f>
        <v>Land</v>
      </c>
      <c r="E613" s="9"/>
      <c r="F613" s="9"/>
      <c r="G613" s="204">
        <f>'Actual RAB roll forward'!G902</f>
        <v>-0.66707176255729972</v>
      </c>
      <c r="H613" s="35"/>
      <c r="I613" s="35"/>
      <c r="J613" s="35"/>
      <c r="K613" s="35"/>
      <c r="L613" s="35"/>
      <c r="M613" s="35"/>
      <c r="N613" s="100"/>
      <c r="O613" s="29"/>
      <c r="P613" s="29"/>
      <c r="Q613" s="29"/>
      <c r="R613" s="29"/>
      <c r="S613" s="100"/>
      <c r="T613" s="100"/>
      <c r="U613" s="100"/>
      <c r="V613" s="100"/>
      <c r="W613" s="100"/>
      <c r="X613" s="100"/>
      <c r="Y613" s="100"/>
      <c r="Z613" s="100"/>
      <c r="AA613" s="228"/>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228"/>
      <c r="BE613" s="228"/>
      <c r="BF613" s="228"/>
      <c r="BG613" s="228"/>
      <c r="BH613" s="228"/>
      <c r="BI613" s="228"/>
      <c r="BJ613" s="228"/>
      <c r="BK613" s="221"/>
      <c r="BL613" s="221"/>
    </row>
    <row r="614" spans="1:64" hidden="1" outlineLevel="1">
      <c r="A614" s="9"/>
      <c r="B614" s="9"/>
      <c r="C614" s="44"/>
      <c r="D614" s="270" t="str">
        <f>Asset14</f>
        <v>Easements</v>
      </c>
      <c r="E614" s="9"/>
      <c r="F614" s="9"/>
      <c r="G614" s="204">
        <f>'Actual RAB roll forward'!G903</f>
        <v>2.4458975599457162E-2</v>
      </c>
      <c r="H614" s="35"/>
      <c r="I614" s="35"/>
      <c r="J614" s="35"/>
      <c r="K614" s="35"/>
      <c r="L614" s="35"/>
      <c r="M614" s="35"/>
      <c r="N614" s="100"/>
      <c r="O614" s="29"/>
      <c r="P614" s="29"/>
      <c r="Q614" s="29"/>
      <c r="R614" s="29"/>
      <c r="S614" s="100"/>
      <c r="T614" s="100"/>
      <c r="U614" s="100"/>
      <c r="V614" s="100"/>
      <c r="W614" s="100"/>
      <c r="X614" s="100"/>
      <c r="Y614" s="100"/>
      <c r="Z614" s="100"/>
      <c r="AA614" s="228"/>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228"/>
      <c r="BE614" s="228"/>
      <c r="BF614" s="228"/>
      <c r="BG614" s="228"/>
      <c r="BH614" s="228"/>
      <c r="BI614" s="228"/>
      <c r="BJ614" s="228"/>
      <c r="BK614" s="221"/>
      <c r="BL614" s="221"/>
    </row>
    <row r="615" spans="1:64" hidden="1" outlineLevel="1">
      <c r="A615" s="9"/>
      <c r="B615" s="9"/>
      <c r="C615" s="44"/>
      <c r="D615" s="270">
        <f>Asset15</f>
        <v>0</v>
      </c>
      <c r="E615" s="9"/>
      <c r="F615" s="9"/>
      <c r="G615" s="204">
        <f>'Actual RAB roll forward'!G904</f>
        <v>0</v>
      </c>
      <c r="H615" s="35"/>
      <c r="I615" s="35"/>
      <c r="J615" s="35"/>
      <c r="K615" s="35"/>
      <c r="L615" s="35"/>
      <c r="M615" s="35"/>
      <c r="N615" s="100"/>
      <c r="O615" s="29"/>
      <c r="P615" s="29"/>
      <c r="Q615" s="29"/>
      <c r="R615" s="29"/>
      <c r="S615" s="100"/>
      <c r="T615" s="100"/>
      <c r="U615" s="100"/>
      <c r="V615" s="100"/>
      <c r="W615" s="100"/>
      <c r="X615" s="100"/>
      <c r="Y615" s="100"/>
      <c r="Z615" s="100"/>
      <c r="AA615" s="228"/>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228"/>
      <c r="BE615" s="228"/>
      <c r="BF615" s="228"/>
      <c r="BG615" s="228"/>
      <c r="BH615" s="228"/>
      <c r="BI615" s="228"/>
      <c r="BJ615" s="228"/>
      <c r="BK615" s="221"/>
      <c r="BL615" s="221"/>
    </row>
    <row r="616" spans="1:64" hidden="1" outlineLevel="1">
      <c r="A616" s="9"/>
      <c r="B616" s="9"/>
      <c r="C616" s="44"/>
      <c r="D616" s="270">
        <f>Asset16</f>
        <v>0</v>
      </c>
      <c r="E616" s="9"/>
      <c r="F616" s="9"/>
      <c r="G616" s="204">
        <f>'Actual RAB roll forward'!G905</f>
        <v>0</v>
      </c>
      <c r="H616" s="35"/>
      <c r="I616" s="35"/>
      <c r="J616" s="35"/>
      <c r="K616" s="35"/>
      <c r="L616" s="35"/>
      <c r="M616" s="35"/>
      <c r="N616" s="100"/>
      <c r="O616" s="29"/>
      <c r="P616" s="29"/>
      <c r="Q616" s="29"/>
      <c r="R616" s="29"/>
      <c r="S616" s="100"/>
      <c r="T616" s="100"/>
      <c r="U616" s="100"/>
      <c r="V616" s="100"/>
      <c r="W616" s="100"/>
      <c r="X616" s="100"/>
      <c r="Y616" s="100"/>
      <c r="Z616" s="100"/>
      <c r="AA616" s="228"/>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228"/>
      <c r="BE616" s="228"/>
      <c r="BF616" s="228"/>
      <c r="BG616" s="228"/>
      <c r="BH616" s="228"/>
      <c r="BI616" s="228"/>
      <c r="BJ616" s="228"/>
      <c r="BK616" s="221"/>
      <c r="BL616" s="221"/>
    </row>
    <row r="617" spans="1:64" hidden="1" outlineLevel="1">
      <c r="A617" s="9"/>
      <c r="B617" s="9"/>
      <c r="C617" s="44"/>
      <c r="D617" s="270">
        <f>Asset17</f>
        <v>0</v>
      </c>
      <c r="E617" s="9"/>
      <c r="F617" s="9"/>
      <c r="G617" s="204">
        <f>'Actual RAB roll forward'!G906</f>
        <v>0</v>
      </c>
      <c r="H617" s="35"/>
      <c r="I617" s="35"/>
      <c r="J617" s="35"/>
      <c r="K617" s="35"/>
      <c r="L617" s="35"/>
      <c r="M617" s="35"/>
      <c r="N617" s="100"/>
      <c r="O617" s="29"/>
      <c r="P617" s="29"/>
      <c r="Q617" s="29"/>
      <c r="R617" s="29"/>
      <c r="S617" s="100"/>
      <c r="T617" s="100"/>
      <c r="U617" s="100"/>
      <c r="V617" s="100"/>
      <c r="W617" s="100"/>
      <c r="X617" s="100"/>
      <c r="Y617" s="100"/>
      <c r="Z617" s="100"/>
      <c r="AA617" s="228"/>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228"/>
      <c r="BE617" s="228"/>
      <c r="BF617" s="228"/>
      <c r="BG617" s="228"/>
      <c r="BH617" s="228"/>
      <c r="BI617" s="228"/>
      <c r="BJ617" s="228"/>
      <c r="BK617" s="221"/>
      <c r="BL617" s="221"/>
    </row>
    <row r="618" spans="1:64" hidden="1" outlineLevel="1">
      <c r="A618" s="9"/>
      <c r="B618" s="9"/>
      <c r="C618" s="44"/>
      <c r="D618" s="270">
        <f>Asset18</f>
        <v>0</v>
      </c>
      <c r="E618" s="9"/>
      <c r="F618" s="9"/>
      <c r="G618" s="204">
        <f>'Actual RAB roll forward'!G907</f>
        <v>0</v>
      </c>
      <c r="H618" s="35"/>
      <c r="I618" s="35"/>
      <c r="J618" s="35"/>
      <c r="K618" s="35"/>
      <c r="L618" s="35"/>
      <c r="M618" s="35"/>
      <c r="N618" s="100"/>
      <c r="O618" s="29"/>
      <c r="P618" s="29"/>
      <c r="Q618" s="29"/>
      <c r="R618" s="29"/>
      <c r="S618" s="100"/>
      <c r="T618" s="100"/>
      <c r="U618" s="100"/>
      <c r="V618" s="100"/>
      <c r="W618" s="100"/>
      <c r="X618" s="100"/>
      <c r="Y618" s="100"/>
      <c r="Z618" s="100"/>
      <c r="AA618" s="228"/>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228"/>
      <c r="BE618" s="228"/>
      <c r="BF618" s="228"/>
      <c r="BG618" s="228"/>
      <c r="BH618" s="228"/>
      <c r="BI618" s="228"/>
      <c r="BJ618" s="228"/>
      <c r="BK618" s="221"/>
      <c r="BL618" s="221"/>
    </row>
    <row r="619" spans="1:64" hidden="1" outlineLevel="1">
      <c r="A619" s="9"/>
      <c r="B619" s="9"/>
      <c r="C619" s="44"/>
      <c r="D619" s="270">
        <f>Asset19</f>
        <v>0</v>
      </c>
      <c r="E619" s="9"/>
      <c r="F619" s="9"/>
      <c r="G619" s="204">
        <f>'Actual RAB roll forward'!G908</f>
        <v>0</v>
      </c>
      <c r="H619" s="35"/>
      <c r="I619" s="35"/>
      <c r="J619" s="35"/>
      <c r="K619" s="35"/>
      <c r="L619" s="35"/>
      <c r="M619" s="35"/>
      <c r="N619" s="100"/>
      <c r="O619" s="29"/>
      <c r="P619" s="29"/>
      <c r="Q619" s="29"/>
      <c r="R619" s="29"/>
      <c r="S619" s="100"/>
      <c r="T619" s="100"/>
      <c r="U619" s="100"/>
      <c r="V619" s="100"/>
      <c r="W619" s="100"/>
      <c r="X619" s="100"/>
      <c r="Y619" s="100"/>
      <c r="Z619" s="100"/>
      <c r="AA619" s="228"/>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228"/>
      <c r="BE619" s="228"/>
      <c r="BF619" s="228"/>
      <c r="BG619" s="228"/>
      <c r="BH619" s="228"/>
      <c r="BI619" s="228"/>
      <c r="BJ619" s="228"/>
      <c r="BK619" s="221"/>
      <c r="BL619" s="221"/>
    </row>
    <row r="620" spans="1:64" hidden="1" outlineLevel="1">
      <c r="A620" s="9"/>
      <c r="B620" s="9"/>
      <c r="C620" s="44"/>
      <c r="D620" s="270">
        <f>Asset20</f>
        <v>0</v>
      </c>
      <c r="E620" s="9"/>
      <c r="F620" s="9"/>
      <c r="G620" s="204">
        <f>'Actual RAB roll forward'!G909</f>
        <v>0</v>
      </c>
      <c r="H620" s="35"/>
      <c r="I620" s="35"/>
      <c r="J620" s="35"/>
      <c r="K620" s="35"/>
      <c r="L620" s="35"/>
      <c r="M620" s="35"/>
      <c r="N620" s="100"/>
      <c r="O620" s="29"/>
      <c r="P620" s="29"/>
      <c r="Q620" s="29"/>
      <c r="R620" s="29"/>
      <c r="S620" s="100"/>
      <c r="T620" s="100"/>
      <c r="U620" s="100"/>
      <c r="V620" s="100"/>
      <c r="W620" s="100"/>
      <c r="X620" s="100"/>
      <c r="Y620" s="100"/>
      <c r="Z620" s="100"/>
      <c r="AA620" s="228"/>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228"/>
      <c r="BE620" s="228"/>
      <c r="BF620" s="228"/>
      <c r="BG620" s="228"/>
      <c r="BH620" s="228"/>
      <c r="BI620" s="228"/>
      <c r="BJ620" s="228"/>
      <c r="BK620" s="221"/>
      <c r="BL620" s="221"/>
    </row>
    <row r="621" spans="1:64" hidden="1" outlineLevel="1">
      <c r="A621" s="9"/>
      <c r="B621" s="9"/>
      <c r="C621" s="44"/>
      <c r="D621" s="270">
        <f>Asset21</f>
        <v>0</v>
      </c>
      <c r="E621" s="9"/>
      <c r="F621" s="9"/>
      <c r="G621" s="204">
        <f>'Actual RAB roll forward'!G910</f>
        <v>0</v>
      </c>
      <c r="H621" s="35"/>
      <c r="I621" s="35"/>
      <c r="J621" s="35"/>
      <c r="K621" s="35"/>
      <c r="L621" s="35"/>
      <c r="M621" s="35"/>
      <c r="N621" s="100"/>
      <c r="O621" s="29"/>
      <c r="P621" s="29"/>
      <c r="Q621" s="29"/>
      <c r="R621" s="29"/>
      <c r="S621" s="100"/>
      <c r="T621" s="100"/>
      <c r="U621" s="100"/>
      <c r="V621" s="100"/>
      <c r="W621" s="100"/>
      <c r="X621" s="100"/>
      <c r="Y621" s="100"/>
      <c r="Z621" s="100"/>
      <c r="AA621" s="228"/>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228"/>
      <c r="BE621" s="228"/>
      <c r="BF621" s="228"/>
      <c r="BG621" s="228"/>
      <c r="BH621" s="228"/>
      <c r="BI621" s="228"/>
      <c r="BJ621" s="228"/>
      <c r="BK621" s="221"/>
      <c r="BL621" s="221"/>
    </row>
    <row r="622" spans="1:64" hidden="1" outlineLevel="1">
      <c r="A622" s="9"/>
      <c r="B622" s="9"/>
      <c r="C622" s="44"/>
      <c r="D622" s="270">
        <f>Asset22</f>
        <v>0</v>
      </c>
      <c r="E622" s="9"/>
      <c r="F622" s="9"/>
      <c r="G622" s="204">
        <f>'Actual RAB roll forward'!G911</f>
        <v>0</v>
      </c>
      <c r="H622" s="35"/>
      <c r="I622" s="35"/>
      <c r="J622" s="35"/>
      <c r="K622" s="35"/>
      <c r="L622" s="35"/>
      <c r="M622" s="35"/>
      <c r="N622" s="100"/>
      <c r="O622" s="29"/>
      <c r="P622" s="29"/>
      <c r="Q622" s="29"/>
      <c r="R622" s="29"/>
      <c r="S622" s="100"/>
      <c r="T622" s="100"/>
      <c r="U622" s="100"/>
      <c r="V622" s="100"/>
      <c r="W622" s="100"/>
      <c r="X622" s="100"/>
      <c r="Y622" s="100"/>
      <c r="Z622" s="100"/>
      <c r="AA622" s="228"/>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228"/>
      <c r="BE622" s="228"/>
      <c r="BF622" s="228"/>
      <c r="BG622" s="228"/>
      <c r="BH622" s="228"/>
      <c r="BI622" s="228"/>
      <c r="BJ622" s="228"/>
      <c r="BK622" s="221"/>
      <c r="BL622" s="221"/>
    </row>
    <row r="623" spans="1:64" hidden="1" outlineLevel="1">
      <c r="A623" s="9"/>
      <c r="B623" s="9"/>
      <c r="C623" s="44"/>
      <c r="D623" s="270">
        <f>Asset23</f>
        <v>0</v>
      </c>
      <c r="E623" s="9"/>
      <c r="F623" s="9"/>
      <c r="G623" s="204">
        <f>'Actual RAB roll forward'!G912</f>
        <v>0</v>
      </c>
      <c r="H623" s="35"/>
      <c r="I623" s="35"/>
      <c r="J623" s="35"/>
      <c r="K623" s="35"/>
      <c r="L623" s="35"/>
      <c r="M623" s="35"/>
      <c r="N623" s="100"/>
      <c r="O623" s="29"/>
      <c r="P623" s="29"/>
      <c r="Q623" s="29"/>
      <c r="R623" s="29"/>
      <c r="S623" s="100"/>
      <c r="T623" s="100"/>
      <c r="U623" s="100"/>
      <c r="V623" s="100"/>
      <c r="W623" s="100"/>
      <c r="X623" s="100"/>
      <c r="Y623" s="100"/>
      <c r="Z623" s="100"/>
      <c r="AA623" s="228"/>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228"/>
      <c r="BE623" s="228"/>
      <c r="BF623" s="228"/>
      <c r="BG623" s="228"/>
      <c r="BH623" s="228"/>
      <c r="BI623" s="228"/>
      <c r="BJ623" s="228"/>
      <c r="BK623" s="221"/>
      <c r="BL623" s="221"/>
    </row>
    <row r="624" spans="1:64" hidden="1" outlineLevel="1">
      <c r="A624" s="9"/>
      <c r="B624" s="9"/>
      <c r="C624" s="44"/>
      <c r="D624" s="270">
        <f>Asset24</f>
        <v>0</v>
      </c>
      <c r="E624" s="9"/>
      <c r="F624" s="9"/>
      <c r="G624" s="204">
        <f>'Actual RAB roll forward'!G913</f>
        <v>0</v>
      </c>
      <c r="H624" s="35"/>
      <c r="I624" s="35"/>
      <c r="J624" s="35"/>
      <c r="K624" s="35"/>
      <c r="L624" s="35"/>
      <c r="M624" s="35"/>
      <c r="N624" s="100"/>
      <c r="O624" s="29"/>
      <c r="P624" s="29"/>
      <c r="Q624" s="29"/>
      <c r="R624" s="29"/>
      <c r="S624" s="100"/>
      <c r="T624" s="100"/>
      <c r="U624" s="100"/>
      <c r="V624" s="100"/>
      <c r="W624" s="100"/>
      <c r="X624" s="100"/>
      <c r="Y624" s="100"/>
      <c r="Z624" s="100"/>
      <c r="AA624" s="228"/>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228"/>
      <c r="BE624" s="228"/>
      <c r="BF624" s="228"/>
      <c r="BG624" s="228"/>
      <c r="BH624" s="228"/>
      <c r="BI624" s="228"/>
      <c r="BJ624" s="228"/>
      <c r="BK624" s="221"/>
      <c r="BL624" s="221"/>
    </row>
    <row r="625" spans="1:64" hidden="1" outlineLevel="1">
      <c r="A625" s="9"/>
      <c r="B625" s="9"/>
      <c r="C625" s="44"/>
      <c r="D625" s="270">
        <f>Asset25</f>
        <v>0</v>
      </c>
      <c r="E625" s="9"/>
      <c r="F625" s="9"/>
      <c r="G625" s="204">
        <f>'Actual RAB roll forward'!G914</f>
        <v>0</v>
      </c>
      <c r="H625" s="35"/>
      <c r="I625" s="35"/>
      <c r="J625" s="35"/>
      <c r="K625" s="35"/>
      <c r="L625" s="35"/>
      <c r="M625" s="35"/>
      <c r="N625" s="100"/>
      <c r="O625" s="29"/>
      <c r="P625" s="29"/>
      <c r="Q625" s="29"/>
      <c r="R625" s="29"/>
      <c r="S625" s="100"/>
      <c r="T625" s="100"/>
      <c r="U625" s="100"/>
      <c r="V625" s="100"/>
      <c r="W625" s="100"/>
      <c r="X625" s="100"/>
      <c r="Y625" s="100"/>
      <c r="Z625" s="100"/>
      <c r="AA625" s="228"/>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228"/>
      <c r="BE625" s="228"/>
      <c r="BF625" s="228"/>
      <c r="BG625" s="228"/>
      <c r="BH625" s="228"/>
      <c r="BI625" s="228"/>
      <c r="BJ625" s="228"/>
      <c r="BK625" s="221"/>
      <c r="BL625" s="221"/>
    </row>
    <row r="626" spans="1:64" hidden="1" outlineLevel="1">
      <c r="A626" s="9"/>
      <c r="B626" s="9"/>
      <c r="C626" s="44"/>
      <c r="D626" s="270">
        <f>Asset26</f>
        <v>0</v>
      </c>
      <c r="E626" s="9"/>
      <c r="F626" s="9"/>
      <c r="G626" s="204">
        <f>'Actual RAB roll forward'!G915</f>
        <v>0</v>
      </c>
      <c r="H626" s="35"/>
      <c r="I626" s="35"/>
      <c r="J626" s="35"/>
      <c r="K626" s="35"/>
      <c r="L626" s="35"/>
      <c r="M626" s="35"/>
      <c r="N626" s="100"/>
      <c r="O626" s="29"/>
      <c r="P626" s="29"/>
      <c r="Q626" s="29"/>
      <c r="R626" s="29"/>
      <c r="S626" s="100"/>
      <c r="T626" s="100"/>
      <c r="U626" s="100"/>
      <c r="V626" s="100"/>
      <c r="W626" s="100"/>
      <c r="X626" s="100"/>
      <c r="Y626" s="100"/>
      <c r="Z626" s="100"/>
      <c r="AA626" s="228"/>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228"/>
      <c r="BE626" s="228"/>
      <c r="BF626" s="228"/>
      <c r="BG626" s="228"/>
      <c r="BH626" s="228"/>
      <c r="BI626" s="228"/>
      <c r="BJ626" s="228"/>
      <c r="BK626" s="221"/>
      <c r="BL626" s="221"/>
    </row>
    <row r="627" spans="1:64" hidden="1" outlineLevel="1">
      <c r="A627" s="9"/>
      <c r="B627" s="9"/>
      <c r="C627" s="44"/>
      <c r="D627" s="270">
        <f>Asset27</f>
        <v>0</v>
      </c>
      <c r="E627" s="9"/>
      <c r="F627" s="9"/>
      <c r="G627" s="204">
        <f>'Actual RAB roll forward'!G916</f>
        <v>0</v>
      </c>
      <c r="H627" s="35"/>
      <c r="I627" s="35"/>
      <c r="J627" s="35"/>
      <c r="K627" s="35"/>
      <c r="L627" s="35"/>
      <c r="M627" s="35"/>
      <c r="N627" s="100"/>
      <c r="O627" s="29"/>
      <c r="P627" s="29"/>
      <c r="Q627" s="29"/>
      <c r="R627" s="29"/>
      <c r="S627" s="100"/>
      <c r="T627" s="100"/>
      <c r="U627" s="100"/>
      <c r="V627" s="100"/>
      <c r="W627" s="100"/>
      <c r="X627" s="100"/>
      <c r="Y627" s="100"/>
      <c r="Z627" s="100"/>
      <c r="AA627" s="228"/>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228"/>
      <c r="BE627" s="228"/>
      <c r="BF627" s="228"/>
      <c r="BG627" s="228"/>
      <c r="BH627" s="228"/>
      <c r="BI627" s="228"/>
      <c r="BJ627" s="228"/>
      <c r="BK627" s="221"/>
      <c r="BL627" s="221"/>
    </row>
    <row r="628" spans="1:64" hidden="1" outlineLevel="1">
      <c r="A628" s="9"/>
      <c r="B628" s="9"/>
      <c r="C628" s="44"/>
      <c r="D628" s="270">
        <f>Asset28</f>
        <v>0</v>
      </c>
      <c r="E628" s="9"/>
      <c r="F628" s="9"/>
      <c r="G628" s="204">
        <f>'Actual RAB roll forward'!G917</f>
        <v>0</v>
      </c>
      <c r="H628" s="35"/>
      <c r="I628" s="35"/>
      <c r="J628" s="35"/>
      <c r="K628" s="35"/>
      <c r="L628" s="35"/>
      <c r="M628" s="35"/>
      <c r="N628" s="100"/>
      <c r="O628" s="29"/>
      <c r="P628" s="29"/>
      <c r="Q628" s="29"/>
      <c r="R628" s="29"/>
      <c r="S628" s="100"/>
      <c r="T628" s="100"/>
      <c r="U628" s="100"/>
      <c r="V628" s="100"/>
      <c r="W628" s="100"/>
      <c r="X628" s="100"/>
      <c r="Y628" s="100"/>
      <c r="Z628" s="100"/>
      <c r="AA628" s="228"/>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228"/>
      <c r="BE628" s="228"/>
      <c r="BF628" s="228"/>
      <c r="BG628" s="228"/>
      <c r="BH628" s="228"/>
      <c r="BI628" s="228"/>
      <c r="BJ628" s="228"/>
      <c r="BK628" s="221"/>
      <c r="BL628" s="221"/>
    </row>
    <row r="629" spans="1:64" hidden="1" outlineLevel="1">
      <c r="A629" s="9"/>
      <c r="B629" s="9"/>
      <c r="C629" s="44"/>
      <c r="D629" s="270">
        <f>Asset29</f>
        <v>0</v>
      </c>
      <c r="E629" s="9"/>
      <c r="F629" s="9"/>
      <c r="G629" s="204">
        <f>'Actual RAB roll forward'!G918</f>
        <v>0</v>
      </c>
      <c r="H629" s="35"/>
      <c r="I629" s="35"/>
      <c r="J629" s="35"/>
      <c r="K629" s="35"/>
      <c r="L629" s="35"/>
      <c r="M629" s="35"/>
      <c r="N629" s="100"/>
      <c r="O629" s="29"/>
      <c r="P629" s="29"/>
      <c r="Q629" s="29"/>
      <c r="R629" s="29"/>
      <c r="S629" s="100"/>
      <c r="T629" s="100"/>
      <c r="U629" s="100"/>
      <c r="V629" s="100"/>
      <c r="W629" s="100"/>
      <c r="X629" s="100"/>
      <c r="Y629" s="100"/>
      <c r="Z629" s="100"/>
      <c r="AA629" s="228"/>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228"/>
      <c r="BE629" s="228"/>
      <c r="BF629" s="228"/>
      <c r="BG629" s="228"/>
      <c r="BH629" s="228"/>
      <c r="BI629" s="228"/>
      <c r="BJ629" s="228"/>
      <c r="BK629" s="221"/>
      <c r="BL629" s="221"/>
    </row>
    <row r="630" spans="1:64" hidden="1" outlineLevel="1">
      <c r="A630" s="9"/>
      <c r="B630" s="9"/>
      <c r="C630" s="44"/>
      <c r="D630" s="270">
        <f>Asset30</f>
        <v>0</v>
      </c>
      <c r="E630" s="9"/>
      <c r="F630" s="9"/>
      <c r="G630" s="204">
        <f>'Actual RAB roll forward'!G919</f>
        <v>0</v>
      </c>
      <c r="H630" s="35"/>
      <c r="I630" s="35"/>
      <c r="J630" s="35"/>
      <c r="K630" s="35"/>
      <c r="L630" s="35"/>
      <c r="M630" s="35"/>
      <c r="N630" s="100"/>
      <c r="O630" s="29"/>
      <c r="P630" s="29"/>
      <c r="Q630" s="29"/>
      <c r="R630" s="29"/>
      <c r="S630" s="100"/>
      <c r="T630" s="100"/>
      <c r="U630" s="100"/>
      <c r="V630" s="100"/>
      <c r="W630" s="100"/>
      <c r="X630" s="100"/>
      <c r="Y630" s="100"/>
      <c r="Z630" s="100"/>
      <c r="AA630" s="228"/>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228"/>
      <c r="BE630" s="228"/>
      <c r="BF630" s="228"/>
      <c r="BG630" s="228"/>
      <c r="BH630" s="228"/>
      <c r="BI630" s="228"/>
      <c r="BJ630" s="228"/>
      <c r="BK630" s="221"/>
      <c r="BL630" s="221"/>
    </row>
    <row r="631" spans="1:64" collapsed="1">
      <c r="A631" s="9"/>
      <c r="B631" s="9"/>
      <c r="C631" s="44"/>
      <c r="D631" s="127"/>
      <c r="E631" s="9"/>
      <c r="F631" s="9"/>
      <c r="G631" s="139"/>
      <c r="H631" s="111"/>
      <c r="I631" s="111"/>
      <c r="J631" s="111"/>
      <c r="K631" s="111"/>
      <c r="L631" s="111"/>
      <c r="M631" s="111"/>
      <c r="N631" s="100"/>
      <c r="O631" s="29"/>
      <c r="P631" s="29"/>
      <c r="Q631" s="29"/>
      <c r="R631" s="29"/>
      <c r="S631" s="100"/>
      <c r="T631" s="100"/>
      <c r="U631" s="100"/>
      <c r="V631" s="100"/>
      <c r="W631" s="100"/>
      <c r="X631" s="100"/>
      <c r="Y631" s="100"/>
      <c r="Z631" s="100"/>
      <c r="AA631" s="228"/>
      <c r="AB631" s="228"/>
      <c r="AC631" s="228"/>
      <c r="AD631" s="228"/>
      <c r="AE631" s="228"/>
      <c r="AF631" s="228"/>
      <c r="AG631" s="228"/>
      <c r="AH631" s="228"/>
      <c r="AI631" s="228"/>
      <c r="AJ631" s="228"/>
      <c r="AK631" s="228"/>
      <c r="AL631" s="228"/>
      <c r="AM631" s="228"/>
      <c r="AN631" s="228"/>
      <c r="AO631" s="228"/>
      <c r="AP631" s="228"/>
      <c r="AQ631" s="228"/>
      <c r="AR631" s="228"/>
      <c r="AS631" s="228"/>
      <c r="AT631" s="228"/>
      <c r="AU631" s="228"/>
      <c r="AV631" s="228"/>
      <c r="AW631" s="228"/>
      <c r="AX631" s="228"/>
      <c r="AY631" s="228"/>
      <c r="AZ631" s="228"/>
      <c r="BA631" s="228"/>
      <c r="BB631" s="228"/>
      <c r="BC631" s="228"/>
      <c r="BD631" s="228"/>
      <c r="BE631" s="228"/>
      <c r="BF631" s="228"/>
      <c r="BG631" s="228"/>
      <c r="BH631" s="228"/>
      <c r="BI631" s="228"/>
      <c r="BJ631" s="228"/>
      <c r="BK631" s="221"/>
      <c r="BL631" s="221"/>
    </row>
    <row r="632" spans="1:64">
      <c r="A632" s="9"/>
      <c r="B632" s="9"/>
      <c r="C632" s="332" t="s">
        <v>160</v>
      </c>
      <c r="D632" s="333"/>
      <c r="E632" s="334"/>
      <c r="F632" s="334"/>
      <c r="G632" s="339">
        <f>SUM(G633:G662)</f>
        <v>115.84899999999999</v>
      </c>
      <c r="H632" s="111"/>
      <c r="I632" s="111"/>
      <c r="J632" s="111"/>
      <c r="K632" s="111"/>
      <c r="L632" s="111"/>
      <c r="M632" s="111"/>
      <c r="N632" s="100"/>
      <c r="O632" s="29"/>
      <c r="P632" s="29"/>
      <c r="Q632" s="29"/>
      <c r="R632" s="29"/>
      <c r="S632" s="100"/>
      <c r="T632" s="100"/>
      <c r="U632" s="100"/>
      <c r="V632" s="100"/>
      <c r="W632" s="100"/>
      <c r="X632" s="100"/>
      <c r="Y632" s="100"/>
      <c r="Z632" s="100"/>
      <c r="AA632" s="228"/>
      <c r="AB632" s="228"/>
      <c r="AC632" s="228"/>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228"/>
      <c r="BD632" s="228"/>
      <c r="BE632" s="228"/>
      <c r="BF632" s="228"/>
      <c r="BG632" s="228"/>
      <c r="BH632" s="228"/>
      <c r="BI632" s="228"/>
      <c r="BJ632" s="228"/>
      <c r="BK632" s="221"/>
      <c r="BL632" s="221"/>
    </row>
    <row r="633" spans="1:64" hidden="1" outlineLevel="1">
      <c r="A633" s="9"/>
      <c r="B633" s="9"/>
      <c r="C633" s="44"/>
      <c r="D633" s="270" t="str">
        <f>Asset1</f>
        <v>Secondary</v>
      </c>
      <c r="E633" s="9"/>
      <c r="F633" s="9"/>
      <c r="G633" s="350">
        <f>Input!N7</f>
        <v>17.722999999999999</v>
      </c>
      <c r="H633" s="111"/>
      <c r="I633" s="111"/>
      <c r="J633" s="111"/>
      <c r="K633" s="111"/>
      <c r="L633" s="111"/>
      <c r="M633" s="111"/>
      <c r="N633" s="100"/>
      <c r="O633" s="29"/>
      <c r="P633" s="29"/>
      <c r="Q633" s="29"/>
      <c r="R633" s="29"/>
      <c r="S633" s="100"/>
      <c r="T633" s="100"/>
      <c r="U633" s="100"/>
      <c r="V633" s="100"/>
      <c r="W633" s="100"/>
      <c r="X633" s="100"/>
      <c r="Y633" s="100"/>
      <c r="Z633" s="100"/>
      <c r="AA633" s="228"/>
      <c r="AB633" s="228"/>
      <c r="AC633" s="228"/>
      <c r="AD633" s="228"/>
      <c r="AE633" s="228"/>
      <c r="AF633" s="228"/>
      <c r="AG633" s="228"/>
      <c r="AH633" s="228"/>
      <c r="AI633" s="228"/>
      <c r="AJ633" s="228"/>
      <c r="AK633" s="228"/>
      <c r="AL633" s="228"/>
      <c r="AM633" s="228"/>
      <c r="AN633" s="228"/>
      <c r="AO633" s="228"/>
      <c r="AP633" s="228"/>
      <c r="AQ633" s="228"/>
      <c r="AR633" s="228"/>
      <c r="AS633" s="228"/>
      <c r="AT633" s="228"/>
      <c r="AU633" s="228"/>
      <c r="AV633" s="228"/>
      <c r="AW633" s="228"/>
      <c r="AX633" s="228"/>
      <c r="AY633" s="228"/>
      <c r="AZ633" s="228"/>
      <c r="BA633" s="228"/>
      <c r="BB633" s="228"/>
      <c r="BC633" s="228"/>
      <c r="BD633" s="228"/>
      <c r="BE633" s="228"/>
      <c r="BF633" s="228"/>
      <c r="BG633" s="228"/>
      <c r="BH633" s="228"/>
      <c r="BI633" s="228"/>
      <c r="BJ633" s="228"/>
      <c r="BK633" s="221"/>
      <c r="BL633" s="221"/>
    </row>
    <row r="634" spans="1:64" hidden="1" outlineLevel="1">
      <c r="A634" s="9"/>
      <c r="B634" s="9"/>
      <c r="C634" s="44"/>
      <c r="D634" s="270" t="str">
        <f>Asset2</f>
        <v>Switchgear</v>
      </c>
      <c r="E634" s="9"/>
      <c r="F634" s="9"/>
      <c r="G634" s="350">
        <f>Input!N8</f>
        <v>59.128999999999998</v>
      </c>
      <c r="H634" s="111"/>
      <c r="I634" s="111"/>
      <c r="J634" s="111"/>
      <c r="K634" s="111"/>
      <c r="L634" s="111"/>
      <c r="M634" s="111"/>
      <c r="N634" s="100"/>
      <c r="O634" s="29"/>
      <c r="P634" s="29"/>
      <c r="Q634" s="29"/>
      <c r="R634" s="29"/>
      <c r="S634" s="100"/>
      <c r="T634" s="100"/>
      <c r="U634" s="100"/>
      <c r="V634" s="100"/>
      <c r="W634" s="100"/>
      <c r="X634" s="100"/>
      <c r="Y634" s="100"/>
      <c r="Z634" s="100"/>
      <c r="AA634" s="228"/>
      <c r="AB634" s="228"/>
      <c r="AC634" s="228"/>
      <c r="AD634" s="228"/>
      <c r="AE634" s="228"/>
      <c r="AF634" s="228"/>
      <c r="AG634" s="228"/>
      <c r="AH634" s="228"/>
      <c r="AI634" s="228"/>
      <c r="AJ634" s="228"/>
      <c r="AK634" s="228"/>
      <c r="AL634" s="228"/>
      <c r="AM634" s="228"/>
      <c r="AN634" s="228"/>
      <c r="AO634" s="228"/>
      <c r="AP634" s="228"/>
      <c r="AQ634" s="228"/>
      <c r="AR634" s="228"/>
      <c r="AS634" s="228"/>
      <c r="AT634" s="228"/>
      <c r="AU634" s="228"/>
      <c r="AV634" s="228"/>
      <c r="AW634" s="228"/>
      <c r="AX634" s="228"/>
      <c r="AY634" s="228"/>
      <c r="AZ634" s="228"/>
      <c r="BA634" s="228"/>
      <c r="BB634" s="228"/>
      <c r="BC634" s="228"/>
      <c r="BD634" s="228"/>
      <c r="BE634" s="228"/>
      <c r="BF634" s="228"/>
      <c r="BG634" s="228"/>
      <c r="BH634" s="228"/>
      <c r="BI634" s="228"/>
      <c r="BJ634" s="228"/>
      <c r="BK634" s="221"/>
      <c r="BL634" s="221"/>
    </row>
    <row r="635" spans="1:64" hidden="1" outlineLevel="1">
      <c r="A635" s="9"/>
      <c r="B635" s="9"/>
      <c r="C635" s="44"/>
      <c r="D635" s="270" t="str">
        <f>Asset3</f>
        <v>Transformers</v>
      </c>
      <c r="E635" s="9"/>
      <c r="F635" s="9"/>
      <c r="G635" s="350">
        <f>Input!N9</f>
        <v>15.13</v>
      </c>
      <c r="H635" s="111"/>
      <c r="I635" s="111"/>
      <c r="J635" s="111"/>
      <c r="K635" s="111"/>
      <c r="L635" s="111"/>
      <c r="M635" s="111"/>
      <c r="N635" s="100"/>
      <c r="O635" s="29"/>
      <c r="P635" s="29"/>
      <c r="Q635" s="29"/>
      <c r="R635" s="29"/>
      <c r="S635" s="100"/>
      <c r="T635" s="100"/>
      <c r="U635" s="100"/>
      <c r="V635" s="100"/>
      <c r="W635" s="100"/>
      <c r="X635" s="100"/>
      <c r="Y635" s="100"/>
      <c r="Z635" s="100"/>
      <c r="AA635" s="228"/>
      <c r="AB635" s="228"/>
      <c r="AC635" s="228"/>
      <c r="AD635" s="228"/>
      <c r="AE635" s="228"/>
      <c r="AF635" s="228"/>
      <c r="AG635" s="228"/>
      <c r="AH635" s="228"/>
      <c r="AI635" s="228"/>
      <c r="AJ635" s="228"/>
      <c r="AK635" s="228"/>
      <c r="AL635" s="228"/>
      <c r="AM635" s="228"/>
      <c r="AN635" s="228"/>
      <c r="AO635" s="228"/>
      <c r="AP635" s="228"/>
      <c r="AQ635" s="228"/>
      <c r="AR635" s="228"/>
      <c r="AS635" s="228"/>
      <c r="AT635" s="228"/>
      <c r="AU635" s="228"/>
      <c r="AV635" s="228"/>
      <c r="AW635" s="228"/>
      <c r="AX635" s="228"/>
      <c r="AY635" s="228"/>
      <c r="AZ635" s="228"/>
      <c r="BA635" s="228"/>
      <c r="BB635" s="228"/>
      <c r="BC635" s="228"/>
      <c r="BD635" s="228"/>
      <c r="BE635" s="228"/>
      <c r="BF635" s="228"/>
      <c r="BG635" s="228"/>
      <c r="BH635" s="228"/>
      <c r="BI635" s="228"/>
      <c r="BJ635" s="228"/>
      <c r="BK635" s="221"/>
      <c r="BL635" s="221"/>
    </row>
    <row r="636" spans="1:64" hidden="1" outlineLevel="1">
      <c r="A636" s="9"/>
      <c r="B636" s="9"/>
      <c r="C636" s="44"/>
      <c r="D636" s="270" t="str">
        <f>Asset4</f>
        <v>Reactive</v>
      </c>
      <c r="E636" s="9"/>
      <c r="F636" s="9"/>
      <c r="G636" s="350">
        <f>Input!N10</f>
        <v>12.513</v>
      </c>
      <c r="H636" s="111"/>
      <c r="I636" s="111"/>
      <c r="J636" s="111"/>
      <c r="K636" s="111"/>
      <c r="L636" s="111"/>
      <c r="M636" s="111"/>
      <c r="N636" s="100"/>
      <c r="O636" s="29"/>
      <c r="P636" s="29"/>
      <c r="Q636" s="29"/>
      <c r="R636" s="29"/>
      <c r="S636" s="100"/>
      <c r="T636" s="100"/>
      <c r="U636" s="100"/>
      <c r="V636" s="100"/>
      <c r="W636" s="100"/>
      <c r="X636" s="100"/>
      <c r="Y636" s="100"/>
      <c r="Z636" s="100"/>
      <c r="AA636" s="228"/>
      <c r="AB636" s="228"/>
      <c r="AC636" s="228"/>
      <c r="AD636" s="228"/>
      <c r="AE636" s="228"/>
      <c r="AF636" s="228"/>
      <c r="AG636" s="228"/>
      <c r="AH636" s="228"/>
      <c r="AI636" s="228"/>
      <c r="AJ636" s="228"/>
      <c r="AK636" s="228"/>
      <c r="AL636" s="228"/>
      <c r="AM636" s="228"/>
      <c r="AN636" s="228"/>
      <c r="AO636" s="228"/>
      <c r="AP636" s="228"/>
      <c r="AQ636" s="228"/>
      <c r="AR636" s="228"/>
      <c r="AS636" s="228"/>
      <c r="AT636" s="228"/>
      <c r="AU636" s="228"/>
      <c r="AV636" s="228"/>
      <c r="AW636" s="228"/>
      <c r="AX636" s="228"/>
      <c r="AY636" s="228"/>
      <c r="AZ636" s="228"/>
      <c r="BA636" s="228"/>
      <c r="BB636" s="228"/>
      <c r="BC636" s="228"/>
      <c r="BD636" s="228"/>
      <c r="BE636" s="228"/>
      <c r="BF636" s="228"/>
      <c r="BG636" s="228"/>
      <c r="BH636" s="228"/>
      <c r="BI636" s="228"/>
      <c r="BJ636" s="228"/>
      <c r="BK636" s="221"/>
      <c r="BL636" s="221"/>
    </row>
    <row r="637" spans="1:64" hidden="1" outlineLevel="1">
      <c r="A637" s="9"/>
      <c r="B637" s="9"/>
      <c r="C637" s="44"/>
      <c r="D637" s="270" t="str">
        <f>Asset5</f>
        <v>Towers and Conductor</v>
      </c>
      <c r="E637" s="9"/>
      <c r="F637" s="9"/>
      <c r="G637" s="350">
        <f>Input!N11</f>
        <v>5.907</v>
      </c>
      <c r="H637" s="111"/>
      <c r="I637" s="111"/>
      <c r="J637" s="111"/>
      <c r="K637" s="111"/>
      <c r="L637" s="111"/>
      <c r="M637" s="111"/>
      <c r="N637" s="100"/>
      <c r="O637" s="29"/>
      <c r="P637" s="29"/>
      <c r="Q637" s="29"/>
      <c r="R637" s="29"/>
      <c r="S637" s="100"/>
      <c r="T637" s="100"/>
      <c r="U637" s="100"/>
      <c r="V637" s="100"/>
      <c r="W637" s="100"/>
      <c r="X637" s="100"/>
      <c r="Y637" s="100"/>
      <c r="Z637" s="100"/>
      <c r="AA637" s="228"/>
      <c r="AB637" s="228"/>
      <c r="AC637" s="228"/>
      <c r="AD637" s="228"/>
      <c r="AE637" s="228"/>
      <c r="AF637" s="228"/>
      <c r="AG637" s="228"/>
      <c r="AH637" s="228"/>
      <c r="AI637" s="228"/>
      <c r="AJ637" s="228"/>
      <c r="AK637" s="228"/>
      <c r="AL637" s="228"/>
      <c r="AM637" s="228"/>
      <c r="AN637" s="228"/>
      <c r="AO637" s="228"/>
      <c r="AP637" s="228"/>
      <c r="AQ637" s="228"/>
      <c r="AR637" s="228"/>
      <c r="AS637" s="228"/>
      <c r="AT637" s="228"/>
      <c r="AU637" s="228"/>
      <c r="AV637" s="228"/>
      <c r="AW637" s="228"/>
      <c r="AX637" s="228"/>
      <c r="AY637" s="228"/>
      <c r="AZ637" s="228"/>
      <c r="BA637" s="228"/>
      <c r="BB637" s="228"/>
      <c r="BC637" s="228"/>
      <c r="BD637" s="228"/>
      <c r="BE637" s="228"/>
      <c r="BF637" s="228"/>
      <c r="BG637" s="228"/>
      <c r="BH637" s="228"/>
      <c r="BI637" s="228"/>
      <c r="BJ637" s="228"/>
      <c r="BK637" s="221"/>
      <c r="BL637" s="221"/>
    </row>
    <row r="638" spans="1:64" hidden="1" outlineLevel="1">
      <c r="A638" s="9"/>
      <c r="B638" s="9"/>
      <c r="C638" s="44"/>
      <c r="D638" s="270" t="str">
        <f>Asset6</f>
        <v>Establishment</v>
      </c>
      <c r="E638" s="9"/>
      <c r="F638" s="9"/>
      <c r="G638" s="350">
        <f>Input!N12</f>
        <v>4.085</v>
      </c>
      <c r="H638" s="111"/>
      <c r="I638" s="111"/>
      <c r="J638" s="111"/>
      <c r="K638" s="111"/>
      <c r="L638" s="111"/>
      <c r="M638" s="111"/>
      <c r="N638" s="100"/>
      <c r="O638" s="29"/>
      <c r="P638" s="29"/>
      <c r="Q638" s="29"/>
      <c r="R638" s="29"/>
      <c r="S638" s="100"/>
      <c r="T638" s="100"/>
      <c r="U638" s="100"/>
      <c r="V638" s="100"/>
      <c r="W638" s="100"/>
      <c r="X638" s="100"/>
      <c r="Y638" s="100"/>
      <c r="Z638" s="100"/>
      <c r="AA638" s="228"/>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8"/>
      <c r="AY638" s="228"/>
      <c r="AZ638" s="228"/>
      <c r="BA638" s="228"/>
      <c r="BB638" s="228"/>
      <c r="BC638" s="228"/>
      <c r="BD638" s="228"/>
      <c r="BE638" s="228"/>
      <c r="BF638" s="228"/>
      <c r="BG638" s="228"/>
      <c r="BH638" s="228"/>
      <c r="BI638" s="228"/>
      <c r="BJ638" s="228"/>
      <c r="BK638" s="221"/>
      <c r="BL638" s="221"/>
    </row>
    <row r="639" spans="1:64" hidden="1" outlineLevel="1">
      <c r="A639" s="9"/>
      <c r="B639" s="9"/>
      <c r="C639" s="44"/>
      <c r="D639" s="270" t="str">
        <f>Asset7</f>
        <v>Communications</v>
      </c>
      <c r="E639" s="9"/>
      <c r="F639" s="9"/>
      <c r="G639" s="350">
        <f>Input!N13</f>
        <v>1.3620000000000001</v>
      </c>
      <c r="H639" s="111"/>
      <c r="I639" s="111"/>
      <c r="J639" s="111"/>
      <c r="K639" s="111"/>
      <c r="L639" s="111"/>
      <c r="M639" s="111"/>
      <c r="N639" s="100"/>
      <c r="O639" s="29"/>
      <c r="P639" s="29"/>
      <c r="Q639" s="29"/>
      <c r="R639" s="29"/>
      <c r="S639" s="100"/>
      <c r="T639" s="100"/>
      <c r="U639" s="100"/>
      <c r="V639" s="100"/>
      <c r="W639" s="100"/>
      <c r="X639" s="100"/>
      <c r="Y639" s="100"/>
      <c r="Z639" s="100"/>
      <c r="AA639" s="228"/>
      <c r="AB639" s="228"/>
      <c r="AC639" s="228"/>
      <c r="AD639" s="228"/>
      <c r="AE639" s="228"/>
      <c r="AF639" s="228"/>
      <c r="AG639" s="228"/>
      <c r="AH639" s="228"/>
      <c r="AI639" s="228"/>
      <c r="AJ639" s="228"/>
      <c r="AK639" s="228"/>
      <c r="AL639" s="228"/>
      <c r="AM639" s="228"/>
      <c r="AN639" s="228"/>
      <c r="AO639" s="228"/>
      <c r="AP639" s="228"/>
      <c r="AQ639" s="228"/>
      <c r="AR639" s="228"/>
      <c r="AS639" s="228"/>
      <c r="AT639" s="228"/>
      <c r="AU639" s="228"/>
      <c r="AV639" s="228"/>
      <c r="AW639" s="228"/>
      <c r="AX639" s="228"/>
      <c r="AY639" s="228"/>
      <c r="AZ639" s="228"/>
      <c r="BA639" s="228"/>
      <c r="BB639" s="228"/>
      <c r="BC639" s="228"/>
      <c r="BD639" s="228"/>
      <c r="BE639" s="228"/>
      <c r="BF639" s="228"/>
      <c r="BG639" s="228"/>
      <c r="BH639" s="228"/>
      <c r="BI639" s="228"/>
      <c r="BJ639" s="228"/>
      <c r="BK639" s="221"/>
      <c r="BL639" s="221"/>
    </row>
    <row r="640" spans="1:64" hidden="1" outlineLevel="1">
      <c r="A640" s="9"/>
      <c r="B640" s="9"/>
      <c r="C640" s="44"/>
      <c r="D640" s="270" t="str">
        <f>Asset8</f>
        <v>Inventory</v>
      </c>
      <c r="E640" s="9"/>
      <c r="F640" s="9"/>
      <c r="G640" s="350">
        <f>Input!N14</f>
        <v>0</v>
      </c>
      <c r="H640" s="111"/>
      <c r="I640" s="111"/>
      <c r="J640" s="111"/>
      <c r="K640" s="111"/>
      <c r="L640" s="111"/>
      <c r="M640" s="111"/>
      <c r="N640" s="100"/>
      <c r="O640" s="29"/>
      <c r="P640" s="29"/>
      <c r="Q640" s="29"/>
      <c r="R640" s="29"/>
      <c r="S640" s="100"/>
      <c r="T640" s="100"/>
      <c r="U640" s="100"/>
      <c r="V640" s="100"/>
      <c r="W640" s="100"/>
      <c r="X640" s="100"/>
      <c r="Y640" s="100"/>
      <c r="Z640" s="100"/>
      <c r="AA640" s="228"/>
      <c r="AB640" s="228"/>
      <c r="AC640" s="228"/>
      <c r="AD640" s="228"/>
      <c r="AE640" s="228"/>
      <c r="AF640" s="228"/>
      <c r="AG640" s="228"/>
      <c r="AH640" s="228"/>
      <c r="AI640" s="228"/>
      <c r="AJ640" s="228"/>
      <c r="AK640" s="228"/>
      <c r="AL640" s="228"/>
      <c r="AM640" s="228"/>
      <c r="AN640" s="228"/>
      <c r="AO640" s="228"/>
      <c r="AP640" s="228"/>
      <c r="AQ640" s="228"/>
      <c r="AR640" s="228"/>
      <c r="AS640" s="228"/>
      <c r="AT640" s="228"/>
      <c r="AU640" s="228"/>
      <c r="AV640" s="228"/>
      <c r="AW640" s="228"/>
      <c r="AX640" s="228"/>
      <c r="AY640" s="228"/>
      <c r="AZ640" s="228"/>
      <c r="BA640" s="228"/>
      <c r="BB640" s="228"/>
      <c r="BC640" s="228"/>
      <c r="BD640" s="228"/>
      <c r="BE640" s="228"/>
      <c r="BF640" s="228"/>
      <c r="BG640" s="228"/>
      <c r="BH640" s="228"/>
      <c r="BI640" s="228"/>
      <c r="BJ640" s="228"/>
      <c r="BK640" s="221"/>
      <c r="BL640" s="221"/>
    </row>
    <row r="641" spans="1:64" hidden="1" outlineLevel="1">
      <c r="A641" s="9"/>
      <c r="B641" s="9"/>
      <c r="C641" s="44"/>
      <c r="D641" s="270" t="str">
        <f>Asset9</f>
        <v>IT</v>
      </c>
      <c r="E641" s="9"/>
      <c r="F641" s="9"/>
      <c r="G641" s="350">
        <f>Input!N15</f>
        <v>0</v>
      </c>
      <c r="H641" s="111"/>
      <c r="I641" s="111"/>
      <c r="J641" s="111"/>
      <c r="K641" s="111"/>
      <c r="L641" s="111"/>
      <c r="M641" s="111"/>
      <c r="N641" s="100"/>
      <c r="O641" s="29"/>
      <c r="P641" s="29"/>
      <c r="Q641" s="29"/>
      <c r="R641" s="29"/>
      <c r="S641" s="100"/>
      <c r="T641" s="100"/>
      <c r="U641" s="100"/>
      <c r="V641" s="100"/>
      <c r="W641" s="100"/>
      <c r="X641" s="100"/>
      <c r="Y641" s="100"/>
      <c r="Z641" s="100"/>
      <c r="AA641" s="228"/>
      <c r="AB641" s="228"/>
      <c r="AC641" s="228"/>
      <c r="AD641" s="228"/>
      <c r="AE641" s="228"/>
      <c r="AF641" s="228"/>
      <c r="AG641" s="228"/>
      <c r="AH641" s="228"/>
      <c r="AI641" s="228"/>
      <c r="AJ641" s="228"/>
      <c r="AK641" s="228"/>
      <c r="AL641" s="228"/>
      <c r="AM641" s="228"/>
      <c r="AN641" s="228"/>
      <c r="AO641" s="228"/>
      <c r="AP641" s="228"/>
      <c r="AQ641" s="228"/>
      <c r="AR641" s="228"/>
      <c r="AS641" s="228"/>
      <c r="AT641" s="228"/>
      <c r="AU641" s="228"/>
      <c r="AV641" s="228"/>
      <c r="AW641" s="228"/>
      <c r="AX641" s="228"/>
      <c r="AY641" s="228"/>
      <c r="AZ641" s="228"/>
      <c r="BA641" s="228"/>
      <c r="BB641" s="228"/>
      <c r="BC641" s="228"/>
      <c r="BD641" s="228"/>
      <c r="BE641" s="228"/>
      <c r="BF641" s="228"/>
      <c r="BG641" s="228"/>
      <c r="BH641" s="228"/>
      <c r="BI641" s="228"/>
      <c r="BJ641" s="228"/>
      <c r="BK641" s="221"/>
      <c r="BL641" s="221"/>
    </row>
    <row r="642" spans="1:64" hidden="1" outlineLevel="1">
      <c r="A642" s="9"/>
      <c r="B642" s="9"/>
      <c r="C642" s="44"/>
      <c r="D642" s="270" t="str">
        <f>Asset10</f>
        <v>Vehicles</v>
      </c>
      <c r="E642" s="9"/>
      <c r="F642" s="9"/>
      <c r="G642" s="350">
        <f>Input!N16</f>
        <v>0</v>
      </c>
      <c r="H642" s="111"/>
      <c r="I642" s="111"/>
      <c r="J642" s="111"/>
      <c r="K642" s="111"/>
      <c r="L642" s="111"/>
      <c r="M642" s="111"/>
      <c r="N642" s="100"/>
      <c r="O642" s="29"/>
      <c r="P642" s="29"/>
      <c r="Q642" s="29"/>
      <c r="R642" s="29"/>
      <c r="S642" s="100"/>
      <c r="T642" s="100"/>
      <c r="U642" s="100"/>
      <c r="V642" s="100"/>
      <c r="W642" s="100"/>
      <c r="X642" s="100"/>
      <c r="Y642" s="100"/>
      <c r="Z642" s="100"/>
      <c r="AA642" s="228"/>
      <c r="AB642" s="228"/>
      <c r="AC642" s="228"/>
      <c r="AD642" s="228"/>
      <c r="AE642" s="228"/>
      <c r="AF642" s="228"/>
      <c r="AG642" s="228"/>
      <c r="AH642" s="228"/>
      <c r="AI642" s="228"/>
      <c r="AJ642" s="228"/>
      <c r="AK642" s="228"/>
      <c r="AL642" s="228"/>
      <c r="AM642" s="228"/>
      <c r="AN642" s="228"/>
      <c r="AO642" s="228"/>
      <c r="AP642" s="228"/>
      <c r="AQ642" s="228"/>
      <c r="AR642" s="228"/>
      <c r="AS642" s="228"/>
      <c r="AT642" s="228"/>
      <c r="AU642" s="228"/>
      <c r="AV642" s="228"/>
      <c r="AW642" s="228"/>
      <c r="AX642" s="228"/>
      <c r="AY642" s="228"/>
      <c r="AZ642" s="228"/>
      <c r="BA642" s="228"/>
      <c r="BB642" s="228"/>
      <c r="BC642" s="228"/>
      <c r="BD642" s="228"/>
      <c r="BE642" s="228"/>
      <c r="BF642" s="228"/>
      <c r="BG642" s="228"/>
      <c r="BH642" s="228"/>
      <c r="BI642" s="228"/>
      <c r="BJ642" s="228"/>
      <c r="BK642" s="221"/>
      <c r="BL642" s="221"/>
    </row>
    <row r="643" spans="1:64" hidden="1" outlineLevel="1">
      <c r="A643" s="9"/>
      <c r="B643" s="9"/>
      <c r="C643" s="44"/>
      <c r="D643" s="270" t="str">
        <f>Asset11</f>
        <v>other</v>
      </c>
      <c r="E643" s="9"/>
      <c r="F643" s="9"/>
      <c r="G643" s="350">
        <f>Input!N17</f>
        <v>0</v>
      </c>
      <c r="H643" s="111"/>
      <c r="I643" s="111"/>
      <c r="J643" s="111"/>
      <c r="K643" s="111"/>
      <c r="L643" s="111"/>
      <c r="M643" s="111"/>
      <c r="N643" s="100"/>
      <c r="O643" s="29"/>
      <c r="P643" s="29"/>
      <c r="Q643" s="29"/>
      <c r="R643" s="29"/>
      <c r="S643" s="100"/>
      <c r="T643" s="100"/>
      <c r="U643" s="100"/>
      <c r="V643" s="100"/>
      <c r="W643" s="100"/>
      <c r="X643" s="100"/>
      <c r="Y643" s="100"/>
      <c r="Z643" s="100"/>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8"/>
      <c r="AY643" s="228"/>
      <c r="AZ643" s="228"/>
      <c r="BA643" s="228"/>
      <c r="BB643" s="228"/>
      <c r="BC643" s="228"/>
      <c r="BD643" s="228"/>
      <c r="BE643" s="228"/>
      <c r="BF643" s="228"/>
      <c r="BG643" s="228"/>
      <c r="BH643" s="228"/>
      <c r="BI643" s="228"/>
      <c r="BJ643" s="228"/>
      <c r="BK643" s="221"/>
      <c r="BL643" s="221"/>
    </row>
    <row r="644" spans="1:64" hidden="1" outlineLevel="1">
      <c r="A644" s="9"/>
      <c r="B644" s="9"/>
      <c r="C644" s="44"/>
      <c r="D644" s="270" t="str">
        <f>Asset12</f>
        <v>premises</v>
      </c>
      <c r="E644" s="9"/>
      <c r="F644" s="9"/>
      <c r="G644" s="350">
        <f>Input!N18</f>
        <v>0</v>
      </c>
      <c r="H644" s="111"/>
      <c r="I644" s="111"/>
      <c r="J644" s="111"/>
      <c r="K644" s="111"/>
      <c r="L644" s="111"/>
      <c r="M644" s="111"/>
      <c r="N644" s="100"/>
      <c r="O644" s="29"/>
      <c r="P644" s="29"/>
      <c r="Q644" s="29"/>
      <c r="R644" s="29"/>
      <c r="S644" s="100"/>
      <c r="T644" s="100"/>
      <c r="U644" s="100"/>
      <c r="V644" s="100"/>
      <c r="W644" s="100"/>
      <c r="X644" s="100"/>
      <c r="Y644" s="100"/>
      <c r="Z644" s="100"/>
      <c r="AA644" s="228"/>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8"/>
      <c r="AY644" s="228"/>
      <c r="AZ644" s="228"/>
      <c r="BA644" s="228"/>
      <c r="BB644" s="228"/>
      <c r="BC644" s="228"/>
      <c r="BD644" s="228"/>
      <c r="BE644" s="228"/>
      <c r="BF644" s="228"/>
      <c r="BG644" s="228"/>
      <c r="BH644" s="228"/>
      <c r="BI644" s="228"/>
      <c r="BJ644" s="228"/>
      <c r="BK644" s="221"/>
      <c r="BL644" s="221"/>
    </row>
    <row r="645" spans="1:64" hidden="1" outlineLevel="1">
      <c r="A645" s="9"/>
      <c r="B645" s="9"/>
      <c r="C645" s="44"/>
      <c r="D645" s="270" t="str">
        <f>Asset13</f>
        <v>Land</v>
      </c>
      <c r="E645" s="9"/>
      <c r="F645" s="9"/>
      <c r="G645" s="350">
        <f>Input!N19</f>
        <v>0</v>
      </c>
      <c r="H645" s="111"/>
      <c r="I645" s="111"/>
      <c r="J645" s="111"/>
      <c r="K645" s="111"/>
      <c r="L645" s="111"/>
      <c r="M645" s="111"/>
      <c r="N645" s="100"/>
      <c r="O645" s="29"/>
      <c r="P645" s="29"/>
      <c r="Q645" s="29"/>
      <c r="R645" s="29"/>
      <c r="S645" s="100"/>
      <c r="T645" s="100"/>
      <c r="U645" s="100"/>
      <c r="V645" s="100"/>
      <c r="W645" s="100"/>
      <c r="X645" s="100"/>
      <c r="Y645" s="100"/>
      <c r="Z645" s="100"/>
      <c r="AA645" s="228"/>
      <c r="AB645" s="228"/>
      <c r="AC645" s="228"/>
      <c r="AD645" s="228"/>
      <c r="AE645" s="228"/>
      <c r="AF645" s="228"/>
      <c r="AG645" s="228"/>
      <c r="AH645" s="228"/>
      <c r="AI645" s="228"/>
      <c r="AJ645" s="228"/>
      <c r="AK645" s="228"/>
      <c r="AL645" s="228"/>
      <c r="AM645" s="228"/>
      <c r="AN645" s="228"/>
      <c r="AO645" s="228"/>
      <c r="AP645" s="228"/>
      <c r="AQ645" s="228"/>
      <c r="AR645" s="228"/>
      <c r="AS645" s="228"/>
      <c r="AT645" s="228"/>
      <c r="AU645" s="228"/>
      <c r="AV645" s="228"/>
      <c r="AW645" s="228"/>
      <c r="AX645" s="228"/>
      <c r="AY645" s="228"/>
      <c r="AZ645" s="228"/>
      <c r="BA645" s="228"/>
      <c r="BB645" s="228"/>
      <c r="BC645" s="228"/>
      <c r="BD645" s="228"/>
      <c r="BE645" s="228"/>
      <c r="BF645" s="228"/>
      <c r="BG645" s="228"/>
      <c r="BH645" s="228"/>
      <c r="BI645" s="228"/>
      <c r="BJ645" s="228"/>
      <c r="BK645" s="221"/>
      <c r="BL645" s="221"/>
    </row>
    <row r="646" spans="1:64" hidden="1" outlineLevel="1">
      <c r="A646" s="9"/>
      <c r="B646" s="9"/>
      <c r="C646" s="44"/>
      <c r="D646" s="270" t="str">
        <f>Asset14</f>
        <v>Easements</v>
      </c>
      <c r="E646" s="9"/>
      <c r="F646" s="9"/>
      <c r="G646" s="350">
        <f>Input!N20</f>
        <v>0</v>
      </c>
      <c r="H646" s="111"/>
      <c r="I646" s="111"/>
      <c r="J646" s="111"/>
      <c r="K646" s="111"/>
      <c r="L646" s="111"/>
      <c r="M646" s="111"/>
      <c r="N646" s="100"/>
      <c r="O646" s="29"/>
      <c r="P646" s="29"/>
      <c r="Q646" s="29"/>
      <c r="R646" s="29"/>
      <c r="S646" s="100"/>
      <c r="T646" s="100"/>
      <c r="U646" s="100"/>
      <c r="V646" s="100"/>
      <c r="W646" s="100"/>
      <c r="X646" s="100"/>
      <c r="Y646" s="100"/>
      <c r="Z646" s="100"/>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8"/>
      <c r="AY646" s="228"/>
      <c r="AZ646" s="228"/>
      <c r="BA646" s="228"/>
      <c r="BB646" s="228"/>
      <c r="BC646" s="228"/>
      <c r="BD646" s="228"/>
      <c r="BE646" s="228"/>
      <c r="BF646" s="228"/>
      <c r="BG646" s="228"/>
      <c r="BH646" s="228"/>
      <c r="BI646" s="228"/>
      <c r="BJ646" s="228"/>
      <c r="BK646" s="221"/>
      <c r="BL646" s="221"/>
    </row>
    <row r="647" spans="1:64" hidden="1" outlineLevel="1">
      <c r="A647" s="9"/>
      <c r="B647" s="9"/>
      <c r="C647" s="44"/>
      <c r="D647" s="270">
        <f>Asset15</f>
        <v>0</v>
      </c>
      <c r="E647" s="9"/>
      <c r="F647" s="9"/>
      <c r="G647" s="350">
        <f>Input!N21</f>
        <v>0</v>
      </c>
      <c r="H647" s="111"/>
      <c r="I647" s="111"/>
      <c r="J647" s="111"/>
      <c r="K647" s="111"/>
      <c r="L647" s="111"/>
      <c r="M647" s="111"/>
      <c r="N647" s="100"/>
      <c r="O647" s="29"/>
      <c r="P647" s="29"/>
      <c r="Q647" s="29"/>
      <c r="R647" s="29"/>
      <c r="S647" s="100"/>
      <c r="T647" s="100"/>
      <c r="U647" s="100"/>
      <c r="V647" s="100"/>
      <c r="W647" s="100"/>
      <c r="X647" s="100"/>
      <c r="Y647" s="100"/>
      <c r="Z647" s="100"/>
      <c r="AA647" s="228"/>
      <c r="AB647" s="228"/>
      <c r="AC647" s="228"/>
      <c r="AD647" s="228"/>
      <c r="AE647" s="228"/>
      <c r="AF647" s="228"/>
      <c r="AG647" s="228"/>
      <c r="AH647" s="228"/>
      <c r="AI647" s="228"/>
      <c r="AJ647" s="228"/>
      <c r="AK647" s="228"/>
      <c r="AL647" s="228"/>
      <c r="AM647" s="228"/>
      <c r="AN647" s="228"/>
      <c r="AO647" s="228"/>
      <c r="AP647" s="228"/>
      <c r="AQ647" s="228"/>
      <c r="AR647" s="228"/>
      <c r="AS647" s="228"/>
      <c r="AT647" s="228"/>
      <c r="AU647" s="228"/>
      <c r="AV647" s="228"/>
      <c r="AW647" s="228"/>
      <c r="AX647" s="228"/>
      <c r="AY647" s="228"/>
      <c r="AZ647" s="228"/>
      <c r="BA647" s="228"/>
      <c r="BB647" s="228"/>
      <c r="BC647" s="228"/>
      <c r="BD647" s="228"/>
      <c r="BE647" s="228"/>
      <c r="BF647" s="228"/>
      <c r="BG647" s="228"/>
      <c r="BH647" s="228"/>
      <c r="BI647" s="228"/>
      <c r="BJ647" s="228"/>
      <c r="BK647" s="221"/>
      <c r="BL647" s="221"/>
    </row>
    <row r="648" spans="1:64" hidden="1" outlineLevel="1">
      <c r="A648" s="9"/>
      <c r="B648" s="9"/>
      <c r="C648" s="44"/>
      <c r="D648" s="270">
        <f>Asset16</f>
        <v>0</v>
      </c>
      <c r="E648" s="9"/>
      <c r="F648" s="9"/>
      <c r="G648" s="350">
        <f>Input!N22</f>
        <v>0</v>
      </c>
      <c r="H648" s="111"/>
      <c r="I648" s="111"/>
      <c r="J648" s="111"/>
      <c r="K648" s="111"/>
      <c r="L648" s="111"/>
      <c r="M648" s="111"/>
      <c r="N648" s="100"/>
      <c r="O648" s="29"/>
      <c r="P648" s="29"/>
      <c r="Q648" s="29"/>
      <c r="R648" s="29"/>
      <c r="S648" s="100"/>
      <c r="T648" s="100"/>
      <c r="U648" s="100"/>
      <c r="V648" s="100"/>
      <c r="W648" s="100"/>
      <c r="X648" s="100"/>
      <c r="Y648" s="100"/>
      <c r="Z648" s="100"/>
      <c r="AA648" s="228"/>
      <c r="AB648" s="228"/>
      <c r="AC648" s="228"/>
      <c r="AD648" s="228"/>
      <c r="AE648" s="228"/>
      <c r="AF648" s="228"/>
      <c r="AG648" s="228"/>
      <c r="AH648" s="228"/>
      <c r="AI648" s="228"/>
      <c r="AJ648" s="228"/>
      <c r="AK648" s="228"/>
      <c r="AL648" s="228"/>
      <c r="AM648" s="228"/>
      <c r="AN648" s="228"/>
      <c r="AO648" s="228"/>
      <c r="AP648" s="228"/>
      <c r="AQ648" s="228"/>
      <c r="AR648" s="228"/>
      <c r="AS648" s="228"/>
      <c r="AT648" s="228"/>
      <c r="AU648" s="228"/>
      <c r="AV648" s="228"/>
      <c r="AW648" s="228"/>
      <c r="AX648" s="228"/>
      <c r="AY648" s="228"/>
      <c r="AZ648" s="228"/>
      <c r="BA648" s="228"/>
      <c r="BB648" s="228"/>
      <c r="BC648" s="228"/>
      <c r="BD648" s="228"/>
      <c r="BE648" s="228"/>
      <c r="BF648" s="228"/>
      <c r="BG648" s="228"/>
      <c r="BH648" s="228"/>
      <c r="BI648" s="228"/>
      <c r="BJ648" s="228"/>
      <c r="BK648" s="221"/>
      <c r="BL648" s="221"/>
    </row>
    <row r="649" spans="1:64" hidden="1" outlineLevel="1">
      <c r="A649" s="9"/>
      <c r="B649" s="9"/>
      <c r="C649" s="44"/>
      <c r="D649" s="270">
        <f>Asset17</f>
        <v>0</v>
      </c>
      <c r="E649" s="9"/>
      <c r="F649" s="9"/>
      <c r="G649" s="350">
        <f>Input!N23</f>
        <v>0</v>
      </c>
      <c r="H649" s="111"/>
      <c r="I649" s="111"/>
      <c r="J649" s="111"/>
      <c r="K649" s="111"/>
      <c r="L649" s="111"/>
      <c r="M649" s="111"/>
      <c r="N649" s="100"/>
      <c r="O649" s="29"/>
      <c r="P649" s="29"/>
      <c r="Q649" s="29"/>
      <c r="R649" s="29"/>
      <c r="S649" s="100"/>
      <c r="T649" s="100"/>
      <c r="U649" s="100"/>
      <c r="V649" s="100"/>
      <c r="W649" s="100"/>
      <c r="X649" s="100"/>
      <c r="Y649" s="100"/>
      <c r="Z649" s="100"/>
      <c r="AA649" s="228"/>
      <c r="AB649" s="228"/>
      <c r="AC649" s="228"/>
      <c r="AD649" s="228"/>
      <c r="AE649" s="228"/>
      <c r="AF649" s="228"/>
      <c r="AG649" s="228"/>
      <c r="AH649" s="228"/>
      <c r="AI649" s="228"/>
      <c r="AJ649" s="228"/>
      <c r="AK649" s="228"/>
      <c r="AL649" s="228"/>
      <c r="AM649" s="228"/>
      <c r="AN649" s="228"/>
      <c r="AO649" s="228"/>
      <c r="AP649" s="228"/>
      <c r="AQ649" s="228"/>
      <c r="AR649" s="228"/>
      <c r="AS649" s="228"/>
      <c r="AT649" s="228"/>
      <c r="AU649" s="228"/>
      <c r="AV649" s="228"/>
      <c r="AW649" s="228"/>
      <c r="AX649" s="228"/>
      <c r="AY649" s="228"/>
      <c r="AZ649" s="228"/>
      <c r="BA649" s="228"/>
      <c r="BB649" s="228"/>
      <c r="BC649" s="228"/>
      <c r="BD649" s="228"/>
      <c r="BE649" s="228"/>
      <c r="BF649" s="228"/>
      <c r="BG649" s="228"/>
      <c r="BH649" s="228"/>
      <c r="BI649" s="228"/>
      <c r="BJ649" s="228"/>
      <c r="BK649" s="221"/>
      <c r="BL649" s="221"/>
    </row>
    <row r="650" spans="1:64" hidden="1" outlineLevel="1">
      <c r="A650" s="9"/>
      <c r="B650" s="9"/>
      <c r="C650" s="44"/>
      <c r="D650" s="270">
        <f>Asset18</f>
        <v>0</v>
      </c>
      <c r="E650" s="9"/>
      <c r="F650" s="9"/>
      <c r="G650" s="350">
        <f>Input!N24</f>
        <v>0</v>
      </c>
      <c r="H650" s="111"/>
      <c r="I650" s="111"/>
      <c r="J650" s="111"/>
      <c r="K650" s="111"/>
      <c r="L650" s="111"/>
      <c r="M650" s="111"/>
      <c r="N650" s="100"/>
      <c r="O650" s="29"/>
      <c r="P650" s="29"/>
      <c r="Q650" s="29"/>
      <c r="R650" s="29"/>
      <c r="S650" s="100"/>
      <c r="T650" s="100"/>
      <c r="U650" s="100"/>
      <c r="V650" s="100"/>
      <c r="W650" s="100"/>
      <c r="X650" s="100"/>
      <c r="Y650" s="100"/>
      <c r="Z650" s="100"/>
      <c r="AA650" s="228"/>
      <c r="AB650" s="228"/>
      <c r="AC650" s="228"/>
      <c r="AD650" s="228"/>
      <c r="AE650" s="228"/>
      <c r="AF650" s="228"/>
      <c r="AG650" s="228"/>
      <c r="AH650" s="228"/>
      <c r="AI650" s="228"/>
      <c r="AJ650" s="228"/>
      <c r="AK650" s="228"/>
      <c r="AL650" s="228"/>
      <c r="AM650" s="228"/>
      <c r="AN650" s="228"/>
      <c r="AO650" s="228"/>
      <c r="AP650" s="228"/>
      <c r="AQ650" s="228"/>
      <c r="AR650" s="228"/>
      <c r="AS650" s="228"/>
      <c r="AT650" s="228"/>
      <c r="AU650" s="228"/>
      <c r="AV650" s="228"/>
      <c r="AW650" s="228"/>
      <c r="AX650" s="228"/>
      <c r="AY650" s="228"/>
      <c r="AZ650" s="228"/>
      <c r="BA650" s="228"/>
      <c r="BB650" s="228"/>
      <c r="BC650" s="228"/>
      <c r="BD650" s="228"/>
      <c r="BE650" s="228"/>
      <c r="BF650" s="228"/>
      <c r="BG650" s="228"/>
      <c r="BH650" s="228"/>
      <c r="BI650" s="228"/>
      <c r="BJ650" s="228"/>
      <c r="BK650" s="221"/>
      <c r="BL650" s="221"/>
    </row>
    <row r="651" spans="1:64" hidden="1" outlineLevel="1">
      <c r="A651" s="9"/>
      <c r="B651" s="9"/>
      <c r="C651" s="44"/>
      <c r="D651" s="270">
        <f>Asset19</f>
        <v>0</v>
      </c>
      <c r="E651" s="9"/>
      <c r="F651" s="9"/>
      <c r="G651" s="350">
        <f>Input!N25</f>
        <v>0</v>
      </c>
      <c r="H651" s="111"/>
      <c r="I651" s="111"/>
      <c r="J651" s="111"/>
      <c r="K651" s="111"/>
      <c r="L651" s="111"/>
      <c r="M651" s="111"/>
      <c r="N651" s="100"/>
      <c r="O651" s="29"/>
      <c r="P651" s="29"/>
      <c r="Q651" s="29"/>
      <c r="R651" s="29"/>
      <c r="S651" s="100"/>
      <c r="T651" s="100"/>
      <c r="U651" s="100"/>
      <c r="V651" s="100"/>
      <c r="W651" s="100"/>
      <c r="X651" s="100"/>
      <c r="Y651" s="100"/>
      <c r="Z651" s="100"/>
      <c r="AA651" s="228"/>
      <c r="AB651" s="228"/>
      <c r="AC651" s="228"/>
      <c r="AD651" s="228"/>
      <c r="AE651" s="228"/>
      <c r="AF651" s="228"/>
      <c r="AG651" s="228"/>
      <c r="AH651" s="228"/>
      <c r="AI651" s="228"/>
      <c r="AJ651" s="228"/>
      <c r="AK651" s="228"/>
      <c r="AL651" s="228"/>
      <c r="AM651" s="228"/>
      <c r="AN651" s="228"/>
      <c r="AO651" s="228"/>
      <c r="AP651" s="228"/>
      <c r="AQ651" s="228"/>
      <c r="AR651" s="228"/>
      <c r="AS651" s="228"/>
      <c r="AT651" s="228"/>
      <c r="AU651" s="228"/>
      <c r="AV651" s="228"/>
      <c r="AW651" s="228"/>
      <c r="AX651" s="228"/>
      <c r="AY651" s="228"/>
      <c r="AZ651" s="228"/>
      <c r="BA651" s="228"/>
      <c r="BB651" s="228"/>
      <c r="BC651" s="228"/>
      <c r="BD651" s="228"/>
      <c r="BE651" s="228"/>
      <c r="BF651" s="228"/>
      <c r="BG651" s="228"/>
      <c r="BH651" s="228"/>
      <c r="BI651" s="228"/>
      <c r="BJ651" s="228"/>
      <c r="BK651" s="221"/>
      <c r="BL651" s="221"/>
    </row>
    <row r="652" spans="1:64" hidden="1" outlineLevel="1">
      <c r="A652" s="9"/>
      <c r="B652" s="9"/>
      <c r="C652" s="44"/>
      <c r="D652" s="270">
        <f>Asset20</f>
        <v>0</v>
      </c>
      <c r="E652" s="9"/>
      <c r="F652" s="9"/>
      <c r="G652" s="350">
        <f>Input!N26</f>
        <v>0</v>
      </c>
      <c r="H652" s="111"/>
      <c r="I652" s="111"/>
      <c r="J652" s="111"/>
      <c r="K652" s="111"/>
      <c r="L652" s="111"/>
      <c r="M652" s="111"/>
      <c r="N652" s="100"/>
      <c r="O652" s="29"/>
      <c r="P652" s="29"/>
      <c r="Q652" s="29"/>
      <c r="R652" s="29"/>
      <c r="S652" s="100"/>
      <c r="T652" s="100"/>
      <c r="U652" s="100"/>
      <c r="V652" s="100"/>
      <c r="W652" s="100"/>
      <c r="X652" s="100"/>
      <c r="Y652" s="100"/>
      <c r="Z652" s="100"/>
      <c r="AA652" s="228"/>
      <c r="AB652" s="228"/>
      <c r="AC652" s="228"/>
      <c r="AD652" s="228"/>
      <c r="AE652" s="228"/>
      <c r="AF652" s="228"/>
      <c r="AG652" s="228"/>
      <c r="AH652" s="228"/>
      <c r="AI652" s="228"/>
      <c r="AJ652" s="228"/>
      <c r="AK652" s="228"/>
      <c r="AL652" s="228"/>
      <c r="AM652" s="228"/>
      <c r="AN652" s="228"/>
      <c r="AO652" s="228"/>
      <c r="AP652" s="228"/>
      <c r="AQ652" s="228"/>
      <c r="AR652" s="228"/>
      <c r="AS652" s="228"/>
      <c r="AT652" s="228"/>
      <c r="AU652" s="228"/>
      <c r="AV652" s="228"/>
      <c r="AW652" s="228"/>
      <c r="AX652" s="228"/>
      <c r="AY652" s="228"/>
      <c r="AZ652" s="228"/>
      <c r="BA652" s="228"/>
      <c r="BB652" s="228"/>
      <c r="BC652" s="228"/>
      <c r="BD652" s="228"/>
      <c r="BE652" s="228"/>
      <c r="BF652" s="228"/>
      <c r="BG652" s="228"/>
      <c r="BH652" s="228"/>
      <c r="BI652" s="228"/>
      <c r="BJ652" s="228"/>
      <c r="BK652" s="221"/>
      <c r="BL652" s="221"/>
    </row>
    <row r="653" spans="1:64" hidden="1" outlineLevel="1">
      <c r="A653" s="9"/>
      <c r="B653" s="9"/>
      <c r="C653" s="44"/>
      <c r="D653" s="270">
        <f>Asset21</f>
        <v>0</v>
      </c>
      <c r="E653" s="9"/>
      <c r="F653" s="9"/>
      <c r="G653" s="350">
        <f>Input!N27</f>
        <v>0</v>
      </c>
      <c r="H653" s="111"/>
      <c r="I653" s="111"/>
      <c r="J653" s="111"/>
      <c r="K653" s="111"/>
      <c r="L653" s="111"/>
      <c r="M653" s="111"/>
      <c r="N653" s="100"/>
      <c r="O653" s="29"/>
      <c r="P653" s="29"/>
      <c r="Q653" s="29"/>
      <c r="R653" s="29"/>
      <c r="S653" s="100"/>
      <c r="T653" s="100"/>
      <c r="U653" s="100"/>
      <c r="V653" s="100"/>
      <c r="W653" s="100"/>
      <c r="X653" s="100"/>
      <c r="Y653" s="100"/>
      <c r="Z653" s="100"/>
      <c r="AA653" s="228"/>
      <c r="AB653" s="228"/>
      <c r="AC653" s="228"/>
      <c r="AD653" s="228"/>
      <c r="AE653" s="228"/>
      <c r="AF653" s="228"/>
      <c r="AG653" s="228"/>
      <c r="AH653" s="228"/>
      <c r="AI653" s="228"/>
      <c r="AJ653" s="228"/>
      <c r="AK653" s="228"/>
      <c r="AL653" s="228"/>
      <c r="AM653" s="228"/>
      <c r="AN653" s="228"/>
      <c r="AO653" s="228"/>
      <c r="AP653" s="228"/>
      <c r="AQ653" s="228"/>
      <c r="AR653" s="228"/>
      <c r="AS653" s="228"/>
      <c r="AT653" s="228"/>
      <c r="AU653" s="228"/>
      <c r="AV653" s="228"/>
      <c r="AW653" s="228"/>
      <c r="AX653" s="228"/>
      <c r="AY653" s="228"/>
      <c r="AZ653" s="228"/>
      <c r="BA653" s="228"/>
      <c r="BB653" s="228"/>
      <c r="BC653" s="228"/>
      <c r="BD653" s="228"/>
      <c r="BE653" s="228"/>
      <c r="BF653" s="228"/>
      <c r="BG653" s="228"/>
      <c r="BH653" s="228"/>
      <c r="BI653" s="228"/>
      <c r="BJ653" s="228"/>
      <c r="BK653" s="221"/>
      <c r="BL653" s="221"/>
    </row>
    <row r="654" spans="1:64" hidden="1" outlineLevel="1">
      <c r="A654" s="9"/>
      <c r="B654" s="9"/>
      <c r="C654" s="44"/>
      <c r="D654" s="270">
        <f>Asset22</f>
        <v>0</v>
      </c>
      <c r="E654" s="9"/>
      <c r="F654" s="9"/>
      <c r="G654" s="350">
        <f>Input!N28</f>
        <v>0</v>
      </c>
      <c r="H654" s="111"/>
      <c r="I654" s="111"/>
      <c r="J654" s="111"/>
      <c r="K654" s="111"/>
      <c r="L654" s="111"/>
      <c r="M654" s="111"/>
      <c r="N654" s="100"/>
      <c r="O654" s="29"/>
      <c r="P654" s="29"/>
      <c r="Q654" s="29"/>
      <c r="R654" s="29"/>
      <c r="S654" s="100"/>
      <c r="T654" s="100"/>
      <c r="U654" s="100"/>
      <c r="V654" s="100"/>
      <c r="W654" s="100"/>
      <c r="X654" s="100"/>
      <c r="Y654" s="100"/>
      <c r="Z654" s="100"/>
      <c r="AA654" s="228"/>
      <c r="AB654" s="228"/>
      <c r="AC654" s="228"/>
      <c r="AD654" s="228"/>
      <c r="AE654" s="228"/>
      <c r="AF654" s="228"/>
      <c r="AG654" s="228"/>
      <c r="AH654" s="228"/>
      <c r="AI654" s="228"/>
      <c r="AJ654" s="228"/>
      <c r="AK654" s="228"/>
      <c r="AL654" s="228"/>
      <c r="AM654" s="228"/>
      <c r="AN654" s="228"/>
      <c r="AO654" s="228"/>
      <c r="AP654" s="228"/>
      <c r="AQ654" s="228"/>
      <c r="AR654" s="228"/>
      <c r="AS654" s="228"/>
      <c r="AT654" s="228"/>
      <c r="AU654" s="228"/>
      <c r="AV654" s="228"/>
      <c r="AW654" s="228"/>
      <c r="AX654" s="228"/>
      <c r="AY654" s="228"/>
      <c r="AZ654" s="228"/>
      <c r="BA654" s="228"/>
      <c r="BB654" s="228"/>
      <c r="BC654" s="228"/>
      <c r="BD654" s="228"/>
      <c r="BE654" s="228"/>
      <c r="BF654" s="228"/>
      <c r="BG654" s="228"/>
      <c r="BH654" s="228"/>
      <c r="BI654" s="228"/>
      <c r="BJ654" s="228"/>
      <c r="BK654" s="221"/>
      <c r="BL654" s="221"/>
    </row>
    <row r="655" spans="1:64" hidden="1" outlineLevel="1">
      <c r="A655" s="9"/>
      <c r="B655" s="9"/>
      <c r="C655" s="44"/>
      <c r="D655" s="270">
        <f>Asset23</f>
        <v>0</v>
      </c>
      <c r="E655" s="9"/>
      <c r="F655" s="9"/>
      <c r="G655" s="350">
        <f>Input!N29</f>
        <v>0</v>
      </c>
      <c r="H655" s="111"/>
      <c r="I655" s="111"/>
      <c r="J655" s="111"/>
      <c r="K655" s="111"/>
      <c r="L655" s="111"/>
      <c r="M655" s="111"/>
      <c r="N655" s="100"/>
      <c r="O655" s="29"/>
      <c r="P655" s="29"/>
      <c r="Q655" s="29"/>
      <c r="R655" s="29"/>
      <c r="S655" s="100"/>
      <c r="T655" s="100"/>
      <c r="U655" s="100"/>
      <c r="V655" s="100"/>
      <c r="W655" s="100"/>
      <c r="X655" s="100"/>
      <c r="Y655" s="100"/>
      <c r="Z655" s="100"/>
      <c r="AA655" s="228"/>
      <c r="AB655" s="228"/>
      <c r="AC655" s="228"/>
      <c r="AD655" s="228"/>
      <c r="AE655" s="228"/>
      <c r="AF655" s="228"/>
      <c r="AG655" s="228"/>
      <c r="AH655" s="228"/>
      <c r="AI655" s="228"/>
      <c r="AJ655" s="228"/>
      <c r="AK655" s="228"/>
      <c r="AL655" s="228"/>
      <c r="AM655" s="228"/>
      <c r="AN655" s="228"/>
      <c r="AO655" s="228"/>
      <c r="AP655" s="228"/>
      <c r="AQ655" s="228"/>
      <c r="AR655" s="228"/>
      <c r="AS655" s="228"/>
      <c r="AT655" s="228"/>
      <c r="AU655" s="228"/>
      <c r="AV655" s="228"/>
      <c r="AW655" s="228"/>
      <c r="AX655" s="228"/>
      <c r="AY655" s="228"/>
      <c r="AZ655" s="228"/>
      <c r="BA655" s="228"/>
      <c r="BB655" s="228"/>
      <c r="BC655" s="228"/>
      <c r="BD655" s="228"/>
      <c r="BE655" s="228"/>
      <c r="BF655" s="228"/>
      <c r="BG655" s="228"/>
      <c r="BH655" s="228"/>
      <c r="BI655" s="228"/>
      <c r="BJ655" s="228"/>
      <c r="BK655" s="221"/>
      <c r="BL655" s="221"/>
    </row>
    <row r="656" spans="1:64" hidden="1" outlineLevel="1">
      <c r="A656" s="9"/>
      <c r="B656" s="9"/>
      <c r="C656" s="44"/>
      <c r="D656" s="270">
        <f>Asset24</f>
        <v>0</v>
      </c>
      <c r="E656" s="9"/>
      <c r="F656" s="9"/>
      <c r="G656" s="350">
        <f>Input!N30</f>
        <v>0</v>
      </c>
      <c r="H656" s="111"/>
      <c r="I656" s="111"/>
      <c r="J656" s="111"/>
      <c r="K656" s="111"/>
      <c r="L656" s="111"/>
      <c r="M656" s="111"/>
      <c r="N656" s="100"/>
      <c r="O656" s="29"/>
      <c r="P656" s="29"/>
      <c r="Q656" s="29"/>
      <c r="R656" s="29"/>
      <c r="S656" s="100"/>
      <c r="T656" s="100"/>
      <c r="U656" s="100"/>
      <c r="V656" s="100"/>
      <c r="W656" s="100"/>
      <c r="X656" s="100"/>
      <c r="Y656" s="100"/>
      <c r="Z656" s="100"/>
      <c r="AA656" s="228"/>
      <c r="AB656" s="228"/>
      <c r="AC656" s="228"/>
      <c r="AD656" s="228"/>
      <c r="AE656" s="228"/>
      <c r="AF656" s="228"/>
      <c r="AG656" s="228"/>
      <c r="AH656" s="228"/>
      <c r="AI656" s="228"/>
      <c r="AJ656" s="228"/>
      <c r="AK656" s="228"/>
      <c r="AL656" s="228"/>
      <c r="AM656" s="228"/>
      <c r="AN656" s="228"/>
      <c r="AO656" s="228"/>
      <c r="AP656" s="228"/>
      <c r="AQ656" s="228"/>
      <c r="AR656" s="228"/>
      <c r="AS656" s="228"/>
      <c r="AT656" s="228"/>
      <c r="AU656" s="228"/>
      <c r="AV656" s="228"/>
      <c r="AW656" s="228"/>
      <c r="AX656" s="228"/>
      <c r="AY656" s="228"/>
      <c r="AZ656" s="228"/>
      <c r="BA656" s="228"/>
      <c r="BB656" s="228"/>
      <c r="BC656" s="228"/>
      <c r="BD656" s="228"/>
      <c r="BE656" s="228"/>
      <c r="BF656" s="228"/>
      <c r="BG656" s="228"/>
      <c r="BH656" s="228"/>
      <c r="BI656" s="228"/>
      <c r="BJ656" s="228"/>
      <c r="BK656" s="221"/>
      <c r="BL656" s="221"/>
    </row>
    <row r="657" spans="1:64" hidden="1" outlineLevel="1">
      <c r="A657" s="9"/>
      <c r="B657" s="9"/>
      <c r="C657" s="44"/>
      <c r="D657" s="270">
        <f>Asset25</f>
        <v>0</v>
      </c>
      <c r="E657" s="9"/>
      <c r="F657" s="9"/>
      <c r="G657" s="350">
        <f>Input!N31</f>
        <v>0</v>
      </c>
      <c r="H657" s="111"/>
      <c r="I657" s="111"/>
      <c r="J657" s="111"/>
      <c r="K657" s="111"/>
      <c r="L657" s="111"/>
      <c r="M657" s="111"/>
      <c r="N657" s="100"/>
      <c r="O657" s="29"/>
      <c r="P657" s="29"/>
      <c r="Q657" s="29"/>
      <c r="R657" s="29"/>
      <c r="S657" s="100"/>
      <c r="T657" s="100"/>
      <c r="U657" s="100"/>
      <c r="V657" s="100"/>
      <c r="W657" s="100"/>
      <c r="X657" s="100"/>
      <c r="Y657" s="100"/>
      <c r="Z657" s="100"/>
      <c r="AA657" s="228"/>
      <c r="AB657" s="228"/>
      <c r="AC657" s="228"/>
      <c r="AD657" s="228"/>
      <c r="AE657" s="228"/>
      <c r="AF657" s="228"/>
      <c r="AG657" s="228"/>
      <c r="AH657" s="228"/>
      <c r="AI657" s="228"/>
      <c r="AJ657" s="228"/>
      <c r="AK657" s="228"/>
      <c r="AL657" s="228"/>
      <c r="AM657" s="228"/>
      <c r="AN657" s="228"/>
      <c r="AO657" s="228"/>
      <c r="AP657" s="228"/>
      <c r="AQ657" s="228"/>
      <c r="AR657" s="228"/>
      <c r="AS657" s="228"/>
      <c r="AT657" s="228"/>
      <c r="AU657" s="228"/>
      <c r="AV657" s="228"/>
      <c r="AW657" s="228"/>
      <c r="AX657" s="228"/>
      <c r="AY657" s="228"/>
      <c r="AZ657" s="228"/>
      <c r="BA657" s="228"/>
      <c r="BB657" s="228"/>
      <c r="BC657" s="228"/>
      <c r="BD657" s="228"/>
      <c r="BE657" s="228"/>
      <c r="BF657" s="228"/>
      <c r="BG657" s="228"/>
      <c r="BH657" s="228"/>
      <c r="BI657" s="228"/>
      <c r="BJ657" s="228"/>
      <c r="BK657" s="221"/>
      <c r="BL657" s="221"/>
    </row>
    <row r="658" spans="1:64" hidden="1" outlineLevel="1">
      <c r="A658" s="9"/>
      <c r="B658" s="9"/>
      <c r="C658" s="44"/>
      <c r="D658" s="270">
        <f>Asset26</f>
        <v>0</v>
      </c>
      <c r="E658" s="9"/>
      <c r="F658" s="9"/>
      <c r="G658" s="350">
        <f>Input!N32</f>
        <v>0</v>
      </c>
      <c r="H658" s="111"/>
      <c r="I658" s="111"/>
      <c r="J658" s="111"/>
      <c r="K658" s="111"/>
      <c r="L658" s="111"/>
      <c r="M658" s="111"/>
      <c r="N658" s="100"/>
      <c r="O658" s="29"/>
      <c r="P658" s="29"/>
      <c r="Q658" s="29"/>
      <c r="R658" s="29"/>
      <c r="S658" s="100"/>
      <c r="T658" s="100"/>
      <c r="U658" s="100"/>
      <c r="V658" s="100"/>
      <c r="W658" s="100"/>
      <c r="X658" s="100"/>
      <c r="Y658" s="100"/>
      <c r="Z658" s="100"/>
      <c r="AA658" s="228"/>
      <c r="AB658" s="228"/>
      <c r="AC658" s="228"/>
      <c r="AD658" s="228"/>
      <c r="AE658" s="228"/>
      <c r="AF658" s="228"/>
      <c r="AG658" s="228"/>
      <c r="AH658" s="228"/>
      <c r="AI658" s="228"/>
      <c r="AJ658" s="228"/>
      <c r="AK658" s="228"/>
      <c r="AL658" s="228"/>
      <c r="AM658" s="228"/>
      <c r="AN658" s="228"/>
      <c r="AO658" s="228"/>
      <c r="AP658" s="228"/>
      <c r="AQ658" s="228"/>
      <c r="AR658" s="228"/>
      <c r="AS658" s="228"/>
      <c r="AT658" s="228"/>
      <c r="AU658" s="228"/>
      <c r="AV658" s="228"/>
      <c r="AW658" s="228"/>
      <c r="AX658" s="228"/>
      <c r="AY658" s="228"/>
      <c r="AZ658" s="228"/>
      <c r="BA658" s="228"/>
      <c r="BB658" s="228"/>
      <c r="BC658" s="228"/>
      <c r="BD658" s="228"/>
      <c r="BE658" s="228"/>
      <c r="BF658" s="228"/>
      <c r="BG658" s="228"/>
      <c r="BH658" s="228"/>
      <c r="BI658" s="228"/>
      <c r="BJ658" s="228"/>
      <c r="BK658" s="221"/>
      <c r="BL658" s="221"/>
    </row>
    <row r="659" spans="1:64" hidden="1" outlineLevel="1">
      <c r="A659" s="9"/>
      <c r="B659" s="9"/>
      <c r="C659" s="44"/>
      <c r="D659" s="270">
        <f>Asset27</f>
        <v>0</v>
      </c>
      <c r="E659" s="9"/>
      <c r="F659" s="9"/>
      <c r="G659" s="350">
        <f>Input!N33</f>
        <v>0</v>
      </c>
      <c r="H659" s="111"/>
      <c r="I659" s="111"/>
      <c r="J659" s="111"/>
      <c r="K659" s="111"/>
      <c r="L659" s="111"/>
      <c r="M659" s="111"/>
      <c r="N659" s="100"/>
      <c r="O659" s="29"/>
      <c r="P659" s="29"/>
      <c r="Q659" s="29"/>
      <c r="R659" s="29"/>
      <c r="S659" s="100"/>
      <c r="T659" s="100"/>
      <c r="U659" s="100"/>
      <c r="V659" s="100"/>
      <c r="W659" s="100"/>
      <c r="X659" s="100"/>
      <c r="Y659" s="100"/>
      <c r="Z659" s="100"/>
      <c r="AA659" s="228"/>
      <c r="AB659" s="228"/>
      <c r="AC659" s="228"/>
      <c r="AD659" s="228"/>
      <c r="AE659" s="228"/>
      <c r="AF659" s="228"/>
      <c r="AG659" s="228"/>
      <c r="AH659" s="228"/>
      <c r="AI659" s="228"/>
      <c r="AJ659" s="228"/>
      <c r="AK659" s="228"/>
      <c r="AL659" s="228"/>
      <c r="AM659" s="228"/>
      <c r="AN659" s="228"/>
      <c r="AO659" s="228"/>
      <c r="AP659" s="228"/>
      <c r="AQ659" s="228"/>
      <c r="AR659" s="228"/>
      <c r="AS659" s="228"/>
      <c r="AT659" s="228"/>
      <c r="AU659" s="228"/>
      <c r="AV659" s="228"/>
      <c r="AW659" s="228"/>
      <c r="AX659" s="228"/>
      <c r="AY659" s="228"/>
      <c r="AZ659" s="228"/>
      <c r="BA659" s="228"/>
      <c r="BB659" s="228"/>
      <c r="BC659" s="228"/>
      <c r="BD659" s="228"/>
      <c r="BE659" s="228"/>
      <c r="BF659" s="228"/>
      <c r="BG659" s="228"/>
      <c r="BH659" s="228"/>
      <c r="BI659" s="228"/>
      <c r="BJ659" s="228"/>
      <c r="BK659" s="221"/>
      <c r="BL659" s="221"/>
    </row>
    <row r="660" spans="1:64" hidden="1" outlineLevel="1">
      <c r="A660" s="9"/>
      <c r="B660" s="9"/>
      <c r="C660" s="44"/>
      <c r="D660" s="270">
        <f>Asset28</f>
        <v>0</v>
      </c>
      <c r="E660" s="9"/>
      <c r="F660" s="9"/>
      <c r="G660" s="350">
        <f>Input!N34</f>
        <v>0</v>
      </c>
      <c r="H660" s="111"/>
      <c r="I660" s="111"/>
      <c r="J660" s="111"/>
      <c r="K660" s="111"/>
      <c r="L660" s="111"/>
      <c r="M660" s="111"/>
      <c r="N660" s="100"/>
      <c r="O660" s="29"/>
      <c r="P660" s="29"/>
      <c r="Q660" s="29"/>
      <c r="R660" s="29"/>
      <c r="S660" s="100"/>
      <c r="T660" s="100"/>
      <c r="U660" s="100"/>
      <c r="V660" s="100"/>
      <c r="W660" s="100"/>
      <c r="X660" s="100"/>
      <c r="Y660" s="100"/>
      <c r="Z660" s="100"/>
      <c r="AA660" s="228"/>
      <c r="AB660" s="228"/>
      <c r="AC660" s="228"/>
      <c r="AD660" s="228"/>
      <c r="AE660" s="228"/>
      <c r="AF660" s="228"/>
      <c r="AG660" s="228"/>
      <c r="AH660" s="228"/>
      <c r="AI660" s="228"/>
      <c r="AJ660" s="228"/>
      <c r="AK660" s="228"/>
      <c r="AL660" s="228"/>
      <c r="AM660" s="228"/>
      <c r="AN660" s="228"/>
      <c r="AO660" s="228"/>
      <c r="AP660" s="228"/>
      <c r="AQ660" s="228"/>
      <c r="AR660" s="228"/>
      <c r="AS660" s="228"/>
      <c r="AT660" s="228"/>
      <c r="AU660" s="228"/>
      <c r="AV660" s="228"/>
      <c r="AW660" s="228"/>
      <c r="AX660" s="228"/>
      <c r="AY660" s="228"/>
      <c r="AZ660" s="228"/>
      <c r="BA660" s="228"/>
      <c r="BB660" s="228"/>
      <c r="BC660" s="228"/>
      <c r="BD660" s="228"/>
      <c r="BE660" s="228"/>
      <c r="BF660" s="228"/>
      <c r="BG660" s="228"/>
      <c r="BH660" s="228"/>
      <c r="BI660" s="228"/>
      <c r="BJ660" s="228"/>
      <c r="BK660" s="221"/>
      <c r="BL660" s="221"/>
    </row>
    <row r="661" spans="1:64" hidden="1" outlineLevel="1">
      <c r="A661" s="9"/>
      <c r="B661" s="9"/>
      <c r="C661" s="44"/>
      <c r="D661" s="270">
        <f>Asset29</f>
        <v>0</v>
      </c>
      <c r="E661" s="9"/>
      <c r="F661" s="9"/>
      <c r="G661" s="350">
        <f>Input!N35</f>
        <v>0</v>
      </c>
      <c r="H661" s="111"/>
      <c r="I661" s="111"/>
      <c r="J661" s="111"/>
      <c r="K661" s="111"/>
      <c r="L661" s="111"/>
      <c r="M661" s="111"/>
      <c r="N661" s="100"/>
      <c r="O661" s="29"/>
      <c r="P661" s="29"/>
      <c r="Q661" s="29"/>
      <c r="R661" s="29"/>
      <c r="S661" s="100"/>
      <c r="T661" s="100"/>
      <c r="U661" s="100"/>
      <c r="V661" s="100"/>
      <c r="W661" s="100"/>
      <c r="X661" s="100"/>
      <c r="Y661" s="100"/>
      <c r="Z661" s="100"/>
      <c r="AA661" s="228"/>
      <c r="AB661" s="228"/>
      <c r="AC661" s="228"/>
      <c r="AD661" s="228"/>
      <c r="AE661" s="228"/>
      <c r="AF661" s="228"/>
      <c r="AG661" s="228"/>
      <c r="AH661" s="228"/>
      <c r="AI661" s="228"/>
      <c r="AJ661" s="228"/>
      <c r="AK661" s="228"/>
      <c r="AL661" s="228"/>
      <c r="AM661" s="228"/>
      <c r="AN661" s="228"/>
      <c r="AO661" s="228"/>
      <c r="AP661" s="228"/>
      <c r="AQ661" s="228"/>
      <c r="AR661" s="228"/>
      <c r="AS661" s="228"/>
      <c r="AT661" s="228"/>
      <c r="AU661" s="228"/>
      <c r="AV661" s="228"/>
      <c r="AW661" s="228"/>
      <c r="AX661" s="228"/>
      <c r="AY661" s="228"/>
      <c r="AZ661" s="228"/>
      <c r="BA661" s="228"/>
      <c r="BB661" s="228"/>
      <c r="BC661" s="228"/>
      <c r="BD661" s="228"/>
      <c r="BE661" s="228"/>
      <c r="BF661" s="228"/>
      <c r="BG661" s="228"/>
      <c r="BH661" s="228"/>
      <c r="BI661" s="228"/>
      <c r="BJ661" s="228"/>
      <c r="BK661" s="221"/>
      <c r="BL661" s="221"/>
    </row>
    <row r="662" spans="1:64" hidden="1" outlineLevel="1">
      <c r="A662" s="9"/>
      <c r="B662" s="9"/>
      <c r="C662" s="44"/>
      <c r="D662" s="270">
        <f>Asset30</f>
        <v>0</v>
      </c>
      <c r="E662" s="9"/>
      <c r="F662" s="9"/>
      <c r="G662" s="350">
        <f>Input!N36</f>
        <v>0</v>
      </c>
      <c r="H662" s="111"/>
      <c r="I662" s="111"/>
      <c r="J662" s="111"/>
      <c r="K662" s="111"/>
      <c r="L662" s="111"/>
      <c r="M662" s="111"/>
      <c r="N662" s="100"/>
      <c r="O662" s="29"/>
      <c r="P662" s="29"/>
      <c r="Q662" s="29"/>
      <c r="R662" s="29"/>
      <c r="S662" s="100"/>
      <c r="T662" s="100"/>
      <c r="U662" s="100"/>
      <c r="V662" s="100"/>
      <c r="W662" s="100"/>
      <c r="X662" s="100"/>
      <c r="Y662" s="100"/>
      <c r="Z662" s="100"/>
      <c r="AA662" s="228"/>
      <c r="AB662" s="228"/>
      <c r="AC662" s="228"/>
      <c r="AD662" s="228"/>
      <c r="AE662" s="228"/>
      <c r="AF662" s="228"/>
      <c r="AG662" s="228"/>
      <c r="AH662" s="228"/>
      <c r="AI662" s="228"/>
      <c r="AJ662" s="228"/>
      <c r="AK662" s="228"/>
      <c r="AL662" s="228"/>
      <c r="AM662" s="228"/>
      <c r="AN662" s="228"/>
      <c r="AO662" s="228"/>
      <c r="AP662" s="228"/>
      <c r="AQ662" s="228"/>
      <c r="AR662" s="228"/>
      <c r="AS662" s="228"/>
      <c r="AT662" s="228"/>
      <c r="AU662" s="228"/>
      <c r="AV662" s="228"/>
      <c r="AW662" s="228"/>
      <c r="AX662" s="228"/>
      <c r="AY662" s="228"/>
      <c r="AZ662" s="228"/>
      <c r="BA662" s="228"/>
      <c r="BB662" s="228"/>
      <c r="BC662" s="228"/>
      <c r="BD662" s="228"/>
      <c r="BE662" s="228"/>
      <c r="BF662" s="228"/>
      <c r="BG662" s="228"/>
      <c r="BH662" s="228"/>
      <c r="BI662" s="228"/>
      <c r="BJ662" s="228"/>
      <c r="BK662" s="221"/>
      <c r="BL662" s="221"/>
    </row>
    <row r="663" spans="1:64" collapsed="1">
      <c r="A663" s="9"/>
      <c r="B663" s="9"/>
      <c r="C663" s="44"/>
      <c r="D663" s="127"/>
      <c r="E663" s="9"/>
      <c r="F663" s="9"/>
      <c r="G663" s="139"/>
      <c r="H663" s="111"/>
      <c r="I663" s="111"/>
      <c r="J663" s="111"/>
      <c r="K663" s="111"/>
      <c r="L663" s="111"/>
      <c r="M663" s="111"/>
      <c r="N663" s="100"/>
      <c r="O663" s="29"/>
      <c r="P663" s="29"/>
      <c r="Q663" s="29"/>
      <c r="R663" s="29"/>
      <c r="S663" s="100"/>
      <c r="T663" s="100"/>
      <c r="U663" s="100"/>
      <c r="V663" s="100"/>
      <c r="W663" s="100"/>
      <c r="X663" s="100"/>
      <c r="Y663" s="100"/>
      <c r="Z663" s="100"/>
      <c r="AA663" s="228"/>
      <c r="AB663" s="228"/>
      <c r="AC663" s="228"/>
      <c r="AD663" s="228"/>
      <c r="AE663" s="228"/>
      <c r="AF663" s="228"/>
      <c r="AG663" s="228"/>
      <c r="AH663" s="228"/>
      <c r="AI663" s="228"/>
      <c r="AJ663" s="228"/>
      <c r="AK663" s="228"/>
      <c r="AL663" s="228"/>
      <c r="AM663" s="228"/>
      <c r="AN663" s="228"/>
      <c r="AO663" s="228"/>
      <c r="AP663" s="228"/>
      <c r="AQ663" s="228"/>
      <c r="AR663" s="228"/>
      <c r="AS663" s="228"/>
      <c r="AT663" s="228"/>
      <c r="AU663" s="228"/>
      <c r="AV663" s="228"/>
      <c r="AW663" s="228"/>
      <c r="AX663" s="228"/>
      <c r="AY663" s="228"/>
      <c r="AZ663" s="228"/>
      <c r="BA663" s="228"/>
      <c r="BB663" s="228"/>
      <c r="BC663" s="228"/>
      <c r="BD663" s="228"/>
      <c r="BE663" s="228"/>
      <c r="BF663" s="228"/>
      <c r="BG663" s="228"/>
      <c r="BH663" s="228"/>
      <c r="BI663" s="228"/>
      <c r="BJ663" s="228"/>
      <c r="BK663" s="221"/>
      <c r="BL663" s="221"/>
    </row>
    <row r="664" spans="1:64">
      <c r="A664" s="74"/>
      <c r="B664" s="74"/>
      <c r="C664" s="81" t="s">
        <v>90</v>
      </c>
      <c r="D664" s="248"/>
      <c r="E664" s="74"/>
      <c r="F664" s="74"/>
      <c r="G664" s="180"/>
      <c r="H664" s="182"/>
      <c r="I664" s="182"/>
      <c r="J664" s="182"/>
      <c r="K664" s="182"/>
      <c r="L664" s="182"/>
      <c r="M664" s="182"/>
      <c r="N664" s="249"/>
      <c r="O664" s="249"/>
      <c r="P664" s="249"/>
      <c r="Q664" s="249"/>
      <c r="R664" s="249"/>
      <c r="S664" s="100"/>
      <c r="T664" s="100"/>
      <c r="U664" s="100"/>
      <c r="V664" s="100"/>
      <c r="W664" s="100"/>
      <c r="X664" s="100"/>
      <c r="Y664" s="100"/>
      <c r="Z664" s="100"/>
      <c r="AA664" s="228"/>
      <c r="AB664" s="228"/>
      <c r="AC664" s="228"/>
      <c r="AD664" s="228"/>
      <c r="AE664" s="228"/>
      <c r="AF664" s="228"/>
      <c r="AG664" s="228"/>
      <c r="AH664" s="228"/>
      <c r="AI664" s="228"/>
      <c r="AJ664" s="228"/>
      <c r="AK664" s="228"/>
      <c r="AL664" s="228"/>
      <c r="AM664" s="228"/>
      <c r="AN664" s="228"/>
      <c r="AO664" s="228"/>
      <c r="AP664" s="228"/>
      <c r="AQ664" s="228"/>
      <c r="AR664" s="228"/>
      <c r="AS664" s="228"/>
      <c r="AT664" s="228"/>
      <c r="AU664" s="228"/>
      <c r="AV664" s="228"/>
      <c r="AW664" s="228"/>
      <c r="AX664" s="228"/>
      <c r="AY664" s="228"/>
      <c r="AZ664" s="228"/>
      <c r="BA664" s="228"/>
      <c r="BB664" s="228"/>
      <c r="BC664" s="228"/>
      <c r="BD664" s="228"/>
      <c r="BE664" s="228"/>
      <c r="BF664" s="228"/>
      <c r="BG664" s="228"/>
      <c r="BH664" s="228"/>
      <c r="BI664" s="228"/>
      <c r="BJ664" s="228"/>
      <c r="BK664" s="221"/>
      <c r="BL664" s="221"/>
    </row>
    <row r="665" spans="1:64">
      <c r="A665" s="9"/>
      <c r="B665" s="9"/>
      <c r="C665" s="17"/>
      <c r="D665" s="127"/>
      <c r="E665" s="9"/>
      <c r="F665" s="9"/>
      <c r="G665" s="139"/>
      <c r="H665" s="111"/>
      <c r="I665" s="111"/>
      <c r="J665" s="111"/>
      <c r="K665" s="111"/>
      <c r="L665" s="111"/>
      <c r="M665" s="111"/>
      <c r="N665" s="100"/>
      <c r="O665" s="29"/>
      <c r="P665" s="29"/>
      <c r="Q665" s="29"/>
      <c r="R665" s="29"/>
      <c r="S665" s="100"/>
      <c r="T665" s="100"/>
      <c r="U665" s="100"/>
      <c r="V665" s="100"/>
      <c r="W665" s="100"/>
      <c r="X665" s="100"/>
      <c r="Y665" s="100"/>
      <c r="Z665" s="100"/>
      <c r="AA665" s="228"/>
      <c r="AB665" s="228"/>
      <c r="AC665" s="228"/>
      <c r="AD665" s="228"/>
      <c r="AE665" s="228"/>
      <c r="AF665" s="228"/>
      <c r="AG665" s="228"/>
      <c r="AH665" s="228"/>
      <c r="AI665" s="228"/>
      <c r="AJ665" s="228"/>
      <c r="AK665" s="228"/>
      <c r="AL665" s="228"/>
      <c r="AM665" s="228"/>
      <c r="AN665" s="228"/>
      <c r="AO665" s="228"/>
      <c r="AP665" s="228"/>
      <c r="AQ665" s="228"/>
      <c r="AR665" s="228"/>
      <c r="AS665" s="228"/>
      <c r="AT665" s="228"/>
      <c r="AU665" s="228"/>
      <c r="AV665" s="228"/>
      <c r="AW665" s="228"/>
      <c r="AX665" s="228"/>
      <c r="AY665" s="228"/>
      <c r="AZ665" s="228"/>
      <c r="BA665" s="228"/>
      <c r="BB665" s="228"/>
      <c r="BC665" s="228"/>
      <c r="BD665" s="228"/>
      <c r="BE665" s="228"/>
      <c r="BF665" s="228"/>
      <c r="BG665" s="228"/>
      <c r="BH665" s="228"/>
      <c r="BI665" s="228"/>
      <c r="BJ665" s="228"/>
      <c r="BK665" s="221"/>
      <c r="BL665" s="221"/>
    </row>
    <row r="666" spans="1:64">
      <c r="A666" s="12"/>
      <c r="B666" s="12"/>
      <c r="C666" s="90" t="s">
        <v>87</v>
      </c>
      <c r="D666" s="113"/>
      <c r="E666" s="90"/>
      <c r="F666" s="90"/>
      <c r="G666" s="314">
        <f>SUM(G667:G696)</f>
        <v>2058.3500292795416</v>
      </c>
      <c r="H666" s="314">
        <f>SUM(H667:H696)</f>
        <v>2188.4180220726726</v>
      </c>
      <c r="I666" s="314">
        <f t="shared" ref="I666:P666" si="31">SUM(I667:I696)</f>
        <v>2208.6910981523019</v>
      </c>
      <c r="J666" s="314">
        <f t="shared" si="31"/>
        <v>2258.8894557200347</v>
      </c>
      <c r="K666" s="314">
        <f t="shared" si="31"/>
        <v>2329.4712192319889</v>
      </c>
      <c r="L666" s="314">
        <f t="shared" si="31"/>
        <v>2396.4417657525819</v>
      </c>
      <c r="M666" s="314">
        <f t="shared" si="31"/>
        <v>2471.2211100288623</v>
      </c>
      <c r="N666" s="314">
        <f t="shared" si="31"/>
        <v>0</v>
      </c>
      <c r="O666" s="314">
        <f t="shared" si="31"/>
        <v>0</v>
      </c>
      <c r="P666" s="314">
        <f t="shared" si="31"/>
        <v>0</v>
      </c>
      <c r="Q666" s="314">
        <f>SUM(Q667:Q696)</f>
        <v>0</v>
      </c>
      <c r="R666" s="251"/>
      <c r="S666" s="100"/>
      <c r="T666" s="100"/>
      <c r="U666" s="100"/>
      <c r="V666" s="100"/>
      <c r="W666" s="100"/>
      <c r="X666" s="100"/>
      <c r="Y666" s="100"/>
      <c r="Z666" s="100"/>
      <c r="AA666" s="228"/>
      <c r="AB666" s="228"/>
      <c r="AC666" s="228"/>
      <c r="AD666" s="228"/>
      <c r="AE666" s="228"/>
      <c r="AF666" s="228"/>
      <c r="AG666" s="228"/>
      <c r="AH666" s="228"/>
      <c r="AI666" s="228"/>
      <c r="AJ666" s="228"/>
      <c r="AK666" s="228"/>
      <c r="AL666" s="228"/>
      <c r="AM666" s="228"/>
      <c r="AN666" s="228"/>
      <c r="AO666" s="228"/>
      <c r="AP666" s="228"/>
      <c r="AQ666" s="228"/>
      <c r="AR666" s="228"/>
      <c r="AS666" s="228"/>
      <c r="AT666" s="228"/>
      <c r="AU666" s="228"/>
      <c r="AV666" s="228"/>
      <c r="AW666" s="228"/>
      <c r="AX666" s="228"/>
      <c r="AY666" s="228"/>
      <c r="AZ666" s="228"/>
      <c r="BA666" s="228"/>
      <c r="BB666" s="228"/>
      <c r="BC666" s="228"/>
      <c r="BD666" s="228"/>
      <c r="BE666" s="228"/>
      <c r="BF666" s="228"/>
      <c r="BG666" s="228"/>
      <c r="BH666" s="228"/>
      <c r="BI666" s="228"/>
      <c r="BJ666" s="228"/>
      <c r="BK666" s="221"/>
      <c r="BL666" s="221"/>
    </row>
    <row r="667" spans="1:64" hidden="1" outlineLevel="1">
      <c r="A667" s="9"/>
      <c r="B667" s="12"/>
      <c r="C667" s="44"/>
      <c r="D667" s="270" t="str">
        <f>Asset1</f>
        <v>Secondary</v>
      </c>
      <c r="E667" s="12"/>
      <c r="F667" s="12"/>
      <c r="G667" s="201">
        <f t="shared" ref="G667:G696" si="32">G473+G505+G537+G569+G601</f>
        <v>124.97645303295877</v>
      </c>
      <c r="H667" s="153">
        <f t="shared" ref="H667:L676" si="33">H473+H505+H537</f>
        <v>136.88118482617858</v>
      </c>
      <c r="I667" s="153">
        <f t="shared" si="33"/>
        <v>123.04315752119351</v>
      </c>
      <c r="J667" s="153">
        <f t="shared" si="33"/>
        <v>117.09868012573659</v>
      </c>
      <c r="K667" s="153">
        <f t="shared" si="33"/>
        <v>111.46950962105612</v>
      </c>
      <c r="L667" s="153">
        <f t="shared" si="33"/>
        <v>124.50563246040605</v>
      </c>
      <c r="M667" s="153">
        <f t="shared" ref="M667" si="34">M473+M505+M537</f>
        <v>135.53976877246347</v>
      </c>
      <c r="N667" s="153">
        <f>IF(COUNT($H667:M667)&gt;=Input!$Y$7,0, N473+N505+N537)</f>
        <v>0</v>
      </c>
      <c r="O667" s="153">
        <f>IF(COUNT($H667:N667)&gt;=Input!$Y$7,0, O473+O505+O537)</f>
        <v>0</v>
      </c>
      <c r="P667" s="153">
        <f>IF(COUNT($H667:O667)&gt;=Input!$Y$7,0, P473+P505+P537)</f>
        <v>0</v>
      </c>
      <c r="Q667" s="153">
        <f>IF(COUNT($H667:P667)&gt;=Input!$Y$7,0, Q473+Q505+Q537)</f>
        <v>0</v>
      </c>
      <c r="R667" s="100"/>
      <c r="S667" s="100"/>
      <c r="T667" s="100"/>
      <c r="U667" s="100"/>
      <c r="V667" s="100"/>
      <c r="W667" s="100"/>
      <c r="X667" s="100"/>
      <c r="Y667" s="100"/>
      <c r="Z667" s="100"/>
      <c r="AA667" s="228"/>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228"/>
      <c r="BE667" s="228"/>
      <c r="BF667" s="228"/>
      <c r="BG667" s="228"/>
      <c r="BH667" s="228"/>
      <c r="BI667" s="228"/>
      <c r="BJ667" s="228"/>
      <c r="BK667" s="221"/>
      <c r="BL667" s="221"/>
    </row>
    <row r="668" spans="1:64" hidden="1" outlineLevel="1">
      <c r="A668" s="9"/>
      <c r="B668" s="12"/>
      <c r="C668" s="44"/>
      <c r="D668" s="270" t="str">
        <f>Asset2</f>
        <v>Switchgear</v>
      </c>
      <c r="E668" s="12"/>
      <c r="F668" s="12"/>
      <c r="G668" s="201">
        <f t="shared" si="32"/>
        <v>290.94955548198641</v>
      </c>
      <c r="H668" s="153">
        <f t="shared" si="33"/>
        <v>351.33088925520093</v>
      </c>
      <c r="I668" s="153">
        <f t="shared" si="33"/>
        <v>367.05025443942549</v>
      </c>
      <c r="J668" s="153">
        <f t="shared" si="33"/>
        <v>407.88928570698135</v>
      </c>
      <c r="K668" s="153">
        <f t="shared" si="33"/>
        <v>433.30793982679143</v>
      </c>
      <c r="L668" s="153">
        <f t="shared" si="33"/>
        <v>448.40099269190864</v>
      </c>
      <c r="M668" s="153">
        <f t="shared" ref="M668" si="35">M474+M506+M538</f>
        <v>480.04474493580483</v>
      </c>
      <c r="N668" s="153">
        <f>IF(COUNT($H668:M668)&gt;=Input!$Y$7,0, N474+N506+N538)</f>
        <v>0</v>
      </c>
      <c r="O668" s="153">
        <f>IF(COUNT($H668:N668)&gt;=Input!$Y$7,0, O474+O506+O538)</f>
        <v>0</v>
      </c>
      <c r="P668" s="153">
        <f>IF(COUNT($H668:O668)&gt;=Input!$Y$7,0, P474+P506+P538)</f>
        <v>0</v>
      </c>
      <c r="Q668" s="153">
        <f>IF(COUNT($H668:P668)&gt;=Input!$Y$7,0, Q474+Q506+Q538)</f>
        <v>0</v>
      </c>
      <c r="R668" s="100"/>
      <c r="S668" s="100"/>
      <c r="T668" s="100"/>
      <c r="U668" s="100"/>
      <c r="V668" s="100"/>
      <c r="W668" s="100"/>
      <c r="X668" s="100"/>
      <c r="Y668" s="100"/>
      <c r="Z668" s="100"/>
      <c r="AA668" s="228"/>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228"/>
      <c r="BE668" s="228"/>
      <c r="BF668" s="228"/>
      <c r="BG668" s="228"/>
      <c r="BH668" s="228"/>
      <c r="BI668" s="228"/>
      <c r="BJ668" s="228"/>
      <c r="BK668" s="221"/>
      <c r="BL668" s="221"/>
    </row>
    <row r="669" spans="1:64" hidden="1" outlineLevel="1">
      <c r="A669" s="9"/>
      <c r="B669" s="12"/>
      <c r="C669" s="44"/>
      <c r="D669" s="270" t="str">
        <f>Asset3</f>
        <v>Transformers</v>
      </c>
      <c r="E669" s="12"/>
      <c r="F669" s="12"/>
      <c r="G669" s="201">
        <f t="shared" si="32"/>
        <v>151.92795975892105</v>
      </c>
      <c r="H669" s="153">
        <f t="shared" si="33"/>
        <v>165.27110976612846</v>
      </c>
      <c r="I669" s="153">
        <f t="shared" si="33"/>
        <v>161.55503903169989</v>
      </c>
      <c r="J669" s="153">
        <f t="shared" si="33"/>
        <v>163.14314219511803</v>
      </c>
      <c r="K669" s="153">
        <f t="shared" si="33"/>
        <v>163.02281205349976</v>
      </c>
      <c r="L669" s="153">
        <f t="shared" si="33"/>
        <v>177.13153613094568</v>
      </c>
      <c r="M669" s="153">
        <f t="shared" ref="M669" si="36">M475+M507+M539</f>
        <v>200.74685799215581</v>
      </c>
      <c r="N669" s="153">
        <f>IF(COUNT($H669:M669)&gt;=Input!$Y$7,0, N475+N507+N539)</f>
        <v>0</v>
      </c>
      <c r="O669" s="153">
        <f>IF(COUNT($H669:N669)&gt;=Input!$Y$7,0, O475+O507+O539)</f>
        <v>0</v>
      </c>
      <c r="P669" s="153">
        <f>IF(COUNT($H669:O669)&gt;=Input!$Y$7,0, P475+P507+P539)</f>
        <v>0</v>
      </c>
      <c r="Q669" s="153">
        <f>IF(COUNT($H669:P669)&gt;=Input!$Y$7,0, Q475+Q507+Q539)</f>
        <v>0</v>
      </c>
      <c r="R669" s="100"/>
      <c r="S669" s="100"/>
      <c r="T669" s="100"/>
      <c r="U669" s="100"/>
      <c r="V669" s="100"/>
      <c r="W669" s="100"/>
      <c r="X669" s="100"/>
      <c r="Y669" s="100"/>
      <c r="Z669" s="100"/>
      <c r="AA669" s="228"/>
      <c r="AB669" s="228"/>
      <c r="AC669" s="228"/>
      <c r="AD669" s="228"/>
      <c r="AE669" s="228"/>
      <c r="AF669" s="228"/>
      <c r="AG669" s="228"/>
      <c r="AH669" s="228"/>
      <c r="AI669" s="228"/>
      <c r="AJ669" s="228"/>
      <c r="AK669" s="228"/>
      <c r="AL669" s="228"/>
      <c r="AM669" s="228"/>
      <c r="AN669" s="228"/>
      <c r="AO669" s="228"/>
      <c r="AP669" s="228"/>
      <c r="AQ669" s="228"/>
      <c r="AR669" s="228"/>
      <c r="AS669" s="228"/>
      <c r="AT669" s="228"/>
      <c r="AU669" s="228"/>
      <c r="AV669" s="228"/>
      <c r="AW669" s="228"/>
      <c r="AX669" s="228"/>
      <c r="AY669" s="228"/>
      <c r="AZ669" s="228"/>
      <c r="BA669" s="228"/>
      <c r="BB669" s="228"/>
      <c r="BC669" s="228"/>
      <c r="BD669" s="228"/>
      <c r="BE669" s="228"/>
      <c r="BF669" s="228"/>
      <c r="BG669" s="228"/>
      <c r="BH669" s="228"/>
      <c r="BI669" s="228"/>
      <c r="BJ669" s="228"/>
      <c r="BK669" s="221"/>
      <c r="BL669" s="221"/>
    </row>
    <row r="670" spans="1:64" hidden="1" outlineLevel="1">
      <c r="A670" s="9"/>
      <c r="B670" s="12"/>
      <c r="C670" s="44"/>
      <c r="D670" s="270" t="str">
        <f>Asset4</f>
        <v>Reactive</v>
      </c>
      <c r="E670" s="12"/>
      <c r="F670" s="12"/>
      <c r="G670" s="201">
        <f t="shared" si="32"/>
        <v>75.16503852371153</v>
      </c>
      <c r="H670" s="153">
        <f t="shared" si="33"/>
        <v>86.477314202673952</v>
      </c>
      <c r="I670" s="153">
        <f t="shared" si="33"/>
        <v>84.726169853517902</v>
      </c>
      <c r="J670" s="153">
        <f t="shared" si="33"/>
        <v>82.299615372201401</v>
      </c>
      <c r="K670" s="153">
        <f t="shared" si="33"/>
        <v>80.552432754387993</v>
      </c>
      <c r="L670" s="153">
        <f t="shared" si="33"/>
        <v>78.298814085973845</v>
      </c>
      <c r="M670" s="153">
        <f t="shared" ref="M670" si="37">M476+M508+M540</f>
        <v>75.993294804031194</v>
      </c>
      <c r="N670" s="153">
        <f>IF(COUNT($H670:M670)&gt;=Input!$Y$7,0, N476+N508+N540)</f>
        <v>0</v>
      </c>
      <c r="O670" s="153">
        <f>IF(COUNT($H670:N670)&gt;=Input!$Y$7,0, O476+O508+O540)</f>
        <v>0</v>
      </c>
      <c r="P670" s="153">
        <f>IF(COUNT($H670:O670)&gt;=Input!$Y$7,0, P476+P508+P540)</f>
        <v>0</v>
      </c>
      <c r="Q670" s="153">
        <f>IF(COUNT($H670:P670)&gt;=Input!$Y$7,0, Q476+Q508+Q540)</f>
        <v>0</v>
      </c>
      <c r="R670" s="100"/>
      <c r="S670" s="100"/>
      <c r="T670" s="100"/>
      <c r="U670" s="100"/>
      <c r="V670" s="100"/>
      <c r="W670" s="100"/>
      <c r="X670" s="100"/>
      <c r="Y670" s="100"/>
      <c r="Z670" s="100"/>
      <c r="AA670" s="228"/>
      <c r="AB670" s="228"/>
      <c r="AC670" s="228"/>
      <c r="AD670" s="228"/>
      <c r="AE670" s="228"/>
      <c r="AF670" s="228"/>
      <c r="AG670" s="228"/>
      <c r="AH670" s="228"/>
      <c r="AI670" s="228"/>
      <c r="AJ670" s="228"/>
      <c r="AK670" s="228"/>
      <c r="AL670" s="228"/>
      <c r="AM670" s="228"/>
      <c r="AN670" s="228"/>
      <c r="AO670" s="228"/>
      <c r="AP670" s="228"/>
      <c r="AQ670" s="228"/>
      <c r="AR670" s="228"/>
      <c r="AS670" s="228"/>
      <c r="AT670" s="228"/>
      <c r="AU670" s="228"/>
      <c r="AV670" s="228"/>
      <c r="AW670" s="228"/>
      <c r="AX670" s="228"/>
      <c r="AY670" s="228"/>
      <c r="AZ670" s="228"/>
      <c r="BA670" s="228"/>
      <c r="BB670" s="228"/>
      <c r="BC670" s="228"/>
      <c r="BD670" s="228"/>
      <c r="BE670" s="228"/>
      <c r="BF670" s="228"/>
      <c r="BG670" s="228"/>
      <c r="BH670" s="228"/>
      <c r="BI670" s="228"/>
      <c r="BJ670" s="228"/>
      <c r="BK670" s="221"/>
      <c r="BL670" s="221"/>
    </row>
    <row r="671" spans="1:64" hidden="1" outlineLevel="1">
      <c r="A671" s="9"/>
      <c r="B671" s="12"/>
      <c r="C671" s="44"/>
      <c r="D671" s="270" t="str">
        <f>Asset5</f>
        <v>Towers and Conductor</v>
      </c>
      <c r="E671" s="12"/>
      <c r="F671" s="12"/>
      <c r="G671" s="201">
        <f t="shared" si="32"/>
        <v>1034.3892730929531</v>
      </c>
      <c r="H671" s="153">
        <f t="shared" si="33"/>
        <v>1047.1153705241238</v>
      </c>
      <c r="I671" s="153">
        <f t="shared" si="33"/>
        <v>1050.2855849380508</v>
      </c>
      <c r="J671" s="153">
        <f t="shared" si="33"/>
        <v>1047.8759847141114</v>
      </c>
      <c r="K671" s="153">
        <f t="shared" si="33"/>
        <v>1081.9551242163773</v>
      </c>
      <c r="L671" s="153">
        <f t="shared" si="33"/>
        <v>1087.581723590361</v>
      </c>
      <c r="M671" s="153">
        <f t="shared" ref="M671" si="38">M477+M509+M541</f>
        <v>1075.4479882005051</v>
      </c>
      <c r="N671" s="153">
        <f>IF(COUNT($H671:M671)&gt;=Input!$Y$7,0, N477+N509+N541)</f>
        <v>0</v>
      </c>
      <c r="O671" s="153">
        <f>IF(COUNT($H671:N671)&gt;=Input!$Y$7,0, O477+O509+O541)</f>
        <v>0</v>
      </c>
      <c r="P671" s="153">
        <f>IF(COUNT($H671:O671)&gt;=Input!$Y$7,0, P477+P509+P541)</f>
        <v>0</v>
      </c>
      <c r="Q671" s="153">
        <f>IF(COUNT($H671:P671)&gt;=Input!$Y$7,0, Q477+Q509+Q541)</f>
        <v>0</v>
      </c>
      <c r="R671" s="100"/>
      <c r="S671" s="100"/>
      <c r="T671" s="100"/>
      <c r="U671" s="100"/>
      <c r="V671" s="100"/>
      <c r="W671" s="100"/>
      <c r="X671" s="100"/>
      <c r="Y671" s="100"/>
      <c r="Z671" s="100"/>
      <c r="AA671" s="228"/>
      <c r="AB671" s="228"/>
      <c r="AC671" s="228"/>
      <c r="AD671" s="228"/>
      <c r="AE671" s="228"/>
      <c r="AF671" s="228"/>
      <c r="AG671" s="228"/>
      <c r="AH671" s="228"/>
      <c r="AI671" s="228"/>
      <c r="AJ671" s="228"/>
      <c r="AK671" s="228"/>
      <c r="AL671" s="228"/>
      <c r="AM671" s="228"/>
      <c r="AN671" s="228"/>
      <c r="AO671" s="228"/>
      <c r="AP671" s="228"/>
      <c r="AQ671" s="228"/>
      <c r="AR671" s="228"/>
      <c r="AS671" s="228"/>
      <c r="AT671" s="228"/>
      <c r="AU671" s="228"/>
      <c r="AV671" s="228"/>
      <c r="AW671" s="228"/>
      <c r="AX671" s="228"/>
      <c r="AY671" s="228"/>
      <c r="AZ671" s="228"/>
      <c r="BA671" s="228"/>
      <c r="BB671" s="228"/>
      <c r="BC671" s="228"/>
      <c r="BD671" s="228"/>
      <c r="BE671" s="228"/>
      <c r="BF671" s="228"/>
      <c r="BG671" s="228"/>
      <c r="BH671" s="228"/>
      <c r="BI671" s="228"/>
      <c r="BJ671" s="228"/>
      <c r="BK671" s="221"/>
      <c r="BL671" s="221"/>
    </row>
    <row r="672" spans="1:64" hidden="1" outlineLevel="1">
      <c r="A672" s="9"/>
      <c r="B672" s="12"/>
      <c r="C672" s="44"/>
      <c r="D672" s="270" t="str">
        <f>Asset6</f>
        <v>Establishment</v>
      </c>
      <c r="E672" s="12"/>
      <c r="F672" s="12"/>
      <c r="G672" s="201">
        <f t="shared" si="32"/>
        <v>95.728803729564504</v>
      </c>
      <c r="H672" s="153">
        <f t="shared" si="33"/>
        <v>112.46137845837794</v>
      </c>
      <c r="I672" s="153">
        <f t="shared" si="33"/>
        <v>122.05889121266914</v>
      </c>
      <c r="J672" s="153">
        <f t="shared" si="33"/>
        <v>127.40817194591858</v>
      </c>
      <c r="K672" s="153">
        <f t="shared" si="33"/>
        <v>131.82748849895879</v>
      </c>
      <c r="L672" s="153">
        <f t="shared" si="33"/>
        <v>137.35337343281211</v>
      </c>
      <c r="M672" s="153">
        <f t="shared" ref="M672" si="39">M478+M510+M542</f>
        <v>144.89303712282481</v>
      </c>
      <c r="N672" s="153">
        <f>IF(COUNT($H672:M672)&gt;=Input!$Y$7,0, N478+N510+N542)</f>
        <v>0</v>
      </c>
      <c r="O672" s="153">
        <f>IF(COUNT($H672:N672)&gt;=Input!$Y$7,0, O478+O510+O542)</f>
        <v>0</v>
      </c>
      <c r="P672" s="153">
        <f>IF(COUNT($H672:O672)&gt;=Input!$Y$7,0, P478+P510+P542)</f>
        <v>0</v>
      </c>
      <c r="Q672" s="153">
        <f>IF(COUNT($H672:P672)&gt;=Input!$Y$7,0, Q478+Q510+Q542)</f>
        <v>0</v>
      </c>
      <c r="R672" s="100"/>
      <c r="S672" s="100"/>
      <c r="T672" s="100"/>
      <c r="U672" s="100"/>
      <c r="V672" s="100"/>
      <c r="W672" s="100"/>
      <c r="X672" s="100"/>
      <c r="Y672" s="100"/>
      <c r="Z672" s="100"/>
      <c r="AA672" s="228"/>
      <c r="AB672" s="228"/>
      <c r="AC672" s="228"/>
      <c r="AD672" s="228"/>
      <c r="AE672" s="228"/>
      <c r="AF672" s="228"/>
      <c r="AG672" s="228"/>
      <c r="AH672" s="228"/>
      <c r="AI672" s="228"/>
      <c r="AJ672" s="228"/>
      <c r="AK672" s="228"/>
      <c r="AL672" s="228"/>
      <c r="AM672" s="228"/>
      <c r="AN672" s="228"/>
      <c r="AO672" s="228"/>
      <c r="AP672" s="228"/>
      <c r="AQ672" s="228"/>
      <c r="AR672" s="228"/>
      <c r="AS672" s="228"/>
      <c r="AT672" s="228"/>
      <c r="AU672" s="228"/>
      <c r="AV672" s="228"/>
      <c r="AW672" s="228"/>
      <c r="AX672" s="228"/>
      <c r="AY672" s="228"/>
      <c r="AZ672" s="228"/>
      <c r="BA672" s="228"/>
      <c r="BB672" s="228"/>
      <c r="BC672" s="228"/>
      <c r="BD672" s="228"/>
      <c r="BE672" s="228"/>
      <c r="BF672" s="228"/>
      <c r="BG672" s="228"/>
      <c r="BH672" s="228"/>
      <c r="BI672" s="228"/>
      <c r="BJ672" s="228"/>
      <c r="BK672" s="221"/>
      <c r="BL672" s="221"/>
    </row>
    <row r="673" spans="1:64" hidden="1" outlineLevel="1">
      <c r="A673" s="9"/>
      <c r="B673" s="12"/>
      <c r="C673" s="44"/>
      <c r="D673" s="270" t="str">
        <f>Asset7</f>
        <v>Communications</v>
      </c>
      <c r="E673" s="12"/>
      <c r="F673" s="12"/>
      <c r="G673" s="201">
        <f t="shared" si="32"/>
        <v>5.5031385503739454</v>
      </c>
      <c r="H673" s="153">
        <f t="shared" si="33"/>
        <v>5.6696485502170155</v>
      </c>
      <c r="I673" s="153">
        <f t="shared" si="33"/>
        <v>6.0422705741393559</v>
      </c>
      <c r="J673" s="153">
        <f t="shared" si="33"/>
        <v>16.481073684634694</v>
      </c>
      <c r="K673" s="153">
        <f t="shared" si="33"/>
        <v>20.963272796611943</v>
      </c>
      <c r="L673" s="153">
        <f t="shared" si="33"/>
        <v>22.705052015783767</v>
      </c>
      <c r="M673" s="153">
        <f t="shared" ref="M673" si="40">M479+M511+M543</f>
        <v>25.576654233192599</v>
      </c>
      <c r="N673" s="153">
        <f>IF(COUNT($H673:M673)&gt;=Input!$Y$7,0, N479+N511+N543)</f>
        <v>0</v>
      </c>
      <c r="O673" s="153">
        <f>IF(COUNT($H673:N673)&gt;=Input!$Y$7,0, O479+O511+O543)</f>
        <v>0</v>
      </c>
      <c r="P673" s="153">
        <f>IF(COUNT($H673:O673)&gt;=Input!$Y$7,0, P479+P511+P543)</f>
        <v>0</v>
      </c>
      <c r="Q673" s="153">
        <f>IF(COUNT($H673:P673)&gt;=Input!$Y$7,0, Q479+Q511+Q543)</f>
        <v>0</v>
      </c>
      <c r="R673" s="100"/>
      <c r="S673" s="100"/>
      <c r="T673" s="100"/>
      <c r="U673" s="100"/>
      <c r="V673" s="100"/>
      <c r="W673" s="100"/>
      <c r="X673" s="100"/>
      <c r="Y673" s="100"/>
      <c r="Z673" s="100"/>
      <c r="AA673" s="228"/>
      <c r="AB673" s="228"/>
      <c r="AC673" s="228"/>
      <c r="AD673" s="228"/>
      <c r="AE673" s="228"/>
      <c r="AF673" s="228"/>
      <c r="AG673" s="228"/>
      <c r="AH673" s="228"/>
      <c r="AI673" s="228"/>
      <c r="AJ673" s="228"/>
      <c r="AK673" s="228"/>
      <c r="AL673" s="228"/>
      <c r="AM673" s="228"/>
      <c r="AN673" s="228"/>
      <c r="AO673" s="228"/>
      <c r="AP673" s="228"/>
      <c r="AQ673" s="228"/>
      <c r="AR673" s="228"/>
      <c r="AS673" s="228"/>
      <c r="AT673" s="228"/>
      <c r="AU673" s="228"/>
      <c r="AV673" s="228"/>
      <c r="AW673" s="228"/>
      <c r="AX673" s="228"/>
      <c r="AY673" s="228"/>
      <c r="AZ673" s="228"/>
      <c r="BA673" s="228"/>
      <c r="BB673" s="228"/>
      <c r="BC673" s="228"/>
      <c r="BD673" s="228"/>
      <c r="BE673" s="228"/>
      <c r="BF673" s="228"/>
      <c r="BG673" s="228"/>
      <c r="BH673" s="228"/>
      <c r="BI673" s="228"/>
      <c r="BJ673" s="228"/>
      <c r="BK673" s="221"/>
      <c r="BL673" s="221"/>
    </row>
    <row r="674" spans="1:64" hidden="1" outlineLevel="1">
      <c r="A674" s="9"/>
      <c r="B674" s="12"/>
      <c r="C674" s="44"/>
      <c r="D674" s="270" t="str">
        <f>Asset8</f>
        <v>Inventory</v>
      </c>
      <c r="E674" s="12"/>
      <c r="F674" s="12"/>
      <c r="G674" s="201">
        <f t="shared" si="32"/>
        <v>7.3396858953920949</v>
      </c>
      <c r="H674" s="153">
        <f t="shared" si="33"/>
        <v>7.6101677616182872</v>
      </c>
      <c r="I674" s="153">
        <f t="shared" si="33"/>
        <v>7.770623105989757</v>
      </c>
      <c r="J674" s="153">
        <f t="shared" si="33"/>
        <v>7.9769228344673619</v>
      </c>
      <c r="K674" s="153">
        <f t="shared" si="33"/>
        <v>8.2244825086404862</v>
      </c>
      <c r="L674" s="153">
        <f t="shared" si="33"/>
        <v>8.4057837262658293</v>
      </c>
      <c r="M674" s="153">
        <f t="shared" ref="M674" si="41">M480+M512+M544</f>
        <v>8.6159283194224745</v>
      </c>
      <c r="N674" s="153">
        <f>IF(COUNT($H674:M674)&gt;=Input!$Y$7,0, N480+N512+N544)</f>
        <v>0</v>
      </c>
      <c r="O674" s="153">
        <f>IF(COUNT($H674:N674)&gt;=Input!$Y$7,0, O480+O512+O544)</f>
        <v>0</v>
      </c>
      <c r="P674" s="153">
        <f>IF(COUNT($H674:O674)&gt;=Input!$Y$7,0, P480+P512+P544)</f>
        <v>0</v>
      </c>
      <c r="Q674" s="153">
        <f>IF(COUNT($H674:P674)&gt;=Input!$Y$7,0, Q480+Q512+Q544)</f>
        <v>0</v>
      </c>
      <c r="R674" s="100"/>
      <c r="S674" s="100"/>
      <c r="T674" s="100"/>
      <c r="U674" s="100"/>
      <c r="V674" s="100"/>
      <c r="W674" s="100"/>
      <c r="X674" s="100"/>
      <c r="Y674" s="100"/>
      <c r="Z674" s="100"/>
      <c r="AA674" s="228"/>
      <c r="AB674" s="228"/>
      <c r="AC674" s="228"/>
      <c r="AD674" s="228"/>
      <c r="AE674" s="228"/>
      <c r="AF674" s="228"/>
      <c r="AG674" s="228"/>
      <c r="AH674" s="228"/>
      <c r="AI674" s="228"/>
      <c r="AJ674" s="228"/>
      <c r="AK674" s="228"/>
      <c r="AL674" s="228"/>
      <c r="AM674" s="228"/>
      <c r="AN674" s="228"/>
      <c r="AO674" s="228"/>
      <c r="AP674" s="228"/>
      <c r="AQ674" s="228"/>
      <c r="AR674" s="228"/>
      <c r="AS674" s="228"/>
      <c r="AT674" s="228"/>
      <c r="AU674" s="228"/>
      <c r="AV674" s="228"/>
      <c r="AW674" s="228"/>
      <c r="AX674" s="228"/>
      <c r="AY674" s="228"/>
      <c r="AZ674" s="228"/>
      <c r="BA674" s="228"/>
      <c r="BB674" s="228"/>
      <c r="BC674" s="228"/>
      <c r="BD674" s="228"/>
      <c r="BE674" s="228"/>
      <c r="BF674" s="228"/>
      <c r="BG674" s="228"/>
      <c r="BH674" s="228"/>
      <c r="BI674" s="228"/>
      <c r="BJ674" s="228"/>
      <c r="BK674" s="221"/>
      <c r="BL674" s="221"/>
    </row>
    <row r="675" spans="1:64" hidden="1" outlineLevel="1">
      <c r="A675" s="9"/>
      <c r="B675" s="12"/>
      <c r="C675" s="44"/>
      <c r="D675" s="270" t="str">
        <f>Asset9</f>
        <v>IT</v>
      </c>
      <c r="E675" s="12"/>
      <c r="F675" s="12"/>
      <c r="G675" s="201">
        <f t="shared" si="32"/>
        <v>42.630945805012978</v>
      </c>
      <c r="H675" s="153">
        <f t="shared" si="33"/>
        <v>41.066579850722839</v>
      </c>
      <c r="I675" s="153">
        <f t="shared" si="33"/>
        <v>47.951281783020292</v>
      </c>
      <c r="J675" s="153">
        <f t="shared" si="33"/>
        <v>45.558224219398902</v>
      </c>
      <c r="K675" s="153">
        <f t="shared" si="33"/>
        <v>46.82704510029297</v>
      </c>
      <c r="L675" s="153">
        <f t="shared" si="33"/>
        <v>54.900482654339328</v>
      </c>
      <c r="M675" s="153">
        <f t="shared" ref="M675" si="42">M481+M513+M545</f>
        <v>61.340001316522184</v>
      </c>
      <c r="N675" s="153">
        <f>IF(COUNT($H675:M675)&gt;=Input!$Y$7,0, N481+N513+N545)</f>
        <v>0</v>
      </c>
      <c r="O675" s="153">
        <f>IF(COUNT($H675:N675)&gt;=Input!$Y$7,0, O481+O513+O545)</f>
        <v>0</v>
      </c>
      <c r="P675" s="153">
        <f>IF(COUNT($H675:O675)&gt;=Input!$Y$7,0, P481+P513+P545)</f>
        <v>0</v>
      </c>
      <c r="Q675" s="153">
        <f>IF(COUNT($H675:P675)&gt;=Input!$Y$7,0, Q481+Q513+Q545)</f>
        <v>0</v>
      </c>
      <c r="R675" s="100"/>
      <c r="S675" s="100"/>
      <c r="T675" s="100"/>
      <c r="U675" s="100"/>
      <c r="V675" s="100"/>
      <c r="W675" s="100"/>
      <c r="X675" s="100"/>
      <c r="Y675" s="100"/>
      <c r="Z675" s="100"/>
      <c r="AA675" s="228"/>
      <c r="AB675" s="228"/>
      <c r="AC675" s="228"/>
      <c r="AD675" s="228"/>
      <c r="AE675" s="228"/>
      <c r="AF675" s="228"/>
      <c r="AG675" s="228"/>
      <c r="AH675" s="228"/>
      <c r="AI675" s="228"/>
      <c r="AJ675" s="228"/>
      <c r="AK675" s="228"/>
      <c r="AL675" s="228"/>
      <c r="AM675" s="228"/>
      <c r="AN675" s="228"/>
      <c r="AO675" s="228"/>
      <c r="AP675" s="228"/>
      <c r="AQ675" s="228"/>
      <c r="AR675" s="228"/>
      <c r="AS675" s="228"/>
      <c r="AT675" s="228"/>
      <c r="AU675" s="228"/>
      <c r="AV675" s="228"/>
      <c r="AW675" s="228"/>
      <c r="AX675" s="228"/>
      <c r="AY675" s="228"/>
      <c r="AZ675" s="228"/>
      <c r="BA675" s="228"/>
      <c r="BB675" s="228"/>
      <c r="BC675" s="228"/>
      <c r="BD675" s="228"/>
      <c r="BE675" s="228"/>
      <c r="BF675" s="228"/>
      <c r="BG675" s="228"/>
      <c r="BH675" s="228"/>
      <c r="BI675" s="228"/>
      <c r="BJ675" s="228"/>
      <c r="BK675" s="221"/>
      <c r="BL675" s="221"/>
    </row>
    <row r="676" spans="1:64" hidden="1" outlineLevel="1">
      <c r="A676" s="9"/>
      <c r="B676" s="12"/>
      <c r="C676" s="44"/>
      <c r="D676" s="270" t="str">
        <f>Asset10</f>
        <v>Vehicles</v>
      </c>
      <c r="E676" s="12"/>
      <c r="F676" s="12"/>
      <c r="G676" s="201">
        <f t="shared" si="32"/>
        <v>4.1948540252504873</v>
      </c>
      <c r="H676" s="153">
        <f t="shared" si="33"/>
        <v>3.3527423067629472</v>
      </c>
      <c r="I676" s="153">
        <f t="shared" si="33"/>
        <v>2.964968707048786</v>
      </c>
      <c r="J676" s="153">
        <f t="shared" si="33"/>
        <v>2.0052157838819316</v>
      </c>
      <c r="K676" s="153">
        <f t="shared" si="33"/>
        <v>1.9590556160644685</v>
      </c>
      <c r="L676" s="153">
        <f t="shared" si="33"/>
        <v>3.3176497129460554</v>
      </c>
      <c r="M676" s="153">
        <f t="shared" ref="M676" si="43">M482+M514+M546</f>
        <v>4.4748131166706289</v>
      </c>
      <c r="N676" s="153">
        <f>IF(COUNT($H676:M676)&gt;=Input!$Y$7,0, N482+N514+N546)</f>
        <v>0</v>
      </c>
      <c r="O676" s="153">
        <f>IF(COUNT($H676:N676)&gt;=Input!$Y$7,0, O482+O514+O546)</f>
        <v>0</v>
      </c>
      <c r="P676" s="153">
        <f>IF(COUNT($H676:O676)&gt;=Input!$Y$7,0, P482+P514+P546)</f>
        <v>0</v>
      </c>
      <c r="Q676" s="153">
        <f>IF(COUNT($H676:P676)&gt;=Input!$Y$7,0, Q482+Q514+Q546)</f>
        <v>0</v>
      </c>
      <c r="R676" s="100"/>
      <c r="S676" s="100"/>
      <c r="T676" s="100"/>
      <c r="U676" s="100"/>
      <c r="V676" s="100"/>
      <c r="W676" s="100"/>
      <c r="X676" s="100"/>
      <c r="Y676" s="100"/>
      <c r="Z676" s="100"/>
      <c r="AA676" s="228"/>
      <c r="AB676" s="228"/>
      <c r="AC676" s="228"/>
      <c r="AD676" s="228"/>
      <c r="AE676" s="228"/>
      <c r="AF676" s="228"/>
      <c r="AG676" s="228"/>
      <c r="AH676" s="228"/>
      <c r="AI676" s="228"/>
      <c r="AJ676" s="228"/>
      <c r="AK676" s="228"/>
      <c r="AL676" s="228"/>
      <c r="AM676" s="228"/>
      <c r="AN676" s="228"/>
      <c r="AO676" s="228"/>
      <c r="AP676" s="228"/>
      <c r="AQ676" s="228"/>
      <c r="AR676" s="228"/>
      <c r="AS676" s="228"/>
      <c r="AT676" s="228"/>
      <c r="AU676" s="228"/>
      <c r="AV676" s="228"/>
      <c r="AW676" s="228"/>
      <c r="AX676" s="228"/>
      <c r="AY676" s="228"/>
      <c r="AZ676" s="228"/>
      <c r="BA676" s="228"/>
      <c r="BB676" s="228"/>
      <c r="BC676" s="228"/>
      <c r="BD676" s="228"/>
      <c r="BE676" s="228"/>
      <c r="BF676" s="228"/>
      <c r="BG676" s="228"/>
      <c r="BH676" s="228"/>
      <c r="BI676" s="228"/>
      <c r="BJ676" s="228"/>
      <c r="BK676" s="221"/>
      <c r="BL676" s="221"/>
    </row>
    <row r="677" spans="1:64" hidden="1" outlineLevel="1">
      <c r="A677" s="9"/>
      <c r="B677" s="12"/>
      <c r="C677" s="44"/>
      <c r="D677" s="270" t="str">
        <f>Asset11</f>
        <v>other</v>
      </c>
      <c r="E677" s="12"/>
      <c r="F677" s="12"/>
      <c r="G677" s="201">
        <f t="shared" si="32"/>
        <v>12.405939770158419</v>
      </c>
      <c r="H677" s="153">
        <f t="shared" ref="H677:L686" si="44">H483+H515+H547</f>
        <v>11.631519264730752</v>
      </c>
      <c r="I677" s="153">
        <f t="shared" si="44"/>
        <v>11.968692078801022</v>
      </c>
      <c r="J677" s="153">
        <f t="shared" si="44"/>
        <v>13.780421230889699</v>
      </c>
      <c r="K677" s="153">
        <f t="shared" si="44"/>
        <v>15.915573364896785</v>
      </c>
      <c r="L677" s="153">
        <f t="shared" si="44"/>
        <v>16.270027244677127</v>
      </c>
      <c r="M677" s="153">
        <f t="shared" ref="M677" si="45">M483+M515+M547</f>
        <v>16.010448862523628</v>
      </c>
      <c r="N677" s="153">
        <f>IF(COUNT($H677:M677)&gt;=Input!$Y$7,0, N483+N515+N547)</f>
        <v>0</v>
      </c>
      <c r="O677" s="153">
        <f>IF(COUNT($H677:N677)&gt;=Input!$Y$7,0, O483+O515+O547)</f>
        <v>0</v>
      </c>
      <c r="P677" s="153">
        <f>IF(COUNT($H677:O677)&gt;=Input!$Y$7,0, P483+P515+P547)</f>
        <v>0</v>
      </c>
      <c r="Q677" s="153">
        <f>IF(COUNT($H677:P677)&gt;=Input!$Y$7,0, Q483+Q515+Q547)</f>
        <v>0</v>
      </c>
      <c r="R677" s="100"/>
      <c r="S677" s="100"/>
      <c r="T677" s="100"/>
      <c r="U677" s="100"/>
      <c r="V677" s="100"/>
      <c r="W677" s="100"/>
      <c r="X677" s="100"/>
      <c r="Y677" s="100"/>
      <c r="Z677" s="100"/>
      <c r="AA677" s="228"/>
      <c r="AB677" s="228"/>
      <c r="AC677" s="228"/>
      <c r="AD677" s="228"/>
      <c r="AE677" s="228"/>
      <c r="AF677" s="228"/>
      <c r="AG677" s="228"/>
      <c r="AH677" s="228"/>
      <c r="AI677" s="228"/>
      <c r="AJ677" s="228"/>
      <c r="AK677" s="228"/>
      <c r="AL677" s="228"/>
      <c r="AM677" s="228"/>
      <c r="AN677" s="228"/>
      <c r="AO677" s="228"/>
      <c r="AP677" s="228"/>
      <c r="AQ677" s="228"/>
      <c r="AR677" s="228"/>
      <c r="AS677" s="228"/>
      <c r="AT677" s="228"/>
      <c r="AU677" s="228"/>
      <c r="AV677" s="228"/>
      <c r="AW677" s="228"/>
      <c r="AX677" s="228"/>
      <c r="AY677" s="228"/>
      <c r="AZ677" s="228"/>
      <c r="BA677" s="228"/>
      <c r="BB677" s="228"/>
      <c r="BC677" s="228"/>
      <c r="BD677" s="228"/>
      <c r="BE677" s="228"/>
      <c r="BF677" s="228"/>
      <c r="BG677" s="228"/>
      <c r="BH677" s="228"/>
      <c r="BI677" s="228"/>
      <c r="BJ677" s="228"/>
      <c r="BK677" s="221"/>
      <c r="BL677" s="221"/>
    </row>
    <row r="678" spans="1:64" hidden="1" outlineLevel="1">
      <c r="A678" s="9"/>
      <c r="B678" s="12"/>
      <c r="C678" s="44"/>
      <c r="D678" s="270" t="str">
        <f>Asset12</f>
        <v>premises</v>
      </c>
      <c r="E678" s="12"/>
      <c r="F678" s="12"/>
      <c r="G678" s="201">
        <f t="shared" si="32"/>
        <v>8.4078322708407711</v>
      </c>
      <c r="H678" s="153">
        <f t="shared" si="44"/>
        <v>7.2748444087394422</v>
      </c>
      <c r="I678" s="153">
        <f t="shared" si="44"/>
        <v>6.3228473207392319</v>
      </c>
      <c r="J678" s="153">
        <f t="shared" si="44"/>
        <v>5.158391258090238</v>
      </c>
      <c r="K678" s="153">
        <f t="shared" si="44"/>
        <v>5.3525448768625177</v>
      </c>
      <c r="L678" s="153">
        <f t="shared" si="44"/>
        <v>4.4486371269044387</v>
      </c>
      <c r="M678" s="153">
        <f t="shared" ref="M678" si="46">M484+M516+M548</f>
        <v>3.5874599515058794</v>
      </c>
      <c r="N678" s="153">
        <f>IF(COUNT($H678:M678)&gt;=Input!$Y$7,0, N484+N516+N548)</f>
        <v>0</v>
      </c>
      <c r="O678" s="153">
        <f>IF(COUNT($H678:N678)&gt;=Input!$Y$7,0, O484+O516+O548)</f>
        <v>0</v>
      </c>
      <c r="P678" s="153">
        <f>IF(COUNT($H678:O678)&gt;=Input!$Y$7,0, P484+P516+P548)</f>
        <v>0</v>
      </c>
      <c r="Q678" s="153">
        <f>IF(COUNT($H678:P678)&gt;=Input!$Y$7,0, Q484+Q516+Q548)</f>
        <v>0</v>
      </c>
      <c r="R678" s="100"/>
      <c r="S678" s="100"/>
      <c r="T678" s="100"/>
      <c r="U678" s="100"/>
      <c r="V678" s="100"/>
      <c r="W678" s="100"/>
      <c r="X678" s="100"/>
      <c r="Y678" s="100"/>
      <c r="Z678" s="100"/>
      <c r="AA678" s="228"/>
      <c r="AB678" s="228"/>
      <c r="AC678" s="228"/>
      <c r="AD678" s="228"/>
      <c r="AE678" s="228"/>
      <c r="AF678" s="228"/>
      <c r="AG678" s="228"/>
      <c r="AH678" s="228"/>
      <c r="AI678" s="228"/>
      <c r="AJ678" s="228"/>
      <c r="AK678" s="228"/>
      <c r="AL678" s="228"/>
      <c r="AM678" s="228"/>
      <c r="AN678" s="228"/>
      <c r="AO678" s="228"/>
      <c r="AP678" s="228"/>
      <c r="AQ678" s="228"/>
      <c r="AR678" s="228"/>
      <c r="AS678" s="228"/>
      <c r="AT678" s="228"/>
      <c r="AU678" s="228"/>
      <c r="AV678" s="228"/>
      <c r="AW678" s="228"/>
      <c r="AX678" s="228"/>
      <c r="AY678" s="228"/>
      <c r="AZ678" s="228"/>
      <c r="BA678" s="228"/>
      <c r="BB678" s="228"/>
      <c r="BC678" s="228"/>
      <c r="BD678" s="228"/>
      <c r="BE678" s="228"/>
      <c r="BF678" s="228"/>
      <c r="BG678" s="228"/>
      <c r="BH678" s="228"/>
      <c r="BI678" s="228"/>
      <c r="BJ678" s="228"/>
      <c r="BK678" s="221"/>
      <c r="BL678" s="221"/>
    </row>
    <row r="679" spans="1:64" hidden="1" outlineLevel="1">
      <c r="A679" s="9"/>
      <c r="B679" s="12"/>
      <c r="C679" s="44"/>
      <c r="D679" s="270" t="str">
        <f>Asset13</f>
        <v>Land</v>
      </c>
      <c r="E679" s="12"/>
      <c r="F679" s="12"/>
      <c r="G679" s="201">
        <f t="shared" si="32"/>
        <v>95.756770018212507</v>
      </c>
      <c r="H679" s="153">
        <f t="shared" si="44"/>
        <v>99.285595396772493</v>
      </c>
      <c r="I679" s="153">
        <f t="shared" si="44"/>
        <v>101.57932760816327</v>
      </c>
      <c r="J679" s="153">
        <f t="shared" si="44"/>
        <v>103.779363485508</v>
      </c>
      <c r="K679" s="153">
        <f t="shared" si="44"/>
        <v>105.9834070121492</v>
      </c>
      <c r="L679" s="153">
        <f t="shared" si="44"/>
        <v>108.3197145815553</v>
      </c>
      <c r="M679" s="153">
        <f t="shared" ref="M679" si="47">M485+M517+M549</f>
        <v>111.02770744609418</v>
      </c>
      <c r="N679" s="153">
        <f>IF(COUNT($H679:M679)&gt;=Input!$Y$7,0, N485+N517+N549)</f>
        <v>0</v>
      </c>
      <c r="O679" s="153">
        <f>IF(COUNT($H679:N679)&gt;=Input!$Y$7,0, O485+O517+O549)</f>
        <v>0</v>
      </c>
      <c r="P679" s="153">
        <f>IF(COUNT($H679:O679)&gt;=Input!$Y$7,0, P485+P517+P549)</f>
        <v>0</v>
      </c>
      <c r="Q679" s="153">
        <f>IF(COUNT($H679:P679)&gt;=Input!$Y$7,0, Q485+Q517+Q549)</f>
        <v>0</v>
      </c>
      <c r="R679" s="100"/>
      <c r="S679" s="100"/>
      <c r="T679" s="100"/>
      <c r="U679" s="100"/>
      <c r="V679" s="100"/>
      <c r="W679" s="100"/>
      <c r="X679" s="100"/>
      <c r="Y679" s="100"/>
      <c r="Z679" s="100"/>
      <c r="AA679" s="228"/>
      <c r="AB679" s="228"/>
      <c r="AC679" s="228"/>
      <c r="AD679" s="228"/>
      <c r="AE679" s="228"/>
      <c r="AF679" s="228"/>
      <c r="AG679" s="228"/>
      <c r="AH679" s="228"/>
      <c r="AI679" s="228"/>
      <c r="AJ679" s="228"/>
      <c r="AK679" s="228"/>
      <c r="AL679" s="228"/>
      <c r="AM679" s="228"/>
      <c r="AN679" s="228"/>
      <c r="AO679" s="228"/>
      <c r="AP679" s="228"/>
      <c r="AQ679" s="228"/>
      <c r="AR679" s="228"/>
      <c r="AS679" s="228"/>
      <c r="AT679" s="228"/>
      <c r="AU679" s="228"/>
      <c r="AV679" s="228"/>
      <c r="AW679" s="228"/>
      <c r="AX679" s="228"/>
      <c r="AY679" s="228"/>
      <c r="AZ679" s="228"/>
      <c r="BA679" s="228"/>
      <c r="BB679" s="228"/>
      <c r="BC679" s="228"/>
      <c r="BD679" s="228"/>
      <c r="BE679" s="228"/>
      <c r="BF679" s="228"/>
      <c r="BG679" s="228"/>
      <c r="BH679" s="228"/>
      <c r="BI679" s="228"/>
      <c r="BJ679" s="228"/>
      <c r="BK679" s="221"/>
      <c r="BL679" s="221"/>
    </row>
    <row r="680" spans="1:64" hidden="1" outlineLevel="1">
      <c r="A680" s="9"/>
      <c r="B680" s="12"/>
      <c r="C680" s="44"/>
      <c r="D680" s="270" t="str">
        <f>Asset14</f>
        <v>Easements</v>
      </c>
      <c r="E680" s="12"/>
      <c r="F680" s="12"/>
      <c r="G680" s="201">
        <f t="shared" si="32"/>
        <v>108.97377932420517</v>
      </c>
      <c r="H680" s="153">
        <f t="shared" si="44"/>
        <v>112.9896775004251</v>
      </c>
      <c r="I680" s="153">
        <f t="shared" si="44"/>
        <v>115.37198997784371</v>
      </c>
      <c r="J680" s="153">
        <f t="shared" si="44"/>
        <v>118.4349631630962</v>
      </c>
      <c r="K680" s="153">
        <f t="shared" si="44"/>
        <v>122.11053098539918</v>
      </c>
      <c r="L680" s="153">
        <f t="shared" si="44"/>
        <v>124.80234629770258</v>
      </c>
      <c r="M680" s="153">
        <f t="shared" ref="M680" si="48">M486+M518+M550</f>
        <v>127.92240495514515</v>
      </c>
      <c r="N680" s="153">
        <f>IF(COUNT($H680:M680)&gt;=Input!$Y$7,0, N486+N518+N550)</f>
        <v>0</v>
      </c>
      <c r="O680" s="153">
        <f>IF(COUNT($H680:N680)&gt;=Input!$Y$7,0, O486+O518+O550)</f>
        <v>0</v>
      </c>
      <c r="P680" s="153">
        <f>IF(COUNT($H680:O680)&gt;=Input!$Y$7,0, P486+P518+P550)</f>
        <v>0</v>
      </c>
      <c r="Q680" s="153">
        <f>IF(COUNT($H680:P680)&gt;=Input!$Y$7,0, Q486+Q518+Q550)</f>
        <v>0</v>
      </c>
      <c r="R680" s="100"/>
      <c r="S680" s="100"/>
      <c r="T680" s="100"/>
      <c r="U680" s="100"/>
      <c r="V680" s="100"/>
      <c r="W680" s="100"/>
      <c r="X680" s="100"/>
      <c r="Y680" s="100"/>
      <c r="Z680" s="100"/>
      <c r="AA680" s="228"/>
      <c r="AB680" s="228"/>
      <c r="AC680" s="228"/>
      <c r="AD680" s="228"/>
      <c r="AE680" s="228"/>
      <c r="AF680" s="228"/>
      <c r="AG680" s="228"/>
      <c r="AH680" s="228"/>
      <c r="AI680" s="228"/>
      <c r="AJ680" s="228"/>
      <c r="AK680" s="228"/>
      <c r="AL680" s="228"/>
      <c r="AM680" s="228"/>
      <c r="AN680" s="228"/>
      <c r="AO680" s="228"/>
      <c r="AP680" s="228"/>
      <c r="AQ680" s="228"/>
      <c r="AR680" s="228"/>
      <c r="AS680" s="228"/>
      <c r="AT680" s="228"/>
      <c r="AU680" s="228"/>
      <c r="AV680" s="228"/>
      <c r="AW680" s="228"/>
      <c r="AX680" s="228"/>
      <c r="AY680" s="228"/>
      <c r="AZ680" s="228"/>
      <c r="BA680" s="228"/>
      <c r="BB680" s="228"/>
      <c r="BC680" s="228"/>
      <c r="BD680" s="228"/>
      <c r="BE680" s="228"/>
      <c r="BF680" s="228"/>
      <c r="BG680" s="228"/>
      <c r="BH680" s="228"/>
      <c r="BI680" s="228"/>
      <c r="BJ680" s="228"/>
      <c r="BK680" s="221"/>
      <c r="BL680" s="221"/>
    </row>
    <row r="681" spans="1:64" hidden="1" outlineLevel="1">
      <c r="A681" s="9"/>
      <c r="B681" s="12"/>
      <c r="C681" s="44"/>
      <c r="D681" s="270">
        <f>Asset15</f>
        <v>0</v>
      </c>
      <c r="E681" s="12"/>
      <c r="F681" s="12"/>
      <c r="G681" s="201">
        <f t="shared" si="32"/>
        <v>0</v>
      </c>
      <c r="H681" s="153">
        <f t="shared" si="44"/>
        <v>0</v>
      </c>
      <c r="I681" s="153">
        <f t="shared" si="44"/>
        <v>0</v>
      </c>
      <c r="J681" s="153">
        <f t="shared" si="44"/>
        <v>0</v>
      </c>
      <c r="K681" s="153">
        <f t="shared" si="44"/>
        <v>0</v>
      </c>
      <c r="L681" s="153">
        <f t="shared" si="44"/>
        <v>0</v>
      </c>
      <c r="M681" s="153">
        <f t="shared" ref="M681" si="49">M487+M519+M551</f>
        <v>0</v>
      </c>
      <c r="N681" s="153">
        <f>IF(COUNT($H681:M681)&gt;=Input!$Y$7,0, N487+N519+N551)</f>
        <v>0</v>
      </c>
      <c r="O681" s="153">
        <f>IF(COUNT($H681:N681)&gt;=Input!$Y$7,0, O487+O519+O551)</f>
        <v>0</v>
      </c>
      <c r="P681" s="153">
        <f>IF(COUNT($H681:O681)&gt;=Input!$Y$7,0, P487+P519+P551)</f>
        <v>0</v>
      </c>
      <c r="Q681" s="153">
        <f>IF(COUNT($H681:P681)&gt;=Input!$Y$7,0, Q487+Q519+Q551)</f>
        <v>0</v>
      </c>
      <c r="R681" s="100"/>
      <c r="S681" s="100"/>
      <c r="T681" s="100"/>
      <c r="U681" s="100"/>
      <c r="V681" s="100"/>
      <c r="W681" s="100"/>
      <c r="X681" s="100"/>
      <c r="Y681" s="100"/>
      <c r="Z681" s="100"/>
      <c r="AA681" s="228"/>
      <c r="AB681" s="228"/>
      <c r="AC681" s="228"/>
      <c r="AD681" s="228"/>
      <c r="AE681" s="228"/>
      <c r="AF681" s="228"/>
      <c r="AG681" s="228"/>
      <c r="AH681" s="228"/>
      <c r="AI681" s="228"/>
      <c r="AJ681" s="228"/>
      <c r="AK681" s="228"/>
      <c r="AL681" s="228"/>
      <c r="AM681" s="228"/>
      <c r="AN681" s="228"/>
      <c r="AO681" s="228"/>
      <c r="AP681" s="228"/>
      <c r="AQ681" s="228"/>
      <c r="AR681" s="228"/>
      <c r="AS681" s="228"/>
      <c r="AT681" s="228"/>
      <c r="AU681" s="228"/>
      <c r="AV681" s="228"/>
      <c r="AW681" s="228"/>
      <c r="AX681" s="228"/>
      <c r="AY681" s="228"/>
      <c r="AZ681" s="228"/>
      <c r="BA681" s="228"/>
      <c r="BB681" s="228"/>
      <c r="BC681" s="228"/>
      <c r="BD681" s="228"/>
      <c r="BE681" s="228"/>
      <c r="BF681" s="228"/>
      <c r="BG681" s="228"/>
      <c r="BH681" s="228"/>
      <c r="BI681" s="228"/>
      <c r="BJ681" s="228"/>
      <c r="BK681" s="221"/>
      <c r="BL681" s="221"/>
    </row>
    <row r="682" spans="1:64" hidden="1" outlineLevel="1">
      <c r="A682" s="9"/>
      <c r="B682" s="12"/>
      <c r="C682" s="44"/>
      <c r="D682" s="270">
        <f>Asset16</f>
        <v>0</v>
      </c>
      <c r="E682" s="12"/>
      <c r="F682" s="12"/>
      <c r="G682" s="201">
        <f t="shared" si="32"/>
        <v>0</v>
      </c>
      <c r="H682" s="153">
        <f t="shared" si="44"/>
        <v>0</v>
      </c>
      <c r="I682" s="153">
        <f t="shared" si="44"/>
        <v>0</v>
      </c>
      <c r="J682" s="153">
        <f t="shared" si="44"/>
        <v>0</v>
      </c>
      <c r="K682" s="153">
        <f t="shared" si="44"/>
        <v>0</v>
      </c>
      <c r="L682" s="153">
        <f t="shared" si="44"/>
        <v>0</v>
      </c>
      <c r="M682" s="153">
        <f t="shared" ref="M682" si="50">M488+M520+M552</f>
        <v>0</v>
      </c>
      <c r="N682" s="153">
        <f>IF(COUNT($H682:M682)&gt;=Input!$Y$7,0, N488+N520+N552)</f>
        <v>0</v>
      </c>
      <c r="O682" s="153">
        <f>IF(COUNT($H682:N682)&gt;=Input!$Y$7,0, O488+O520+O552)</f>
        <v>0</v>
      </c>
      <c r="P682" s="153">
        <f>IF(COUNT($H682:O682)&gt;=Input!$Y$7,0, P488+P520+P552)</f>
        <v>0</v>
      </c>
      <c r="Q682" s="153">
        <f>IF(COUNT($H682:P682)&gt;=Input!$Y$7,0, Q488+Q520+Q552)</f>
        <v>0</v>
      </c>
      <c r="R682" s="100"/>
      <c r="S682" s="100"/>
      <c r="T682" s="100"/>
      <c r="U682" s="100"/>
      <c r="V682" s="100"/>
      <c r="W682" s="100"/>
      <c r="X682" s="100"/>
      <c r="Y682" s="100"/>
      <c r="Z682" s="100"/>
      <c r="AA682" s="228"/>
      <c r="AB682" s="228"/>
      <c r="AC682" s="228"/>
      <c r="AD682" s="228"/>
      <c r="AE682" s="228"/>
      <c r="AF682" s="228"/>
      <c r="AG682" s="228"/>
      <c r="AH682" s="228"/>
      <c r="AI682" s="228"/>
      <c r="AJ682" s="228"/>
      <c r="AK682" s="228"/>
      <c r="AL682" s="228"/>
      <c r="AM682" s="228"/>
      <c r="AN682" s="228"/>
      <c r="AO682" s="228"/>
      <c r="AP682" s="228"/>
      <c r="AQ682" s="228"/>
      <c r="AR682" s="228"/>
      <c r="AS682" s="228"/>
      <c r="AT682" s="228"/>
      <c r="AU682" s="228"/>
      <c r="AV682" s="228"/>
      <c r="AW682" s="228"/>
      <c r="AX682" s="228"/>
      <c r="AY682" s="228"/>
      <c r="AZ682" s="228"/>
      <c r="BA682" s="228"/>
      <c r="BB682" s="228"/>
      <c r="BC682" s="228"/>
      <c r="BD682" s="228"/>
      <c r="BE682" s="228"/>
      <c r="BF682" s="228"/>
      <c r="BG682" s="228"/>
      <c r="BH682" s="228"/>
      <c r="BI682" s="228"/>
      <c r="BJ682" s="228"/>
      <c r="BK682" s="221"/>
      <c r="BL682" s="221"/>
    </row>
    <row r="683" spans="1:64" hidden="1" outlineLevel="1">
      <c r="A683" s="9"/>
      <c r="B683" s="12"/>
      <c r="C683" s="44"/>
      <c r="D683" s="270">
        <f>Asset17</f>
        <v>0</v>
      </c>
      <c r="E683" s="12"/>
      <c r="F683" s="12"/>
      <c r="G683" s="201">
        <f t="shared" si="32"/>
        <v>0</v>
      </c>
      <c r="H683" s="153">
        <f t="shared" si="44"/>
        <v>0</v>
      </c>
      <c r="I683" s="153">
        <f t="shared" si="44"/>
        <v>0</v>
      </c>
      <c r="J683" s="153">
        <f t="shared" si="44"/>
        <v>0</v>
      </c>
      <c r="K683" s="153">
        <f t="shared" si="44"/>
        <v>0</v>
      </c>
      <c r="L683" s="153">
        <f t="shared" si="44"/>
        <v>0</v>
      </c>
      <c r="M683" s="153">
        <f t="shared" ref="M683" si="51">M489+M521+M553</f>
        <v>0</v>
      </c>
      <c r="N683" s="153">
        <f>IF(COUNT($H683:M683)&gt;=Input!$Y$7,0, N489+N521+N553)</f>
        <v>0</v>
      </c>
      <c r="O683" s="153">
        <f>IF(COUNT($H683:N683)&gt;=Input!$Y$7,0, O489+O521+O553)</f>
        <v>0</v>
      </c>
      <c r="P683" s="153">
        <f>IF(COUNT($H683:O683)&gt;=Input!$Y$7,0, P489+P521+P553)</f>
        <v>0</v>
      </c>
      <c r="Q683" s="153">
        <f>IF(COUNT($H683:P683)&gt;=Input!$Y$7,0, Q489+Q521+Q553)</f>
        <v>0</v>
      </c>
      <c r="R683" s="100"/>
      <c r="S683" s="100"/>
      <c r="T683" s="100"/>
      <c r="U683" s="100"/>
      <c r="V683" s="100"/>
      <c r="W683" s="100"/>
      <c r="X683" s="100"/>
      <c r="Y683" s="100"/>
      <c r="Z683" s="100"/>
      <c r="AA683" s="228"/>
      <c r="AB683" s="228"/>
      <c r="AC683" s="228"/>
      <c r="AD683" s="228"/>
      <c r="AE683" s="228"/>
      <c r="AF683" s="228"/>
      <c r="AG683" s="228"/>
      <c r="AH683" s="228"/>
      <c r="AI683" s="228"/>
      <c r="AJ683" s="228"/>
      <c r="AK683" s="228"/>
      <c r="AL683" s="228"/>
      <c r="AM683" s="228"/>
      <c r="AN683" s="228"/>
      <c r="AO683" s="228"/>
      <c r="AP683" s="228"/>
      <c r="AQ683" s="228"/>
      <c r="AR683" s="228"/>
      <c r="AS683" s="228"/>
      <c r="AT683" s="228"/>
      <c r="AU683" s="228"/>
      <c r="AV683" s="228"/>
      <c r="AW683" s="228"/>
      <c r="AX683" s="228"/>
      <c r="AY683" s="228"/>
      <c r="AZ683" s="228"/>
      <c r="BA683" s="228"/>
      <c r="BB683" s="228"/>
      <c r="BC683" s="228"/>
      <c r="BD683" s="228"/>
      <c r="BE683" s="228"/>
      <c r="BF683" s="228"/>
      <c r="BG683" s="228"/>
      <c r="BH683" s="228"/>
      <c r="BI683" s="228"/>
      <c r="BJ683" s="228"/>
      <c r="BK683" s="221"/>
      <c r="BL683" s="221"/>
    </row>
    <row r="684" spans="1:64" hidden="1" outlineLevel="1">
      <c r="A684" s="9"/>
      <c r="B684" s="12"/>
      <c r="C684" s="44"/>
      <c r="D684" s="270">
        <f>Asset18</f>
        <v>0</v>
      </c>
      <c r="E684" s="12"/>
      <c r="F684" s="12"/>
      <c r="G684" s="201">
        <f t="shared" si="32"/>
        <v>0</v>
      </c>
      <c r="H684" s="153">
        <f t="shared" si="44"/>
        <v>0</v>
      </c>
      <c r="I684" s="153">
        <f t="shared" si="44"/>
        <v>0</v>
      </c>
      <c r="J684" s="153">
        <f t="shared" si="44"/>
        <v>0</v>
      </c>
      <c r="K684" s="153">
        <f t="shared" si="44"/>
        <v>0</v>
      </c>
      <c r="L684" s="153">
        <f t="shared" si="44"/>
        <v>0</v>
      </c>
      <c r="M684" s="153">
        <f t="shared" ref="M684" si="52">M490+M522+M554</f>
        <v>0</v>
      </c>
      <c r="N684" s="153">
        <f>IF(COUNT($H684:M684)&gt;=Input!$Y$7,0, N490+N522+N554)</f>
        <v>0</v>
      </c>
      <c r="O684" s="153">
        <f>IF(COUNT($H684:N684)&gt;=Input!$Y$7,0, O490+O522+O554)</f>
        <v>0</v>
      </c>
      <c r="P684" s="153">
        <f>IF(COUNT($H684:O684)&gt;=Input!$Y$7,0, P490+P522+P554)</f>
        <v>0</v>
      </c>
      <c r="Q684" s="153">
        <f>IF(COUNT($H684:P684)&gt;=Input!$Y$7,0, Q490+Q522+Q554)</f>
        <v>0</v>
      </c>
      <c r="R684" s="100"/>
      <c r="S684" s="100"/>
      <c r="T684" s="100"/>
      <c r="U684" s="100"/>
      <c r="V684" s="100"/>
      <c r="W684" s="100"/>
      <c r="X684" s="100"/>
      <c r="Y684" s="100"/>
      <c r="Z684" s="100"/>
      <c r="AA684" s="228"/>
      <c r="AB684" s="228"/>
      <c r="AC684" s="228"/>
      <c r="AD684" s="228"/>
      <c r="AE684" s="228"/>
      <c r="AF684" s="228"/>
      <c r="AG684" s="228"/>
      <c r="AH684" s="228"/>
      <c r="AI684" s="228"/>
      <c r="AJ684" s="228"/>
      <c r="AK684" s="228"/>
      <c r="AL684" s="228"/>
      <c r="AM684" s="228"/>
      <c r="AN684" s="228"/>
      <c r="AO684" s="228"/>
      <c r="AP684" s="228"/>
      <c r="AQ684" s="228"/>
      <c r="AR684" s="228"/>
      <c r="AS684" s="228"/>
      <c r="AT684" s="228"/>
      <c r="AU684" s="228"/>
      <c r="AV684" s="228"/>
      <c r="AW684" s="228"/>
      <c r="AX684" s="228"/>
      <c r="AY684" s="228"/>
      <c r="AZ684" s="228"/>
      <c r="BA684" s="228"/>
      <c r="BB684" s="228"/>
      <c r="BC684" s="228"/>
      <c r="BD684" s="228"/>
      <c r="BE684" s="228"/>
      <c r="BF684" s="228"/>
      <c r="BG684" s="228"/>
      <c r="BH684" s="228"/>
      <c r="BI684" s="228"/>
      <c r="BJ684" s="228"/>
      <c r="BK684" s="221"/>
      <c r="BL684" s="221"/>
    </row>
    <row r="685" spans="1:64" hidden="1" outlineLevel="1">
      <c r="A685" s="9"/>
      <c r="B685" s="12"/>
      <c r="C685" s="44"/>
      <c r="D685" s="270">
        <f>Asset19</f>
        <v>0</v>
      </c>
      <c r="E685" s="12"/>
      <c r="F685" s="12"/>
      <c r="G685" s="201">
        <f t="shared" si="32"/>
        <v>0</v>
      </c>
      <c r="H685" s="153">
        <f t="shared" si="44"/>
        <v>0</v>
      </c>
      <c r="I685" s="153">
        <f t="shared" si="44"/>
        <v>0</v>
      </c>
      <c r="J685" s="153">
        <f t="shared" si="44"/>
        <v>0</v>
      </c>
      <c r="K685" s="153">
        <f t="shared" si="44"/>
        <v>0</v>
      </c>
      <c r="L685" s="153">
        <f t="shared" si="44"/>
        <v>0</v>
      </c>
      <c r="M685" s="153">
        <f t="shared" ref="M685" si="53">M491+M523+M555</f>
        <v>0</v>
      </c>
      <c r="N685" s="153">
        <f>IF(COUNT($H685:M685)&gt;=Input!$Y$7,0, N491+N523+N555)</f>
        <v>0</v>
      </c>
      <c r="O685" s="153">
        <f>IF(COUNT($H685:N685)&gt;=Input!$Y$7,0, O491+O523+O555)</f>
        <v>0</v>
      </c>
      <c r="P685" s="153">
        <f>IF(COUNT($H685:O685)&gt;=Input!$Y$7,0, P491+P523+P555)</f>
        <v>0</v>
      </c>
      <c r="Q685" s="153">
        <f>IF(COUNT($H685:P685)&gt;=Input!$Y$7,0, Q491+Q523+Q555)</f>
        <v>0</v>
      </c>
      <c r="R685" s="100"/>
      <c r="S685" s="100"/>
      <c r="T685" s="100"/>
      <c r="U685" s="100"/>
      <c r="V685" s="100"/>
      <c r="W685" s="100"/>
      <c r="X685" s="100"/>
      <c r="Y685" s="100"/>
      <c r="Z685" s="100"/>
      <c r="AA685" s="228"/>
      <c r="AB685" s="228"/>
      <c r="AC685" s="228"/>
      <c r="AD685" s="228"/>
      <c r="AE685" s="228"/>
      <c r="AF685" s="228"/>
      <c r="AG685" s="228"/>
      <c r="AH685" s="228"/>
      <c r="AI685" s="228"/>
      <c r="AJ685" s="228"/>
      <c r="AK685" s="228"/>
      <c r="AL685" s="228"/>
      <c r="AM685" s="228"/>
      <c r="AN685" s="228"/>
      <c r="AO685" s="228"/>
      <c r="AP685" s="228"/>
      <c r="AQ685" s="228"/>
      <c r="AR685" s="228"/>
      <c r="AS685" s="228"/>
      <c r="AT685" s="228"/>
      <c r="AU685" s="228"/>
      <c r="AV685" s="228"/>
      <c r="AW685" s="228"/>
      <c r="AX685" s="228"/>
      <c r="AY685" s="228"/>
      <c r="AZ685" s="228"/>
      <c r="BA685" s="228"/>
      <c r="BB685" s="228"/>
      <c r="BC685" s="228"/>
      <c r="BD685" s="228"/>
      <c r="BE685" s="228"/>
      <c r="BF685" s="228"/>
      <c r="BG685" s="228"/>
      <c r="BH685" s="228"/>
      <c r="BI685" s="228"/>
      <c r="BJ685" s="228"/>
      <c r="BK685" s="221"/>
      <c r="BL685" s="221"/>
    </row>
    <row r="686" spans="1:64" hidden="1" outlineLevel="1">
      <c r="A686" s="9"/>
      <c r="B686" s="12"/>
      <c r="C686" s="44"/>
      <c r="D686" s="270">
        <f>Asset20</f>
        <v>0</v>
      </c>
      <c r="E686" s="12"/>
      <c r="F686" s="12"/>
      <c r="G686" s="201">
        <f t="shared" si="32"/>
        <v>0</v>
      </c>
      <c r="H686" s="153">
        <f t="shared" si="44"/>
        <v>0</v>
      </c>
      <c r="I686" s="153">
        <f t="shared" si="44"/>
        <v>0</v>
      </c>
      <c r="J686" s="153">
        <f t="shared" si="44"/>
        <v>0</v>
      </c>
      <c r="K686" s="153">
        <f t="shared" si="44"/>
        <v>0</v>
      </c>
      <c r="L686" s="153">
        <f t="shared" si="44"/>
        <v>0</v>
      </c>
      <c r="M686" s="153">
        <f t="shared" ref="M686" si="54">M492+M524+M556</f>
        <v>0</v>
      </c>
      <c r="N686" s="153">
        <f>IF(COUNT($H686:M686)&gt;=Input!$Y$7,0, N492+N524+N556)</f>
        <v>0</v>
      </c>
      <c r="O686" s="153">
        <f>IF(COUNT($H686:N686)&gt;=Input!$Y$7,0, O492+O524+O556)</f>
        <v>0</v>
      </c>
      <c r="P686" s="153">
        <f>IF(COUNT($H686:O686)&gt;=Input!$Y$7,0, P492+P524+P556)</f>
        <v>0</v>
      </c>
      <c r="Q686" s="153">
        <f>IF(COUNT($H686:P686)&gt;=Input!$Y$7,0, Q492+Q524+Q556)</f>
        <v>0</v>
      </c>
      <c r="R686" s="100"/>
      <c r="S686" s="100"/>
      <c r="T686" s="100"/>
      <c r="U686" s="100"/>
      <c r="V686" s="100"/>
      <c r="W686" s="100"/>
      <c r="X686" s="100"/>
      <c r="Y686" s="100"/>
      <c r="Z686" s="100"/>
      <c r="AA686" s="228"/>
      <c r="AB686" s="228"/>
      <c r="AC686" s="228"/>
      <c r="AD686" s="228"/>
      <c r="AE686" s="228"/>
      <c r="AF686" s="228"/>
      <c r="AG686" s="228"/>
      <c r="AH686" s="228"/>
      <c r="AI686" s="228"/>
      <c r="AJ686" s="228"/>
      <c r="AK686" s="228"/>
      <c r="AL686" s="228"/>
      <c r="AM686" s="228"/>
      <c r="AN686" s="228"/>
      <c r="AO686" s="228"/>
      <c r="AP686" s="228"/>
      <c r="AQ686" s="228"/>
      <c r="AR686" s="228"/>
      <c r="AS686" s="228"/>
      <c r="AT686" s="228"/>
      <c r="AU686" s="228"/>
      <c r="AV686" s="228"/>
      <c r="AW686" s="228"/>
      <c r="AX686" s="228"/>
      <c r="AY686" s="228"/>
      <c r="AZ686" s="228"/>
      <c r="BA686" s="228"/>
      <c r="BB686" s="228"/>
      <c r="BC686" s="228"/>
      <c r="BD686" s="228"/>
      <c r="BE686" s="228"/>
      <c r="BF686" s="228"/>
      <c r="BG686" s="228"/>
      <c r="BH686" s="228"/>
      <c r="BI686" s="228"/>
      <c r="BJ686" s="228"/>
      <c r="BK686" s="221"/>
      <c r="BL686" s="221"/>
    </row>
    <row r="687" spans="1:64" hidden="1" outlineLevel="1">
      <c r="A687" s="9"/>
      <c r="B687" s="12"/>
      <c r="C687" s="44"/>
      <c r="D687" s="270">
        <f>Asset21</f>
        <v>0</v>
      </c>
      <c r="E687" s="12"/>
      <c r="F687" s="12"/>
      <c r="G687" s="201">
        <f t="shared" si="32"/>
        <v>0</v>
      </c>
      <c r="H687" s="153">
        <f t="shared" ref="H687:L696" si="55">H493+H525+H557</f>
        <v>0</v>
      </c>
      <c r="I687" s="153">
        <f t="shared" si="55"/>
        <v>0</v>
      </c>
      <c r="J687" s="153">
        <f t="shared" si="55"/>
        <v>0</v>
      </c>
      <c r="K687" s="153">
        <f t="shared" si="55"/>
        <v>0</v>
      </c>
      <c r="L687" s="153">
        <f t="shared" si="55"/>
        <v>0</v>
      </c>
      <c r="M687" s="153">
        <f t="shared" ref="M687" si="56">M493+M525+M557</f>
        <v>0</v>
      </c>
      <c r="N687" s="153">
        <f>IF(COUNT($H687:M687)&gt;=Input!$Y$7,0, N493+N525+N557)</f>
        <v>0</v>
      </c>
      <c r="O687" s="153">
        <f>IF(COUNT($H687:N687)&gt;=Input!$Y$7,0, O493+O525+O557)</f>
        <v>0</v>
      </c>
      <c r="P687" s="153">
        <f>IF(COUNT($H687:O687)&gt;=Input!$Y$7,0, P493+P525+P557)</f>
        <v>0</v>
      </c>
      <c r="Q687" s="153">
        <f>IF(COUNT($H687:P687)&gt;=Input!$Y$7,0, Q493+Q525+Q557)</f>
        <v>0</v>
      </c>
      <c r="R687" s="100"/>
      <c r="S687" s="100"/>
      <c r="T687" s="100"/>
      <c r="U687" s="100"/>
      <c r="V687" s="100"/>
      <c r="W687" s="100"/>
      <c r="X687" s="100"/>
      <c r="Y687" s="100"/>
      <c r="Z687" s="100"/>
      <c r="AA687" s="228"/>
      <c r="AB687" s="228"/>
      <c r="AC687" s="228"/>
      <c r="AD687" s="228"/>
      <c r="AE687" s="228"/>
      <c r="AF687" s="228"/>
      <c r="AG687" s="228"/>
      <c r="AH687" s="228"/>
      <c r="AI687" s="228"/>
      <c r="AJ687" s="228"/>
      <c r="AK687" s="228"/>
      <c r="AL687" s="228"/>
      <c r="AM687" s="228"/>
      <c r="AN687" s="228"/>
      <c r="AO687" s="228"/>
      <c r="AP687" s="228"/>
      <c r="AQ687" s="228"/>
      <c r="AR687" s="228"/>
      <c r="AS687" s="228"/>
      <c r="AT687" s="228"/>
      <c r="AU687" s="228"/>
      <c r="AV687" s="228"/>
      <c r="AW687" s="228"/>
      <c r="AX687" s="228"/>
      <c r="AY687" s="228"/>
      <c r="AZ687" s="228"/>
      <c r="BA687" s="228"/>
      <c r="BB687" s="228"/>
      <c r="BC687" s="228"/>
      <c r="BD687" s="228"/>
      <c r="BE687" s="228"/>
      <c r="BF687" s="228"/>
      <c r="BG687" s="228"/>
      <c r="BH687" s="228"/>
      <c r="BI687" s="228"/>
      <c r="BJ687" s="228"/>
      <c r="BK687" s="221"/>
      <c r="BL687" s="221"/>
    </row>
    <row r="688" spans="1:64" hidden="1" outlineLevel="1">
      <c r="A688" s="9"/>
      <c r="B688" s="12"/>
      <c r="C688" s="44"/>
      <c r="D688" s="270">
        <f>Asset22</f>
        <v>0</v>
      </c>
      <c r="E688" s="12"/>
      <c r="F688" s="12"/>
      <c r="G688" s="201">
        <f t="shared" si="32"/>
        <v>0</v>
      </c>
      <c r="H688" s="153">
        <f t="shared" si="55"/>
        <v>0</v>
      </c>
      <c r="I688" s="153">
        <f t="shared" si="55"/>
        <v>0</v>
      </c>
      <c r="J688" s="153">
        <f t="shared" si="55"/>
        <v>0</v>
      </c>
      <c r="K688" s="153">
        <f t="shared" si="55"/>
        <v>0</v>
      </c>
      <c r="L688" s="153">
        <f t="shared" si="55"/>
        <v>0</v>
      </c>
      <c r="M688" s="153">
        <f t="shared" ref="M688" si="57">M494+M526+M558</f>
        <v>0</v>
      </c>
      <c r="N688" s="153">
        <f>IF(COUNT($H688:M688)&gt;=Input!$Y$7,0, N494+N526+N558)</f>
        <v>0</v>
      </c>
      <c r="O688" s="153">
        <f>IF(COUNT($H688:N688)&gt;=Input!$Y$7,0, O494+O526+O558)</f>
        <v>0</v>
      </c>
      <c r="P688" s="153">
        <f>IF(COUNT($H688:O688)&gt;=Input!$Y$7,0, P494+P526+P558)</f>
        <v>0</v>
      </c>
      <c r="Q688" s="153">
        <f>IF(COUNT($H688:P688)&gt;=Input!$Y$7,0, Q494+Q526+Q558)</f>
        <v>0</v>
      </c>
      <c r="R688" s="100"/>
      <c r="S688" s="100"/>
      <c r="T688" s="100"/>
      <c r="U688" s="100"/>
      <c r="V688" s="100"/>
      <c r="W688" s="100"/>
      <c r="X688" s="100"/>
      <c r="Y688" s="100"/>
      <c r="Z688" s="100"/>
      <c r="AA688" s="228"/>
      <c r="AB688" s="228"/>
      <c r="AC688" s="228"/>
      <c r="AD688" s="228"/>
      <c r="AE688" s="228"/>
      <c r="AF688" s="228"/>
      <c r="AG688" s="228"/>
      <c r="AH688" s="228"/>
      <c r="AI688" s="228"/>
      <c r="AJ688" s="228"/>
      <c r="AK688" s="228"/>
      <c r="AL688" s="228"/>
      <c r="AM688" s="228"/>
      <c r="AN688" s="228"/>
      <c r="AO688" s="228"/>
      <c r="AP688" s="228"/>
      <c r="AQ688" s="228"/>
      <c r="AR688" s="228"/>
      <c r="AS688" s="228"/>
      <c r="AT688" s="228"/>
      <c r="AU688" s="228"/>
      <c r="AV688" s="228"/>
      <c r="AW688" s="228"/>
      <c r="AX688" s="228"/>
      <c r="AY688" s="228"/>
      <c r="AZ688" s="228"/>
      <c r="BA688" s="228"/>
      <c r="BB688" s="228"/>
      <c r="BC688" s="228"/>
      <c r="BD688" s="228"/>
      <c r="BE688" s="228"/>
      <c r="BF688" s="228"/>
      <c r="BG688" s="228"/>
      <c r="BH688" s="228"/>
      <c r="BI688" s="228"/>
      <c r="BJ688" s="228"/>
      <c r="BK688" s="221"/>
      <c r="BL688" s="221"/>
    </row>
    <row r="689" spans="1:64" hidden="1" outlineLevel="1">
      <c r="A689" s="9"/>
      <c r="B689" s="12"/>
      <c r="C689" s="44"/>
      <c r="D689" s="270">
        <f>Asset23</f>
        <v>0</v>
      </c>
      <c r="E689" s="12"/>
      <c r="F689" s="12"/>
      <c r="G689" s="201">
        <f t="shared" si="32"/>
        <v>0</v>
      </c>
      <c r="H689" s="153">
        <f t="shared" si="55"/>
        <v>0</v>
      </c>
      <c r="I689" s="153">
        <f t="shared" si="55"/>
        <v>0</v>
      </c>
      <c r="J689" s="153">
        <f t="shared" si="55"/>
        <v>0</v>
      </c>
      <c r="K689" s="153">
        <f t="shared" si="55"/>
        <v>0</v>
      </c>
      <c r="L689" s="153">
        <f t="shared" si="55"/>
        <v>0</v>
      </c>
      <c r="M689" s="153">
        <f t="shared" ref="M689" si="58">M495+M527+M559</f>
        <v>0</v>
      </c>
      <c r="N689" s="153">
        <f>IF(COUNT($H689:M689)&gt;=Input!$Y$7,0, N495+N527+N559)</f>
        <v>0</v>
      </c>
      <c r="O689" s="153">
        <f>IF(COUNT($H689:N689)&gt;=Input!$Y$7,0, O495+O527+O559)</f>
        <v>0</v>
      </c>
      <c r="P689" s="153">
        <f>IF(COUNT($H689:O689)&gt;=Input!$Y$7,0, P495+P527+P559)</f>
        <v>0</v>
      </c>
      <c r="Q689" s="153">
        <f>IF(COUNT($H689:P689)&gt;=Input!$Y$7,0, Q495+Q527+Q559)</f>
        <v>0</v>
      </c>
      <c r="R689" s="100"/>
      <c r="S689" s="100"/>
      <c r="T689" s="100"/>
      <c r="U689" s="100"/>
      <c r="V689" s="100"/>
      <c r="W689" s="100"/>
      <c r="X689" s="100"/>
      <c r="Y689" s="100"/>
      <c r="Z689" s="100"/>
      <c r="AA689" s="228"/>
      <c r="AB689" s="228"/>
      <c r="AC689" s="228"/>
      <c r="AD689" s="228"/>
      <c r="AE689" s="228"/>
      <c r="AF689" s="228"/>
      <c r="AG689" s="228"/>
      <c r="AH689" s="228"/>
      <c r="AI689" s="228"/>
      <c r="AJ689" s="228"/>
      <c r="AK689" s="228"/>
      <c r="AL689" s="228"/>
      <c r="AM689" s="228"/>
      <c r="AN689" s="228"/>
      <c r="AO689" s="228"/>
      <c r="AP689" s="228"/>
      <c r="AQ689" s="228"/>
      <c r="AR689" s="228"/>
      <c r="AS689" s="228"/>
      <c r="AT689" s="228"/>
      <c r="AU689" s="228"/>
      <c r="AV689" s="228"/>
      <c r="AW689" s="228"/>
      <c r="AX689" s="228"/>
      <c r="AY689" s="228"/>
      <c r="AZ689" s="228"/>
      <c r="BA689" s="228"/>
      <c r="BB689" s="228"/>
      <c r="BC689" s="228"/>
      <c r="BD689" s="228"/>
      <c r="BE689" s="228"/>
      <c r="BF689" s="228"/>
      <c r="BG689" s="228"/>
      <c r="BH689" s="228"/>
      <c r="BI689" s="228"/>
      <c r="BJ689" s="228"/>
      <c r="BK689" s="221"/>
      <c r="BL689" s="221"/>
    </row>
    <row r="690" spans="1:64" hidden="1" outlineLevel="1">
      <c r="A690" s="9"/>
      <c r="B690" s="12"/>
      <c r="C690" s="44"/>
      <c r="D690" s="270">
        <f>Asset24</f>
        <v>0</v>
      </c>
      <c r="E690" s="12"/>
      <c r="F690" s="12"/>
      <c r="G690" s="201">
        <f t="shared" si="32"/>
        <v>0</v>
      </c>
      <c r="H690" s="153">
        <f t="shared" si="55"/>
        <v>0</v>
      </c>
      <c r="I690" s="153">
        <f t="shared" si="55"/>
        <v>0</v>
      </c>
      <c r="J690" s="153">
        <f t="shared" si="55"/>
        <v>0</v>
      </c>
      <c r="K690" s="153">
        <f t="shared" si="55"/>
        <v>0</v>
      </c>
      <c r="L690" s="153">
        <f t="shared" si="55"/>
        <v>0</v>
      </c>
      <c r="M690" s="153">
        <f t="shared" ref="M690" si="59">M496+M528+M560</f>
        <v>0</v>
      </c>
      <c r="N690" s="153">
        <f>IF(COUNT($H690:M690)&gt;=Input!$Y$7,0, N496+N528+N560)</f>
        <v>0</v>
      </c>
      <c r="O690" s="153">
        <f>IF(COUNT($H690:N690)&gt;=Input!$Y$7,0, O496+O528+O560)</f>
        <v>0</v>
      </c>
      <c r="P690" s="153">
        <f>IF(COUNT($H690:O690)&gt;=Input!$Y$7,0, P496+P528+P560)</f>
        <v>0</v>
      </c>
      <c r="Q690" s="153">
        <f>IF(COUNT($H690:P690)&gt;=Input!$Y$7,0, Q496+Q528+Q560)</f>
        <v>0</v>
      </c>
      <c r="R690" s="100"/>
      <c r="S690" s="100"/>
      <c r="T690" s="100"/>
      <c r="U690" s="100"/>
      <c r="V690" s="100"/>
      <c r="W690" s="100"/>
      <c r="X690" s="100"/>
      <c r="Y690" s="100"/>
      <c r="Z690" s="100"/>
      <c r="AA690" s="228"/>
      <c r="AB690" s="228"/>
      <c r="AC690" s="228"/>
      <c r="AD690" s="228"/>
      <c r="AE690" s="228"/>
      <c r="AF690" s="228"/>
      <c r="AG690" s="228"/>
      <c r="AH690" s="228"/>
      <c r="AI690" s="228"/>
      <c r="AJ690" s="228"/>
      <c r="AK690" s="228"/>
      <c r="AL690" s="228"/>
      <c r="AM690" s="228"/>
      <c r="AN690" s="228"/>
      <c r="AO690" s="228"/>
      <c r="AP690" s="228"/>
      <c r="AQ690" s="228"/>
      <c r="AR690" s="228"/>
      <c r="AS690" s="228"/>
      <c r="AT690" s="228"/>
      <c r="AU690" s="228"/>
      <c r="AV690" s="228"/>
      <c r="AW690" s="228"/>
      <c r="AX690" s="228"/>
      <c r="AY690" s="228"/>
      <c r="AZ690" s="228"/>
      <c r="BA690" s="228"/>
      <c r="BB690" s="228"/>
      <c r="BC690" s="228"/>
      <c r="BD690" s="228"/>
      <c r="BE690" s="228"/>
      <c r="BF690" s="228"/>
      <c r="BG690" s="228"/>
      <c r="BH690" s="228"/>
      <c r="BI690" s="228"/>
      <c r="BJ690" s="228"/>
      <c r="BK690" s="221"/>
      <c r="BL690" s="221"/>
    </row>
    <row r="691" spans="1:64" hidden="1" outlineLevel="1">
      <c r="A691" s="9"/>
      <c r="B691" s="12"/>
      <c r="C691" s="44"/>
      <c r="D691" s="270">
        <f>Asset25</f>
        <v>0</v>
      </c>
      <c r="E691" s="12"/>
      <c r="F691" s="12"/>
      <c r="G691" s="201">
        <f t="shared" si="32"/>
        <v>0</v>
      </c>
      <c r="H691" s="153">
        <f t="shared" si="55"/>
        <v>0</v>
      </c>
      <c r="I691" s="153">
        <f t="shared" si="55"/>
        <v>0</v>
      </c>
      <c r="J691" s="153">
        <f t="shared" si="55"/>
        <v>0</v>
      </c>
      <c r="K691" s="153">
        <f t="shared" si="55"/>
        <v>0</v>
      </c>
      <c r="L691" s="153">
        <f t="shared" si="55"/>
        <v>0</v>
      </c>
      <c r="M691" s="153">
        <f t="shared" ref="M691" si="60">M497+M529+M561</f>
        <v>0</v>
      </c>
      <c r="N691" s="153">
        <f>IF(COUNT($H691:M691)&gt;=Input!$Y$7,0, N497+N529+N561)</f>
        <v>0</v>
      </c>
      <c r="O691" s="153">
        <f>IF(COUNT($H691:N691)&gt;=Input!$Y$7,0, O497+O529+O561)</f>
        <v>0</v>
      </c>
      <c r="P691" s="153">
        <f>IF(COUNT($H691:O691)&gt;=Input!$Y$7,0, P497+P529+P561)</f>
        <v>0</v>
      </c>
      <c r="Q691" s="153">
        <f>IF(COUNT($H691:P691)&gt;=Input!$Y$7,0, Q497+Q529+Q561)</f>
        <v>0</v>
      </c>
      <c r="R691" s="100"/>
      <c r="S691" s="100"/>
      <c r="T691" s="100"/>
      <c r="U691" s="100"/>
      <c r="V691" s="100"/>
      <c r="W691" s="100"/>
      <c r="X691" s="100"/>
      <c r="Y691" s="100"/>
      <c r="Z691" s="100"/>
      <c r="AA691" s="228"/>
      <c r="AB691" s="228"/>
      <c r="AC691" s="228"/>
      <c r="AD691" s="228"/>
      <c r="AE691" s="228"/>
      <c r="AF691" s="228"/>
      <c r="AG691" s="228"/>
      <c r="AH691" s="228"/>
      <c r="AI691" s="228"/>
      <c r="AJ691" s="228"/>
      <c r="AK691" s="228"/>
      <c r="AL691" s="228"/>
      <c r="AM691" s="228"/>
      <c r="AN691" s="228"/>
      <c r="AO691" s="228"/>
      <c r="AP691" s="228"/>
      <c r="AQ691" s="228"/>
      <c r="AR691" s="228"/>
      <c r="AS691" s="228"/>
      <c r="AT691" s="228"/>
      <c r="AU691" s="228"/>
      <c r="AV691" s="228"/>
      <c r="AW691" s="228"/>
      <c r="AX691" s="228"/>
      <c r="AY691" s="228"/>
      <c r="AZ691" s="228"/>
      <c r="BA691" s="228"/>
      <c r="BB691" s="228"/>
      <c r="BC691" s="228"/>
      <c r="BD691" s="228"/>
      <c r="BE691" s="228"/>
      <c r="BF691" s="228"/>
      <c r="BG691" s="228"/>
      <c r="BH691" s="228"/>
      <c r="BI691" s="228"/>
      <c r="BJ691" s="228"/>
      <c r="BK691" s="221"/>
      <c r="BL691" s="221"/>
    </row>
    <row r="692" spans="1:64" hidden="1" outlineLevel="1">
      <c r="A692" s="9"/>
      <c r="B692" s="12"/>
      <c r="C692" s="44"/>
      <c r="D692" s="270">
        <f>Asset26</f>
        <v>0</v>
      </c>
      <c r="E692" s="12"/>
      <c r="F692" s="12"/>
      <c r="G692" s="201">
        <f t="shared" si="32"/>
        <v>0</v>
      </c>
      <c r="H692" s="153">
        <f t="shared" si="55"/>
        <v>0</v>
      </c>
      <c r="I692" s="153">
        <f t="shared" si="55"/>
        <v>0</v>
      </c>
      <c r="J692" s="153">
        <f t="shared" si="55"/>
        <v>0</v>
      </c>
      <c r="K692" s="153">
        <f t="shared" si="55"/>
        <v>0</v>
      </c>
      <c r="L692" s="153">
        <f t="shared" si="55"/>
        <v>0</v>
      </c>
      <c r="M692" s="153">
        <f t="shared" ref="M692" si="61">M498+M530+M562</f>
        <v>0</v>
      </c>
      <c r="N692" s="153">
        <f>IF(COUNT($H692:M692)&gt;=Input!$Y$7,0, N498+N530+N562)</f>
        <v>0</v>
      </c>
      <c r="O692" s="153">
        <f>IF(COUNT($H692:N692)&gt;=Input!$Y$7,0, O498+O530+O562)</f>
        <v>0</v>
      </c>
      <c r="P692" s="153">
        <f>IF(COUNT($H692:O692)&gt;=Input!$Y$7,0, P498+P530+P562)</f>
        <v>0</v>
      </c>
      <c r="Q692" s="153">
        <f>IF(COUNT($H692:P692)&gt;=Input!$Y$7,0, Q498+Q530+Q562)</f>
        <v>0</v>
      </c>
      <c r="R692" s="100"/>
      <c r="S692" s="100"/>
      <c r="T692" s="100"/>
      <c r="U692" s="100"/>
      <c r="V692" s="100"/>
      <c r="W692" s="100"/>
      <c r="X692" s="100"/>
      <c r="Y692" s="100"/>
      <c r="Z692" s="100"/>
      <c r="AA692" s="228"/>
      <c r="AB692" s="228"/>
      <c r="AC692" s="228"/>
      <c r="AD692" s="228"/>
      <c r="AE692" s="228"/>
      <c r="AF692" s="228"/>
      <c r="AG692" s="228"/>
      <c r="AH692" s="228"/>
      <c r="AI692" s="228"/>
      <c r="AJ692" s="228"/>
      <c r="AK692" s="228"/>
      <c r="AL692" s="228"/>
      <c r="AM692" s="228"/>
      <c r="AN692" s="228"/>
      <c r="AO692" s="228"/>
      <c r="AP692" s="228"/>
      <c r="AQ692" s="228"/>
      <c r="AR692" s="228"/>
      <c r="AS692" s="228"/>
      <c r="AT692" s="228"/>
      <c r="AU692" s="228"/>
      <c r="AV692" s="228"/>
      <c r="AW692" s="228"/>
      <c r="AX692" s="228"/>
      <c r="AY692" s="228"/>
      <c r="AZ692" s="228"/>
      <c r="BA692" s="228"/>
      <c r="BB692" s="228"/>
      <c r="BC692" s="228"/>
      <c r="BD692" s="228"/>
      <c r="BE692" s="228"/>
      <c r="BF692" s="228"/>
      <c r="BG692" s="228"/>
      <c r="BH692" s="228"/>
      <c r="BI692" s="228"/>
      <c r="BJ692" s="228"/>
      <c r="BK692" s="221"/>
      <c r="BL692" s="221"/>
    </row>
    <row r="693" spans="1:64" hidden="1" outlineLevel="1">
      <c r="A693" s="9"/>
      <c r="B693" s="12"/>
      <c r="C693" s="44"/>
      <c r="D693" s="270">
        <f>Asset27</f>
        <v>0</v>
      </c>
      <c r="E693" s="12"/>
      <c r="F693" s="12"/>
      <c r="G693" s="201">
        <f t="shared" si="32"/>
        <v>0</v>
      </c>
      <c r="H693" s="153">
        <f t="shared" si="55"/>
        <v>0</v>
      </c>
      <c r="I693" s="153">
        <f t="shared" si="55"/>
        <v>0</v>
      </c>
      <c r="J693" s="153">
        <f t="shared" si="55"/>
        <v>0</v>
      </c>
      <c r="K693" s="153">
        <f t="shared" si="55"/>
        <v>0</v>
      </c>
      <c r="L693" s="153">
        <f t="shared" si="55"/>
        <v>0</v>
      </c>
      <c r="M693" s="153">
        <f t="shared" ref="M693" si="62">M499+M531+M563</f>
        <v>0</v>
      </c>
      <c r="N693" s="153">
        <f>IF(COUNT($H693:M693)&gt;=Input!$Y$7,0, N499+N531+N563)</f>
        <v>0</v>
      </c>
      <c r="O693" s="153">
        <f>IF(COUNT($H693:N693)&gt;=Input!$Y$7,0, O499+O531+O563)</f>
        <v>0</v>
      </c>
      <c r="P693" s="153">
        <f>IF(COUNT($H693:O693)&gt;=Input!$Y$7,0, P499+P531+P563)</f>
        <v>0</v>
      </c>
      <c r="Q693" s="153">
        <f>IF(COUNT($H693:P693)&gt;=Input!$Y$7,0, Q499+Q531+Q563)</f>
        <v>0</v>
      </c>
      <c r="R693" s="100"/>
      <c r="S693" s="100"/>
      <c r="T693" s="100"/>
      <c r="U693" s="100"/>
      <c r="V693" s="100"/>
      <c r="W693" s="100"/>
      <c r="X693" s="100"/>
      <c r="Y693" s="100"/>
      <c r="Z693" s="100"/>
      <c r="AA693" s="228"/>
      <c r="AB693" s="228"/>
      <c r="AC693" s="228"/>
      <c r="AD693" s="228"/>
      <c r="AE693" s="228"/>
      <c r="AF693" s="228"/>
      <c r="AG693" s="228"/>
      <c r="AH693" s="228"/>
      <c r="AI693" s="228"/>
      <c r="AJ693" s="228"/>
      <c r="AK693" s="228"/>
      <c r="AL693" s="228"/>
      <c r="AM693" s="228"/>
      <c r="AN693" s="228"/>
      <c r="AO693" s="228"/>
      <c r="AP693" s="228"/>
      <c r="AQ693" s="228"/>
      <c r="AR693" s="228"/>
      <c r="AS693" s="228"/>
      <c r="AT693" s="228"/>
      <c r="AU693" s="228"/>
      <c r="AV693" s="228"/>
      <c r="AW693" s="228"/>
      <c r="AX693" s="228"/>
      <c r="AY693" s="228"/>
      <c r="AZ693" s="228"/>
      <c r="BA693" s="228"/>
      <c r="BB693" s="228"/>
      <c r="BC693" s="228"/>
      <c r="BD693" s="228"/>
      <c r="BE693" s="228"/>
      <c r="BF693" s="228"/>
      <c r="BG693" s="228"/>
      <c r="BH693" s="228"/>
      <c r="BI693" s="228"/>
      <c r="BJ693" s="228"/>
      <c r="BK693" s="221"/>
      <c r="BL693" s="221"/>
    </row>
    <row r="694" spans="1:64" hidden="1" outlineLevel="1">
      <c r="A694" s="9"/>
      <c r="B694" s="12"/>
      <c r="C694" s="44"/>
      <c r="D694" s="270">
        <f>Asset28</f>
        <v>0</v>
      </c>
      <c r="E694" s="12"/>
      <c r="F694" s="12"/>
      <c r="G694" s="201">
        <f t="shared" si="32"/>
        <v>0</v>
      </c>
      <c r="H694" s="153">
        <f t="shared" si="55"/>
        <v>0</v>
      </c>
      <c r="I694" s="153">
        <f t="shared" si="55"/>
        <v>0</v>
      </c>
      <c r="J694" s="153">
        <f t="shared" si="55"/>
        <v>0</v>
      </c>
      <c r="K694" s="153">
        <f t="shared" si="55"/>
        <v>0</v>
      </c>
      <c r="L694" s="153">
        <f t="shared" si="55"/>
        <v>0</v>
      </c>
      <c r="M694" s="153">
        <f t="shared" ref="M694" si="63">M500+M532+M564</f>
        <v>0</v>
      </c>
      <c r="N694" s="153">
        <f>IF(COUNT($H694:M694)&gt;=Input!$Y$7,0, N500+N532+N564)</f>
        <v>0</v>
      </c>
      <c r="O694" s="153">
        <f>IF(COUNT($H694:N694)&gt;=Input!$Y$7,0, O500+O532+O564)</f>
        <v>0</v>
      </c>
      <c r="P694" s="153">
        <f>IF(COUNT($H694:O694)&gt;=Input!$Y$7,0, P500+P532+P564)</f>
        <v>0</v>
      </c>
      <c r="Q694" s="153">
        <f>IF(COUNT($H694:P694)&gt;=Input!$Y$7,0, Q500+Q532+Q564)</f>
        <v>0</v>
      </c>
      <c r="R694" s="100"/>
      <c r="S694" s="100"/>
      <c r="T694" s="100"/>
      <c r="U694" s="100"/>
      <c r="V694" s="100"/>
      <c r="W694" s="100"/>
      <c r="X694" s="100"/>
      <c r="Y694" s="100"/>
      <c r="Z694" s="100"/>
      <c r="AA694" s="228"/>
      <c r="AB694" s="228"/>
      <c r="AC694" s="228"/>
      <c r="AD694" s="228"/>
      <c r="AE694" s="228"/>
      <c r="AF694" s="228"/>
      <c r="AG694" s="228"/>
      <c r="AH694" s="228"/>
      <c r="AI694" s="228"/>
      <c r="AJ694" s="228"/>
      <c r="AK694" s="228"/>
      <c r="AL694" s="228"/>
      <c r="AM694" s="228"/>
      <c r="AN694" s="228"/>
      <c r="AO694" s="228"/>
      <c r="AP694" s="228"/>
      <c r="AQ694" s="228"/>
      <c r="AR694" s="228"/>
      <c r="AS694" s="228"/>
      <c r="AT694" s="228"/>
      <c r="AU694" s="228"/>
      <c r="AV694" s="228"/>
      <c r="AW694" s="228"/>
      <c r="AX694" s="228"/>
      <c r="AY694" s="228"/>
      <c r="AZ694" s="228"/>
      <c r="BA694" s="228"/>
      <c r="BB694" s="228"/>
      <c r="BC694" s="228"/>
      <c r="BD694" s="228"/>
      <c r="BE694" s="228"/>
      <c r="BF694" s="228"/>
      <c r="BG694" s="228"/>
      <c r="BH694" s="228"/>
      <c r="BI694" s="228"/>
      <c r="BJ694" s="228"/>
      <c r="BK694" s="221"/>
      <c r="BL694" s="221"/>
    </row>
    <row r="695" spans="1:64" hidden="1" outlineLevel="1">
      <c r="A695" s="9"/>
      <c r="B695" s="12"/>
      <c r="C695" s="44"/>
      <c r="D695" s="270">
        <f>Asset29</f>
        <v>0</v>
      </c>
      <c r="E695" s="12"/>
      <c r="F695" s="12"/>
      <c r="G695" s="201">
        <f t="shared" si="32"/>
        <v>0</v>
      </c>
      <c r="H695" s="153">
        <f t="shared" si="55"/>
        <v>0</v>
      </c>
      <c r="I695" s="153">
        <f t="shared" si="55"/>
        <v>0</v>
      </c>
      <c r="J695" s="153">
        <f t="shared" si="55"/>
        <v>0</v>
      </c>
      <c r="K695" s="153">
        <f t="shared" si="55"/>
        <v>0</v>
      </c>
      <c r="L695" s="153">
        <f t="shared" si="55"/>
        <v>0</v>
      </c>
      <c r="M695" s="153">
        <f t="shared" ref="M695" si="64">M501+M533+M565</f>
        <v>0</v>
      </c>
      <c r="N695" s="153">
        <f>IF(COUNT($H695:M695)&gt;=Input!$Y$7,0, N501+N533+N565)</f>
        <v>0</v>
      </c>
      <c r="O695" s="153">
        <f>IF(COUNT($H695:N695)&gt;=Input!$Y$7,0, O501+O533+O565)</f>
        <v>0</v>
      </c>
      <c r="P695" s="153">
        <f>IF(COUNT($H695:O695)&gt;=Input!$Y$7,0, P501+P533+P565)</f>
        <v>0</v>
      </c>
      <c r="Q695" s="153">
        <f>IF(COUNT($H695:P695)&gt;=Input!$Y$7,0, Q501+Q533+Q565)</f>
        <v>0</v>
      </c>
      <c r="R695" s="100"/>
      <c r="S695" s="100"/>
      <c r="T695" s="100"/>
      <c r="U695" s="100"/>
      <c r="V695" s="100"/>
      <c r="W695" s="100"/>
      <c r="X695" s="100"/>
      <c r="Y695" s="100"/>
      <c r="Z695" s="100"/>
      <c r="AA695" s="228"/>
      <c r="AB695" s="228"/>
      <c r="AC695" s="228"/>
      <c r="AD695" s="228"/>
      <c r="AE695" s="228"/>
      <c r="AF695" s="228"/>
      <c r="AG695" s="228"/>
      <c r="AH695" s="228"/>
      <c r="AI695" s="228"/>
      <c r="AJ695" s="228"/>
      <c r="AK695" s="228"/>
      <c r="AL695" s="228"/>
      <c r="AM695" s="228"/>
      <c r="AN695" s="228"/>
      <c r="AO695" s="228"/>
      <c r="AP695" s="228"/>
      <c r="AQ695" s="228"/>
      <c r="AR695" s="228"/>
      <c r="AS695" s="228"/>
      <c r="AT695" s="228"/>
      <c r="AU695" s="228"/>
      <c r="AV695" s="228"/>
      <c r="AW695" s="228"/>
      <c r="AX695" s="228"/>
      <c r="AY695" s="228"/>
      <c r="AZ695" s="228"/>
      <c r="BA695" s="228"/>
      <c r="BB695" s="228"/>
      <c r="BC695" s="228"/>
      <c r="BD695" s="228"/>
      <c r="BE695" s="228"/>
      <c r="BF695" s="228"/>
      <c r="BG695" s="228"/>
      <c r="BH695" s="228"/>
      <c r="BI695" s="228"/>
      <c r="BJ695" s="228"/>
      <c r="BK695" s="221"/>
      <c r="BL695" s="221"/>
    </row>
    <row r="696" spans="1:64" hidden="1" outlineLevel="1">
      <c r="A696" s="9"/>
      <c r="B696" s="12"/>
      <c r="C696" s="44"/>
      <c r="D696" s="270">
        <f>Asset30</f>
        <v>0</v>
      </c>
      <c r="E696" s="12"/>
      <c r="F696" s="12"/>
      <c r="G696" s="201">
        <f t="shared" si="32"/>
        <v>0</v>
      </c>
      <c r="H696" s="153">
        <f t="shared" si="55"/>
        <v>0</v>
      </c>
      <c r="I696" s="153">
        <f t="shared" si="55"/>
        <v>0</v>
      </c>
      <c r="J696" s="153">
        <f t="shared" si="55"/>
        <v>0</v>
      </c>
      <c r="K696" s="153">
        <f t="shared" si="55"/>
        <v>0</v>
      </c>
      <c r="L696" s="153">
        <f t="shared" si="55"/>
        <v>0</v>
      </c>
      <c r="M696" s="153">
        <f t="shared" ref="M696" si="65">M502+M534+M566</f>
        <v>0</v>
      </c>
      <c r="N696" s="153">
        <f>IF(COUNT($H696:M696)&gt;=Input!$Y$7,0, N502+N534+N566)</f>
        <v>0</v>
      </c>
      <c r="O696" s="153">
        <f>IF(COUNT($H696:N696)&gt;=Input!$Y$7,0, O502+O534+O566)</f>
        <v>0</v>
      </c>
      <c r="P696" s="153">
        <f>IF(COUNT($H696:O696)&gt;=Input!$Y$7,0, P502+P534+P566)</f>
        <v>0</v>
      </c>
      <c r="Q696" s="153">
        <f>IF(COUNT($H696:P696)&gt;=Input!$Y$7,0, Q502+Q534+Q566)</f>
        <v>0</v>
      </c>
      <c r="R696" s="100"/>
      <c r="S696" s="100"/>
      <c r="T696" s="100"/>
      <c r="U696" s="100"/>
      <c r="V696" s="100"/>
      <c r="W696" s="100"/>
      <c r="X696" s="100"/>
      <c r="Y696" s="100"/>
      <c r="Z696" s="100"/>
      <c r="AA696" s="228"/>
      <c r="AB696" s="228"/>
      <c r="AC696" s="228"/>
      <c r="AD696" s="228"/>
      <c r="AE696" s="228"/>
      <c r="AF696" s="228"/>
      <c r="AG696" s="228"/>
      <c r="AH696" s="228"/>
      <c r="AI696" s="228"/>
      <c r="AJ696" s="228"/>
      <c r="AK696" s="228"/>
      <c r="AL696" s="228"/>
      <c r="AM696" s="228"/>
      <c r="AN696" s="228"/>
      <c r="AO696" s="228"/>
      <c r="AP696" s="228"/>
      <c r="AQ696" s="228"/>
      <c r="AR696" s="228"/>
      <c r="AS696" s="228"/>
      <c r="AT696" s="228"/>
      <c r="AU696" s="228"/>
      <c r="AV696" s="228"/>
      <c r="AW696" s="228"/>
      <c r="AX696" s="228"/>
      <c r="AY696" s="228"/>
      <c r="AZ696" s="228"/>
      <c r="BA696" s="228"/>
      <c r="BB696" s="228"/>
      <c r="BC696" s="228"/>
      <c r="BD696" s="228"/>
      <c r="BE696" s="228"/>
      <c r="BF696" s="228"/>
      <c r="BG696" s="228"/>
      <c r="BH696" s="228"/>
      <c r="BI696" s="228"/>
      <c r="BJ696" s="228"/>
      <c r="BK696" s="221"/>
      <c r="BL696" s="221"/>
    </row>
    <row r="697" spans="1:64" collapsed="1">
      <c r="A697" s="9"/>
      <c r="B697" s="12"/>
      <c r="C697" s="90"/>
      <c r="D697" s="113"/>
      <c r="E697" s="12"/>
      <c r="F697" s="12"/>
      <c r="G697" s="152"/>
      <c r="H697" s="141"/>
      <c r="I697" s="141"/>
      <c r="J697" s="141"/>
      <c r="K697" s="141"/>
      <c r="L697" s="141"/>
      <c r="M697" s="141"/>
      <c r="N697" s="100"/>
      <c r="O697" s="100"/>
      <c r="P697" s="100"/>
      <c r="Q697" s="100"/>
      <c r="R697" s="100"/>
      <c r="S697" s="100"/>
      <c r="T697" s="100"/>
      <c r="U697" s="100"/>
      <c r="V697" s="100"/>
      <c r="W697" s="100"/>
      <c r="X697" s="100"/>
      <c r="Y697" s="100"/>
      <c r="Z697" s="100"/>
      <c r="AA697" s="228"/>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8"/>
      <c r="AY697" s="228"/>
      <c r="AZ697" s="228"/>
      <c r="BA697" s="228"/>
      <c r="BB697" s="228"/>
      <c r="BC697" s="228"/>
      <c r="BD697" s="228"/>
      <c r="BE697" s="228"/>
      <c r="BF697" s="228"/>
      <c r="BG697" s="228"/>
      <c r="BH697" s="228"/>
      <c r="BI697" s="228"/>
      <c r="BJ697" s="228"/>
      <c r="BK697" s="221"/>
      <c r="BL697" s="221"/>
    </row>
    <row r="698" spans="1:64" s="9" customFormat="1">
      <c r="B698" s="12"/>
      <c r="C698" s="90" t="s">
        <v>34</v>
      </c>
      <c r="D698" s="12"/>
      <c r="E698" s="12"/>
      <c r="F698" s="12"/>
      <c r="G698" s="114"/>
      <c r="H698" s="115"/>
      <c r="I698" s="115"/>
      <c r="J698" s="115"/>
      <c r="K698" s="115"/>
      <c r="L698" s="115">
        <f t="shared" ref="L698:Q698" si="66">SUM(L699:L728)</f>
        <v>0</v>
      </c>
      <c r="M698" s="115">
        <f t="shared" si="66"/>
        <v>29.806149546015401</v>
      </c>
      <c r="N698" s="115">
        <f t="shared" si="66"/>
        <v>0</v>
      </c>
      <c r="O698" s="115">
        <f t="shared" si="66"/>
        <v>0</v>
      </c>
      <c r="P698" s="115">
        <f t="shared" si="66"/>
        <v>0</v>
      </c>
      <c r="Q698" s="115">
        <f t="shared" si="66"/>
        <v>0</v>
      </c>
      <c r="R698" s="106"/>
      <c r="S698" s="106"/>
      <c r="T698" s="106"/>
      <c r="U698" s="106"/>
      <c r="V698" s="106"/>
      <c r="W698" s="106"/>
      <c r="X698" s="106"/>
      <c r="Y698" s="106"/>
      <c r="Z698" s="106"/>
      <c r="AA698" s="215"/>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c r="BI698" s="215"/>
      <c r="BJ698" s="215"/>
      <c r="BK698" s="221"/>
      <c r="BL698" s="221"/>
    </row>
    <row r="699" spans="1:64" ht="12" hidden="1" customHeight="1" outlineLevel="1">
      <c r="A699" s="9"/>
      <c r="B699" s="9"/>
      <c r="C699" s="9"/>
      <c r="D699" s="270" t="str">
        <f>Asset1</f>
        <v>Secondary</v>
      </c>
      <c r="E699" s="9"/>
      <c r="F699" s="9"/>
      <c r="G699" s="9"/>
      <c r="H699" s="111"/>
      <c r="I699" s="111"/>
      <c r="J699" s="111"/>
      <c r="K699" s="111"/>
      <c r="L699" s="111">
        <f>IF(L$666&gt;0, IF(M$666=0, 'Adjustment for previous period'!$G76, 0), 0)</f>
        <v>0</v>
      </c>
      <c r="M699" s="111">
        <f>IF(M$666&gt;0, IF(N$666=0, 'Adjustment for previous period'!$G76, 0), 0)</f>
        <v>5.2305438000338995</v>
      </c>
      <c r="N699" s="111">
        <f>IF(N$666&gt;0, IF(O$666=0, 'Adjustment for previous period'!$G76, 0), 0)</f>
        <v>0</v>
      </c>
      <c r="O699" s="111">
        <f>IF(O$666&gt;0, IF(P$666=0, 'Adjustment for previous period'!$G76, 0), 0)</f>
        <v>0</v>
      </c>
      <c r="P699" s="111">
        <f>IF(P$666&gt;0, IF(Q$666=0, 'Adjustment for previous period'!$G76, 0), 0)</f>
        <v>0</v>
      </c>
      <c r="Q699" s="111">
        <f>IF(Q$666&gt;0, IF(R$666=0, 'Adjustment for previous period'!$G76, 0), 0)</f>
        <v>0</v>
      </c>
      <c r="R699" s="9"/>
      <c r="S699" s="12"/>
      <c r="T699" s="12"/>
      <c r="U699" s="12"/>
      <c r="V699" s="12"/>
      <c r="W699" s="12"/>
      <c r="X699" s="12"/>
      <c r="Y699" s="12"/>
      <c r="Z699" s="12"/>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1"/>
      <c r="AY699" s="221"/>
      <c r="AZ699" s="221"/>
      <c r="BA699" s="221"/>
      <c r="BB699" s="221"/>
      <c r="BC699" s="221"/>
      <c r="BD699" s="221"/>
      <c r="BE699" s="221"/>
      <c r="BF699" s="221"/>
      <c r="BG699" s="221"/>
      <c r="BH699" s="221"/>
      <c r="BI699" s="221"/>
      <c r="BJ699" s="221"/>
      <c r="BK699" s="221"/>
      <c r="BL699" s="221"/>
    </row>
    <row r="700" spans="1:64" ht="12" hidden="1" customHeight="1" outlineLevel="1">
      <c r="A700" s="9"/>
      <c r="B700" s="9"/>
      <c r="C700" s="9"/>
      <c r="D700" s="270" t="str">
        <f>Asset2</f>
        <v>Switchgear</v>
      </c>
      <c r="E700" s="9"/>
      <c r="F700" s="9"/>
      <c r="G700" s="9"/>
      <c r="H700" s="111"/>
      <c r="I700" s="111"/>
      <c r="J700" s="111"/>
      <c r="K700" s="111"/>
      <c r="L700" s="111">
        <f>IF(L$666&gt;0, IF(M$666=0, 'Adjustment for previous period'!$G77, 0), 0)</f>
        <v>0</v>
      </c>
      <c r="M700" s="111">
        <f>IF(M$666&gt;0, IF(N$666=0, 'Adjustment for previous period'!$G77, 0), 0)</f>
        <v>10.106665730941359</v>
      </c>
      <c r="N700" s="111">
        <f>IF(N$666&gt;0, IF(O$666=0, 'Adjustment for previous period'!$G77, 0), 0)</f>
        <v>0</v>
      </c>
      <c r="O700" s="111">
        <f>IF(O$666&gt;0, IF(P$666=0, 'Adjustment for previous period'!$G77, 0), 0)</f>
        <v>0</v>
      </c>
      <c r="P700" s="111">
        <f>IF(P$666&gt;0, IF(Q$666=0, 'Adjustment for previous period'!$G77, 0), 0)</f>
        <v>0</v>
      </c>
      <c r="Q700" s="111">
        <f>IF(Q$666&gt;0, IF(R$666=0, 'Adjustment for previous period'!$G77, 0), 0)</f>
        <v>0</v>
      </c>
      <c r="R700" s="9"/>
      <c r="S700" s="12"/>
      <c r="T700" s="12"/>
      <c r="U700" s="12"/>
      <c r="V700" s="12"/>
      <c r="W700" s="12"/>
      <c r="X700" s="12"/>
      <c r="Y700" s="12"/>
      <c r="Z700" s="12"/>
      <c r="AA700" s="221"/>
      <c r="AB700" s="221"/>
      <c r="AC700" s="221"/>
      <c r="AD700" s="221"/>
      <c r="AE700" s="221"/>
      <c r="AF700" s="221"/>
      <c r="AG700" s="221"/>
      <c r="AH700" s="221"/>
      <c r="AI700" s="221"/>
      <c r="AJ700" s="221"/>
      <c r="AK700" s="221"/>
      <c r="AL700" s="221"/>
      <c r="AM700" s="221"/>
      <c r="AN700" s="221"/>
      <c r="AO700" s="221"/>
      <c r="AP700" s="221"/>
      <c r="AQ700" s="221"/>
      <c r="AR700" s="221"/>
      <c r="AS700" s="221"/>
      <c r="AT700" s="221"/>
      <c r="AU700" s="221"/>
      <c r="AV700" s="221"/>
      <c r="AW700" s="221"/>
      <c r="AX700" s="221"/>
      <c r="AY700" s="221"/>
      <c r="AZ700" s="221"/>
      <c r="BA700" s="221"/>
      <c r="BB700" s="221"/>
      <c r="BC700" s="221"/>
      <c r="BD700" s="221"/>
      <c r="BE700" s="221"/>
      <c r="BF700" s="221"/>
      <c r="BG700" s="221"/>
      <c r="BH700" s="221"/>
      <c r="BI700" s="221"/>
      <c r="BJ700" s="221"/>
      <c r="BK700" s="221"/>
      <c r="BL700" s="221"/>
    </row>
    <row r="701" spans="1:64" ht="12" hidden="1" customHeight="1" outlineLevel="1">
      <c r="A701" s="9"/>
      <c r="B701" s="9"/>
      <c r="C701" s="9"/>
      <c r="D701" s="270" t="str">
        <f>Asset3</f>
        <v>Transformers</v>
      </c>
      <c r="E701" s="9"/>
      <c r="F701" s="9"/>
      <c r="G701" s="9"/>
      <c r="H701" s="111"/>
      <c r="I701" s="111"/>
      <c r="J701" s="111"/>
      <c r="K701" s="111"/>
      <c r="L701" s="111">
        <f>IF(L$666&gt;0, IF(M$666=0, 'Adjustment for previous period'!$G78, 0), 0)</f>
        <v>0</v>
      </c>
      <c r="M701" s="111">
        <f>IF(M$666&gt;0, IF(N$666=0, 'Adjustment for previous period'!$G78, 0), 0)</f>
        <v>5.4689968375733748</v>
      </c>
      <c r="N701" s="111">
        <f>IF(N$666&gt;0, IF(O$666=0, 'Adjustment for previous period'!$G78, 0), 0)</f>
        <v>0</v>
      </c>
      <c r="O701" s="111">
        <f>IF(O$666&gt;0, IF(P$666=0, 'Adjustment for previous period'!$G78, 0), 0)</f>
        <v>0</v>
      </c>
      <c r="P701" s="111">
        <f>IF(P$666&gt;0, IF(Q$666=0, 'Adjustment for previous period'!$G78, 0), 0)</f>
        <v>0</v>
      </c>
      <c r="Q701" s="111">
        <f>IF(Q$666&gt;0, IF(R$666=0, 'Adjustment for previous period'!$G78, 0), 0)</f>
        <v>0</v>
      </c>
      <c r="R701" s="9"/>
      <c r="S701" s="12"/>
      <c r="T701" s="12"/>
      <c r="U701" s="12"/>
      <c r="V701" s="12"/>
      <c r="W701" s="12"/>
      <c r="X701" s="12"/>
      <c r="Y701" s="12"/>
      <c r="Z701" s="12"/>
      <c r="AA701" s="221"/>
      <c r="AB701" s="221"/>
      <c r="AC701" s="221"/>
      <c r="AD701" s="221"/>
      <c r="AE701" s="221"/>
      <c r="AF701" s="221"/>
      <c r="AG701" s="221"/>
      <c r="AH701" s="221"/>
      <c r="AI701" s="221"/>
      <c r="AJ701" s="221"/>
      <c r="AK701" s="221"/>
      <c r="AL701" s="221"/>
      <c r="AM701" s="221"/>
      <c r="AN701" s="221"/>
      <c r="AO701" s="221"/>
      <c r="AP701" s="221"/>
      <c r="AQ701" s="221"/>
      <c r="AR701" s="221"/>
      <c r="AS701" s="221"/>
      <c r="AT701" s="221"/>
      <c r="AU701" s="221"/>
      <c r="AV701" s="221"/>
      <c r="AW701" s="221"/>
      <c r="AX701" s="221"/>
      <c r="AY701" s="221"/>
      <c r="AZ701" s="221"/>
      <c r="BA701" s="221"/>
      <c r="BB701" s="221"/>
      <c r="BC701" s="221"/>
      <c r="BD701" s="221"/>
      <c r="BE701" s="221"/>
      <c r="BF701" s="221"/>
      <c r="BG701" s="221"/>
      <c r="BH701" s="221"/>
      <c r="BI701" s="221"/>
      <c r="BJ701" s="221"/>
      <c r="BK701" s="221"/>
      <c r="BL701" s="221"/>
    </row>
    <row r="702" spans="1:64" ht="12" hidden="1" customHeight="1" outlineLevel="1">
      <c r="A702" s="9"/>
      <c r="B702" s="9"/>
      <c r="C702" s="9"/>
      <c r="D702" s="270" t="str">
        <f>Asset4</f>
        <v>Reactive</v>
      </c>
      <c r="E702" s="9"/>
      <c r="F702" s="9"/>
      <c r="G702" s="9"/>
      <c r="H702" s="111"/>
      <c r="I702" s="111"/>
      <c r="J702" s="111"/>
      <c r="K702" s="111"/>
      <c r="L702" s="111">
        <f>IF(L$666&gt;0, IF(M$666=0, 'Adjustment for previous period'!$G79, 0), 0)</f>
        <v>0</v>
      </c>
      <c r="M702" s="111">
        <f>IF(M$666&gt;0, IF(N$666=0, 'Adjustment for previous period'!$G79, 0), 0)</f>
        <v>-0.50780834609878256</v>
      </c>
      <c r="N702" s="111">
        <f>IF(N$666&gt;0, IF(O$666=0, 'Adjustment for previous period'!$G79, 0), 0)</f>
        <v>0</v>
      </c>
      <c r="O702" s="111">
        <f>IF(O$666&gt;0, IF(P$666=0, 'Adjustment for previous period'!$G79, 0), 0)</f>
        <v>0</v>
      </c>
      <c r="P702" s="111">
        <f>IF(P$666&gt;0, IF(Q$666=0, 'Adjustment for previous period'!$G79, 0), 0)</f>
        <v>0</v>
      </c>
      <c r="Q702" s="111">
        <f>IF(Q$666&gt;0, IF(R$666=0, 'Adjustment for previous period'!$G79, 0), 0)</f>
        <v>0</v>
      </c>
      <c r="R702" s="9"/>
      <c r="S702" s="12"/>
      <c r="T702" s="12"/>
      <c r="U702" s="12"/>
      <c r="V702" s="12"/>
      <c r="W702" s="12"/>
      <c r="X702" s="12"/>
      <c r="Y702" s="12"/>
      <c r="Z702" s="12"/>
      <c r="AA702" s="221"/>
      <c r="AB702" s="221"/>
      <c r="AC702" s="221"/>
      <c r="AD702" s="221"/>
      <c r="AE702" s="221"/>
      <c r="AF702" s="221"/>
      <c r="AG702" s="221"/>
      <c r="AH702" s="221"/>
      <c r="AI702" s="221"/>
      <c r="AJ702" s="221"/>
      <c r="AK702" s="221"/>
      <c r="AL702" s="221"/>
      <c r="AM702" s="221"/>
      <c r="AN702" s="221"/>
      <c r="AO702" s="221"/>
      <c r="AP702" s="221"/>
      <c r="AQ702" s="221"/>
      <c r="AR702" s="221"/>
      <c r="AS702" s="221"/>
      <c r="AT702" s="221"/>
      <c r="AU702" s="221"/>
      <c r="AV702" s="221"/>
      <c r="AW702" s="221"/>
      <c r="AX702" s="221"/>
      <c r="AY702" s="221"/>
      <c r="AZ702" s="221"/>
      <c r="BA702" s="221"/>
      <c r="BB702" s="221"/>
      <c r="BC702" s="221"/>
      <c r="BD702" s="221"/>
      <c r="BE702" s="221"/>
      <c r="BF702" s="221"/>
      <c r="BG702" s="221"/>
      <c r="BH702" s="221"/>
      <c r="BI702" s="221"/>
      <c r="BJ702" s="221"/>
      <c r="BK702" s="221"/>
      <c r="BL702" s="221"/>
    </row>
    <row r="703" spans="1:64" ht="12" hidden="1" customHeight="1" outlineLevel="1">
      <c r="A703" s="9"/>
      <c r="B703" s="9"/>
      <c r="C703" s="9"/>
      <c r="D703" s="270" t="str">
        <f>Asset5</f>
        <v>Towers and Conductor</v>
      </c>
      <c r="E703" s="9"/>
      <c r="F703" s="9"/>
      <c r="G703" s="9"/>
      <c r="H703" s="111"/>
      <c r="I703" s="111"/>
      <c r="J703" s="111"/>
      <c r="K703" s="111"/>
      <c r="L703" s="111">
        <f>IF(L$666&gt;0, IF(M$666=0, 'Adjustment for previous period'!$G80, 0), 0)</f>
        <v>0</v>
      </c>
      <c r="M703" s="111">
        <f>IF(M$666&gt;0, IF(N$666=0, 'Adjustment for previous period'!$G80, 0), 0)</f>
        <v>0.72877821470993176</v>
      </c>
      <c r="N703" s="111">
        <f>IF(N$666&gt;0, IF(O$666=0, 'Adjustment for previous period'!$G80, 0), 0)</f>
        <v>0</v>
      </c>
      <c r="O703" s="111">
        <f>IF(O$666&gt;0, IF(P$666=0, 'Adjustment for previous period'!$G80, 0), 0)</f>
        <v>0</v>
      </c>
      <c r="P703" s="111">
        <f>IF(P$666&gt;0, IF(Q$666=0, 'Adjustment for previous period'!$G80, 0), 0)</f>
        <v>0</v>
      </c>
      <c r="Q703" s="111">
        <f>IF(Q$666&gt;0, IF(R$666=0, 'Adjustment for previous period'!$G80, 0), 0)</f>
        <v>0</v>
      </c>
      <c r="R703" s="9"/>
      <c r="S703" s="12"/>
      <c r="T703" s="12"/>
      <c r="U703" s="12"/>
      <c r="V703" s="12"/>
      <c r="W703" s="12"/>
      <c r="X703" s="12"/>
      <c r="Y703" s="12"/>
      <c r="Z703" s="12"/>
      <c r="AA703" s="221"/>
      <c r="AB703" s="221"/>
      <c r="AC703" s="221"/>
      <c r="AD703" s="221"/>
      <c r="AE703" s="221"/>
      <c r="AF703" s="221"/>
      <c r="AG703" s="221"/>
      <c r="AH703" s="221"/>
      <c r="AI703" s="221"/>
      <c r="AJ703" s="221"/>
      <c r="AK703" s="221"/>
      <c r="AL703" s="221"/>
      <c r="AM703" s="221"/>
      <c r="AN703" s="221"/>
      <c r="AO703" s="221"/>
      <c r="AP703" s="221"/>
      <c r="AQ703" s="221"/>
      <c r="AR703" s="221"/>
      <c r="AS703" s="221"/>
      <c r="AT703" s="221"/>
      <c r="AU703" s="221"/>
      <c r="AV703" s="221"/>
      <c r="AW703" s="221"/>
      <c r="AX703" s="221"/>
      <c r="AY703" s="221"/>
      <c r="AZ703" s="221"/>
      <c r="BA703" s="221"/>
      <c r="BB703" s="221"/>
      <c r="BC703" s="221"/>
      <c r="BD703" s="221"/>
      <c r="BE703" s="221"/>
      <c r="BF703" s="221"/>
      <c r="BG703" s="221"/>
      <c r="BH703" s="221"/>
      <c r="BI703" s="221"/>
      <c r="BJ703" s="221"/>
      <c r="BK703" s="221"/>
      <c r="BL703" s="221"/>
    </row>
    <row r="704" spans="1:64" ht="12" hidden="1" customHeight="1" outlineLevel="1">
      <c r="A704" s="9"/>
      <c r="B704" s="9"/>
      <c r="C704" s="9"/>
      <c r="D704" s="270" t="str">
        <f>Asset6</f>
        <v>Establishment</v>
      </c>
      <c r="E704" s="9"/>
      <c r="F704" s="9"/>
      <c r="G704" s="9"/>
      <c r="H704" s="111"/>
      <c r="I704" s="111"/>
      <c r="J704" s="111"/>
      <c r="K704" s="111"/>
      <c r="L704" s="111">
        <f>IF(L$666&gt;0, IF(M$666=0, 'Adjustment for previous period'!$G81, 0), 0)</f>
        <v>0</v>
      </c>
      <c r="M704" s="111">
        <f>IF(M$666&gt;0, IF(N$666=0, 'Adjustment for previous period'!$G81, 0), 0)</f>
        <v>1.5536555406144092</v>
      </c>
      <c r="N704" s="111">
        <f>IF(N$666&gt;0, IF(O$666=0, 'Adjustment for previous period'!$G81, 0), 0)</f>
        <v>0</v>
      </c>
      <c r="O704" s="111">
        <f>IF(O$666&gt;0, IF(P$666=0, 'Adjustment for previous period'!$G81, 0), 0)</f>
        <v>0</v>
      </c>
      <c r="P704" s="111">
        <f>IF(P$666&gt;0, IF(Q$666=0, 'Adjustment for previous period'!$G81, 0), 0)</f>
        <v>0</v>
      </c>
      <c r="Q704" s="111">
        <f>IF(Q$666&gt;0, IF(R$666=0, 'Adjustment for previous period'!$G81, 0), 0)</f>
        <v>0</v>
      </c>
      <c r="R704" s="9"/>
      <c r="S704" s="12"/>
      <c r="T704" s="12"/>
      <c r="U704" s="12"/>
      <c r="V704" s="12"/>
      <c r="W704" s="12"/>
      <c r="X704" s="12"/>
      <c r="Y704" s="12"/>
      <c r="Z704" s="12"/>
      <c r="AA704" s="221"/>
      <c r="AB704" s="221"/>
      <c r="AC704" s="221"/>
      <c r="AD704" s="221"/>
      <c r="AE704" s="221"/>
      <c r="AF704" s="221"/>
      <c r="AG704" s="221"/>
      <c r="AH704" s="221"/>
      <c r="AI704" s="221"/>
      <c r="AJ704" s="221"/>
      <c r="AK704" s="221"/>
      <c r="AL704" s="221"/>
      <c r="AM704" s="221"/>
      <c r="AN704" s="221"/>
      <c r="AO704" s="221"/>
      <c r="AP704" s="221"/>
      <c r="AQ704" s="221"/>
      <c r="AR704" s="221"/>
      <c r="AS704" s="221"/>
      <c r="AT704" s="221"/>
      <c r="AU704" s="221"/>
      <c r="AV704" s="221"/>
      <c r="AW704" s="221"/>
      <c r="AX704" s="221"/>
      <c r="AY704" s="221"/>
      <c r="AZ704" s="221"/>
      <c r="BA704" s="221"/>
      <c r="BB704" s="221"/>
      <c r="BC704" s="221"/>
      <c r="BD704" s="221"/>
      <c r="BE704" s="221"/>
      <c r="BF704" s="221"/>
      <c r="BG704" s="221"/>
      <c r="BH704" s="221"/>
      <c r="BI704" s="221"/>
      <c r="BJ704" s="221"/>
      <c r="BK704" s="221"/>
      <c r="BL704" s="221"/>
    </row>
    <row r="705" spans="1:64" ht="12" hidden="1" customHeight="1" outlineLevel="1">
      <c r="A705" s="9"/>
      <c r="B705" s="9"/>
      <c r="C705" s="9"/>
      <c r="D705" s="270" t="str">
        <f>Asset7</f>
        <v>Communications</v>
      </c>
      <c r="E705" s="9"/>
      <c r="F705" s="9"/>
      <c r="G705" s="9"/>
      <c r="H705" s="111"/>
      <c r="I705" s="111"/>
      <c r="J705" s="111"/>
      <c r="K705" s="111"/>
      <c r="L705" s="111">
        <f>IF(L$666&gt;0, IF(M$666=0, 'Adjustment for previous period'!$G82, 0), 0)</f>
        <v>0</v>
      </c>
      <c r="M705" s="111">
        <f>IF(M$666&gt;0, IF(N$666=0, 'Adjustment for previous period'!$G82, 0), 0)</f>
        <v>-2.2748139050493554</v>
      </c>
      <c r="N705" s="111">
        <f>IF(N$666&gt;0, IF(O$666=0, 'Adjustment for previous period'!$G82, 0), 0)</f>
        <v>0</v>
      </c>
      <c r="O705" s="111">
        <f>IF(O$666&gt;0, IF(P$666=0, 'Adjustment for previous period'!$G82, 0), 0)</f>
        <v>0</v>
      </c>
      <c r="P705" s="111">
        <f>IF(P$666&gt;0, IF(Q$666=0, 'Adjustment for previous period'!$G82, 0), 0)</f>
        <v>0</v>
      </c>
      <c r="Q705" s="111">
        <f>IF(Q$666&gt;0, IF(R$666=0, 'Adjustment for previous period'!$G82, 0), 0)</f>
        <v>0</v>
      </c>
      <c r="R705" s="9"/>
      <c r="S705" s="12"/>
      <c r="T705" s="12"/>
      <c r="U705" s="12"/>
      <c r="V705" s="12"/>
      <c r="W705" s="12"/>
      <c r="X705" s="12"/>
      <c r="Y705" s="12"/>
      <c r="Z705" s="12"/>
      <c r="AA705" s="221"/>
      <c r="AB705" s="221"/>
      <c r="AC705" s="221"/>
      <c r="AD705" s="221"/>
      <c r="AE705" s="221"/>
      <c r="AF705" s="221"/>
      <c r="AG705" s="221"/>
      <c r="AH705" s="221"/>
      <c r="AI705" s="221"/>
      <c r="AJ705" s="221"/>
      <c r="AK705" s="221"/>
      <c r="AL705" s="221"/>
      <c r="AM705" s="221"/>
      <c r="AN705" s="221"/>
      <c r="AO705" s="221"/>
      <c r="AP705" s="221"/>
      <c r="AQ705" s="221"/>
      <c r="AR705" s="221"/>
      <c r="AS705" s="221"/>
      <c r="AT705" s="221"/>
      <c r="AU705" s="221"/>
      <c r="AV705" s="221"/>
      <c r="AW705" s="221"/>
      <c r="AX705" s="221"/>
      <c r="AY705" s="221"/>
      <c r="AZ705" s="221"/>
      <c r="BA705" s="221"/>
      <c r="BB705" s="221"/>
      <c r="BC705" s="221"/>
      <c r="BD705" s="221"/>
      <c r="BE705" s="221"/>
      <c r="BF705" s="221"/>
      <c r="BG705" s="221"/>
      <c r="BH705" s="221"/>
      <c r="BI705" s="221"/>
      <c r="BJ705" s="221"/>
      <c r="BK705" s="221"/>
      <c r="BL705" s="221"/>
    </row>
    <row r="706" spans="1:64" ht="12" hidden="1" customHeight="1" outlineLevel="1">
      <c r="A706" s="9"/>
      <c r="B706" s="9"/>
      <c r="C706" s="9"/>
      <c r="D706" s="270" t="str">
        <f>Asset8</f>
        <v>Inventory</v>
      </c>
      <c r="E706" s="9"/>
      <c r="F706" s="9"/>
      <c r="G706" s="9"/>
      <c r="H706" s="111"/>
      <c r="I706" s="111"/>
      <c r="J706" s="111"/>
      <c r="K706" s="111"/>
      <c r="L706" s="111">
        <f>IF(L$666&gt;0, IF(M$666=0, 'Adjustment for previous period'!$G83, 0), 0)</f>
        <v>0</v>
      </c>
      <c r="M706" s="111">
        <f>IF(M$666&gt;0, IF(N$666=0, 'Adjustment for previous period'!$G83, 0), 0)</f>
        <v>-0.29219122749760001</v>
      </c>
      <c r="N706" s="111">
        <f>IF(N$666&gt;0, IF(O$666=0, 'Adjustment for previous period'!$G83, 0), 0)</f>
        <v>0</v>
      </c>
      <c r="O706" s="111">
        <f>IF(O$666&gt;0, IF(P$666=0, 'Adjustment for previous period'!$G83, 0), 0)</f>
        <v>0</v>
      </c>
      <c r="P706" s="111">
        <f>IF(P$666&gt;0, IF(Q$666=0, 'Adjustment for previous period'!$G83, 0), 0)</f>
        <v>0</v>
      </c>
      <c r="Q706" s="111">
        <f>IF(Q$666&gt;0, IF(R$666=0, 'Adjustment for previous period'!$G83, 0), 0)</f>
        <v>0</v>
      </c>
      <c r="R706" s="9"/>
      <c r="S706" s="12"/>
      <c r="T706" s="12"/>
      <c r="U706" s="12"/>
      <c r="V706" s="12"/>
      <c r="W706" s="12"/>
      <c r="X706" s="12"/>
      <c r="Y706" s="12"/>
      <c r="Z706" s="12"/>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1"/>
      <c r="AY706" s="221"/>
      <c r="AZ706" s="221"/>
      <c r="BA706" s="221"/>
      <c r="BB706" s="221"/>
      <c r="BC706" s="221"/>
      <c r="BD706" s="221"/>
      <c r="BE706" s="221"/>
      <c r="BF706" s="221"/>
      <c r="BG706" s="221"/>
      <c r="BH706" s="221"/>
      <c r="BI706" s="221"/>
      <c r="BJ706" s="221"/>
      <c r="BK706" s="221"/>
      <c r="BL706" s="221"/>
    </row>
    <row r="707" spans="1:64" ht="12" hidden="1" customHeight="1" outlineLevel="1">
      <c r="A707" s="9"/>
      <c r="B707" s="9"/>
      <c r="C707" s="9"/>
      <c r="D707" s="270" t="str">
        <f>Asset9</f>
        <v>IT</v>
      </c>
      <c r="E707" s="9"/>
      <c r="F707" s="9"/>
      <c r="G707" s="9"/>
      <c r="H707" s="111"/>
      <c r="I707" s="111"/>
      <c r="J707" s="111"/>
      <c r="K707" s="111"/>
      <c r="L707" s="111">
        <f>IF(L$666&gt;0, IF(M$666=0, 'Adjustment for previous period'!$G84, 0), 0)</f>
        <v>0</v>
      </c>
      <c r="M707" s="111">
        <f>IF(M$666&gt;0, IF(N$666=0, 'Adjustment for previous period'!$G84, 0), 0)</f>
        <v>7.7846678654469255</v>
      </c>
      <c r="N707" s="111">
        <f>IF(N$666&gt;0, IF(O$666=0, 'Adjustment for previous period'!$G84, 0), 0)</f>
        <v>0</v>
      </c>
      <c r="O707" s="111">
        <f>IF(O$666&gt;0, IF(P$666=0, 'Adjustment for previous period'!$G84, 0), 0)</f>
        <v>0</v>
      </c>
      <c r="P707" s="111">
        <f>IF(P$666&gt;0, IF(Q$666=0, 'Adjustment for previous period'!$G84, 0), 0)</f>
        <v>0</v>
      </c>
      <c r="Q707" s="111">
        <f>IF(Q$666&gt;0, IF(R$666=0, 'Adjustment for previous period'!$G84, 0), 0)</f>
        <v>0</v>
      </c>
      <c r="R707" s="9"/>
      <c r="S707" s="12"/>
      <c r="T707" s="12"/>
      <c r="U707" s="12"/>
      <c r="V707" s="12"/>
      <c r="W707" s="12"/>
      <c r="X707" s="12"/>
      <c r="Y707" s="12"/>
      <c r="Z707" s="12"/>
      <c r="AA707" s="221"/>
      <c r="AB707" s="221"/>
      <c r="AC707" s="221"/>
      <c r="AD707" s="221"/>
      <c r="AE707" s="221"/>
      <c r="AF707" s="221"/>
      <c r="AG707" s="221"/>
      <c r="AH707" s="221"/>
      <c r="AI707" s="221"/>
      <c r="AJ707" s="221"/>
      <c r="AK707" s="221"/>
      <c r="AL707" s="221"/>
      <c r="AM707" s="221"/>
      <c r="AN707" s="221"/>
      <c r="AO707" s="221"/>
      <c r="AP707" s="221"/>
      <c r="AQ707" s="221"/>
      <c r="AR707" s="221"/>
      <c r="AS707" s="221"/>
      <c r="AT707" s="221"/>
      <c r="AU707" s="221"/>
      <c r="AV707" s="221"/>
      <c r="AW707" s="221"/>
      <c r="AX707" s="221"/>
      <c r="AY707" s="221"/>
      <c r="AZ707" s="221"/>
      <c r="BA707" s="221"/>
      <c r="BB707" s="221"/>
      <c r="BC707" s="221"/>
      <c r="BD707" s="221"/>
      <c r="BE707" s="221"/>
      <c r="BF707" s="221"/>
      <c r="BG707" s="221"/>
      <c r="BH707" s="221"/>
      <c r="BI707" s="221"/>
      <c r="BJ707" s="221"/>
      <c r="BK707" s="221"/>
      <c r="BL707" s="221"/>
    </row>
    <row r="708" spans="1:64" ht="12" hidden="1" customHeight="1" outlineLevel="1">
      <c r="A708" s="9"/>
      <c r="B708" s="9"/>
      <c r="C708" s="9"/>
      <c r="D708" s="270" t="str">
        <f>Asset10</f>
        <v>Vehicles</v>
      </c>
      <c r="E708" s="9"/>
      <c r="F708" s="9"/>
      <c r="G708" s="9"/>
      <c r="H708" s="111"/>
      <c r="I708" s="111"/>
      <c r="J708" s="111"/>
      <c r="K708" s="111"/>
      <c r="L708" s="111">
        <f>IF(L$666&gt;0, IF(M$666=0, 'Adjustment for previous period'!$G85, 0), 0)</f>
        <v>0</v>
      </c>
      <c r="M708" s="111">
        <f>IF(M$666&gt;0, IF(N$666=0, 'Adjustment for previous period'!$G85, 0), 0)</f>
        <v>0.72233904719226638</v>
      </c>
      <c r="N708" s="111">
        <f>IF(N$666&gt;0, IF(O$666=0, 'Adjustment for previous period'!$G85, 0), 0)</f>
        <v>0</v>
      </c>
      <c r="O708" s="111">
        <f>IF(O$666&gt;0, IF(P$666=0, 'Adjustment for previous period'!$G85, 0), 0)</f>
        <v>0</v>
      </c>
      <c r="P708" s="111">
        <f>IF(P$666&gt;0, IF(Q$666=0, 'Adjustment for previous period'!$G85, 0), 0)</f>
        <v>0</v>
      </c>
      <c r="Q708" s="111">
        <f>IF(Q$666&gt;0, IF(R$666=0, 'Adjustment for previous period'!$G85, 0), 0)</f>
        <v>0</v>
      </c>
      <c r="R708" s="9"/>
      <c r="S708" s="12"/>
      <c r="T708" s="12"/>
      <c r="U708" s="12"/>
      <c r="V708" s="12"/>
      <c r="W708" s="12"/>
      <c r="X708" s="12"/>
      <c r="Y708" s="12"/>
      <c r="Z708" s="12"/>
      <c r="AA708" s="221"/>
      <c r="AB708" s="221"/>
      <c r="AC708" s="221"/>
      <c r="AD708" s="221"/>
      <c r="AE708" s="221"/>
      <c r="AF708" s="221"/>
      <c r="AG708" s="221"/>
      <c r="AH708" s="221"/>
      <c r="AI708" s="221"/>
      <c r="AJ708" s="221"/>
      <c r="AK708" s="221"/>
      <c r="AL708" s="221"/>
      <c r="AM708" s="221"/>
      <c r="AN708" s="221"/>
      <c r="AO708" s="221"/>
      <c r="AP708" s="221"/>
      <c r="AQ708" s="221"/>
      <c r="AR708" s="221"/>
      <c r="AS708" s="221"/>
      <c r="AT708" s="221"/>
      <c r="AU708" s="221"/>
      <c r="AV708" s="221"/>
      <c r="AW708" s="221"/>
      <c r="AX708" s="221"/>
      <c r="AY708" s="221"/>
      <c r="AZ708" s="221"/>
      <c r="BA708" s="221"/>
      <c r="BB708" s="221"/>
      <c r="BC708" s="221"/>
      <c r="BD708" s="221"/>
      <c r="BE708" s="221"/>
      <c r="BF708" s="221"/>
      <c r="BG708" s="221"/>
      <c r="BH708" s="221"/>
      <c r="BI708" s="221"/>
      <c r="BJ708" s="221"/>
      <c r="BK708" s="221"/>
      <c r="BL708" s="221"/>
    </row>
    <row r="709" spans="1:64" ht="12" hidden="1" customHeight="1" outlineLevel="1">
      <c r="A709" s="9"/>
      <c r="B709" s="9"/>
      <c r="C709" s="9"/>
      <c r="D709" s="270" t="str">
        <f>Asset11</f>
        <v>other</v>
      </c>
      <c r="E709" s="9"/>
      <c r="F709" s="9"/>
      <c r="G709" s="9"/>
      <c r="H709" s="111"/>
      <c r="I709" s="111"/>
      <c r="J709" s="111"/>
      <c r="K709" s="111"/>
      <c r="L709" s="111">
        <f>IF(L$666&gt;0, IF(M$666=0, 'Adjustment for previous period'!$G86, 0), 0)</f>
        <v>0</v>
      </c>
      <c r="M709" s="111">
        <f>IF(M$666&gt;0, IF(N$666=0, 'Adjustment for previous period'!$G86, 0), 0)</f>
        <v>1.7741903029893558</v>
      </c>
      <c r="N709" s="111">
        <f>IF(N$666&gt;0, IF(O$666=0, 'Adjustment for previous period'!$G86, 0), 0)</f>
        <v>0</v>
      </c>
      <c r="O709" s="111">
        <f>IF(O$666&gt;0, IF(P$666=0, 'Adjustment for previous period'!$G86, 0), 0)</f>
        <v>0</v>
      </c>
      <c r="P709" s="111">
        <f>IF(P$666&gt;0, IF(Q$666=0, 'Adjustment for previous period'!$G86, 0), 0)</f>
        <v>0</v>
      </c>
      <c r="Q709" s="111">
        <f>IF(Q$666&gt;0, IF(R$666=0, 'Adjustment for previous period'!$G86, 0), 0)</f>
        <v>0</v>
      </c>
      <c r="R709" s="9"/>
      <c r="S709" s="12"/>
      <c r="T709" s="12"/>
      <c r="U709" s="12"/>
      <c r="V709" s="12"/>
      <c r="W709" s="12"/>
      <c r="X709" s="12"/>
      <c r="Y709" s="12"/>
      <c r="Z709" s="12"/>
      <c r="AA709" s="221"/>
      <c r="AB709" s="221"/>
      <c r="AC709" s="221"/>
      <c r="AD709" s="221"/>
      <c r="AE709" s="221"/>
      <c r="AF709" s="221"/>
      <c r="AG709" s="221"/>
      <c r="AH709" s="221"/>
      <c r="AI709" s="221"/>
      <c r="AJ709" s="221"/>
      <c r="AK709" s="221"/>
      <c r="AL709" s="221"/>
      <c r="AM709" s="221"/>
      <c r="AN709" s="221"/>
      <c r="AO709" s="221"/>
      <c r="AP709" s="221"/>
      <c r="AQ709" s="221"/>
      <c r="AR709" s="221"/>
      <c r="AS709" s="221"/>
      <c r="AT709" s="221"/>
      <c r="AU709" s="221"/>
      <c r="AV709" s="221"/>
      <c r="AW709" s="221"/>
      <c r="AX709" s="221"/>
      <c r="AY709" s="221"/>
      <c r="AZ709" s="221"/>
      <c r="BA709" s="221"/>
      <c r="BB709" s="221"/>
      <c r="BC709" s="221"/>
      <c r="BD709" s="221"/>
      <c r="BE709" s="221"/>
      <c r="BF709" s="221"/>
      <c r="BG709" s="221"/>
      <c r="BH709" s="221"/>
      <c r="BI709" s="221"/>
      <c r="BJ709" s="221"/>
      <c r="BK709" s="221"/>
      <c r="BL709" s="221"/>
    </row>
    <row r="710" spans="1:64" ht="12" hidden="1" customHeight="1" outlineLevel="1">
      <c r="A710" s="9"/>
      <c r="B710" s="9"/>
      <c r="C710" s="9"/>
      <c r="D710" s="270" t="str">
        <f>Asset12</f>
        <v>premises</v>
      </c>
      <c r="E710" s="9"/>
      <c r="F710" s="9"/>
      <c r="G710" s="9"/>
      <c r="H710" s="111"/>
      <c r="I710" s="111"/>
      <c r="J710" s="111"/>
      <c r="K710" s="111"/>
      <c r="L710" s="111">
        <f>IF(L$666&gt;0, IF(M$666=0, 'Adjustment for previous period'!$G87, 0), 0)</f>
        <v>0</v>
      </c>
      <c r="M710" s="111">
        <f>IF(M$666&gt;0, IF(N$666=0, 'Adjustment for previous period'!$G87, 0), 0)</f>
        <v>-0.48887431484037625</v>
      </c>
      <c r="N710" s="111">
        <f>IF(N$666&gt;0, IF(O$666=0, 'Adjustment for previous period'!$G87, 0), 0)</f>
        <v>0</v>
      </c>
      <c r="O710" s="111">
        <f>IF(O$666&gt;0, IF(P$666=0, 'Adjustment for previous period'!$G87, 0), 0)</f>
        <v>0</v>
      </c>
      <c r="P710" s="111">
        <f>IF(P$666&gt;0, IF(Q$666=0, 'Adjustment for previous period'!$G87, 0), 0)</f>
        <v>0</v>
      </c>
      <c r="Q710" s="111">
        <f>IF(Q$666&gt;0, IF(R$666=0, 'Adjustment for previous period'!$G87, 0), 0)</f>
        <v>0</v>
      </c>
      <c r="R710" s="9"/>
      <c r="S710" s="12"/>
      <c r="T710" s="12"/>
      <c r="U710" s="12"/>
      <c r="V710" s="12"/>
      <c r="W710" s="12"/>
      <c r="X710" s="12"/>
      <c r="Y710" s="12"/>
      <c r="Z710" s="12"/>
      <c r="AA710" s="221"/>
      <c r="AB710" s="221"/>
      <c r="AC710" s="221"/>
      <c r="AD710" s="221"/>
      <c r="AE710" s="221"/>
      <c r="AF710" s="221"/>
      <c r="AG710" s="221"/>
      <c r="AH710" s="221"/>
      <c r="AI710" s="221"/>
      <c r="AJ710" s="221"/>
      <c r="AK710" s="221"/>
      <c r="AL710" s="221"/>
      <c r="AM710" s="221"/>
      <c r="AN710" s="221"/>
      <c r="AO710" s="221"/>
      <c r="AP710" s="221"/>
      <c r="AQ710" s="221"/>
      <c r="AR710" s="221"/>
      <c r="AS710" s="221"/>
      <c r="AT710" s="221"/>
      <c r="AU710" s="221"/>
      <c r="AV710" s="221"/>
      <c r="AW710" s="221"/>
      <c r="AX710" s="221"/>
      <c r="AY710" s="221"/>
      <c r="AZ710" s="221"/>
      <c r="BA710" s="221"/>
      <c r="BB710" s="221"/>
      <c r="BC710" s="221"/>
      <c r="BD710" s="221"/>
      <c r="BE710" s="221"/>
      <c r="BF710" s="221"/>
      <c r="BG710" s="221"/>
      <c r="BH710" s="221"/>
      <c r="BI710" s="221"/>
      <c r="BJ710" s="221"/>
      <c r="BK710" s="221"/>
      <c r="BL710" s="221"/>
    </row>
    <row r="711" spans="1:64" ht="12" hidden="1" customHeight="1" outlineLevel="1">
      <c r="A711" s="9"/>
      <c r="B711" s="9"/>
      <c r="C711" s="9"/>
      <c r="D711" s="270" t="str">
        <f>Asset13</f>
        <v>Land</v>
      </c>
      <c r="E711" s="9"/>
      <c r="F711" s="9"/>
      <c r="G711" s="9"/>
      <c r="H711" s="111"/>
      <c r="I711" s="111"/>
      <c r="J711" s="111"/>
      <c r="K711" s="111"/>
      <c r="L711" s="111">
        <f>IF(L$666&gt;0, IF(M$666=0, 'Adjustment for previous period'!$G88, 0), 0)</f>
        <v>0</v>
      </c>
      <c r="M711" s="111">
        <f>IF(M$666&gt;0, IF(N$666=0, 'Adjustment for previous period'!$G88, 0), 0)</f>
        <v>0</v>
      </c>
      <c r="N711" s="111">
        <f>IF(N$666&gt;0, IF(O$666=0, 'Adjustment for previous period'!$G88, 0), 0)</f>
        <v>0</v>
      </c>
      <c r="O711" s="111">
        <f>IF(O$666&gt;0, IF(P$666=0, 'Adjustment for previous period'!$G88, 0), 0)</f>
        <v>0</v>
      </c>
      <c r="P711" s="111">
        <f>IF(P$666&gt;0, IF(Q$666=0, 'Adjustment for previous period'!$G88, 0), 0)</f>
        <v>0</v>
      </c>
      <c r="Q711" s="111">
        <f>IF(Q$666&gt;0, IF(R$666=0, 'Adjustment for previous period'!$G88, 0), 0)</f>
        <v>0</v>
      </c>
      <c r="R711" s="9"/>
      <c r="S711" s="12"/>
      <c r="T711" s="12"/>
      <c r="U711" s="12"/>
      <c r="V711" s="12"/>
      <c r="W711" s="12"/>
      <c r="X711" s="12"/>
      <c r="Y711" s="12"/>
      <c r="Z711" s="12"/>
      <c r="AA711" s="221"/>
      <c r="AB711" s="221"/>
      <c r="AC711" s="221"/>
      <c r="AD711" s="221"/>
      <c r="AE711" s="221"/>
      <c r="AF711" s="221"/>
      <c r="AG711" s="221"/>
      <c r="AH711" s="221"/>
      <c r="AI711" s="221"/>
      <c r="AJ711" s="221"/>
      <c r="AK711" s="221"/>
      <c r="AL711" s="221"/>
      <c r="AM711" s="221"/>
      <c r="AN711" s="221"/>
      <c r="AO711" s="221"/>
      <c r="AP711" s="221"/>
      <c r="AQ711" s="221"/>
      <c r="AR711" s="221"/>
      <c r="AS711" s="221"/>
      <c r="AT711" s="221"/>
      <c r="AU711" s="221"/>
      <c r="AV711" s="221"/>
      <c r="AW711" s="221"/>
      <c r="AX711" s="221"/>
      <c r="AY711" s="221"/>
      <c r="AZ711" s="221"/>
      <c r="BA711" s="221"/>
      <c r="BB711" s="221"/>
      <c r="BC711" s="221"/>
      <c r="BD711" s="221"/>
      <c r="BE711" s="221"/>
      <c r="BF711" s="221"/>
      <c r="BG711" s="221"/>
      <c r="BH711" s="221"/>
      <c r="BI711" s="221"/>
      <c r="BJ711" s="221"/>
      <c r="BK711" s="221"/>
      <c r="BL711" s="221"/>
    </row>
    <row r="712" spans="1:64" ht="12" hidden="1" customHeight="1" outlineLevel="1">
      <c r="A712" s="9"/>
      <c r="B712" s="9"/>
      <c r="C712" s="9"/>
      <c r="D712" s="270" t="str">
        <f>Asset14</f>
        <v>Easements</v>
      </c>
      <c r="E712" s="9"/>
      <c r="F712" s="9"/>
      <c r="G712" s="9"/>
      <c r="H712" s="111"/>
      <c r="I712" s="111"/>
      <c r="J712" s="111"/>
      <c r="K712" s="111"/>
      <c r="L712" s="111">
        <f>IF(L$666&gt;0, IF(M$666=0, 'Adjustment for previous period'!$G89, 0), 0)</f>
        <v>0</v>
      </c>
      <c r="M712" s="111">
        <f>IF(M$666&gt;0, IF(N$666=0, 'Adjustment for previous period'!$G89, 0), 0)</f>
        <v>0</v>
      </c>
      <c r="N712" s="111">
        <f>IF(N$666&gt;0, IF(O$666=0, 'Adjustment for previous period'!$G89, 0), 0)</f>
        <v>0</v>
      </c>
      <c r="O712" s="111">
        <f>IF(O$666&gt;0, IF(P$666=0, 'Adjustment for previous period'!$G89, 0), 0)</f>
        <v>0</v>
      </c>
      <c r="P712" s="111">
        <f>IF(P$666&gt;0, IF(Q$666=0, 'Adjustment for previous period'!$G89, 0), 0)</f>
        <v>0</v>
      </c>
      <c r="Q712" s="111">
        <f>IF(Q$666&gt;0, IF(R$666=0, 'Adjustment for previous period'!$G89, 0), 0)</f>
        <v>0</v>
      </c>
      <c r="R712" s="9"/>
      <c r="S712" s="12"/>
      <c r="T712" s="12"/>
      <c r="U712" s="12"/>
      <c r="V712" s="12"/>
      <c r="W712" s="12"/>
      <c r="X712" s="12"/>
      <c r="Y712" s="12"/>
      <c r="Z712" s="12"/>
      <c r="AA712" s="221"/>
      <c r="AB712" s="221"/>
      <c r="AC712" s="221"/>
      <c r="AD712" s="221"/>
      <c r="AE712" s="221"/>
      <c r="AF712" s="221"/>
      <c r="AG712" s="221"/>
      <c r="AH712" s="221"/>
      <c r="AI712" s="221"/>
      <c r="AJ712" s="221"/>
      <c r="AK712" s="221"/>
      <c r="AL712" s="221"/>
      <c r="AM712" s="221"/>
      <c r="AN712" s="221"/>
      <c r="AO712" s="221"/>
      <c r="AP712" s="221"/>
      <c r="AQ712" s="221"/>
      <c r="AR712" s="221"/>
      <c r="AS712" s="221"/>
      <c r="AT712" s="221"/>
      <c r="AU712" s="221"/>
      <c r="AV712" s="221"/>
      <c r="AW712" s="221"/>
      <c r="AX712" s="221"/>
      <c r="AY712" s="221"/>
      <c r="AZ712" s="221"/>
      <c r="BA712" s="221"/>
      <c r="BB712" s="221"/>
      <c r="BC712" s="221"/>
      <c r="BD712" s="221"/>
      <c r="BE712" s="221"/>
      <c r="BF712" s="221"/>
      <c r="BG712" s="221"/>
      <c r="BH712" s="221"/>
      <c r="BI712" s="221"/>
      <c r="BJ712" s="221"/>
      <c r="BK712" s="221"/>
      <c r="BL712" s="221"/>
    </row>
    <row r="713" spans="1:64" ht="12" hidden="1" customHeight="1" outlineLevel="1">
      <c r="A713" s="9"/>
      <c r="B713" s="9"/>
      <c r="C713" s="9"/>
      <c r="D713" s="270">
        <f>Asset15</f>
        <v>0</v>
      </c>
      <c r="E713" s="9"/>
      <c r="F713" s="9"/>
      <c r="G713" s="9"/>
      <c r="H713" s="111"/>
      <c r="I713" s="111"/>
      <c r="J713" s="111"/>
      <c r="K713" s="111"/>
      <c r="L713" s="111">
        <f>IF(L$666&gt;0, IF(M$666=0, 'Adjustment for previous period'!$G90, 0), 0)</f>
        <v>0</v>
      </c>
      <c r="M713" s="111">
        <f>IF(M$666&gt;0, IF(N$666=0, 'Adjustment for previous period'!$G90, 0), 0)</f>
        <v>0</v>
      </c>
      <c r="N713" s="111">
        <f>IF(N$666&gt;0, IF(O$666=0, 'Adjustment for previous period'!$G90, 0), 0)</f>
        <v>0</v>
      </c>
      <c r="O713" s="111">
        <f>IF(O$666&gt;0, IF(P$666=0, 'Adjustment for previous period'!$G90, 0), 0)</f>
        <v>0</v>
      </c>
      <c r="P713" s="111">
        <f>IF(P$666&gt;0, IF(Q$666=0, 'Adjustment for previous period'!$G90, 0), 0)</f>
        <v>0</v>
      </c>
      <c r="Q713" s="111">
        <f>IF(Q$666&gt;0, IF(R$666=0, 'Adjustment for previous period'!$G90, 0), 0)</f>
        <v>0</v>
      </c>
      <c r="R713" s="9"/>
      <c r="S713" s="12"/>
      <c r="T713" s="12"/>
      <c r="U713" s="12"/>
      <c r="V713" s="12"/>
      <c r="W713" s="12"/>
      <c r="X713" s="12"/>
      <c r="Y713" s="12"/>
      <c r="Z713" s="12"/>
      <c r="AA713" s="221"/>
      <c r="AB713" s="221"/>
      <c r="AC713" s="221"/>
      <c r="AD713" s="221"/>
      <c r="AE713" s="221"/>
      <c r="AF713" s="221"/>
      <c r="AG713" s="221"/>
      <c r="AH713" s="221"/>
      <c r="AI713" s="221"/>
      <c r="AJ713" s="221"/>
      <c r="AK713" s="221"/>
      <c r="AL713" s="221"/>
      <c r="AM713" s="221"/>
      <c r="AN713" s="221"/>
      <c r="AO713" s="221"/>
      <c r="AP713" s="221"/>
      <c r="AQ713" s="221"/>
      <c r="AR713" s="221"/>
      <c r="AS713" s="221"/>
      <c r="AT713" s="221"/>
      <c r="AU713" s="221"/>
      <c r="AV713" s="221"/>
      <c r="AW713" s="221"/>
      <c r="AX713" s="221"/>
      <c r="AY713" s="221"/>
      <c r="AZ713" s="221"/>
      <c r="BA713" s="221"/>
      <c r="BB713" s="221"/>
      <c r="BC713" s="221"/>
      <c r="BD713" s="221"/>
      <c r="BE713" s="221"/>
      <c r="BF713" s="221"/>
      <c r="BG713" s="221"/>
      <c r="BH713" s="221"/>
      <c r="BI713" s="221"/>
      <c r="BJ713" s="221"/>
      <c r="BK713" s="221"/>
      <c r="BL713" s="221"/>
    </row>
    <row r="714" spans="1:64" ht="12" hidden="1" customHeight="1" outlineLevel="1">
      <c r="A714" s="9"/>
      <c r="B714" s="9"/>
      <c r="C714" s="9"/>
      <c r="D714" s="270">
        <f>Asset16</f>
        <v>0</v>
      </c>
      <c r="E714" s="9"/>
      <c r="F714" s="9"/>
      <c r="G714" s="9"/>
      <c r="H714" s="111"/>
      <c r="I714" s="111"/>
      <c r="J714" s="111"/>
      <c r="K714" s="111"/>
      <c r="L714" s="111">
        <f>IF(L$666&gt;0, IF(M$666=0, 'Adjustment for previous period'!$G91, 0), 0)</f>
        <v>0</v>
      </c>
      <c r="M714" s="111">
        <f>IF(M$666&gt;0, IF(N$666=0, 'Adjustment for previous period'!$G91, 0), 0)</f>
        <v>0</v>
      </c>
      <c r="N714" s="111">
        <f>IF(N$666&gt;0, IF(O$666=0, 'Adjustment for previous period'!$G91, 0), 0)</f>
        <v>0</v>
      </c>
      <c r="O714" s="111">
        <f>IF(O$666&gt;0, IF(P$666=0, 'Adjustment for previous period'!$G91, 0), 0)</f>
        <v>0</v>
      </c>
      <c r="P714" s="111">
        <f>IF(P$666&gt;0, IF(Q$666=0, 'Adjustment for previous period'!$G91, 0), 0)</f>
        <v>0</v>
      </c>
      <c r="Q714" s="111">
        <f>IF(Q$666&gt;0, IF(R$666=0, 'Adjustment for previous period'!$G91, 0), 0)</f>
        <v>0</v>
      </c>
      <c r="R714" s="9"/>
      <c r="S714" s="12"/>
      <c r="T714" s="12"/>
      <c r="U714" s="12"/>
      <c r="V714" s="12"/>
      <c r="W714" s="12"/>
      <c r="X714" s="12"/>
      <c r="Y714" s="12"/>
      <c r="Z714" s="12"/>
      <c r="AA714" s="221"/>
      <c r="AB714" s="221"/>
      <c r="AC714" s="221"/>
      <c r="AD714" s="221"/>
      <c r="AE714" s="221"/>
      <c r="AF714" s="221"/>
      <c r="AG714" s="221"/>
      <c r="AH714" s="221"/>
      <c r="AI714" s="221"/>
      <c r="AJ714" s="221"/>
      <c r="AK714" s="221"/>
      <c r="AL714" s="221"/>
      <c r="AM714" s="221"/>
      <c r="AN714" s="221"/>
      <c r="AO714" s="221"/>
      <c r="AP714" s="221"/>
      <c r="AQ714" s="221"/>
      <c r="AR714" s="221"/>
      <c r="AS714" s="221"/>
      <c r="AT714" s="221"/>
      <c r="AU714" s="221"/>
      <c r="AV714" s="221"/>
      <c r="AW714" s="221"/>
      <c r="AX714" s="221"/>
      <c r="AY714" s="221"/>
      <c r="AZ714" s="221"/>
      <c r="BA714" s="221"/>
      <c r="BB714" s="221"/>
      <c r="BC714" s="221"/>
      <c r="BD714" s="221"/>
      <c r="BE714" s="221"/>
      <c r="BF714" s="221"/>
      <c r="BG714" s="221"/>
      <c r="BH714" s="221"/>
      <c r="BI714" s="221"/>
      <c r="BJ714" s="221"/>
      <c r="BK714" s="221"/>
      <c r="BL714" s="221"/>
    </row>
    <row r="715" spans="1:64" ht="12" hidden="1" customHeight="1" outlineLevel="1">
      <c r="A715" s="9"/>
      <c r="B715" s="9"/>
      <c r="C715" s="9"/>
      <c r="D715" s="270">
        <f>Asset17</f>
        <v>0</v>
      </c>
      <c r="E715" s="9"/>
      <c r="F715" s="9"/>
      <c r="G715" s="9"/>
      <c r="H715" s="111"/>
      <c r="I715" s="111"/>
      <c r="J715" s="111"/>
      <c r="K715" s="111"/>
      <c r="L715" s="111">
        <f>IF(L$666&gt;0, IF(M$666=0, 'Adjustment for previous period'!$G92, 0), 0)</f>
        <v>0</v>
      </c>
      <c r="M715" s="111">
        <f>IF(M$666&gt;0, IF(N$666=0, 'Adjustment for previous period'!$G92, 0), 0)</f>
        <v>0</v>
      </c>
      <c r="N715" s="111">
        <f>IF(N$666&gt;0, IF(O$666=0, 'Adjustment for previous period'!$G92, 0), 0)</f>
        <v>0</v>
      </c>
      <c r="O715" s="111">
        <f>IF(O$666&gt;0, IF(P$666=0, 'Adjustment for previous period'!$G92, 0), 0)</f>
        <v>0</v>
      </c>
      <c r="P715" s="111">
        <f>IF(P$666&gt;0, IF(Q$666=0, 'Adjustment for previous period'!$G92, 0), 0)</f>
        <v>0</v>
      </c>
      <c r="Q715" s="111">
        <f>IF(Q$666&gt;0, IF(R$666=0, 'Adjustment for previous period'!$G92, 0), 0)</f>
        <v>0</v>
      </c>
      <c r="R715" s="9"/>
      <c r="S715" s="12"/>
      <c r="T715" s="12"/>
      <c r="U715" s="12"/>
      <c r="V715" s="12"/>
      <c r="W715" s="12"/>
      <c r="X715" s="12"/>
      <c r="Y715" s="12"/>
      <c r="Z715" s="12"/>
      <c r="AA715" s="221"/>
      <c r="AB715" s="221"/>
      <c r="AC715" s="221"/>
      <c r="AD715" s="221"/>
      <c r="AE715" s="221"/>
      <c r="AF715" s="221"/>
      <c r="AG715" s="221"/>
      <c r="AH715" s="221"/>
      <c r="AI715" s="221"/>
      <c r="AJ715" s="221"/>
      <c r="AK715" s="221"/>
      <c r="AL715" s="221"/>
      <c r="AM715" s="221"/>
      <c r="AN715" s="221"/>
      <c r="AO715" s="221"/>
      <c r="AP715" s="221"/>
      <c r="AQ715" s="221"/>
      <c r="AR715" s="221"/>
      <c r="AS715" s="221"/>
      <c r="AT715" s="221"/>
      <c r="AU715" s="221"/>
      <c r="AV715" s="221"/>
      <c r="AW715" s="221"/>
      <c r="AX715" s="221"/>
      <c r="AY715" s="221"/>
      <c r="AZ715" s="221"/>
      <c r="BA715" s="221"/>
      <c r="BB715" s="221"/>
      <c r="BC715" s="221"/>
      <c r="BD715" s="221"/>
      <c r="BE715" s="221"/>
      <c r="BF715" s="221"/>
      <c r="BG715" s="221"/>
      <c r="BH715" s="221"/>
      <c r="BI715" s="221"/>
      <c r="BJ715" s="221"/>
      <c r="BK715" s="221"/>
      <c r="BL715" s="221"/>
    </row>
    <row r="716" spans="1:64" ht="12" hidden="1" customHeight="1" outlineLevel="1">
      <c r="A716" s="9"/>
      <c r="B716" s="9"/>
      <c r="C716" s="9"/>
      <c r="D716" s="270">
        <f>Asset18</f>
        <v>0</v>
      </c>
      <c r="E716" s="9"/>
      <c r="F716" s="9"/>
      <c r="G716" s="9"/>
      <c r="H716" s="111"/>
      <c r="I716" s="111"/>
      <c r="J716" s="111"/>
      <c r="K716" s="111"/>
      <c r="L716" s="111">
        <f>IF(L$666&gt;0, IF(M$666=0, 'Adjustment for previous period'!$G93, 0), 0)</f>
        <v>0</v>
      </c>
      <c r="M716" s="111">
        <f>IF(M$666&gt;0, IF(N$666=0, 'Adjustment for previous period'!$G93, 0), 0)</f>
        <v>0</v>
      </c>
      <c r="N716" s="111">
        <f>IF(N$666&gt;0, IF(O$666=0, 'Adjustment for previous period'!$G93, 0), 0)</f>
        <v>0</v>
      </c>
      <c r="O716" s="111">
        <f>IF(O$666&gt;0, IF(P$666=0, 'Adjustment for previous period'!$G93, 0), 0)</f>
        <v>0</v>
      </c>
      <c r="P716" s="111">
        <f>IF(P$666&gt;0, IF(Q$666=0, 'Adjustment for previous period'!$G93, 0), 0)</f>
        <v>0</v>
      </c>
      <c r="Q716" s="111">
        <f>IF(Q$666&gt;0, IF(R$666=0, 'Adjustment for previous period'!$G93, 0), 0)</f>
        <v>0</v>
      </c>
      <c r="R716" s="9"/>
      <c r="S716" s="12"/>
      <c r="T716" s="12"/>
      <c r="U716" s="12"/>
      <c r="V716" s="12"/>
      <c r="W716" s="12"/>
      <c r="X716" s="12"/>
      <c r="Y716" s="12"/>
      <c r="Z716" s="12"/>
      <c r="AA716" s="221"/>
      <c r="AB716" s="221"/>
      <c r="AC716" s="221"/>
      <c r="AD716" s="221"/>
      <c r="AE716" s="221"/>
      <c r="AF716" s="221"/>
      <c r="AG716" s="221"/>
      <c r="AH716" s="221"/>
      <c r="AI716" s="221"/>
      <c r="AJ716" s="221"/>
      <c r="AK716" s="221"/>
      <c r="AL716" s="221"/>
      <c r="AM716" s="221"/>
      <c r="AN716" s="221"/>
      <c r="AO716" s="221"/>
      <c r="AP716" s="221"/>
      <c r="AQ716" s="221"/>
      <c r="AR716" s="221"/>
      <c r="AS716" s="221"/>
      <c r="AT716" s="221"/>
      <c r="AU716" s="221"/>
      <c r="AV716" s="221"/>
      <c r="AW716" s="221"/>
      <c r="AX716" s="221"/>
      <c r="AY716" s="221"/>
      <c r="AZ716" s="221"/>
      <c r="BA716" s="221"/>
      <c r="BB716" s="221"/>
      <c r="BC716" s="221"/>
      <c r="BD716" s="221"/>
      <c r="BE716" s="221"/>
      <c r="BF716" s="221"/>
      <c r="BG716" s="221"/>
      <c r="BH716" s="221"/>
      <c r="BI716" s="221"/>
      <c r="BJ716" s="221"/>
      <c r="BK716" s="221"/>
      <c r="BL716" s="221"/>
    </row>
    <row r="717" spans="1:64" ht="12" hidden="1" customHeight="1" outlineLevel="1">
      <c r="A717" s="9"/>
      <c r="B717" s="9"/>
      <c r="C717" s="9"/>
      <c r="D717" s="270">
        <f>Asset19</f>
        <v>0</v>
      </c>
      <c r="E717" s="9"/>
      <c r="F717" s="9"/>
      <c r="G717" s="9"/>
      <c r="H717" s="111"/>
      <c r="I717" s="111"/>
      <c r="J717" s="111"/>
      <c r="K717" s="111"/>
      <c r="L717" s="111">
        <f>IF(L$666&gt;0, IF(M$666=0, 'Adjustment for previous period'!$G94, 0), 0)</f>
        <v>0</v>
      </c>
      <c r="M717" s="111">
        <f>IF(M$666&gt;0, IF(N$666=0, 'Adjustment for previous period'!$G94, 0), 0)</f>
        <v>0</v>
      </c>
      <c r="N717" s="111">
        <f>IF(N$666&gt;0, IF(O$666=0, 'Adjustment for previous period'!$G94, 0), 0)</f>
        <v>0</v>
      </c>
      <c r="O717" s="111">
        <f>IF(O$666&gt;0, IF(P$666=0, 'Adjustment for previous period'!$G94, 0), 0)</f>
        <v>0</v>
      </c>
      <c r="P717" s="111">
        <f>IF(P$666&gt;0, IF(Q$666=0, 'Adjustment for previous period'!$G94, 0), 0)</f>
        <v>0</v>
      </c>
      <c r="Q717" s="111">
        <f>IF(Q$666&gt;0, IF(R$666=0, 'Adjustment for previous period'!$G94, 0), 0)</f>
        <v>0</v>
      </c>
      <c r="R717" s="9"/>
      <c r="S717" s="12"/>
      <c r="T717" s="12"/>
      <c r="U717" s="12"/>
      <c r="V717" s="12"/>
      <c r="W717" s="12"/>
      <c r="X717" s="12"/>
      <c r="Y717" s="12"/>
      <c r="Z717" s="12"/>
      <c r="AA717" s="221"/>
      <c r="AB717" s="221"/>
      <c r="AC717" s="221"/>
      <c r="AD717" s="221"/>
      <c r="AE717" s="221"/>
      <c r="AF717" s="221"/>
      <c r="AG717" s="221"/>
      <c r="AH717" s="221"/>
      <c r="AI717" s="221"/>
      <c r="AJ717" s="221"/>
      <c r="AK717" s="221"/>
      <c r="AL717" s="221"/>
      <c r="AM717" s="221"/>
      <c r="AN717" s="221"/>
      <c r="AO717" s="221"/>
      <c r="AP717" s="221"/>
      <c r="AQ717" s="221"/>
      <c r="AR717" s="221"/>
      <c r="AS717" s="221"/>
      <c r="AT717" s="221"/>
      <c r="AU717" s="221"/>
      <c r="AV717" s="221"/>
      <c r="AW717" s="221"/>
      <c r="AX717" s="221"/>
      <c r="AY717" s="221"/>
      <c r="AZ717" s="221"/>
      <c r="BA717" s="221"/>
      <c r="BB717" s="221"/>
      <c r="BC717" s="221"/>
      <c r="BD717" s="221"/>
      <c r="BE717" s="221"/>
      <c r="BF717" s="221"/>
      <c r="BG717" s="221"/>
      <c r="BH717" s="221"/>
      <c r="BI717" s="221"/>
      <c r="BJ717" s="221"/>
      <c r="BK717" s="221"/>
      <c r="BL717" s="221"/>
    </row>
    <row r="718" spans="1:64" ht="12" hidden="1" customHeight="1" outlineLevel="1">
      <c r="A718" s="9"/>
      <c r="B718" s="9"/>
      <c r="C718" s="9"/>
      <c r="D718" s="270">
        <f>Asset20</f>
        <v>0</v>
      </c>
      <c r="E718" s="9"/>
      <c r="F718" s="9"/>
      <c r="G718" s="9"/>
      <c r="H718" s="111"/>
      <c r="I718" s="111"/>
      <c r="J718" s="111"/>
      <c r="K718" s="111"/>
      <c r="L718" s="111">
        <f>IF(L$666&gt;0, IF(M$666=0, 'Adjustment for previous period'!$G95, 0), 0)</f>
        <v>0</v>
      </c>
      <c r="M718" s="111">
        <f>IF(M$666&gt;0, IF(N$666=0, 'Adjustment for previous period'!$G95, 0), 0)</f>
        <v>0</v>
      </c>
      <c r="N718" s="111">
        <f>IF(N$666&gt;0, IF(O$666=0, 'Adjustment for previous period'!$G95, 0), 0)</f>
        <v>0</v>
      </c>
      <c r="O718" s="111">
        <f>IF(O$666&gt;0, IF(P$666=0, 'Adjustment for previous period'!$G95, 0), 0)</f>
        <v>0</v>
      </c>
      <c r="P718" s="111">
        <f>IF(P$666&gt;0, IF(Q$666=0, 'Adjustment for previous period'!$G95, 0), 0)</f>
        <v>0</v>
      </c>
      <c r="Q718" s="111">
        <f>IF(Q$666&gt;0, IF(R$666=0, 'Adjustment for previous period'!$G95, 0), 0)</f>
        <v>0</v>
      </c>
      <c r="R718" s="9"/>
      <c r="S718" s="12"/>
      <c r="T718" s="12"/>
      <c r="U718" s="12"/>
      <c r="V718" s="12"/>
      <c r="W718" s="12"/>
      <c r="X718" s="12"/>
      <c r="Y718" s="12"/>
      <c r="Z718" s="12"/>
      <c r="AA718" s="221"/>
      <c r="AB718" s="221"/>
      <c r="AC718" s="221"/>
      <c r="AD718" s="221"/>
      <c r="AE718" s="221"/>
      <c r="AF718" s="221"/>
      <c r="AG718" s="221"/>
      <c r="AH718" s="221"/>
      <c r="AI718" s="221"/>
      <c r="AJ718" s="221"/>
      <c r="AK718" s="221"/>
      <c r="AL718" s="221"/>
      <c r="AM718" s="221"/>
      <c r="AN718" s="221"/>
      <c r="AO718" s="221"/>
      <c r="AP718" s="221"/>
      <c r="AQ718" s="221"/>
      <c r="AR718" s="221"/>
      <c r="AS718" s="221"/>
      <c r="AT718" s="221"/>
      <c r="AU718" s="221"/>
      <c r="AV718" s="221"/>
      <c r="AW718" s="221"/>
      <c r="AX718" s="221"/>
      <c r="AY718" s="221"/>
      <c r="AZ718" s="221"/>
      <c r="BA718" s="221"/>
      <c r="BB718" s="221"/>
      <c r="BC718" s="221"/>
      <c r="BD718" s="221"/>
      <c r="BE718" s="221"/>
      <c r="BF718" s="221"/>
      <c r="BG718" s="221"/>
      <c r="BH718" s="221"/>
      <c r="BI718" s="221"/>
      <c r="BJ718" s="221"/>
      <c r="BK718" s="221"/>
      <c r="BL718" s="221"/>
    </row>
    <row r="719" spans="1:64" ht="12" hidden="1" customHeight="1" outlineLevel="1">
      <c r="A719" s="9"/>
      <c r="B719" s="9"/>
      <c r="C719" s="9"/>
      <c r="D719" s="270">
        <f>Asset21</f>
        <v>0</v>
      </c>
      <c r="E719" s="9"/>
      <c r="F719" s="9"/>
      <c r="G719" s="9"/>
      <c r="H719" s="111"/>
      <c r="I719" s="111"/>
      <c r="J719" s="111"/>
      <c r="K719" s="111"/>
      <c r="L719" s="111">
        <f>IF(L$666&gt;0, IF(M$666=0, 'Adjustment for previous period'!$G96, 0), 0)</f>
        <v>0</v>
      </c>
      <c r="M719" s="111">
        <f>IF(M$666&gt;0, IF(N$666=0, 'Adjustment for previous period'!$G96, 0), 0)</f>
        <v>0</v>
      </c>
      <c r="N719" s="111">
        <f>IF(N$666&gt;0, IF(O$666=0, 'Adjustment for previous period'!$G96, 0), 0)</f>
        <v>0</v>
      </c>
      <c r="O719" s="111">
        <f>IF(O$666&gt;0, IF(P$666=0, 'Adjustment for previous period'!$G96, 0), 0)</f>
        <v>0</v>
      </c>
      <c r="P719" s="111">
        <f>IF(P$666&gt;0, IF(Q$666=0, 'Adjustment for previous period'!$G96, 0), 0)</f>
        <v>0</v>
      </c>
      <c r="Q719" s="111">
        <f>IF(Q$666&gt;0, IF(R$666=0, 'Adjustment for previous period'!$G96, 0), 0)</f>
        <v>0</v>
      </c>
      <c r="R719" s="9"/>
      <c r="S719" s="12"/>
      <c r="T719" s="12"/>
      <c r="U719" s="12"/>
      <c r="V719" s="12"/>
      <c r="W719" s="12"/>
      <c r="X719" s="12"/>
      <c r="Y719" s="12"/>
      <c r="Z719" s="12"/>
      <c r="AA719" s="221"/>
      <c r="AB719" s="221"/>
      <c r="AC719" s="221"/>
      <c r="AD719" s="221"/>
      <c r="AE719" s="221"/>
      <c r="AF719" s="221"/>
      <c r="AG719" s="221"/>
      <c r="AH719" s="221"/>
      <c r="AI719" s="221"/>
      <c r="AJ719" s="221"/>
      <c r="AK719" s="221"/>
      <c r="AL719" s="221"/>
      <c r="AM719" s="221"/>
      <c r="AN719" s="221"/>
      <c r="AO719" s="221"/>
      <c r="AP719" s="221"/>
      <c r="AQ719" s="221"/>
      <c r="AR719" s="221"/>
      <c r="AS719" s="221"/>
      <c r="AT719" s="221"/>
      <c r="AU719" s="221"/>
      <c r="AV719" s="221"/>
      <c r="AW719" s="221"/>
      <c r="AX719" s="221"/>
      <c r="AY719" s="221"/>
      <c r="AZ719" s="221"/>
      <c r="BA719" s="221"/>
      <c r="BB719" s="221"/>
      <c r="BC719" s="221"/>
      <c r="BD719" s="221"/>
      <c r="BE719" s="221"/>
      <c r="BF719" s="221"/>
      <c r="BG719" s="221"/>
      <c r="BH719" s="221"/>
      <c r="BI719" s="221"/>
      <c r="BJ719" s="221"/>
      <c r="BK719" s="221"/>
      <c r="BL719" s="221"/>
    </row>
    <row r="720" spans="1:64" ht="12" hidden="1" customHeight="1" outlineLevel="1">
      <c r="A720" s="9"/>
      <c r="B720" s="9"/>
      <c r="C720" s="9"/>
      <c r="D720" s="270">
        <f>Asset22</f>
        <v>0</v>
      </c>
      <c r="E720" s="9"/>
      <c r="F720" s="9"/>
      <c r="G720" s="9"/>
      <c r="H720" s="111"/>
      <c r="I720" s="111"/>
      <c r="J720" s="111"/>
      <c r="K720" s="111"/>
      <c r="L720" s="111">
        <f>IF(L$666&gt;0, IF(M$666=0, 'Adjustment for previous period'!$G97, 0), 0)</f>
        <v>0</v>
      </c>
      <c r="M720" s="111">
        <f>IF(M$666&gt;0, IF(N$666=0, 'Adjustment for previous period'!$G97, 0), 0)</f>
        <v>0</v>
      </c>
      <c r="N720" s="111">
        <f>IF(N$666&gt;0, IF(O$666=0, 'Adjustment for previous period'!$G97, 0), 0)</f>
        <v>0</v>
      </c>
      <c r="O720" s="111">
        <f>IF(O$666&gt;0, IF(P$666=0, 'Adjustment for previous period'!$G97, 0), 0)</f>
        <v>0</v>
      </c>
      <c r="P720" s="111">
        <f>IF(P$666&gt;0, IF(Q$666=0, 'Adjustment for previous period'!$G97, 0), 0)</f>
        <v>0</v>
      </c>
      <c r="Q720" s="111">
        <f>IF(Q$666&gt;0, IF(R$666=0, 'Adjustment for previous period'!$G97, 0), 0)</f>
        <v>0</v>
      </c>
      <c r="R720" s="9"/>
      <c r="S720" s="12"/>
      <c r="T720" s="12"/>
      <c r="U720" s="12"/>
      <c r="V720" s="12"/>
      <c r="W720" s="12"/>
      <c r="X720" s="12"/>
      <c r="Y720" s="12"/>
      <c r="Z720" s="12"/>
      <c r="AA720" s="221"/>
      <c r="AB720" s="221"/>
      <c r="AC720" s="221"/>
      <c r="AD720" s="221"/>
      <c r="AE720" s="221"/>
      <c r="AF720" s="221"/>
      <c r="AG720" s="221"/>
      <c r="AH720" s="221"/>
      <c r="AI720" s="221"/>
      <c r="AJ720" s="221"/>
      <c r="AK720" s="221"/>
      <c r="AL720" s="221"/>
      <c r="AM720" s="221"/>
      <c r="AN720" s="221"/>
      <c r="AO720" s="221"/>
      <c r="AP720" s="221"/>
      <c r="AQ720" s="221"/>
      <c r="AR720" s="221"/>
      <c r="AS720" s="221"/>
      <c r="AT720" s="221"/>
      <c r="AU720" s="221"/>
      <c r="AV720" s="221"/>
      <c r="AW720" s="221"/>
      <c r="AX720" s="221"/>
      <c r="AY720" s="221"/>
      <c r="AZ720" s="221"/>
      <c r="BA720" s="221"/>
      <c r="BB720" s="221"/>
      <c r="BC720" s="221"/>
      <c r="BD720" s="221"/>
      <c r="BE720" s="221"/>
      <c r="BF720" s="221"/>
      <c r="BG720" s="221"/>
      <c r="BH720" s="221"/>
      <c r="BI720" s="221"/>
      <c r="BJ720" s="221"/>
      <c r="BK720" s="221"/>
      <c r="BL720" s="221"/>
    </row>
    <row r="721" spans="1:64" ht="12" hidden="1" customHeight="1" outlineLevel="1">
      <c r="A721" s="9"/>
      <c r="B721" s="9"/>
      <c r="C721" s="9"/>
      <c r="D721" s="270">
        <f>Asset23</f>
        <v>0</v>
      </c>
      <c r="E721" s="9"/>
      <c r="F721" s="9"/>
      <c r="G721" s="9"/>
      <c r="H721" s="111"/>
      <c r="I721" s="111"/>
      <c r="J721" s="111"/>
      <c r="K721" s="111"/>
      <c r="L721" s="111">
        <f>IF(L$666&gt;0, IF(M$666=0, 'Adjustment for previous period'!$G98, 0), 0)</f>
        <v>0</v>
      </c>
      <c r="M721" s="111">
        <f>IF(M$666&gt;0, IF(N$666=0, 'Adjustment for previous period'!$G98, 0), 0)</f>
        <v>0</v>
      </c>
      <c r="N721" s="111">
        <f>IF(N$666&gt;0, IF(O$666=0, 'Adjustment for previous period'!$G98, 0), 0)</f>
        <v>0</v>
      </c>
      <c r="O721" s="111">
        <f>IF(O$666&gt;0, IF(P$666=0, 'Adjustment for previous period'!$G98, 0), 0)</f>
        <v>0</v>
      </c>
      <c r="P721" s="111">
        <f>IF(P$666&gt;0, IF(Q$666=0, 'Adjustment for previous period'!$G98, 0), 0)</f>
        <v>0</v>
      </c>
      <c r="Q721" s="111">
        <f>IF(Q$666&gt;0, IF(R$666=0, 'Adjustment for previous period'!$G98, 0), 0)</f>
        <v>0</v>
      </c>
      <c r="R721" s="9"/>
      <c r="S721" s="12"/>
      <c r="T721" s="12"/>
      <c r="U721" s="12"/>
      <c r="V721" s="12"/>
      <c r="W721" s="12"/>
      <c r="X721" s="12"/>
      <c r="Y721" s="12"/>
      <c r="Z721" s="12"/>
      <c r="AA721" s="221"/>
      <c r="AB721" s="221"/>
      <c r="AC721" s="221"/>
      <c r="AD721" s="221"/>
      <c r="AE721" s="221"/>
      <c r="AF721" s="221"/>
      <c r="AG721" s="221"/>
      <c r="AH721" s="221"/>
      <c r="AI721" s="221"/>
      <c r="AJ721" s="221"/>
      <c r="AK721" s="221"/>
      <c r="AL721" s="221"/>
      <c r="AM721" s="221"/>
      <c r="AN721" s="221"/>
      <c r="AO721" s="221"/>
      <c r="AP721" s="221"/>
      <c r="AQ721" s="221"/>
      <c r="AR721" s="221"/>
      <c r="AS721" s="221"/>
      <c r="AT721" s="221"/>
      <c r="AU721" s="221"/>
      <c r="AV721" s="221"/>
      <c r="AW721" s="221"/>
      <c r="AX721" s="221"/>
      <c r="AY721" s="221"/>
      <c r="AZ721" s="221"/>
      <c r="BA721" s="221"/>
      <c r="BB721" s="221"/>
      <c r="BC721" s="221"/>
      <c r="BD721" s="221"/>
      <c r="BE721" s="221"/>
      <c r="BF721" s="221"/>
      <c r="BG721" s="221"/>
      <c r="BH721" s="221"/>
      <c r="BI721" s="221"/>
      <c r="BJ721" s="221"/>
      <c r="BK721" s="221"/>
      <c r="BL721" s="221"/>
    </row>
    <row r="722" spans="1:64" ht="12" hidden="1" customHeight="1" outlineLevel="1">
      <c r="A722" s="9"/>
      <c r="B722" s="9"/>
      <c r="C722" s="9"/>
      <c r="D722" s="270">
        <f>Asset24</f>
        <v>0</v>
      </c>
      <c r="E722" s="9"/>
      <c r="F722" s="9"/>
      <c r="G722" s="9"/>
      <c r="H722" s="111"/>
      <c r="I722" s="111"/>
      <c r="J722" s="111"/>
      <c r="K722" s="111"/>
      <c r="L722" s="111">
        <f>IF(L$666&gt;0, IF(M$666=0, 'Adjustment for previous period'!$G99, 0), 0)</f>
        <v>0</v>
      </c>
      <c r="M722" s="111">
        <f>IF(M$666&gt;0, IF(N$666=0, 'Adjustment for previous period'!$G99, 0), 0)</f>
        <v>0</v>
      </c>
      <c r="N722" s="111">
        <f>IF(N$666&gt;0, IF(O$666=0, 'Adjustment for previous period'!$G99, 0), 0)</f>
        <v>0</v>
      </c>
      <c r="O722" s="111">
        <f>IF(O$666&gt;0, IF(P$666=0, 'Adjustment for previous period'!$G99, 0), 0)</f>
        <v>0</v>
      </c>
      <c r="P722" s="111">
        <f>IF(P$666&gt;0, IF(Q$666=0, 'Adjustment for previous period'!$G99, 0), 0)</f>
        <v>0</v>
      </c>
      <c r="Q722" s="111">
        <f>IF(Q$666&gt;0, IF(R$666=0, 'Adjustment for previous period'!$G99, 0), 0)</f>
        <v>0</v>
      </c>
      <c r="R722" s="9"/>
      <c r="S722" s="12"/>
      <c r="T722" s="12"/>
      <c r="U722" s="12"/>
      <c r="V722" s="12"/>
      <c r="W722" s="12"/>
      <c r="X722" s="12"/>
      <c r="Y722" s="12"/>
      <c r="Z722" s="12"/>
      <c r="AA722" s="221"/>
      <c r="AB722" s="221"/>
      <c r="AC722" s="221"/>
      <c r="AD722" s="221"/>
      <c r="AE722" s="221"/>
      <c r="AF722" s="221"/>
      <c r="AG722" s="221"/>
      <c r="AH722" s="221"/>
      <c r="AI722" s="221"/>
      <c r="AJ722" s="221"/>
      <c r="AK722" s="221"/>
      <c r="AL722" s="221"/>
      <c r="AM722" s="221"/>
      <c r="AN722" s="221"/>
      <c r="AO722" s="221"/>
      <c r="AP722" s="221"/>
      <c r="AQ722" s="221"/>
      <c r="AR722" s="221"/>
      <c r="AS722" s="221"/>
      <c r="AT722" s="221"/>
      <c r="AU722" s="221"/>
      <c r="AV722" s="221"/>
      <c r="AW722" s="221"/>
      <c r="AX722" s="221"/>
      <c r="AY722" s="221"/>
      <c r="AZ722" s="221"/>
      <c r="BA722" s="221"/>
      <c r="BB722" s="221"/>
      <c r="BC722" s="221"/>
      <c r="BD722" s="221"/>
      <c r="BE722" s="221"/>
      <c r="BF722" s="221"/>
      <c r="BG722" s="221"/>
      <c r="BH722" s="221"/>
      <c r="BI722" s="221"/>
      <c r="BJ722" s="221"/>
      <c r="BK722" s="221"/>
      <c r="BL722" s="221"/>
    </row>
    <row r="723" spans="1:64" ht="12" hidden="1" customHeight="1" outlineLevel="1">
      <c r="A723" s="9"/>
      <c r="B723" s="9"/>
      <c r="C723" s="9"/>
      <c r="D723" s="270">
        <f>Asset25</f>
        <v>0</v>
      </c>
      <c r="E723" s="9"/>
      <c r="F723" s="9"/>
      <c r="G723" s="9"/>
      <c r="H723" s="111"/>
      <c r="I723" s="111"/>
      <c r="J723" s="111"/>
      <c r="K723" s="111"/>
      <c r="L723" s="111">
        <f>IF(L$666&gt;0, IF(M$666=0, 'Adjustment for previous period'!$G100, 0), 0)</f>
        <v>0</v>
      </c>
      <c r="M723" s="111">
        <f>IF(M$666&gt;0, IF(N$666=0, 'Adjustment for previous period'!$G100, 0), 0)</f>
        <v>0</v>
      </c>
      <c r="N723" s="111">
        <f>IF(N$666&gt;0, IF(O$666=0, 'Adjustment for previous period'!$G100, 0), 0)</f>
        <v>0</v>
      </c>
      <c r="O723" s="111">
        <f>IF(O$666&gt;0, IF(P$666=0, 'Adjustment for previous period'!$G100, 0), 0)</f>
        <v>0</v>
      </c>
      <c r="P723" s="111">
        <f>IF(P$666&gt;0, IF(Q$666=0, 'Adjustment for previous period'!$G100, 0), 0)</f>
        <v>0</v>
      </c>
      <c r="Q723" s="111">
        <f>IF(Q$666&gt;0, IF(R$666=0, 'Adjustment for previous period'!$G100, 0), 0)</f>
        <v>0</v>
      </c>
      <c r="R723" s="9"/>
      <c r="S723" s="12"/>
      <c r="T723" s="12"/>
      <c r="U723" s="12"/>
      <c r="V723" s="12"/>
      <c r="W723" s="12"/>
      <c r="X723" s="12"/>
      <c r="Y723" s="12"/>
      <c r="Z723" s="12"/>
      <c r="AA723" s="221"/>
      <c r="AB723" s="221"/>
      <c r="AC723" s="221"/>
      <c r="AD723" s="221"/>
      <c r="AE723" s="221"/>
      <c r="AF723" s="221"/>
      <c r="AG723" s="221"/>
      <c r="AH723" s="221"/>
      <c r="AI723" s="221"/>
      <c r="AJ723" s="221"/>
      <c r="AK723" s="221"/>
      <c r="AL723" s="221"/>
      <c r="AM723" s="221"/>
      <c r="AN723" s="221"/>
      <c r="AO723" s="221"/>
      <c r="AP723" s="221"/>
      <c r="AQ723" s="221"/>
      <c r="AR723" s="221"/>
      <c r="AS723" s="221"/>
      <c r="AT723" s="221"/>
      <c r="AU723" s="221"/>
      <c r="AV723" s="221"/>
      <c r="AW723" s="221"/>
      <c r="AX723" s="221"/>
      <c r="AY723" s="221"/>
      <c r="AZ723" s="221"/>
      <c r="BA723" s="221"/>
      <c r="BB723" s="221"/>
      <c r="BC723" s="221"/>
      <c r="BD723" s="221"/>
      <c r="BE723" s="221"/>
      <c r="BF723" s="221"/>
      <c r="BG723" s="221"/>
      <c r="BH723" s="221"/>
      <c r="BI723" s="221"/>
      <c r="BJ723" s="221"/>
      <c r="BK723" s="221"/>
      <c r="BL723" s="221"/>
    </row>
    <row r="724" spans="1:64" ht="12" hidden="1" customHeight="1" outlineLevel="1">
      <c r="A724" s="9"/>
      <c r="B724" s="9"/>
      <c r="C724" s="9"/>
      <c r="D724" s="270">
        <f>Asset26</f>
        <v>0</v>
      </c>
      <c r="E724" s="9"/>
      <c r="F724" s="9"/>
      <c r="G724" s="9"/>
      <c r="H724" s="111"/>
      <c r="I724" s="111"/>
      <c r="J724" s="111"/>
      <c r="K724" s="111"/>
      <c r="L724" s="111">
        <f>IF(L$666&gt;0, IF(M$666=0, 'Adjustment for previous period'!$G101, 0), 0)</f>
        <v>0</v>
      </c>
      <c r="M724" s="111">
        <f>IF(M$666&gt;0, IF(N$666=0, 'Adjustment for previous period'!$G101, 0), 0)</f>
        <v>0</v>
      </c>
      <c r="N724" s="111">
        <f>IF(N$666&gt;0, IF(O$666=0, 'Adjustment for previous period'!$G101, 0), 0)</f>
        <v>0</v>
      </c>
      <c r="O724" s="111">
        <f>IF(O$666&gt;0, IF(P$666=0, 'Adjustment for previous period'!$G101, 0), 0)</f>
        <v>0</v>
      </c>
      <c r="P724" s="111">
        <f>IF(P$666&gt;0, IF(Q$666=0, 'Adjustment for previous period'!$G101, 0), 0)</f>
        <v>0</v>
      </c>
      <c r="Q724" s="111">
        <f>IF(Q$666&gt;0, IF(R$666=0, 'Adjustment for previous period'!$G101, 0), 0)</f>
        <v>0</v>
      </c>
      <c r="R724" s="9"/>
      <c r="S724" s="12"/>
      <c r="T724" s="12"/>
      <c r="U724" s="12"/>
      <c r="V724" s="12"/>
      <c r="W724" s="12"/>
      <c r="X724" s="12"/>
      <c r="Y724" s="12"/>
      <c r="Z724" s="12"/>
      <c r="AA724" s="221"/>
      <c r="AB724" s="221"/>
      <c r="AC724" s="221"/>
      <c r="AD724" s="221"/>
      <c r="AE724" s="221"/>
      <c r="AF724" s="221"/>
      <c r="AG724" s="221"/>
      <c r="AH724" s="221"/>
      <c r="AI724" s="221"/>
      <c r="AJ724" s="221"/>
      <c r="AK724" s="221"/>
      <c r="AL724" s="221"/>
      <c r="AM724" s="221"/>
      <c r="AN724" s="221"/>
      <c r="AO724" s="221"/>
      <c r="AP724" s="221"/>
      <c r="AQ724" s="221"/>
      <c r="AR724" s="221"/>
      <c r="AS724" s="221"/>
      <c r="AT724" s="221"/>
      <c r="AU724" s="221"/>
      <c r="AV724" s="221"/>
      <c r="AW724" s="221"/>
      <c r="AX724" s="221"/>
      <c r="AY724" s="221"/>
      <c r="AZ724" s="221"/>
      <c r="BA724" s="221"/>
      <c r="BB724" s="221"/>
      <c r="BC724" s="221"/>
      <c r="BD724" s="221"/>
      <c r="BE724" s="221"/>
      <c r="BF724" s="221"/>
      <c r="BG724" s="221"/>
      <c r="BH724" s="221"/>
      <c r="BI724" s="221"/>
      <c r="BJ724" s="221"/>
      <c r="BK724" s="221"/>
      <c r="BL724" s="221"/>
    </row>
    <row r="725" spans="1:64" ht="12" hidden="1" customHeight="1" outlineLevel="1">
      <c r="A725" s="9"/>
      <c r="B725" s="9"/>
      <c r="C725" s="9"/>
      <c r="D725" s="270">
        <f>Asset27</f>
        <v>0</v>
      </c>
      <c r="E725" s="9"/>
      <c r="F725" s="9"/>
      <c r="G725" s="9"/>
      <c r="H725" s="111"/>
      <c r="I725" s="111"/>
      <c r="J725" s="111"/>
      <c r="K725" s="111"/>
      <c r="L725" s="111">
        <f>IF(L$666&gt;0, IF(M$666=0, 'Adjustment for previous period'!$G102, 0), 0)</f>
        <v>0</v>
      </c>
      <c r="M725" s="111">
        <f>IF(M$666&gt;0, IF(N$666=0, 'Adjustment for previous period'!$G102, 0), 0)</f>
        <v>0</v>
      </c>
      <c r="N725" s="111">
        <f>IF(N$666&gt;0, IF(O$666=0, 'Adjustment for previous period'!$G102, 0), 0)</f>
        <v>0</v>
      </c>
      <c r="O725" s="111">
        <f>IF(O$666&gt;0, IF(P$666=0, 'Adjustment for previous period'!$G102, 0), 0)</f>
        <v>0</v>
      </c>
      <c r="P725" s="111">
        <f>IF(P$666&gt;0, IF(Q$666=0, 'Adjustment for previous period'!$G102, 0), 0)</f>
        <v>0</v>
      </c>
      <c r="Q725" s="111">
        <f>IF(Q$666&gt;0, IF(R$666=0, 'Adjustment for previous period'!$G102, 0), 0)</f>
        <v>0</v>
      </c>
      <c r="R725" s="9"/>
      <c r="S725" s="12"/>
      <c r="T725" s="12"/>
      <c r="U725" s="12"/>
      <c r="V725" s="12"/>
      <c r="W725" s="12"/>
      <c r="X725" s="12"/>
      <c r="Y725" s="12"/>
      <c r="Z725" s="12"/>
      <c r="AA725" s="221"/>
      <c r="AB725" s="221"/>
      <c r="AC725" s="221"/>
      <c r="AD725" s="221"/>
      <c r="AE725" s="221"/>
      <c r="AF725" s="221"/>
      <c r="AG725" s="221"/>
      <c r="AH725" s="221"/>
      <c r="AI725" s="221"/>
      <c r="AJ725" s="221"/>
      <c r="AK725" s="221"/>
      <c r="AL725" s="221"/>
      <c r="AM725" s="221"/>
      <c r="AN725" s="221"/>
      <c r="AO725" s="221"/>
      <c r="AP725" s="221"/>
      <c r="AQ725" s="221"/>
      <c r="AR725" s="221"/>
      <c r="AS725" s="221"/>
      <c r="AT725" s="221"/>
      <c r="AU725" s="221"/>
      <c r="AV725" s="221"/>
      <c r="AW725" s="221"/>
      <c r="AX725" s="221"/>
      <c r="AY725" s="221"/>
      <c r="AZ725" s="221"/>
      <c r="BA725" s="221"/>
      <c r="BB725" s="221"/>
      <c r="BC725" s="221"/>
      <c r="BD725" s="221"/>
      <c r="BE725" s="221"/>
      <c r="BF725" s="221"/>
      <c r="BG725" s="221"/>
      <c r="BH725" s="221"/>
      <c r="BI725" s="221"/>
      <c r="BJ725" s="221"/>
      <c r="BK725" s="221"/>
      <c r="BL725" s="221"/>
    </row>
    <row r="726" spans="1:64" ht="12" hidden="1" customHeight="1" outlineLevel="1">
      <c r="A726" s="9"/>
      <c r="B726" s="9"/>
      <c r="C726" s="9"/>
      <c r="D726" s="270">
        <f>Asset28</f>
        <v>0</v>
      </c>
      <c r="E726" s="9"/>
      <c r="F726" s="9"/>
      <c r="G726" s="9"/>
      <c r="H726" s="111"/>
      <c r="I726" s="111"/>
      <c r="J726" s="111"/>
      <c r="K726" s="111"/>
      <c r="L726" s="111">
        <f>IF(L$666&gt;0, IF(M$666=0, 'Adjustment for previous period'!$G103, 0), 0)</f>
        <v>0</v>
      </c>
      <c r="M726" s="111">
        <f>IF(M$666&gt;0, IF(N$666=0, 'Adjustment for previous period'!$G103, 0), 0)</f>
        <v>0</v>
      </c>
      <c r="N726" s="111">
        <f>IF(N$666&gt;0, IF(O$666=0, 'Adjustment for previous period'!$G103, 0), 0)</f>
        <v>0</v>
      </c>
      <c r="O726" s="111">
        <f>IF(O$666&gt;0, IF(P$666=0, 'Adjustment for previous period'!$G103, 0), 0)</f>
        <v>0</v>
      </c>
      <c r="P726" s="111">
        <f>IF(P$666&gt;0, IF(Q$666=0, 'Adjustment for previous period'!$G103, 0), 0)</f>
        <v>0</v>
      </c>
      <c r="Q726" s="111">
        <f>IF(Q$666&gt;0, IF(R$666=0, 'Adjustment for previous period'!$G103, 0), 0)</f>
        <v>0</v>
      </c>
      <c r="R726" s="9"/>
      <c r="S726" s="12"/>
      <c r="T726" s="12"/>
      <c r="U726" s="12"/>
      <c r="V726" s="12"/>
      <c r="W726" s="12"/>
      <c r="X726" s="12"/>
      <c r="Y726" s="12"/>
      <c r="Z726" s="12"/>
      <c r="AA726" s="221"/>
      <c r="AB726" s="221"/>
      <c r="AC726" s="221"/>
      <c r="AD726" s="221"/>
      <c r="AE726" s="221"/>
      <c r="AF726" s="221"/>
      <c r="AG726" s="221"/>
      <c r="AH726" s="221"/>
      <c r="AI726" s="221"/>
      <c r="AJ726" s="221"/>
      <c r="AK726" s="221"/>
      <c r="AL726" s="221"/>
      <c r="AM726" s="221"/>
      <c r="AN726" s="221"/>
      <c r="AO726" s="221"/>
      <c r="AP726" s="221"/>
      <c r="AQ726" s="221"/>
      <c r="AR726" s="221"/>
      <c r="AS726" s="221"/>
      <c r="AT726" s="221"/>
      <c r="AU726" s="221"/>
      <c r="AV726" s="221"/>
      <c r="AW726" s="221"/>
      <c r="AX726" s="221"/>
      <c r="AY726" s="221"/>
      <c r="AZ726" s="221"/>
      <c r="BA726" s="221"/>
      <c r="BB726" s="221"/>
      <c r="BC726" s="221"/>
      <c r="BD726" s="221"/>
      <c r="BE726" s="221"/>
      <c r="BF726" s="221"/>
      <c r="BG726" s="221"/>
      <c r="BH726" s="221"/>
      <c r="BI726" s="221"/>
      <c r="BJ726" s="221"/>
      <c r="BK726" s="221"/>
      <c r="BL726" s="221"/>
    </row>
    <row r="727" spans="1:64" ht="12" hidden="1" customHeight="1" outlineLevel="1">
      <c r="A727" s="9"/>
      <c r="B727" s="9"/>
      <c r="C727" s="9"/>
      <c r="D727" s="270">
        <f>Asset29</f>
        <v>0</v>
      </c>
      <c r="E727" s="9"/>
      <c r="F727" s="9"/>
      <c r="G727" s="9"/>
      <c r="H727" s="111"/>
      <c r="I727" s="111"/>
      <c r="J727" s="111"/>
      <c r="K727" s="111"/>
      <c r="L727" s="111">
        <f>IF(L$666&gt;0, IF(M$666=0, 'Adjustment for previous period'!$G104, 0), 0)</f>
        <v>0</v>
      </c>
      <c r="M727" s="111">
        <f>IF(M$666&gt;0, IF(N$666=0, 'Adjustment for previous period'!$G104, 0), 0)</f>
        <v>0</v>
      </c>
      <c r="N727" s="111">
        <f>IF(N$666&gt;0, IF(O$666=0, 'Adjustment for previous period'!$G104, 0), 0)</f>
        <v>0</v>
      </c>
      <c r="O727" s="111">
        <f>IF(O$666&gt;0, IF(P$666=0, 'Adjustment for previous period'!$G104, 0), 0)</f>
        <v>0</v>
      </c>
      <c r="P727" s="111">
        <f>IF(P$666&gt;0, IF(Q$666=0, 'Adjustment for previous period'!$G104, 0), 0)</f>
        <v>0</v>
      </c>
      <c r="Q727" s="111">
        <f>IF(Q$666&gt;0, IF(R$666=0, 'Adjustment for previous period'!$G104, 0), 0)</f>
        <v>0</v>
      </c>
      <c r="R727" s="9"/>
      <c r="S727" s="12"/>
      <c r="T727" s="12"/>
      <c r="U727" s="12"/>
      <c r="V727" s="12"/>
      <c r="W727" s="12"/>
      <c r="X727" s="12"/>
      <c r="Y727" s="12"/>
      <c r="Z727" s="12"/>
      <c r="AA727" s="221"/>
      <c r="AB727" s="221"/>
      <c r="AC727" s="221"/>
      <c r="AD727" s="221"/>
      <c r="AE727" s="221"/>
      <c r="AF727" s="221"/>
      <c r="AG727" s="221"/>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221"/>
      <c r="BE727" s="221"/>
      <c r="BF727" s="221"/>
      <c r="BG727" s="221"/>
      <c r="BH727" s="221"/>
      <c r="BI727" s="221"/>
      <c r="BJ727" s="221"/>
      <c r="BK727" s="221"/>
      <c r="BL727" s="221"/>
    </row>
    <row r="728" spans="1:64" ht="12" hidden="1" customHeight="1" outlineLevel="1">
      <c r="A728" s="9"/>
      <c r="B728" s="9"/>
      <c r="C728" s="9"/>
      <c r="D728" s="270">
        <f>Asset30</f>
        <v>0</v>
      </c>
      <c r="E728" s="9"/>
      <c r="F728" s="9"/>
      <c r="G728" s="9"/>
      <c r="H728" s="111"/>
      <c r="I728" s="111"/>
      <c r="J728" s="111"/>
      <c r="K728" s="111"/>
      <c r="L728" s="111">
        <f>IF(L$666&gt;0, IF(M$666=0, 'Adjustment for previous period'!$G105, 0), 0)</f>
        <v>0</v>
      </c>
      <c r="M728" s="111">
        <f>IF(M$666&gt;0, IF(N$666=0, 'Adjustment for previous period'!$G105, 0), 0)</f>
        <v>0</v>
      </c>
      <c r="N728" s="111">
        <f>IF(N$666&gt;0, IF(O$666=0, 'Adjustment for previous period'!$G105, 0), 0)</f>
        <v>0</v>
      </c>
      <c r="O728" s="111">
        <f>IF(O$666&gt;0, IF(P$666=0, 'Adjustment for previous period'!$G105, 0), 0)</f>
        <v>0</v>
      </c>
      <c r="P728" s="111">
        <f>IF(P$666&gt;0, IF(Q$666=0, 'Adjustment for previous period'!$G105, 0), 0)</f>
        <v>0</v>
      </c>
      <c r="Q728" s="111">
        <f>IF(Q$666&gt;0, IF(R$666=0, 'Adjustment for previous period'!$G105, 0), 0)</f>
        <v>0</v>
      </c>
      <c r="R728" s="9"/>
      <c r="S728" s="12"/>
      <c r="T728" s="12"/>
      <c r="U728" s="12"/>
      <c r="V728" s="12"/>
      <c r="W728" s="12"/>
      <c r="X728" s="12"/>
      <c r="Y728" s="12"/>
      <c r="Z728" s="12"/>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221"/>
      <c r="BE728" s="221"/>
      <c r="BF728" s="221"/>
      <c r="BG728" s="221"/>
      <c r="BH728" s="221"/>
      <c r="BI728" s="221"/>
      <c r="BJ728" s="221"/>
      <c r="BK728" s="221"/>
      <c r="BL728" s="221"/>
    </row>
    <row r="729" spans="1:64" ht="12" customHeight="1" collapsed="1">
      <c r="A729" s="9"/>
      <c r="B729" s="9"/>
      <c r="C729" s="9"/>
      <c r="D729" s="9"/>
      <c r="E729" s="9"/>
      <c r="F729" s="9"/>
      <c r="G729" s="9"/>
      <c r="H729" s="9"/>
      <c r="I729" s="9"/>
      <c r="J729" s="9"/>
      <c r="K729" s="9"/>
      <c r="L729" s="9"/>
      <c r="M729" s="9"/>
      <c r="N729" s="12"/>
      <c r="O729" s="9"/>
      <c r="P729" s="9"/>
      <c r="Q729" s="9"/>
      <c r="R729" s="9"/>
      <c r="S729" s="12"/>
      <c r="T729" s="12"/>
      <c r="U729" s="12"/>
      <c r="V729" s="12"/>
      <c r="W729" s="12"/>
      <c r="X729" s="12"/>
      <c r="Y729" s="12"/>
      <c r="Z729" s="12"/>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1"/>
      <c r="AY729" s="221"/>
      <c r="AZ729" s="221"/>
      <c r="BA729" s="221"/>
      <c r="BB729" s="221"/>
      <c r="BC729" s="221"/>
      <c r="BD729" s="221"/>
      <c r="BE729" s="221"/>
      <c r="BF729" s="221"/>
      <c r="BG729" s="221"/>
      <c r="BH729" s="221"/>
      <c r="BI729" s="221"/>
      <c r="BJ729" s="221"/>
      <c r="BK729" s="221"/>
      <c r="BL729" s="221"/>
    </row>
    <row r="730" spans="1:64" ht="12" customHeight="1">
      <c r="A730" s="9"/>
      <c r="B730" s="12"/>
      <c r="C730" s="90" t="s">
        <v>55</v>
      </c>
      <c r="D730" s="12"/>
      <c r="E730" s="12"/>
      <c r="F730" s="12"/>
      <c r="G730" s="114"/>
      <c r="H730" s="118"/>
      <c r="I730" s="118"/>
      <c r="J730" s="118"/>
      <c r="K730" s="118"/>
      <c r="L730" s="118">
        <f t="shared" ref="L730:Q730" si="67">SUM(L731:L760)</f>
        <v>0</v>
      </c>
      <c r="M730" s="118">
        <f t="shared" si="67"/>
        <v>22.683907537361751</v>
      </c>
      <c r="N730" s="118">
        <f t="shared" si="67"/>
        <v>0</v>
      </c>
      <c r="O730" s="118">
        <f t="shared" si="67"/>
        <v>0</v>
      </c>
      <c r="P730" s="118">
        <f t="shared" si="67"/>
        <v>0</v>
      </c>
      <c r="Q730" s="118">
        <f t="shared" si="67"/>
        <v>0</v>
      </c>
      <c r="R730" s="9"/>
      <c r="S730" s="12"/>
      <c r="T730" s="12"/>
      <c r="U730" s="12"/>
      <c r="V730" s="12"/>
      <c r="W730" s="12"/>
      <c r="X730" s="12"/>
      <c r="Y730" s="12"/>
      <c r="Z730" s="12"/>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1"/>
      <c r="AY730" s="221"/>
      <c r="AZ730" s="221"/>
      <c r="BA730" s="221"/>
      <c r="BB730" s="221"/>
      <c r="BC730" s="221"/>
      <c r="BD730" s="221"/>
      <c r="BE730" s="221"/>
      <c r="BF730" s="221"/>
      <c r="BG730" s="221"/>
      <c r="BH730" s="221"/>
      <c r="BI730" s="221"/>
      <c r="BJ730" s="221"/>
      <c r="BK730" s="221"/>
      <c r="BL730" s="221"/>
    </row>
    <row r="731" spans="1:64" ht="12" hidden="1" customHeight="1" outlineLevel="1">
      <c r="A731" s="9"/>
      <c r="B731" s="9"/>
      <c r="C731" s="9"/>
      <c r="D731" s="270" t="str">
        <f>Asset1</f>
        <v>Secondary</v>
      </c>
      <c r="E731" s="9"/>
      <c r="F731" s="9"/>
      <c r="G731" s="9"/>
      <c r="H731" s="111"/>
      <c r="I731" s="111"/>
      <c r="J731" s="111"/>
      <c r="K731" s="111"/>
      <c r="L731" s="111">
        <f>IF(M$666=0, 'Adjustment for previous period'!L109, 0)</f>
        <v>0</v>
      </c>
      <c r="M731" s="111">
        <f>IF(N$666=0, 'Adjustment for previous period'!M109, 0)</f>
        <v>3.9806943780818274</v>
      </c>
      <c r="N731" s="111">
        <f>IF(O$666=0, 'Adjustment for previous period'!N109, 0)</f>
        <v>0</v>
      </c>
      <c r="O731" s="111">
        <f>IF(P$666=0, 'Adjustment for previous period'!O109, 0)</f>
        <v>0</v>
      </c>
      <c r="P731" s="111">
        <f>IF(Q$666=0, 'Adjustment for previous period'!P109, 0)</f>
        <v>0</v>
      </c>
      <c r="Q731" s="111">
        <f>IF(R$666=0, 'Adjustment for previous period'!Q109, 0)</f>
        <v>0</v>
      </c>
      <c r="R731" s="9"/>
      <c r="S731" s="12"/>
      <c r="T731" s="12"/>
      <c r="U731" s="12"/>
      <c r="V731" s="12"/>
      <c r="W731" s="12"/>
      <c r="X731" s="12"/>
      <c r="Y731" s="12"/>
      <c r="Z731" s="12"/>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1"/>
      <c r="AY731" s="221"/>
      <c r="AZ731" s="221"/>
      <c r="BA731" s="221"/>
      <c r="BB731" s="221"/>
      <c r="BC731" s="221"/>
      <c r="BD731" s="221"/>
      <c r="BE731" s="221"/>
      <c r="BF731" s="221"/>
      <c r="BG731" s="221"/>
      <c r="BH731" s="221"/>
      <c r="BI731" s="221"/>
      <c r="BJ731" s="221"/>
      <c r="BK731" s="221"/>
      <c r="BL731" s="221"/>
    </row>
    <row r="732" spans="1:64" hidden="1" outlineLevel="1">
      <c r="A732" s="9"/>
      <c r="B732" s="9"/>
      <c r="C732" s="9"/>
      <c r="D732" s="270" t="str">
        <f>Asset2</f>
        <v>Switchgear</v>
      </c>
      <c r="E732" s="9"/>
      <c r="F732" s="9"/>
      <c r="G732" s="9"/>
      <c r="H732" s="111"/>
      <c r="I732" s="111"/>
      <c r="J732" s="111"/>
      <c r="K732" s="111"/>
      <c r="L732" s="111">
        <f>IF(M$666=0, 'Adjustment for previous period'!L111, 0)</f>
        <v>0</v>
      </c>
      <c r="M732" s="111">
        <f>IF(N$666=0, 'Adjustment for previous period'!M111, 0)</f>
        <v>7.6916567367335267</v>
      </c>
      <c r="N732" s="111">
        <f>IF(O$666=0, 'Adjustment for previous period'!N111, 0)</f>
        <v>0</v>
      </c>
      <c r="O732" s="111">
        <f>IF(P$666=0, 'Adjustment for previous period'!O111, 0)</f>
        <v>0</v>
      </c>
      <c r="P732" s="111">
        <f>IF(Q$666=0, 'Adjustment for previous period'!P111, 0)</f>
        <v>0</v>
      </c>
      <c r="Q732" s="111">
        <f>IF(R$666=0, 'Adjustment for previous period'!Q111, 0)</f>
        <v>0</v>
      </c>
      <c r="R732" s="29"/>
      <c r="S732" s="100"/>
      <c r="T732" s="100"/>
      <c r="U732" s="100"/>
      <c r="V732" s="100"/>
      <c r="W732" s="100"/>
      <c r="X732" s="100"/>
      <c r="Y732" s="100"/>
      <c r="Z732" s="100"/>
      <c r="AA732" s="228"/>
      <c r="AB732" s="228"/>
      <c r="AC732" s="228"/>
      <c r="AD732" s="228"/>
      <c r="AE732" s="228"/>
      <c r="AF732" s="228"/>
      <c r="AG732" s="228"/>
      <c r="AH732" s="228"/>
      <c r="AI732" s="228"/>
      <c r="AJ732" s="228"/>
      <c r="AK732" s="228"/>
      <c r="AL732" s="228"/>
      <c r="AM732" s="228"/>
      <c r="AN732" s="228"/>
      <c r="AO732" s="228"/>
      <c r="AP732" s="228"/>
      <c r="AQ732" s="228"/>
      <c r="AR732" s="228"/>
      <c r="AS732" s="228"/>
      <c r="AT732" s="228"/>
      <c r="AU732" s="228"/>
      <c r="AV732" s="228"/>
      <c r="AW732" s="228"/>
      <c r="AX732" s="228"/>
      <c r="AY732" s="228"/>
      <c r="AZ732" s="228"/>
      <c r="BA732" s="228"/>
      <c r="BB732" s="228"/>
      <c r="BC732" s="228"/>
      <c r="BD732" s="228"/>
      <c r="BE732" s="228"/>
      <c r="BF732" s="228"/>
      <c r="BG732" s="228"/>
      <c r="BH732" s="228"/>
      <c r="BI732" s="228"/>
      <c r="BJ732" s="228"/>
      <c r="BK732" s="221"/>
      <c r="BL732" s="221"/>
    </row>
    <row r="733" spans="1:64" ht="12" hidden="1" customHeight="1" outlineLevel="1">
      <c r="A733" s="9"/>
      <c r="B733" s="9"/>
      <c r="C733" s="9"/>
      <c r="D733" s="270" t="str">
        <f>Asset3</f>
        <v>Transformers</v>
      </c>
      <c r="E733" s="9"/>
      <c r="F733" s="9"/>
      <c r="G733" s="9"/>
      <c r="H733" s="111"/>
      <c r="I733" s="111"/>
      <c r="J733" s="111"/>
      <c r="K733" s="111"/>
      <c r="L733" s="111">
        <f>IF(M$666=0, 'Adjustment for previous period'!L113, 0)</f>
        <v>0</v>
      </c>
      <c r="M733" s="111">
        <f>IF(N$666=0, 'Adjustment for previous period'!M113, 0)</f>
        <v>4.1621685616961148</v>
      </c>
      <c r="N733" s="111">
        <f>IF(O$666=0, 'Adjustment for previous period'!N113, 0)</f>
        <v>0</v>
      </c>
      <c r="O733" s="111">
        <f>IF(P$666=0, 'Adjustment for previous period'!O113, 0)</f>
        <v>0</v>
      </c>
      <c r="P733" s="111">
        <f>IF(Q$666=0, 'Adjustment for previous period'!P113, 0)</f>
        <v>0</v>
      </c>
      <c r="Q733" s="111">
        <f>IF(R$666=0, 'Adjustment for previous period'!Q113, 0)</f>
        <v>0</v>
      </c>
      <c r="R733" s="9"/>
      <c r="S733" s="12"/>
      <c r="T733" s="12"/>
      <c r="U733" s="12"/>
      <c r="V733" s="12"/>
      <c r="W733" s="12"/>
      <c r="X733" s="12"/>
      <c r="Y733" s="12"/>
      <c r="Z733" s="12"/>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1"/>
      <c r="AY733" s="221"/>
      <c r="AZ733" s="221"/>
      <c r="BA733" s="221"/>
      <c r="BB733" s="221"/>
      <c r="BC733" s="221"/>
      <c r="BD733" s="221"/>
      <c r="BE733" s="221"/>
      <c r="BF733" s="221"/>
      <c r="BG733" s="221"/>
      <c r="BH733" s="221"/>
      <c r="BI733" s="221"/>
      <c r="BJ733" s="221"/>
      <c r="BK733" s="221"/>
      <c r="BL733" s="221"/>
    </row>
    <row r="734" spans="1:64" ht="12" hidden="1" customHeight="1" outlineLevel="1">
      <c r="A734" s="9"/>
      <c r="B734" s="9"/>
      <c r="C734" s="9"/>
      <c r="D734" s="270" t="str">
        <f>Asset4</f>
        <v>Reactive</v>
      </c>
      <c r="E734" s="9"/>
      <c r="F734" s="9"/>
      <c r="G734" s="9"/>
      <c r="H734" s="111"/>
      <c r="I734" s="111"/>
      <c r="J734" s="111"/>
      <c r="K734" s="111"/>
      <c r="L734" s="111">
        <f>IF(M$666=0, 'Adjustment for previous period'!L115, 0)</f>
        <v>0</v>
      </c>
      <c r="M734" s="111">
        <f>IF(N$666=0, 'Adjustment for previous period'!M115, 0)</f>
        <v>-0.38646647571240178</v>
      </c>
      <c r="N734" s="111">
        <f>IF(O$666=0, 'Adjustment for previous period'!N115, 0)</f>
        <v>0</v>
      </c>
      <c r="O734" s="111">
        <f>IF(P$666=0, 'Adjustment for previous period'!O115, 0)</f>
        <v>0</v>
      </c>
      <c r="P734" s="111">
        <f>IF(Q$666=0, 'Adjustment for previous period'!P115, 0)</f>
        <v>0</v>
      </c>
      <c r="Q734" s="111">
        <f>IF(R$666=0, 'Adjustment for previous period'!Q115, 0)</f>
        <v>0</v>
      </c>
      <c r="R734" s="9"/>
      <c r="S734" s="12"/>
      <c r="T734" s="12"/>
      <c r="U734" s="12"/>
      <c r="V734" s="12"/>
      <c r="W734" s="12"/>
      <c r="X734" s="12"/>
      <c r="Y734" s="12"/>
      <c r="Z734" s="12"/>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1"/>
      <c r="AY734" s="221"/>
      <c r="AZ734" s="221"/>
      <c r="BA734" s="221"/>
      <c r="BB734" s="221"/>
      <c r="BC734" s="221"/>
      <c r="BD734" s="221"/>
      <c r="BE734" s="221"/>
      <c r="BF734" s="221"/>
      <c r="BG734" s="221"/>
      <c r="BH734" s="221"/>
      <c r="BI734" s="221"/>
      <c r="BJ734" s="221"/>
      <c r="BK734" s="221"/>
      <c r="BL734" s="221"/>
    </row>
    <row r="735" spans="1:64" ht="12" hidden="1" customHeight="1" outlineLevel="1">
      <c r="A735" s="9"/>
      <c r="B735" s="9"/>
      <c r="C735" s="9"/>
      <c r="D735" s="270" t="str">
        <f>Asset5</f>
        <v>Towers and Conductor</v>
      </c>
      <c r="E735" s="9"/>
      <c r="F735" s="9"/>
      <c r="G735" s="9"/>
      <c r="H735" s="111"/>
      <c r="I735" s="111"/>
      <c r="J735" s="111"/>
      <c r="K735" s="111"/>
      <c r="L735" s="111">
        <f>IF(M$666=0, 'Adjustment for previous period'!L117, 0)</f>
        <v>0</v>
      </c>
      <c r="M735" s="111">
        <f>IF(N$666=0, 'Adjustment for previous period'!M117, 0)</f>
        <v>0.55463513031771838</v>
      </c>
      <c r="N735" s="111">
        <f>IF(O$666=0, 'Adjustment for previous period'!N117, 0)</f>
        <v>0</v>
      </c>
      <c r="O735" s="111">
        <f>IF(P$666=0, 'Adjustment for previous period'!O117, 0)</f>
        <v>0</v>
      </c>
      <c r="P735" s="111">
        <f>IF(Q$666=0, 'Adjustment for previous period'!P117, 0)</f>
        <v>0</v>
      </c>
      <c r="Q735" s="111">
        <f>IF(R$666=0, 'Adjustment for previous period'!Q117, 0)</f>
        <v>0</v>
      </c>
      <c r="R735" s="9"/>
      <c r="S735" s="12"/>
      <c r="T735" s="12"/>
      <c r="U735" s="12"/>
      <c r="V735" s="12"/>
      <c r="W735" s="12"/>
      <c r="X735" s="12"/>
      <c r="Y735" s="12"/>
      <c r="Z735" s="12"/>
      <c r="AA735" s="221"/>
      <c r="AB735" s="221"/>
      <c r="AC735" s="221"/>
      <c r="AD735" s="221"/>
      <c r="AE735" s="221"/>
      <c r="AF735" s="221"/>
      <c r="AG735" s="221"/>
      <c r="AH735" s="221"/>
      <c r="AI735" s="221"/>
      <c r="AJ735" s="221"/>
      <c r="AK735" s="221"/>
      <c r="AL735" s="221"/>
      <c r="AM735" s="221"/>
      <c r="AN735" s="221"/>
      <c r="AO735" s="221"/>
      <c r="AP735" s="221"/>
      <c r="AQ735" s="221"/>
      <c r="AR735" s="221"/>
      <c r="AS735" s="221"/>
      <c r="AT735" s="221"/>
      <c r="AU735" s="221"/>
      <c r="AV735" s="221"/>
      <c r="AW735" s="221"/>
      <c r="AX735" s="221"/>
      <c r="AY735" s="221"/>
      <c r="AZ735" s="221"/>
      <c r="BA735" s="221"/>
      <c r="BB735" s="221"/>
      <c r="BC735" s="221"/>
      <c r="BD735" s="221"/>
      <c r="BE735" s="221"/>
      <c r="BF735" s="221"/>
      <c r="BG735" s="221"/>
      <c r="BH735" s="221"/>
      <c r="BI735" s="221"/>
      <c r="BJ735" s="221"/>
      <c r="BK735" s="221"/>
      <c r="BL735" s="221"/>
    </row>
    <row r="736" spans="1:64" hidden="1" outlineLevel="1">
      <c r="A736" s="9"/>
      <c r="B736" s="9"/>
      <c r="C736" s="9"/>
      <c r="D736" s="270" t="str">
        <f>Asset6</f>
        <v>Establishment</v>
      </c>
      <c r="E736" s="9"/>
      <c r="F736" s="9"/>
      <c r="G736" s="9"/>
      <c r="H736" s="111"/>
      <c r="I736" s="111"/>
      <c r="J736" s="111"/>
      <c r="K736" s="111"/>
      <c r="L736" s="111">
        <f>IF(M$666=0, 'Adjustment for previous period'!L119, 0)</f>
        <v>0</v>
      </c>
      <c r="M736" s="111">
        <f>IF(N$666=0, 'Adjustment for previous period'!M119, 0)</f>
        <v>1.1824062874608523</v>
      </c>
      <c r="N736" s="111">
        <f>IF(O$666=0, 'Adjustment for previous period'!N119, 0)</f>
        <v>0</v>
      </c>
      <c r="O736" s="111">
        <f>IF(P$666=0, 'Adjustment for previous period'!O119, 0)</f>
        <v>0</v>
      </c>
      <c r="P736" s="111">
        <f>IF(Q$666=0, 'Adjustment for previous period'!P119, 0)</f>
        <v>0</v>
      </c>
      <c r="Q736" s="111">
        <f>IF(R$666=0, 'Adjustment for previous period'!Q119, 0)</f>
        <v>0</v>
      </c>
      <c r="R736" s="9"/>
      <c r="S736" s="12"/>
      <c r="T736" s="12"/>
      <c r="U736" s="12"/>
      <c r="V736" s="12"/>
      <c r="W736" s="12"/>
      <c r="X736" s="12"/>
      <c r="Y736" s="12"/>
      <c r="Z736" s="12"/>
      <c r="AA736" s="221"/>
      <c r="AB736" s="221"/>
      <c r="AC736" s="221"/>
      <c r="AD736" s="221"/>
      <c r="AE736" s="221"/>
      <c r="AF736" s="221"/>
      <c r="AG736" s="221"/>
      <c r="AH736" s="221"/>
      <c r="AI736" s="221"/>
      <c r="AJ736" s="221"/>
      <c r="AK736" s="221"/>
      <c r="AL736" s="221"/>
      <c r="AM736" s="221"/>
      <c r="AN736" s="221"/>
      <c r="AO736" s="221"/>
      <c r="AP736" s="221"/>
      <c r="AQ736" s="221"/>
      <c r="AR736" s="221"/>
      <c r="AS736" s="221"/>
      <c r="AT736" s="221"/>
      <c r="AU736" s="221"/>
      <c r="AV736" s="221"/>
      <c r="AW736" s="221"/>
      <c r="AX736" s="221"/>
      <c r="AY736" s="221"/>
      <c r="AZ736" s="221"/>
      <c r="BA736" s="221"/>
      <c r="BB736" s="221"/>
      <c r="BC736" s="221"/>
      <c r="BD736" s="221"/>
      <c r="BE736" s="221"/>
      <c r="BF736" s="221"/>
      <c r="BG736" s="221"/>
      <c r="BH736" s="221"/>
      <c r="BI736" s="221"/>
      <c r="BJ736" s="221"/>
      <c r="BK736" s="221"/>
      <c r="BL736" s="221"/>
    </row>
    <row r="737" spans="1:64" hidden="1" outlineLevel="1">
      <c r="A737" s="9"/>
      <c r="B737" s="9"/>
      <c r="C737" s="9"/>
      <c r="D737" s="270" t="str">
        <f>Asset7</f>
        <v>Communications</v>
      </c>
      <c r="E737" s="9"/>
      <c r="F737" s="9"/>
      <c r="G737" s="9"/>
      <c r="H737" s="111"/>
      <c r="I737" s="111"/>
      <c r="J737" s="111"/>
      <c r="K737" s="111"/>
      <c r="L737" s="111">
        <f>IF(M$666=0, 'Adjustment for previous period'!L121, 0)</f>
        <v>0</v>
      </c>
      <c r="M737" s="111">
        <f>IF(N$666=0, 'Adjustment for previous period'!M121, 0)</f>
        <v>-1.7312423467238049</v>
      </c>
      <c r="N737" s="111">
        <f>IF(O$666=0, 'Adjustment for previous period'!N121, 0)</f>
        <v>0</v>
      </c>
      <c r="O737" s="111">
        <f>IF(P$666=0, 'Adjustment for previous period'!O121, 0)</f>
        <v>0</v>
      </c>
      <c r="P737" s="111">
        <f>IF(Q$666=0, 'Adjustment for previous period'!P121, 0)</f>
        <v>0</v>
      </c>
      <c r="Q737" s="111">
        <f>IF(R$666=0, 'Adjustment for previous period'!Q121, 0)</f>
        <v>0</v>
      </c>
      <c r="R737" s="9"/>
      <c r="S737" s="9"/>
      <c r="T737" s="9"/>
      <c r="U737" s="9"/>
      <c r="V737" s="9"/>
      <c r="W737" s="9"/>
      <c r="X737" s="9"/>
      <c r="Y737" s="9"/>
      <c r="Z737" s="9"/>
      <c r="AB737" s="198"/>
      <c r="AC737" s="198"/>
      <c r="AD737" s="198"/>
      <c r="AE737" s="198"/>
      <c r="AF737" s="198"/>
      <c r="AG737" s="198"/>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198"/>
      <c r="BE737" s="198"/>
      <c r="BF737" s="198"/>
      <c r="BG737" s="198"/>
      <c r="BH737" s="198"/>
      <c r="BI737" s="198"/>
      <c r="BJ737" s="198"/>
      <c r="BK737" s="198"/>
      <c r="BL737" s="198"/>
    </row>
    <row r="738" spans="1:64" hidden="1" outlineLevel="1">
      <c r="A738" s="9"/>
      <c r="B738" s="9"/>
      <c r="C738" s="9"/>
      <c r="D738" s="270" t="str">
        <f>Asset8</f>
        <v>Inventory</v>
      </c>
      <c r="E738" s="9"/>
      <c r="F738" s="9"/>
      <c r="G738" s="9"/>
      <c r="H738" s="111"/>
      <c r="I738" s="111"/>
      <c r="J738" s="111"/>
      <c r="K738" s="111"/>
      <c r="L738" s="111">
        <f>IF(M$666=0, 'Adjustment for previous period'!L123, 0)</f>
        <v>0</v>
      </c>
      <c r="M738" s="111">
        <f>IF(N$666=0, 'Adjustment for previous period'!M123, 0)</f>
        <v>-0.2223715202646781</v>
      </c>
      <c r="N738" s="111">
        <f>IF(O$666=0, 'Adjustment for previous period'!N123, 0)</f>
        <v>0</v>
      </c>
      <c r="O738" s="111">
        <f>IF(P$666=0, 'Adjustment for previous period'!O123, 0)</f>
        <v>0</v>
      </c>
      <c r="P738" s="111">
        <f>IF(Q$666=0, 'Adjustment for previous period'!P123, 0)</f>
        <v>0</v>
      </c>
      <c r="Q738" s="111">
        <f>IF(R$666=0, 'Adjustment for previous period'!Q123, 0)</f>
        <v>0</v>
      </c>
      <c r="R738" s="9"/>
      <c r="S738" s="9"/>
      <c r="T738" s="9"/>
      <c r="U738" s="9"/>
      <c r="V738" s="9"/>
      <c r="W738" s="9"/>
      <c r="X738" s="9"/>
      <c r="Y738" s="9"/>
      <c r="Z738" s="9"/>
      <c r="AB738" s="198"/>
      <c r="AC738" s="198"/>
      <c r="AD738" s="198"/>
      <c r="AE738" s="198"/>
      <c r="AF738" s="198"/>
      <c r="AG738" s="198"/>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198"/>
      <c r="BE738" s="198"/>
      <c r="BF738" s="198"/>
      <c r="BG738" s="198"/>
      <c r="BH738" s="198"/>
      <c r="BI738" s="198"/>
      <c r="BJ738" s="198"/>
      <c r="BK738" s="198"/>
      <c r="BL738" s="198"/>
    </row>
    <row r="739" spans="1:64" hidden="1" outlineLevel="1">
      <c r="A739" s="9"/>
      <c r="B739" s="9"/>
      <c r="C739" s="9"/>
      <c r="D739" s="270" t="str">
        <f>Asset9</f>
        <v>IT</v>
      </c>
      <c r="E739" s="9"/>
      <c r="F739" s="9"/>
      <c r="G739" s="9"/>
      <c r="H739" s="111"/>
      <c r="I739" s="111"/>
      <c r="J739" s="111"/>
      <c r="K739" s="111"/>
      <c r="L739" s="111">
        <f>IF(M$666=0, 'Adjustment for previous period'!L125, 0)</f>
        <v>0</v>
      </c>
      <c r="M739" s="111">
        <f>IF(N$666=0, 'Adjustment for previous period'!M125, 0)</f>
        <v>5.9245051359703744</v>
      </c>
      <c r="N739" s="111">
        <f>IF(O$666=0, 'Adjustment for previous period'!N125, 0)</f>
        <v>0</v>
      </c>
      <c r="O739" s="111">
        <f>IF(P$666=0, 'Adjustment for previous period'!O125, 0)</f>
        <v>0</v>
      </c>
      <c r="P739" s="111">
        <f>IF(Q$666=0, 'Adjustment for previous period'!P125, 0)</f>
        <v>0</v>
      </c>
      <c r="Q739" s="111">
        <f>IF(R$666=0, 'Adjustment for previous period'!Q125, 0)</f>
        <v>0</v>
      </c>
      <c r="R739" s="9"/>
      <c r="S739" s="9"/>
      <c r="T739" s="9"/>
      <c r="U739" s="9"/>
      <c r="V739" s="9"/>
      <c r="W739" s="9"/>
      <c r="X739" s="9"/>
      <c r="Y739" s="9"/>
      <c r="Z739" s="9"/>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198"/>
      <c r="BE739" s="198"/>
      <c r="BF739" s="198"/>
      <c r="BG739" s="198"/>
      <c r="BH739" s="198"/>
      <c r="BI739" s="198"/>
      <c r="BJ739" s="198"/>
      <c r="BK739" s="198"/>
      <c r="BL739" s="198"/>
    </row>
    <row r="740" spans="1:64" hidden="1" outlineLevel="1">
      <c r="A740" s="9"/>
      <c r="B740" s="9"/>
      <c r="C740" s="9"/>
      <c r="D740" s="270" t="str">
        <f>Asset10</f>
        <v>Vehicles</v>
      </c>
      <c r="E740" s="9"/>
      <c r="F740" s="9"/>
      <c r="G740" s="9"/>
      <c r="H740" s="111"/>
      <c r="I740" s="111"/>
      <c r="J740" s="111"/>
      <c r="K740" s="111"/>
      <c r="L740" s="111">
        <f>IF(M$666=0, 'Adjustment for previous period'!L127, 0)</f>
        <v>0</v>
      </c>
      <c r="M740" s="111">
        <f>IF(N$666=0, 'Adjustment for previous period'!M127, 0)</f>
        <v>0.54973461539670165</v>
      </c>
      <c r="N740" s="111">
        <f>IF(O$666=0, 'Adjustment for previous period'!N127, 0)</f>
        <v>0</v>
      </c>
      <c r="O740" s="111">
        <f>IF(P$666=0, 'Adjustment for previous period'!O127, 0)</f>
        <v>0</v>
      </c>
      <c r="P740" s="111">
        <f>IF(Q$666=0, 'Adjustment for previous period'!P127, 0)</f>
        <v>0</v>
      </c>
      <c r="Q740" s="111">
        <f>IF(R$666=0, 'Adjustment for previous period'!Q127, 0)</f>
        <v>0</v>
      </c>
      <c r="R740" s="9"/>
      <c r="S740" s="9"/>
      <c r="T740" s="9"/>
      <c r="U740" s="9"/>
      <c r="V740" s="9"/>
      <c r="W740" s="9"/>
      <c r="X740" s="9"/>
      <c r="Y740" s="9"/>
      <c r="Z740" s="9"/>
      <c r="AB740" s="198"/>
      <c r="AC740" s="198"/>
      <c r="AD740" s="198"/>
      <c r="AE740" s="198"/>
      <c r="AF740" s="198"/>
      <c r="AG740" s="198"/>
      <c r="AH740" s="198"/>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198"/>
      <c r="BE740" s="198"/>
      <c r="BF740" s="198"/>
      <c r="BG740" s="198"/>
      <c r="BH740" s="198"/>
      <c r="BI740" s="198"/>
      <c r="BJ740" s="198"/>
      <c r="BK740" s="198"/>
      <c r="BL740" s="198"/>
    </row>
    <row r="741" spans="1:64" hidden="1" outlineLevel="1">
      <c r="A741" s="9"/>
      <c r="B741" s="9"/>
      <c r="C741" s="9"/>
      <c r="D741" s="270" t="str">
        <f>Asset11</f>
        <v>other</v>
      </c>
      <c r="E741" s="9"/>
      <c r="F741" s="9"/>
      <c r="G741" s="9"/>
      <c r="H741" s="111"/>
      <c r="I741" s="111"/>
      <c r="J741" s="111"/>
      <c r="K741" s="111"/>
      <c r="L741" s="111">
        <f>IF(M$666=0, 'Adjustment for previous period'!L129, 0)</f>
        <v>0</v>
      </c>
      <c r="M741" s="111">
        <f>IF(N$666=0, 'Adjustment for previous period'!M129, 0)</f>
        <v>1.350243805378563</v>
      </c>
      <c r="N741" s="111">
        <f>IF(O$666=0, 'Adjustment for previous period'!N129, 0)</f>
        <v>0</v>
      </c>
      <c r="O741" s="111">
        <f>IF(P$666=0, 'Adjustment for previous period'!O129, 0)</f>
        <v>0</v>
      </c>
      <c r="P741" s="111">
        <f>IF(Q$666=0, 'Adjustment for previous period'!P129, 0)</f>
        <v>0</v>
      </c>
      <c r="Q741" s="111">
        <f>IF(R$666=0, 'Adjustment for previous period'!Q129, 0)</f>
        <v>0</v>
      </c>
      <c r="R741" s="9"/>
      <c r="S741" s="9"/>
      <c r="T741" s="9"/>
      <c r="U741" s="9"/>
      <c r="V741" s="9"/>
      <c r="W741" s="9"/>
      <c r="X741" s="9"/>
      <c r="Y741" s="9"/>
      <c r="Z741" s="9"/>
      <c r="AB741" s="198"/>
      <c r="AC741" s="198"/>
      <c r="AD741" s="198"/>
      <c r="AE741" s="198"/>
      <c r="AF741" s="198"/>
      <c r="AG741" s="198"/>
      <c r="AH741" s="198"/>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198"/>
      <c r="BE741" s="198"/>
      <c r="BF741" s="198"/>
      <c r="BG741" s="198"/>
      <c r="BH741" s="198"/>
      <c r="BI741" s="198"/>
      <c r="BJ741" s="198"/>
      <c r="BK741" s="198"/>
      <c r="BL741" s="198"/>
    </row>
    <row r="742" spans="1:64" hidden="1" outlineLevel="1">
      <c r="A742" s="9"/>
      <c r="B742" s="9"/>
      <c r="C742" s="9"/>
      <c r="D742" s="270" t="str">
        <f>Asset12</f>
        <v>premises</v>
      </c>
      <c r="E742" s="9"/>
      <c r="F742" s="9"/>
      <c r="G742" s="9"/>
      <c r="H742" s="111"/>
      <c r="I742" s="111"/>
      <c r="J742" s="111"/>
      <c r="K742" s="111"/>
      <c r="L742" s="111">
        <f>IF(M$666=0, 'Adjustment for previous period'!L131, 0)</f>
        <v>0</v>
      </c>
      <c r="M742" s="111">
        <f>IF(N$666=0, 'Adjustment for previous period'!M131, 0)</f>
        <v>-0.37205677097304463</v>
      </c>
      <c r="N742" s="111">
        <f>IF(O$666=0, 'Adjustment for previous period'!N131, 0)</f>
        <v>0</v>
      </c>
      <c r="O742" s="111">
        <f>IF(P$666=0, 'Adjustment for previous period'!O131, 0)</f>
        <v>0</v>
      </c>
      <c r="P742" s="111">
        <f>IF(Q$666=0, 'Adjustment for previous period'!P131, 0)</f>
        <v>0</v>
      </c>
      <c r="Q742" s="111">
        <f>IF(R$666=0, 'Adjustment for previous period'!Q131, 0)</f>
        <v>0</v>
      </c>
      <c r="R742" s="9"/>
      <c r="S742" s="9"/>
      <c r="T742" s="9"/>
      <c r="U742" s="9"/>
      <c r="V742" s="9"/>
      <c r="W742" s="9"/>
      <c r="X742" s="9"/>
      <c r="Y742" s="9"/>
      <c r="Z742" s="9"/>
      <c r="AB742" s="198"/>
      <c r="AC742" s="198"/>
      <c r="AD742" s="198"/>
      <c r="AE742" s="198"/>
      <c r="AF742" s="198"/>
      <c r="AG742" s="198"/>
      <c r="AH742" s="198"/>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row>
    <row r="743" spans="1:64" hidden="1" outlineLevel="1">
      <c r="A743" s="9"/>
      <c r="B743" s="9"/>
      <c r="C743" s="9"/>
      <c r="D743" s="270" t="str">
        <f>Asset13</f>
        <v>Land</v>
      </c>
      <c r="E743" s="9"/>
      <c r="F743" s="9"/>
      <c r="G743" s="9"/>
      <c r="H743" s="111"/>
      <c r="I743" s="111"/>
      <c r="J743" s="111"/>
      <c r="K743" s="111"/>
      <c r="L743" s="111">
        <f>IF(M$666=0, 'Adjustment for previous period'!L133, 0)</f>
        <v>0</v>
      </c>
      <c r="M743" s="111">
        <f>IF(N$666=0, 'Adjustment for previous period'!M133, 0)</f>
        <v>0</v>
      </c>
      <c r="N743" s="111">
        <f>IF(O$666=0, 'Adjustment for previous period'!N133, 0)</f>
        <v>0</v>
      </c>
      <c r="O743" s="111">
        <f>IF(P$666=0, 'Adjustment for previous period'!O133, 0)</f>
        <v>0</v>
      </c>
      <c r="P743" s="111">
        <f>IF(Q$666=0, 'Adjustment for previous period'!P133, 0)</f>
        <v>0</v>
      </c>
      <c r="Q743" s="111">
        <f>IF(R$666=0, 'Adjustment for previous period'!Q133, 0)</f>
        <v>0</v>
      </c>
      <c r="R743" s="9"/>
      <c r="S743" s="9"/>
      <c r="T743" s="9"/>
      <c r="U743" s="9"/>
      <c r="V743" s="9"/>
      <c r="W743" s="9"/>
      <c r="X743" s="9"/>
      <c r="Y743" s="9"/>
      <c r="Z743" s="9"/>
      <c r="AB743" s="198"/>
      <c r="AC743" s="198"/>
      <c r="AD743" s="198"/>
      <c r="AE743" s="198"/>
      <c r="AF743" s="198"/>
      <c r="AG743" s="198"/>
      <c r="AH743" s="198"/>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row>
    <row r="744" spans="1:64" hidden="1" outlineLevel="1">
      <c r="A744" s="9"/>
      <c r="B744" s="9"/>
      <c r="C744" s="9"/>
      <c r="D744" s="270" t="str">
        <f>Asset14</f>
        <v>Easements</v>
      </c>
      <c r="E744" s="9"/>
      <c r="F744" s="9"/>
      <c r="G744" s="9"/>
      <c r="H744" s="111"/>
      <c r="I744" s="111"/>
      <c r="J744" s="111"/>
      <c r="K744" s="111"/>
      <c r="L744" s="111">
        <f>IF(M$666=0, 'Adjustment for previous period'!L135, 0)</f>
        <v>0</v>
      </c>
      <c r="M744" s="111">
        <f>IF(N$666=0, 'Adjustment for previous period'!M135, 0)</f>
        <v>0</v>
      </c>
      <c r="N744" s="111">
        <f>IF(O$666=0, 'Adjustment for previous period'!N135, 0)</f>
        <v>0</v>
      </c>
      <c r="O744" s="111">
        <f>IF(P$666=0, 'Adjustment for previous period'!O135, 0)</f>
        <v>0</v>
      </c>
      <c r="P744" s="111">
        <f>IF(Q$666=0, 'Adjustment for previous period'!P135, 0)</f>
        <v>0</v>
      </c>
      <c r="Q744" s="111">
        <f>IF(R$666=0, 'Adjustment for previous period'!Q135, 0)</f>
        <v>0</v>
      </c>
      <c r="R744" s="9"/>
      <c r="S744" s="9"/>
      <c r="T744" s="9"/>
      <c r="U744" s="9"/>
      <c r="V744" s="9"/>
      <c r="W744" s="9"/>
      <c r="X744" s="9"/>
      <c r="Y744" s="9"/>
      <c r="Z744" s="9"/>
      <c r="AB744" s="198"/>
      <c r="AC744" s="198"/>
      <c r="AD744" s="198"/>
      <c r="AE744" s="198"/>
      <c r="AF744" s="198"/>
      <c r="AG744" s="198"/>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row>
    <row r="745" spans="1:64" hidden="1" outlineLevel="1">
      <c r="A745" s="9"/>
      <c r="B745" s="9"/>
      <c r="C745" s="9"/>
      <c r="D745" s="270">
        <f>Asset15</f>
        <v>0</v>
      </c>
      <c r="E745" s="9"/>
      <c r="F745" s="9"/>
      <c r="G745" s="9"/>
      <c r="H745" s="111"/>
      <c r="I745" s="111"/>
      <c r="J745" s="111"/>
      <c r="K745" s="111"/>
      <c r="L745" s="111">
        <f>IF(M$666=0, 'Adjustment for previous period'!L137, 0)</f>
        <v>0</v>
      </c>
      <c r="M745" s="111">
        <f>IF(N$666=0, 'Adjustment for previous period'!M137, 0)</f>
        <v>0</v>
      </c>
      <c r="N745" s="111">
        <f>IF(O$666=0, 'Adjustment for previous period'!N137, 0)</f>
        <v>0</v>
      </c>
      <c r="O745" s="111">
        <f>IF(P$666=0, 'Adjustment for previous period'!O137, 0)</f>
        <v>0</v>
      </c>
      <c r="P745" s="111">
        <f>IF(Q$666=0, 'Adjustment for previous period'!P137, 0)</f>
        <v>0</v>
      </c>
      <c r="Q745" s="111">
        <f>IF(R$666=0, 'Adjustment for previous period'!Q137, 0)</f>
        <v>0</v>
      </c>
      <c r="R745" s="9"/>
      <c r="S745" s="9"/>
      <c r="T745" s="9"/>
      <c r="U745" s="9"/>
      <c r="V745" s="9"/>
      <c r="W745" s="9"/>
      <c r="X745" s="9"/>
      <c r="Y745" s="9"/>
      <c r="Z745" s="9"/>
      <c r="AB745" s="198"/>
      <c r="AC745" s="198"/>
      <c r="AD745" s="198"/>
      <c r="AE745" s="198"/>
      <c r="AF745" s="198"/>
      <c r="AG745" s="198"/>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row>
    <row r="746" spans="1:64" hidden="1" outlineLevel="1">
      <c r="A746" s="9"/>
      <c r="B746" s="9"/>
      <c r="C746" s="9"/>
      <c r="D746" s="270">
        <f>Asset16</f>
        <v>0</v>
      </c>
      <c r="E746" s="9"/>
      <c r="F746" s="9"/>
      <c r="G746" s="9"/>
      <c r="H746" s="111"/>
      <c r="I746" s="111"/>
      <c r="J746" s="111"/>
      <c r="K746" s="111"/>
      <c r="L746" s="111">
        <f>IF(M$666=0, 'Adjustment for previous period'!L139, 0)</f>
        <v>0</v>
      </c>
      <c r="M746" s="111">
        <f>IF(N$666=0, 'Adjustment for previous period'!M139, 0)</f>
        <v>0</v>
      </c>
      <c r="N746" s="111">
        <f>IF(O$666=0, 'Adjustment for previous period'!N139, 0)</f>
        <v>0</v>
      </c>
      <c r="O746" s="111">
        <f>IF(P$666=0, 'Adjustment for previous period'!O139, 0)</f>
        <v>0</v>
      </c>
      <c r="P746" s="111">
        <f>IF(Q$666=0, 'Adjustment for previous period'!P139, 0)</f>
        <v>0</v>
      </c>
      <c r="Q746" s="111">
        <f>IF(R$666=0, 'Adjustment for previous period'!Q139, 0)</f>
        <v>0</v>
      </c>
      <c r="R746" s="9"/>
      <c r="S746" s="9"/>
      <c r="T746" s="9"/>
      <c r="U746" s="9"/>
      <c r="V746" s="9"/>
      <c r="W746" s="9"/>
      <c r="X746" s="9"/>
      <c r="Y746" s="9"/>
      <c r="Z746" s="9"/>
      <c r="AB746" s="198"/>
      <c r="AC746" s="198"/>
      <c r="AD746" s="198"/>
      <c r="AE746" s="198"/>
      <c r="AF746" s="198"/>
      <c r="AG746" s="198"/>
      <c r="AH746" s="198"/>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198"/>
      <c r="BE746" s="198"/>
      <c r="BF746" s="198"/>
      <c r="BG746" s="198"/>
      <c r="BH746" s="198"/>
      <c r="BI746" s="198"/>
      <c r="BJ746" s="198"/>
      <c r="BK746" s="198"/>
      <c r="BL746" s="198"/>
    </row>
    <row r="747" spans="1:64" hidden="1" outlineLevel="1">
      <c r="A747" s="9"/>
      <c r="B747" s="9"/>
      <c r="C747" s="9"/>
      <c r="D747" s="270">
        <f>Asset17</f>
        <v>0</v>
      </c>
      <c r="E747" s="9"/>
      <c r="F747" s="9"/>
      <c r="G747" s="9"/>
      <c r="H747" s="111"/>
      <c r="I747" s="111"/>
      <c r="J747" s="111"/>
      <c r="K747" s="111"/>
      <c r="L747" s="111">
        <f>IF(M$666=0, 'Adjustment for previous period'!L141, 0)</f>
        <v>0</v>
      </c>
      <c r="M747" s="111">
        <f>IF(N$666=0, 'Adjustment for previous period'!M141, 0)</f>
        <v>0</v>
      </c>
      <c r="N747" s="111">
        <f>IF(O$666=0, 'Adjustment for previous period'!N141, 0)</f>
        <v>0</v>
      </c>
      <c r="O747" s="111">
        <f>IF(P$666=0, 'Adjustment for previous period'!O141, 0)</f>
        <v>0</v>
      </c>
      <c r="P747" s="111">
        <f>IF(Q$666=0, 'Adjustment for previous period'!P141, 0)</f>
        <v>0</v>
      </c>
      <c r="Q747" s="111">
        <f>IF(R$666=0, 'Adjustment for previous period'!Q141, 0)</f>
        <v>0</v>
      </c>
      <c r="R747" s="9"/>
      <c r="S747" s="9"/>
      <c r="T747" s="9"/>
      <c r="U747" s="9"/>
      <c r="V747" s="9"/>
      <c r="W747" s="9"/>
      <c r="X747" s="9"/>
      <c r="Y747" s="9"/>
      <c r="Z747" s="9"/>
      <c r="AB747" s="198"/>
      <c r="AC747" s="198"/>
      <c r="AD747" s="198"/>
      <c r="AE747" s="198"/>
      <c r="AF747" s="198"/>
      <c r="AG747" s="198"/>
      <c r="AH747" s="198"/>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198"/>
      <c r="BE747" s="198"/>
      <c r="BF747" s="198"/>
      <c r="BG747" s="198"/>
      <c r="BH747" s="198"/>
      <c r="BI747" s="198"/>
      <c r="BJ747" s="198"/>
      <c r="BK747" s="198"/>
      <c r="BL747" s="198"/>
    </row>
    <row r="748" spans="1:64" hidden="1" outlineLevel="1">
      <c r="A748" s="9"/>
      <c r="B748" s="9"/>
      <c r="C748" s="9"/>
      <c r="D748" s="270">
        <f>Asset18</f>
        <v>0</v>
      </c>
      <c r="E748" s="9"/>
      <c r="F748" s="9"/>
      <c r="G748" s="9"/>
      <c r="H748" s="111"/>
      <c r="I748" s="111"/>
      <c r="J748" s="111"/>
      <c r="K748" s="111"/>
      <c r="L748" s="111">
        <f>IF(M$666=0, 'Adjustment for previous period'!L143, 0)</f>
        <v>0</v>
      </c>
      <c r="M748" s="111">
        <f>IF(N$666=0, 'Adjustment for previous period'!M143, 0)</f>
        <v>0</v>
      </c>
      <c r="N748" s="111">
        <f>IF(O$666=0, 'Adjustment for previous period'!N143, 0)</f>
        <v>0</v>
      </c>
      <c r="O748" s="111">
        <f>IF(P$666=0, 'Adjustment for previous period'!O143, 0)</f>
        <v>0</v>
      </c>
      <c r="P748" s="111">
        <f>IF(Q$666=0, 'Adjustment for previous period'!P143, 0)</f>
        <v>0</v>
      </c>
      <c r="Q748" s="111">
        <f>IF(R$666=0, 'Adjustment for previous period'!Q143, 0)</f>
        <v>0</v>
      </c>
      <c r="R748" s="9"/>
      <c r="S748" s="9"/>
      <c r="T748" s="9"/>
      <c r="U748" s="9"/>
      <c r="V748" s="9"/>
      <c r="W748" s="9"/>
      <c r="X748" s="9"/>
      <c r="Y748" s="9"/>
      <c r="Z748" s="9"/>
      <c r="AB748" s="198"/>
      <c r="AC748" s="198"/>
      <c r="AD748" s="198"/>
      <c r="AE748" s="198"/>
      <c r="AF748" s="198"/>
      <c r="AG748" s="198"/>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198"/>
      <c r="BE748" s="198"/>
      <c r="BF748" s="198"/>
      <c r="BG748" s="198"/>
      <c r="BH748" s="198"/>
      <c r="BI748" s="198"/>
      <c r="BJ748" s="198"/>
      <c r="BK748" s="198"/>
      <c r="BL748" s="198"/>
    </row>
    <row r="749" spans="1:64" hidden="1" outlineLevel="1">
      <c r="A749" s="9"/>
      <c r="B749" s="9"/>
      <c r="C749" s="9"/>
      <c r="D749" s="270">
        <f>Asset19</f>
        <v>0</v>
      </c>
      <c r="E749" s="9"/>
      <c r="F749" s="9"/>
      <c r="G749" s="9"/>
      <c r="H749" s="111"/>
      <c r="I749" s="111"/>
      <c r="J749" s="111"/>
      <c r="K749" s="111"/>
      <c r="L749" s="111">
        <f>IF(M$666=0, 'Adjustment for previous period'!L145, 0)</f>
        <v>0</v>
      </c>
      <c r="M749" s="111">
        <f>IF(N$666=0, 'Adjustment for previous period'!M145, 0)</f>
        <v>0</v>
      </c>
      <c r="N749" s="111">
        <f>IF(O$666=0, 'Adjustment for previous period'!N145, 0)</f>
        <v>0</v>
      </c>
      <c r="O749" s="111">
        <f>IF(P$666=0, 'Adjustment for previous period'!O145, 0)</f>
        <v>0</v>
      </c>
      <c r="P749" s="111">
        <f>IF(Q$666=0, 'Adjustment for previous period'!P145, 0)</f>
        <v>0</v>
      </c>
      <c r="Q749" s="111">
        <f>IF(R$666=0, 'Adjustment for previous period'!Q145, 0)</f>
        <v>0</v>
      </c>
      <c r="R749" s="9"/>
      <c r="S749" s="9"/>
      <c r="T749" s="9"/>
      <c r="U749" s="9"/>
      <c r="V749" s="9"/>
      <c r="W749" s="9"/>
      <c r="X749" s="9"/>
      <c r="Y749" s="9"/>
      <c r="Z749" s="9"/>
      <c r="AB749" s="198"/>
      <c r="AC749" s="198"/>
      <c r="AD749" s="198"/>
      <c r="AE749" s="198"/>
      <c r="AF749" s="198"/>
      <c r="AG749" s="198"/>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row>
    <row r="750" spans="1:64" hidden="1" outlineLevel="1">
      <c r="A750" s="9"/>
      <c r="B750" s="9"/>
      <c r="C750" s="9"/>
      <c r="D750" s="270">
        <f>Asset20</f>
        <v>0</v>
      </c>
      <c r="E750" s="9"/>
      <c r="F750" s="9"/>
      <c r="G750" s="9"/>
      <c r="H750" s="111"/>
      <c r="I750" s="111"/>
      <c r="J750" s="111"/>
      <c r="K750" s="111"/>
      <c r="L750" s="111">
        <f>IF(M$666=0, 'Adjustment for previous period'!L147, 0)</f>
        <v>0</v>
      </c>
      <c r="M750" s="111">
        <f>IF(N$666=0, 'Adjustment for previous period'!M147, 0)</f>
        <v>0</v>
      </c>
      <c r="N750" s="111">
        <f>IF(O$666=0, 'Adjustment for previous period'!N147, 0)</f>
        <v>0</v>
      </c>
      <c r="O750" s="111">
        <f>IF(P$666=0, 'Adjustment for previous period'!O147, 0)</f>
        <v>0</v>
      </c>
      <c r="P750" s="111">
        <f>IF(Q$666=0, 'Adjustment for previous period'!P147, 0)</f>
        <v>0</v>
      </c>
      <c r="Q750" s="111">
        <f>IF(R$666=0, 'Adjustment for previous period'!Q147, 0)</f>
        <v>0</v>
      </c>
      <c r="R750" s="9"/>
      <c r="S750" s="9"/>
      <c r="T750" s="9"/>
      <c r="U750" s="9"/>
      <c r="V750" s="9"/>
      <c r="W750" s="9"/>
      <c r="X750" s="9"/>
      <c r="Y750" s="9"/>
      <c r="Z750" s="9"/>
      <c r="AB750" s="198"/>
      <c r="AC750" s="198"/>
      <c r="AD750" s="198"/>
      <c r="AE750" s="198"/>
      <c r="AF750" s="198"/>
      <c r="AG750" s="198"/>
      <c r="AH750" s="198"/>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row>
    <row r="751" spans="1:64" hidden="1" outlineLevel="1">
      <c r="A751" s="9"/>
      <c r="B751" s="9"/>
      <c r="C751" s="9"/>
      <c r="D751" s="270">
        <f>Asset21</f>
        <v>0</v>
      </c>
      <c r="E751" s="9"/>
      <c r="F751" s="9"/>
      <c r="G751" s="9"/>
      <c r="H751" s="111"/>
      <c r="I751" s="111"/>
      <c r="J751" s="111"/>
      <c r="K751" s="111"/>
      <c r="L751" s="111">
        <f>IF(M$666=0, 'Adjustment for previous period'!L149, 0)</f>
        <v>0</v>
      </c>
      <c r="M751" s="111">
        <f>IF(N$666=0, 'Adjustment for previous period'!M149, 0)</f>
        <v>0</v>
      </c>
      <c r="N751" s="111">
        <f>IF(O$666=0, 'Adjustment for previous period'!N149, 0)</f>
        <v>0</v>
      </c>
      <c r="O751" s="111">
        <f>IF(P$666=0, 'Adjustment for previous period'!O149, 0)</f>
        <v>0</v>
      </c>
      <c r="P751" s="111">
        <f>IF(Q$666=0, 'Adjustment for previous period'!P149, 0)</f>
        <v>0</v>
      </c>
      <c r="Q751" s="111">
        <f>IF(R$666=0, 'Adjustment for previous period'!Q149, 0)</f>
        <v>0</v>
      </c>
      <c r="R751" s="9"/>
      <c r="S751" s="9"/>
      <c r="T751" s="9"/>
      <c r="U751" s="9"/>
      <c r="V751" s="9"/>
      <c r="W751" s="9"/>
      <c r="X751" s="9"/>
      <c r="Y751" s="9"/>
      <c r="Z751" s="9"/>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row>
    <row r="752" spans="1:64" hidden="1" outlineLevel="1">
      <c r="A752" s="9"/>
      <c r="B752" s="9"/>
      <c r="C752" s="9"/>
      <c r="D752" s="270">
        <f>Asset22</f>
        <v>0</v>
      </c>
      <c r="E752" s="9"/>
      <c r="F752" s="9"/>
      <c r="G752" s="9"/>
      <c r="H752" s="111"/>
      <c r="I752" s="111"/>
      <c r="J752" s="111"/>
      <c r="K752" s="111"/>
      <c r="L752" s="111">
        <f>IF(M$666=0, 'Adjustment for previous period'!L151, 0)</f>
        <v>0</v>
      </c>
      <c r="M752" s="111">
        <f>IF(N$666=0, 'Adjustment for previous period'!M151, 0)</f>
        <v>0</v>
      </c>
      <c r="N752" s="111">
        <f>IF(O$666=0, 'Adjustment for previous period'!N151, 0)</f>
        <v>0</v>
      </c>
      <c r="O752" s="111">
        <f>IF(P$666=0, 'Adjustment for previous period'!O151, 0)</f>
        <v>0</v>
      </c>
      <c r="P752" s="111">
        <f>IF(Q$666=0, 'Adjustment for previous period'!P151, 0)</f>
        <v>0</v>
      </c>
      <c r="Q752" s="111">
        <f>IF(R$666=0, 'Adjustment for previous period'!Q151, 0)</f>
        <v>0</v>
      </c>
      <c r="R752" s="9"/>
      <c r="S752" s="9"/>
      <c r="T752" s="9"/>
      <c r="U752" s="9"/>
      <c r="V752" s="9"/>
      <c r="W752" s="9"/>
      <c r="X752" s="9"/>
      <c r="Y752" s="9"/>
      <c r="Z752" s="9"/>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row>
    <row r="753" spans="1:64" hidden="1" outlineLevel="1">
      <c r="A753" s="9"/>
      <c r="B753" s="9"/>
      <c r="C753" s="9"/>
      <c r="D753" s="270">
        <f>Asset23</f>
        <v>0</v>
      </c>
      <c r="E753" s="9"/>
      <c r="F753" s="9"/>
      <c r="G753" s="9"/>
      <c r="H753" s="111"/>
      <c r="I753" s="111"/>
      <c r="J753" s="111"/>
      <c r="K753" s="111"/>
      <c r="L753" s="111">
        <f>IF(M$666=0, 'Adjustment for previous period'!L153, 0)</f>
        <v>0</v>
      </c>
      <c r="M753" s="111">
        <f>IF(N$666=0, 'Adjustment for previous period'!M153, 0)</f>
        <v>0</v>
      </c>
      <c r="N753" s="111">
        <f>IF(O$666=0, 'Adjustment for previous period'!N153, 0)</f>
        <v>0</v>
      </c>
      <c r="O753" s="111">
        <f>IF(P$666=0, 'Adjustment for previous period'!O153, 0)</f>
        <v>0</v>
      </c>
      <c r="P753" s="111">
        <f>IF(Q$666=0, 'Adjustment for previous period'!P153, 0)</f>
        <v>0</v>
      </c>
      <c r="Q753" s="111">
        <f>IF(R$666=0, 'Adjustment for previous period'!Q153, 0)</f>
        <v>0</v>
      </c>
      <c r="R753" s="9"/>
      <c r="S753" s="9"/>
      <c r="T753" s="9"/>
      <c r="U753" s="9"/>
      <c r="V753" s="9"/>
      <c r="W753" s="9"/>
      <c r="X753" s="9"/>
      <c r="Y753" s="9"/>
      <c r="Z753" s="9"/>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row>
    <row r="754" spans="1:64" hidden="1" outlineLevel="1">
      <c r="A754" s="9"/>
      <c r="B754" s="9"/>
      <c r="C754" s="9"/>
      <c r="D754" s="270">
        <f>Asset24</f>
        <v>0</v>
      </c>
      <c r="E754" s="9"/>
      <c r="F754" s="9"/>
      <c r="G754" s="9"/>
      <c r="H754" s="111"/>
      <c r="I754" s="111"/>
      <c r="J754" s="111"/>
      <c r="K754" s="111"/>
      <c r="L754" s="111">
        <f>IF(M$666=0, 'Adjustment for previous period'!L155, 0)</f>
        <v>0</v>
      </c>
      <c r="M754" s="111">
        <f>IF(N$666=0, 'Adjustment for previous period'!M155, 0)</f>
        <v>0</v>
      </c>
      <c r="N754" s="111">
        <f>IF(O$666=0, 'Adjustment for previous period'!N155, 0)</f>
        <v>0</v>
      </c>
      <c r="O754" s="111">
        <f>IF(P$666=0, 'Adjustment for previous period'!O155, 0)</f>
        <v>0</v>
      </c>
      <c r="P754" s="111">
        <f>IF(Q$666=0, 'Adjustment for previous period'!P155, 0)</f>
        <v>0</v>
      </c>
      <c r="Q754" s="111">
        <f>IF(R$666=0, 'Adjustment for previous period'!Q155, 0)</f>
        <v>0</v>
      </c>
      <c r="R754" s="9"/>
      <c r="S754" s="9"/>
      <c r="T754" s="9"/>
      <c r="U754" s="9"/>
      <c r="V754" s="9"/>
      <c r="W754" s="9"/>
      <c r="X754" s="9"/>
      <c r="Y754" s="9"/>
      <c r="Z754" s="9"/>
      <c r="AB754" s="198"/>
      <c r="AC754" s="198"/>
      <c r="AD754" s="198"/>
      <c r="AE754" s="198"/>
      <c r="AF754" s="198"/>
      <c r="AG754" s="198"/>
      <c r="AH754" s="198"/>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198"/>
      <c r="BE754" s="198"/>
      <c r="BF754" s="198"/>
      <c r="BG754" s="198"/>
      <c r="BH754" s="198"/>
      <c r="BI754" s="198"/>
      <c r="BJ754" s="198"/>
      <c r="BK754" s="198"/>
      <c r="BL754" s="198"/>
    </row>
    <row r="755" spans="1:64" hidden="1" outlineLevel="1">
      <c r="A755" s="9"/>
      <c r="B755" s="9"/>
      <c r="C755" s="9"/>
      <c r="D755" s="270">
        <f>Asset25</f>
        <v>0</v>
      </c>
      <c r="E755" s="9"/>
      <c r="F755" s="9"/>
      <c r="G755" s="9"/>
      <c r="H755" s="111"/>
      <c r="I755" s="111"/>
      <c r="J755" s="111"/>
      <c r="K755" s="111"/>
      <c r="L755" s="111">
        <f>IF(M$666=0, 'Adjustment for previous period'!L157, 0)</f>
        <v>0</v>
      </c>
      <c r="M755" s="111">
        <f>IF(N$666=0, 'Adjustment for previous period'!M157, 0)</f>
        <v>0</v>
      </c>
      <c r="N755" s="111">
        <f>IF(O$666=0, 'Adjustment for previous period'!N157, 0)</f>
        <v>0</v>
      </c>
      <c r="O755" s="111">
        <f>IF(P$666=0, 'Adjustment for previous period'!O157, 0)</f>
        <v>0</v>
      </c>
      <c r="P755" s="111">
        <f>IF(Q$666=0, 'Adjustment for previous period'!P157, 0)</f>
        <v>0</v>
      </c>
      <c r="Q755" s="111">
        <f>IF(R$666=0, 'Adjustment for previous period'!Q157, 0)</f>
        <v>0</v>
      </c>
      <c r="R755" s="9"/>
      <c r="S755" s="9"/>
      <c r="T755" s="9"/>
      <c r="U755" s="9"/>
      <c r="V755" s="9"/>
      <c r="W755" s="9"/>
      <c r="X755" s="9"/>
      <c r="Y755" s="9"/>
      <c r="Z755" s="9"/>
      <c r="AB755" s="198"/>
      <c r="AC755" s="198"/>
      <c r="AD755" s="198"/>
      <c r="AE755" s="198"/>
      <c r="AF755" s="198"/>
      <c r="AG755" s="198"/>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198"/>
      <c r="BE755" s="198"/>
      <c r="BF755" s="198"/>
      <c r="BG755" s="198"/>
      <c r="BH755" s="198"/>
      <c r="BI755" s="198"/>
      <c r="BJ755" s="198"/>
      <c r="BK755" s="198"/>
      <c r="BL755" s="198"/>
    </row>
    <row r="756" spans="1:64" hidden="1" outlineLevel="1">
      <c r="A756" s="9"/>
      <c r="B756" s="9"/>
      <c r="C756" s="9"/>
      <c r="D756" s="270">
        <f>Asset26</f>
        <v>0</v>
      </c>
      <c r="E756" s="9"/>
      <c r="F756" s="9"/>
      <c r="G756" s="9"/>
      <c r="H756" s="111"/>
      <c r="I756" s="111"/>
      <c r="J756" s="111"/>
      <c r="K756" s="111"/>
      <c r="L756" s="111">
        <f>IF(M$666=0, 'Adjustment for previous period'!L159, 0)</f>
        <v>0</v>
      </c>
      <c r="M756" s="111">
        <f>IF(N$666=0, 'Adjustment for previous period'!M159, 0)</f>
        <v>0</v>
      </c>
      <c r="N756" s="111">
        <f>IF(O$666=0, 'Adjustment for previous period'!N159, 0)</f>
        <v>0</v>
      </c>
      <c r="O756" s="111">
        <f>IF(P$666=0, 'Adjustment for previous period'!O159, 0)</f>
        <v>0</v>
      </c>
      <c r="P756" s="111">
        <f>IF(Q$666=0, 'Adjustment for previous period'!P159, 0)</f>
        <v>0</v>
      </c>
      <c r="Q756" s="111">
        <f>IF(R$666=0, 'Adjustment for previous period'!Q159, 0)</f>
        <v>0</v>
      </c>
      <c r="R756" s="9"/>
      <c r="S756" s="9"/>
      <c r="T756" s="9"/>
      <c r="U756" s="9"/>
      <c r="V756" s="9"/>
      <c r="W756" s="9"/>
      <c r="X756" s="9"/>
      <c r="Y756" s="9"/>
      <c r="Z756" s="9"/>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row>
    <row r="757" spans="1:64" hidden="1" outlineLevel="1">
      <c r="A757" s="9"/>
      <c r="B757" s="9"/>
      <c r="C757" s="9"/>
      <c r="D757" s="270">
        <f>Asset27</f>
        <v>0</v>
      </c>
      <c r="E757" s="9"/>
      <c r="F757" s="9"/>
      <c r="G757" s="9"/>
      <c r="H757" s="111"/>
      <c r="I757" s="111"/>
      <c r="J757" s="111"/>
      <c r="K757" s="111"/>
      <c r="L757" s="111">
        <f>IF(M$666=0, 'Adjustment for previous period'!L161, 0)</f>
        <v>0</v>
      </c>
      <c r="M757" s="111">
        <f>IF(N$666=0, 'Adjustment for previous period'!M161, 0)</f>
        <v>0</v>
      </c>
      <c r="N757" s="111">
        <f>IF(O$666=0, 'Adjustment for previous period'!N161, 0)</f>
        <v>0</v>
      </c>
      <c r="O757" s="111">
        <f>IF(P$666=0, 'Adjustment for previous period'!O161, 0)</f>
        <v>0</v>
      </c>
      <c r="P757" s="111">
        <f>IF(Q$666=0, 'Adjustment for previous period'!P161, 0)</f>
        <v>0</v>
      </c>
      <c r="Q757" s="111">
        <f>IF(R$666=0, 'Adjustment for previous period'!Q161, 0)</f>
        <v>0</v>
      </c>
      <c r="R757" s="9"/>
      <c r="S757" s="9"/>
      <c r="T757" s="9"/>
      <c r="U757" s="9"/>
      <c r="V757" s="9"/>
      <c r="W757" s="9"/>
      <c r="X757" s="9"/>
      <c r="Y757" s="9"/>
      <c r="Z757" s="9"/>
      <c r="AB757" s="198"/>
      <c r="AC757" s="198"/>
      <c r="AD757" s="198"/>
      <c r="AE757" s="198"/>
      <c r="AF757" s="198"/>
      <c r="AG757" s="198"/>
      <c r="AH757" s="198"/>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row>
    <row r="758" spans="1:64" hidden="1" outlineLevel="1">
      <c r="A758" s="9"/>
      <c r="B758" s="9"/>
      <c r="C758" s="9"/>
      <c r="D758" s="270">
        <f>Asset28</f>
        <v>0</v>
      </c>
      <c r="E758" s="9"/>
      <c r="F758" s="9"/>
      <c r="G758" s="9"/>
      <c r="H758" s="111"/>
      <c r="I758" s="111"/>
      <c r="J758" s="111"/>
      <c r="K758" s="111"/>
      <c r="L758" s="111">
        <f>IF(M$666=0, 'Adjustment for previous period'!L163, 0)</f>
        <v>0</v>
      </c>
      <c r="M758" s="111">
        <f>IF(N$666=0, 'Adjustment for previous period'!M163, 0)</f>
        <v>0</v>
      </c>
      <c r="N758" s="111">
        <f>IF(O$666=0, 'Adjustment for previous period'!N163, 0)</f>
        <v>0</v>
      </c>
      <c r="O758" s="111">
        <f>IF(P$666=0, 'Adjustment for previous period'!O163, 0)</f>
        <v>0</v>
      </c>
      <c r="P758" s="111">
        <f>IF(Q$666=0, 'Adjustment for previous period'!P163, 0)</f>
        <v>0</v>
      </c>
      <c r="Q758" s="111">
        <f>IF(R$666=0, 'Adjustment for previous period'!Q163, 0)</f>
        <v>0</v>
      </c>
      <c r="R758" s="9"/>
      <c r="S758" s="9"/>
      <c r="T758" s="9"/>
      <c r="U758" s="9"/>
      <c r="V758" s="9"/>
      <c r="W758" s="9"/>
      <c r="X758" s="9"/>
      <c r="Y758" s="9"/>
      <c r="Z758" s="9"/>
      <c r="AB758" s="198"/>
      <c r="AC758" s="198"/>
      <c r="AD758" s="198"/>
      <c r="AE758" s="198"/>
      <c r="AF758" s="198"/>
      <c r="AG758" s="198"/>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row>
    <row r="759" spans="1:64" hidden="1" outlineLevel="1">
      <c r="A759" s="9"/>
      <c r="B759" s="9"/>
      <c r="C759" s="9"/>
      <c r="D759" s="270">
        <f>Asset29</f>
        <v>0</v>
      </c>
      <c r="E759" s="9"/>
      <c r="F759" s="9"/>
      <c r="G759" s="9"/>
      <c r="H759" s="111"/>
      <c r="I759" s="111"/>
      <c r="J759" s="111"/>
      <c r="K759" s="111"/>
      <c r="L759" s="111">
        <f>IF(M$666=0, 'Adjustment for previous period'!L165, 0)</f>
        <v>0</v>
      </c>
      <c r="M759" s="111">
        <f>IF(N$666=0, 'Adjustment for previous period'!M165, 0)</f>
        <v>0</v>
      </c>
      <c r="N759" s="111">
        <f>IF(O$666=0, 'Adjustment for previous period'!N165, 0)</f>
        <v>0</v>
      </c>
      <c r="O759" s="111">
        <f>IF(P$666=0, 'Adjustment for previous period'!O165, 0)</f>
        <v>0</v>
      </c>
      <c r="P759" s="111">
        <f>IF(Q$666=0, 'Adjustment for previous period'!P165, 0)</f>
        <v>0</v>
      </c>
      <c r="Q759" s="111">
        <f>IF(R$666=0, 'Adjustment for previous period'!Q165, 0)</f>
        <v>0</v>
      </c>
      <c r="R759" s="9"/>
      <c r="S759" s="9"/>
      <c r="T759" s="9"/>
      <c r="U759" s="9"/>
      <c r="V759" s="9"/>
      <c r="W759" s="9"/>
      <c r="X759" s="9"/>
      <c r="Y759" s="9"/>
      <c r="Z759" s="9"/>
      <c r="AB759" s="198"/>
      <c r="AC759" s="198"/>
      <c r="AD759" s="198"/>
      <c r="AE759" s="198"/>
      <c r="AF759" s="198"/>
      <c r="AG759" s="198"/>
      <c r="AH759" s="198"/>
      <c r="AI759" s="198"/>
      <c r="AJ759" s="198"/>
      <c r="AK759" s="198"/>
      <c r="AL759" s="198"/>
      <c r="AM759" s="198"/>
      <c r="AN759" s="198"/>
      <c r="AO759" s="198"/>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row>
    <row r="760" spans="1:64" hidden="1" outlineLevel="1">
      <c r="A760" s="9"/>
      <c r="B760" s="9"/>
      <c r="C760" s="9"/>
      <c r="D760" s="270">
        <f>Asset30</f>
        <v>0</v>
      </c>
      <c r="E760" s="9"/>
      <c r="F760" s="9"/>
      <c r="G760" s="9"/>
      <c r="H760" s="111"/>
      <c r="I760" s="111"/>
      <c r="J760" s="111"/>
      <c r="K760" s="111"/>
      <c r="L760" s="111">
        <f>IF(M$666=0, 'Adjustment for previous period'!L167, 0)</f>
        <v>0</v>
      </c>
      <c r="M760" s="111">
        <f>IF(N$666=0, 'Adjustment for previous period'!M167, 0)</f>
        <v>0</v>
      </c>
      <c r="N760" s="111">
        <f>IF(O$666=0, 'Adjustment for previous period'!N167, 0)</f>
        <v>0</v>
      </c>
      <c r="O760" s="111">
        <f>IF(P$666=0, 'Adjustment for previous period'!O167, 0)</f>
        <v>0</v>
      </c>
      <c r="P760" s="111">
        <f>IF(Q$666=0, 'Adjustment for previous period'!P167, 0)</f>
        <v>0</v>
      </c>
      <c r="Q760" s="111">
        <f>IF(R$666=0, 'Adjustment for previous period'!Q167, 0)</f>
        <v>0</v>
      </c>
      <c r="R760" s="9"/>
      <c r="S760" s="9"/>
      <c r="T760" s="9"/>
      <c r="U760" s="9"/>
      <c r="V760" s="9"/>
      <c r="W760" s="9"/>
      <c r="X760" s="9"/>
      <c r="Y760" s="9"/>
      <c r="Z760" s="9"/>
      <c r="AB760" s="198"/>
      <c r="AC760" s="198"/>
      <c r="AD760" s="198"/>
      <c r="AE760" s="198"/>
      <c r="AF760" s="198"/>
      <c r="AG760" s="198"/>
      <c r="AH760" s="198"/>
      <c r="AI760" s="198"/>
      <c r="AJ760" s="198"/>
      <c r="AK760" s="198"/>
      <c r="AL760" s="198"/>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row>
    <row r="761" spans="1:64" collapsed="1">
      <c r="A761" s="9"/>
      <c r="B761" s="9"/>
      <c r="C761" s="9"/>
      <c r="D761" s="9"/>
      <c r="E761" s="9"/>
      <c r="F761" s="9"/>
      <c r="G761" s="9"/>
      <c r="H761" s="9"/>
      <c r="I761" s="9"/>
      <c r="J761" s="9"/>
      <c r="K761" s="9"/>
      <c r="L761" s="293"/>
      <c r="M761" s="293"/>
      <c r="N761" s="295"/>
      <c r="O761" s="293"/>
      <c r="P761" s="293"/>
      <c r="Q761" s="293"/>
      <c r="R761" s="9"/>
      <c r="S761" s="9"/>
      <c r="T761" s="9"/>
      <c r="U761" s="9"/>
      <c r="V761" s="9"/>
      <c r="W761" s="9"/>
      <c r="X761" s="9"/>
      <c r="Y761" s="9"/>
      <c r="Z761" s="9"/>
      <c r="AB761" s="198"/>
      <c r="AC761" s="198"/>
      <c r="AD761" s="198"/>
      <c r="AE761" s="198"/>
      <c r="AF761" s="198"/>
      <c r="AG761" s="198"/>
      <c r="AH761" s="198"/>
      <c r="AI761" s="198"/>
      <c r="AJ761" s="198"/>
      <c r="AK761" s="198"/>
      <c r="AL761" s="198"/>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row>
    <row r="762" spans="1:64">
      <c r="A762" s="9"/>
      <c r="B762" s="9"/>
      <c r="C762" s="334" t="s">
        <v>161</v>
      </c>
      <c r="D762" s="334"/>
      <c r="E762" s="334"/>
      <c r="F762" s="334"/>
      <c r="G762" s="334"/>
      <c r="H762" s="9"/>
      <c r="I762" s="9"/>
      <c r="J762" s="9"/>
      <c r="K762" s="9"/>
      <c r="L762" s="293"/>
      <c r="M762" s="342">
        <f>SUM(M763:M782)</f>
        <v>0.6657419876348567</v>
      </c>
      <c r="N762" s="295"/>
      <c r="O762" s="293"/>
      <c r="P762" s="293"/>
      <c r="Q762" s="293"/>
      <c r="R762" s="9"/>
      <c r="S762" s="9"/>
      <c r="T762" s="9"/>
      <c r="U762" s="9"/>
      <c r="V762" s="9"/>
      <c r="W762" s="9"/>
      <c r="X762" s="9"/>
      <c r="Y762" s="9"/>
      <c r="Z762" s="9"/>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198"/>
      <c r="BE762" s="198"/>
      <c r="BF762" s="198"/>
      <c r="BG762" s="198"/>
      <c r="BH762" s="198"/>
      <c r="BI762" s="198"/>
      <c r="BJ762" s="198"/>
      <c r="BK762" s="198"/>
      <c r="BL762" s="198"/>
    </row>
    <row r="763" spans="1:64" hidden="1" outlineLevel="1">
      <c r="A763" s="9"/>
      <c r="B763" s="9"/>
      <c r="C763" s="9"/>
      <c r="D763" s="127" t="str">
        <f>Asset1</f>
        <v>Secondary</v>
      </c>
      <c r="E763" s="9"/>
      <c r="F763" s="9"/>
      <c r="G763" s="9"/>
      <c r="H763" s="9"/>
      <c r="I763" s="9"/>
      <c r="J763" s="9"/>
      <c r="K763" s="9"/>
      <c r="L763" s="293"/>
      <c r="M763" s="351">
        <f>IF(N$666=0,'Adjustment for previous period'!G378,0)</f>
        <v>8.2840342812513512E-2</v>
      </c>
      <c r="N763" s="295"/>
      <c r="O763" s="293"/>
      <c r="P763" s="293"/>
      <c r="Q763" s="293"/>
      <c r="R763" s="9"/>
      <c r="S763" s="9"/>
      <c r="T763" s="9"/>
      <c r="U763" s="9"/>
      <c r="V763" s="9"/>
      <c r="W763" s="9"/>
      <c r="X763" s="9"/>
      <c r="Y763" s="9"/>
      <c r="Z763" s="9"/>
      <c r="AB763" s="198"/>
      <c r="AC763" s="198"/>
      <c r="AD763" s="198"/>
      <c r="AE763" s="198"/>
      <c r="AF763" s="198"/>
      <c r="AG763" s="198"/>
      <c r="AH763" s="198"/>
      <c r="AI763" s="198"/>
      <c r="AJ763" s="198"/>
      <c r="AK763" s="198"/>
      <c r="AL763" s="198"/>
      <c r="AM763" s="198"/>
      <c r="AN763" s="198"/>
      <c r="AO763" s="198"/>
      <c r="AP763" s="198"/>
      <c r="AQ763" s="198"/>
      <c r="AR763" s="198"/>
      <c r="AS763" s="198"/>
      <c r="AT763" s="198"/>
      <c r="AU763" s="198"/>
      <c r="AV763" s="198"/>
      <c r="AW763" s="198"/>
      <c r="AX763" s="198"/>
      <c r="AY763" s="198"/>
      <c r="AZ763" s="198"/>
      <c r="BA763" s="198"/>
      <c r="BB763" s="198"/>
      <c r="BC763" s="198"/>
      <c r="BD763" s="198"/>
      <c r="BE763" s="198"/>
      <c r="BF763" s="198"/>
      <c r="BG763" s="198"/>
      <c r="BH763" s="198"/>
      <c r="BI763" s="198"/>
      <c r="BJ763" s="198"/>
      <c r="BK763" s="198"/>
      <c r="BL763" s="198"/>
    </row>
    <row r="764" spans="1:64" hidden="1" outlineLevel="1">
      <c r="A764" s="9"/>
      <c r="B764" s="9"/>
      <c r="C764" s="9"/>
      <c r="D764" s="127" t="str">
        <f>Asset2</f>
        <v>Switchgear</v>
      </c>
      <c r="E764" s="9"/>
      <c r="F764" s="9"/>
      <c r="G764" s="9"/>
      <c r="H764" s="9"/>
      <c r="I764" s="9"/>
      <c r="J764" s="9"/>
      <c r="K764" s="9"/>
      <c r="L764" s="293"/>
      <c r="M764" s="351">
        <f>IF(N$666=0,'Adjustment for previous period'!G379,0)</f>
        <v>0.36741665183803462</v>
      </c>
      <c r="N764" s="295"/>
      <c r="O764" s="293"/>
      <c r="P764" s="293"/>
      <c r="Q764" s="293"/>
      <c r="R764" s="9"/>
      <c r="S764" s="9"/>
      <c r="T764" s="9"/>
      <c r="U764" s="9"/>
      <c r="V764" s="9"/>
      <c r="W764" s="9"/>
      <c r="X764" s="9"/>
      <c r="Y764" s="9"/>
      <c r="Z764" s="9"/>
      <c r="AB764" s="198"/>
      <c r="AC764" s="198"/>
      <c r="AD764" s="198"/>
      <c r="AE764" s="198"/>
      <c r="AF764" s="198"/>
      <c r="AG764" s="198"/>
      <c r="AH764" s="198"/>
      <c r="AI764" s="198"/>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c r="BJ764" s="198"/>
      <c r="BK764" s="198"/>
      <c r="BL764" s="198"/>
    </row>
    <row r="765" spans="1:64" hidden="1" outlineLevel="1">
      <c r="A765" s="9"/>
      <c r="B765" s="9"/>
      <c r="C765" s="9"/>
      <c r="D765" s="127" t="str">
        <f>Asset3</f>
        <v>Transformers</v>
      </c>
      <c r="E765" s="9"/>
      <c r="F765" s="9"/>
      <c r="G765" s="9"/>
      <c r="H765" s="9"/>
      <c r="I765" s="9"/>
      <c r="J765" s="9"/>
      <c r="K765" s="9"/>
      <c r="L765" s="293"/>
      <c r="M765" s="351">
        <f>IF(N$666=0,'Adjustment for previous period'!G380,0)</f>
        <v>7.2390413786939334E-2</v>
      </c>
      <c r="N765" s="295"/>
      <c r="O765" s="293"/>
      <c r="P765" s="293"/>
      <c r="Q765" s="293"/>
      <c r="R765" s="9"/>
      <c r="S765" s="9"/>
      <c r="T765" s="9"/>
      <c r="U765" s="9"/>
      <c r="V765" s="9"/>
      <c r="W765" s="9"/>
      <c r="X765" s="9"/>
      <c r="Y765" s="9"/>
      <c r="Z765" s="9"/>
      <c r="AB765" s="198"/>
      <c r="AC765" s="198"/>
      <c r="AD765" s="198"/>
      <c r="AE765" s="198"/>
      <c r="AF765" s="198"/>
      <c r="AG765" s="198"/>
      <c r="AH765" s="198"/>
      <c r="AI765" s="198"/>
      <c r="AJ765" s="198"/>
      <c r="AK765" s="198"/>
      <c r="AL765" s="198"/>
      <c r="AM765" s="198"/>
      <c r="AN765" s="198"/>
      <c r="AO765" s="198"/>
      <c r="AP765" s="198"/>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row>
    <row r="766" spans="1:64" hidden="1" outlineLevel="1">
      <c r="A766" s="9"/>
      <c r="B766" s="9"/>
      <c r="C766" s="9"/>
      <c r="D766" s="127" t="str">
        <f>Asset4</f>
        <v>Reactive</v>
      </c>
      <c r="E766" s="9"/>
      <c r="F766" s="9"/>
      <c r="G766" s="9"/>
      <c r="H766" s="9"/>
      <c r="I766" s="9"/>
      <c r="J766" s="9"/>
      <c r="K766" s="9"/>
      <c r="L766" s="293"/>
      <c r="M766" s="351">
        <f>IF(N$666=0,'Adjustment for previous period'!G381,0)</f>
        <v>0.1116187752037483</v>
      </c>
      <c r="N766" s="295"/>
      <c r="O766" s="293"/>
      <c r="P766" s="293"/>
      <c r="Q766" s="293"/>
      <c r="R766" s="9"/>
      <c r="S766" s="9"/>
      <c r="T766" s="9"/>
      <c r="U766" s="9"/>
      <c r="V766" s="9"/>
      <c r="W766" s="9"/>
      <c r="X766" s="9"/>
      <c r="Y766" s="9"/>
      <c r="Z766" s="9"/>
      <c r="AB766" s="198"/>
      <c r="AC766" s="198"/>
      <c r="AD766" s="198"/>
      <c r="AE766" s="198"/>
      <c r="AF766" s="198"/>
      <c r="AG766" s="198"/>
      <c r="AH766" s="198"/>
      <c r="AI766" s="198"/>
      <c r="AJ766" s="198"/>
      <c r="AK766" s="198"/>
      <c r="AL766" s="198"/>
      <c r="AM766" s="198"/>
      <c r="AN766" s="198"/>
      <c r="AO766" s="198"/>
      <c r="AP766" s="198"/>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row>
    <row r="767" spans="1:64" hidden="1" outlineLevel="1">
      <c r="A767" s="9"/>
      <c r="B767" s="9"/>
      <c r="C767" s="9"/>
      <c r="D767" s="127" t="str">
        <f>Asset5</f>
        <v>Towers and Conductor</v>
      </c>
      <c r="E767" s="9"/>
      <c r="F767" s="9"/>
      <c r="G767" s="9"/>
      <c r="H767" s="9"/>
      <c r="I767" s="9"/>
      <c r="J767" s="9"/>
      <c r="K767" s="9"/>
      <c r="L767" s="293"/>
      <c r="M767" s="351">
        <f>IF(N$666=0,'Adjustment for previous period'!G382,0)</f>
        <v>4.062234790419339E-3</v>
      </c>
      <c r="N767" s="295"/>
      <c r="O767" s="293"/>
      <c r="P767" s="293"/>
      <c r="Q767" s="293"/>
      <c r="R767" s="9"/>
      <c r="S767" s="9"/>
      <c r="T767" s="9"/>
      <c r="U767" s="9"/>
      <c r="V767" s="9"/>
      <c r="W767" s="9"/>
      <c r="X767" s="9"/>
      <c r="Y767" s="9"/>
      <c r="Z767" s="9"/>
      <c r="AB767" s="198"/>
      <c r="AC767" s="198"/>
      <c r="AD767" s="198"/>
      <c r="AE767" s="198"/>
      <c r="AF767" s="198"/>
      <c r="AG767" s="198"/>
      <c r="AH767" s="198"/>
      <c r="AI767" s="198"/>
      <c r="AJ767" s="198"/>
      <c r="AK767" s="198"/>
      <c r="AL767" s="198"/>
      <c r="AM767" s="198"/>
      <c r="AN767" s="198"/>
      <c r="AO767" s="198"/>
      <c r="AP767" s="198"/>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row>
    <row r="768" spans="1:64" hidden="1" outlineLevel="1">
      <c r="A768" s="9"/>
      <c r="B768" s="9"/>
      <c r="C768" s="9"/>
      <c r="D768" s="127" t="str">
        <f>Asset6</f>
        <v>Establishment</v>
      </c>
      <c r="E768" s="9"/>
      <c r="F768" s="9"/>
      <c r="G768" s="9"/>
      <c r="H768" s="9"/>
      <c r="I768" s="9"/>
      <c r="J768" s="9"/>
      <c r="K768" s="9"/>
      <c r="L768" s="293"/>
      <c r="M768" s="351">
        <f>IF(N$666=0,'Adjustment for previous period'!G383,0)</f>
        <v>2.28273309182212E-2</v>
      </c>
      <c r="N768" s="295"/>
      <c r="O768" s="293"/>
      <c r="P768" s="293"/>
      <c r="Q768" s="293"/>
      <c r="R768" s="9"/>
      <c r="S768" s="9"/>
      <c r="T768" s="9"/>
      <c r="U768" s="9"/>
      <c r="V768" s="9"/>
      <c r="W768" s="9"/>
      <c r="X768" s="9"/>
      <c r="Y768" s="9"/>
      <c r="Z768" s="9"/>
      <c r="AB768" s="198"/>
      <c r="AC768" s="198"/>
      <c r="AD768" s="198"/>
      <c r="AE768" s="198"/>
      <c r="AF768" s="198"/>
      <c r="AG768" s="198"/>
      <c r="AH768" s="198"/>
      <c r="AI768" s="198"/>
      <c r="AJ768" s="198"/>
      <c r="AK768" s="198"/>
      <c r="AL768" s="198"/>
      <c r="AM768" s="198"/>
      <c r="AN768" s="198"/>
      <c r="AO768" s="198"/>
      <c r="AP768" s="198"/>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row>
    <row r="769" spans="1:64" hidden="1" outlineLevel="1">
      <c r="A769" s="9"/>
      <c r="B769" s="9"/>
      <c r="C769" s="9"/>
      <c r="D769" s="127" t="str">
        <f>Asset7</f>
        <v>Communications</v>
      </c>
      <c r="E769" s="9"/>
      <c r="F769" s="9"/>
      <c r="G769" s="9"/>
      <c r="H769" s="9"/>
      <c r="I769" s="9"/>
      <c r="J769" s="9"/>
      <c r="K769" s="9"/>
      <c r="L769" s="293"/>
      <c r="M769" s="351">
        <f>IF(N$666=0,'Adjustment for previous period'!G384,0)</f>
        <v>4.5862382849803929E-3</v>
      </c>
      <c r="N769" s="295"/>
      <c r="O769" s="293"/>
      <c r="P769" s="293"/>
      <c r="Q769" s="293"/>
      <c r="R769" s="9"/>
      <c r="S769" s="9"/>
      <c r="T769" s="9"/>
      <c r="U769" s="9"/>
      <c r="V769" s="9"/>
      <c r="W769" s="9"/>
      <c r="X769" s="9"/>
      <c r="Y769" s="9"/>
      <c r="Z769" s="9"/>
      <c r="AB769" s="198"/>
      <c r="AC769" s="198"/>
      <c r="AD769" s="198"/>
      <c r="AE769" s="198"/>
      <c r="AF769" s="198"/>
      <c r="AG769" s="198"/>
      <c r="AH769" s="198"/>
      <c r="AI769" s="198"/>
      <c r="AJ769" s="198"/>
      <c r="AK769" s="198"/>
      <c r="AL769" s="198"/>
      <c r="AM769" s="198"/>
      <c r="AN769" s="198"/>
      <c r="AO769" s="198"/>
      <c r="AP769" s="198"/>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row>
    <row r="770" spans="1:64" hidden="1" outlineLevel="1">
      <c r="A770" s="9"/>
      <c r="B770" s="9"/>
      <c r="C770" s="9"/>
      <c r="D770" s="127" t="str">
        <f>Asset8</f>
        <v>Inventory</v>
      </c>
      <c r="E770" s="9"/>
      <c r="F770" s="9"/>
      <c r="G770" s="9"/>
      <c r="H770" s="9"/>
      <c r="I770" s="9"/>
      <c r="J770" s="9"/>
      <c r="K770" s="9"/>
      <c r="L770" s="293"/>
      <c r="M770" s="351">
        <f>IF(N$666=0,'Adjustment for previous period'!G385,0)</f>
        <v>0</v>
      </c>
      <c r="N770" s="295"/>
      <c r="O770" s="293"/>
      <c r="P770" s="293"/>
      <c r="Q770" s="293"/>
      <c r="R770" s="9"/>
      <c r="S770" s="9"/>
      <c r="T770" s="9"/>
      <c r="U770" s="9"/>
      <c r="V770" s="9"/>
      <c r="W770" s="9"/>
      <c r="X770" s="9"/>
      <c r="Y770" s="9"/>
      <c r="Z770" s="9"/>
      <c r="AB770" s="198"/>
      <c r="AC770" s="198"/>
      <c r="AD770" s="198"/>
      <c r="AE770" s="198"/>
      <c r="AF770" s="198"/>
      <c r="AG770" s="198"/>
      <c r="AH770" s="198"/>
      <c r="AI770" s="198"/>
      <c r="AJ770" s="198"/>
      <c r="AK770" s="198"/>
      <c r="AL770" s="198"/>
      <c r="AM770" s="198"/>
      <c r="AN770" s="198"/>
      <c r="AO770" s="198"/>
      <c r="AP770" s="198"/>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row>
    <row r="771" spans="1:64" hidden="1" outlineLevel="1">
      <c r="A771" s="9"/>
      <c r="B771" s="9"/>
      <c r="C771" s="9"/>
      <c r="D771" s="127" t="str">
        <f>Asset9</f>
        <v>IT</v>
      </c>
      <c r="E771" s="9"/>
      <c r="F771" s="9"/>
      <c r="G771" s="9"/>
      <c r="H771" s="9"/>
      <c r="I771" s="9"/>
      <c r="J771" s="9"/>
      <c r="K771" s="9"/>
      <c r="L771" s="293"/>
      <c r="M771" s="351">
        <f>IF(N$666=0,'Adjustment for previous period'!G386,0)</f>
        <v>0</v>
      </c>
      <c r="N771" s="295"/>
      <c r="O771" s="293"/>
      <c r="P771" s="293"/>
      <c r="Q771" s="293"/>
      <c r="R771" s="9"/>
      <c r="S771" s="9"/>
      <c r="T771" s="9"/>
      <c r="U771" s="9"/>
      <c r="V771" s="9"/>
      <c r="W771" s="9"/>
      <c r="X771" s="9"/>
      <c r="Y771" s="9"/>
      <c r="Z771" s="9"/>
      <c r="AB771" s="198"/>
      <c r="AC771" s="198"/>
      <c r="AD771" s="198"/>
      <c r="AE771" s="198"/>
      <c r="AF771" s="198"/>
      <c r="AG771" s="198"/>
      <c r="AH771" s="198"/>
      <c r="AI771" s="198"/>
      <c r="AJ771" s="198"/>
      <c r="AK771" s="198"/>
      <c r="AL771" s="198"/>
      <c r="AM771" s="198"/>
      <c r="AN771" s="198"/>
      <c r="AO771" s="198"/>
      <c r="AP771" s="198"/>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row>
    <row r="772" spans="1:64" hidden="1" outlineLevel="1">
      <c r="A772" s="9"/>
      <c r="B772" s="9"/>
      <c r="C772" s="9"/>
      <c r="D772" s="127" t="str">
        <f>Asset10</f>
        <v>Vehicles</v>
      </c>
      <c r="E772" s="9"/>
      <c r="F772" s="9"/>
      <c r="G772" s="9"/>
      <c r="H772" s="9"/>
      <c r="I772" s="9"/>
      <c r="J772" s="9"/>
      <c r="K772" s="9"/>
      <c r="L772" s="293"/>
      <c r="M772" s="351">
        <f>IF(N$666=0,'Adjustment for previous period'!G387,0)</f>
        <v>0</v>
      </c>
      <c r="N772" s="295"/>
      <c r="O772" s="293"/>
      <c r="P772" s="293"/>
      <c r="Q772" s="293"/>
      <c r="R772" s="9"/>
      <c r="S772" s="9"/>
      <c r="T772" s="9"/>
      <c r="U772" s="9"/>
      <c r="V772" s="9"/>
      <c r="W772" s="9"/>
      <c r="X772" s="9"/>
      <c r="Y772" s="9"/>
      <c r="Z772" s="9"/>
      <c r="AB772" s="198"/>
      <c r="AC772" s="198"/>
      <c r="AD772" s="198"/>
      <c r="AE772" s="198"/>
      <c r="AF772" s="198"/>
      <c r="AG772" s="198"/>
      <c r="AH772" s="198"/>
      <c r="AI772" s="198"/>
      <c r="AJ772" s="198"/>
      <c r="AK772" s="198"/>
      <c r="AL772" s="198"/>
      <c r="AM772" s="198"/>
      <c r="AN772" s="198"/>
      <c r="AO772" s="198"/>
      <c r="AP772" s="198"/>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row>
    <row r="773" spans="1:64" hidden="1" outlineLevel="1">
      <c r="A773" s="9"/>
      <c r="B773" s="9"/>
      <c r="C773" s="9"/>
      <c r="D773" s="127" t="str">
        <f>Asset11</f>
        <v>other</v>
      </c>
      <c r="E773" s="9"/>
      <c r="F773" s="9"/>
      <c r="G773" s="9"/>
      <c r="H773" s="9"/>
      <c r="I773" s="9"/>
      <c r="J773" s="9"/>
      <c r="K773" s="9"/>
      <c r="L773" s="293"/>
      <c r="M773" s="351">
        <f>IF(N$666=0,'Adjustment for previous period'!G388,0)</f>
        <v>0</v>
      </c>
      <c r="N773" s="295"/>
      <c r="O773" s="293"/>
      <c r="P773" s="293"/>
      <c r="Q773" s="293"/>
      <c r="R773" s="9"/>
      <c r="S773" s="9"/>
      <c r="T773" s="9"/>
      <c r="U773" s="9"/>
      <c r="V773" s="9"/>
      <c r="W773" s="9"/>
      <c r="X773" s="9"/>
      <c r="Y773" s="9"/>
      <c r="Z773" s="9"/>
      <c r="AB773" s="198"/>
      <c r="AC773" s="198"/>
      <c r="AD773" s="198"/>
      <c r="AE773" s="198"/>
      <c r="AF773" s="198"/>
      <c r="AG773" s="198"/>
      <c r="AH773" s="198"/>
      <c r="AI773" s="198"/>
      <c r="AJ773" s="198"/>
      <c r="AK773" s="198"/>
      <c r="AL773" s="198"/>
      <c r="AM773" s="198"/>
      <c r="AN773" s="198"/>
      <c r="AO773" s="198"/>
      <c r="AP773" s="198"/>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row>
    <row r="774" spans="1:64" hidden="1" outlineLevel="1">
      <c r="A774" s="9"/>
      <c r="B774" s="9"/>
      <c r="C774" s="9"/>
      <c r="D774" s="127" t="str">
        <f>Asset12</f>
        <v>premises</v>
      </c>
      <c r="E774" s="9"/>
      <c r="F774" s="9"/>
      <c r="G774" s="9"/>
      <c r="H774" s="9"/>
      <c r="I774" s="9"/>
      <c r="J774" s="9"/>
      <c r="K774" s="9"/>
      <c r="L774" s="293"/>
      <c r="M774" s="351">
        <f>IF(N$666=0,'Adjustment for previous period'!G389,0)</f>
        <v>0</v>
      </c>
      <c r="N774" s="295"/>
      <c r="O774" s="293"/>
      <c r="P774" s="293"/>
      <c r="Q774" s="293"/>
      <c r="R774" s="9"/>
      <c r="S774" s="9"/>
      <c r="T774" s="9"/>
      <c r="U774" s="9"/>
      <c r="V774" s="9"/>
      <c r="W774" s="9"/>
      <c r="X774" s="9"/>
      <c r="Y774" s="9"/>
      <c r="Z774" s="9"/>
      <c r="AB774" s="198"/>
      <c r="AC774" s="198"/>
      <c r="AD774" s="198"/>
      <c r="AE774" s="198"/>
      <c r="AF774" s="198"/>
      <c r="AG774" s="198"/>
      <c r="AH774" s="198"/>
      <c r="AI774" s="198"/>
      <c r="AJ774" s="198"/>
      <c r="AK774" s="198"/>
      <c r="AL774" s="198"/>
      <c r="AM774" s="198"/>
      <c r="AN774" s="198"/>
      <c r="AO774" s="198"/>
      <c r="AP774" s="198"/>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row>
    <row r="775" spans="1:64" hidden="1" outlineLevel="1">
      <c r="A775" s="9"/>
      <c r="B775" s="9"/>
      <c r="C775" s="9"/>
      <c r="D775" s="127" t="str">
        <f>Asset13</f>
        <v>Land</v>
      </c>
      <c r="E775" s="9"/>
      <c r="F775" s="9"/>
      <c r="G775" s="9"/>
      <c r="H775" s="9"/>
      <c r="I775" s="9"/>
      <c r="J775" s="9"/>
      <c r="K775" s="9"/>
      <c r="L775" s="293"/>
      <c r="M775" s="351">
        <f>IF(N$666=0,'Adjustment for previous period'!G390,0)</f>
        <v>0</v>
      </c>
      <c r="N775" s="295"/>
      <c r="O775" s="293"/>
      <c r="P775" s="293"/>
      <c r="Q775" s="293"/>
      <c r="R775" s="9"/>
      <c r="S775" s="9"/>
      <c r="T775" s="9"/>
      <c r="U775" s="9"/>
      <c r="V775" s="9"/>
      <c r="W775" s="9"/>
      <c r="X775" s="9"/>
      <c r="Y775" s="9"/>
      <c r="Z775" s="9"/>
      <c r="AB775" s="198"/>
      <c r="AC775" s="198"/>
      <c r="AD775" s="198"/>
      <c r="AE775" s="198"/>
      <c r="AF775" s="198"/>
      <c r="AG775" s="198"/>
      <c r="AH775" s="198"/>
      <c r="AI775" s="198"/>
      <c r="AJ775" s="198"/>
      <c r="AK775" s="198"/>
      <c r="AL775" s="198"/>
      <c r="AM775" s="198"/>
      <c r="AN775" s="198"/>
      <c r="AO775" s="198"/>
      <c r="AP775" s="198"/>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row>
    <row r="776" spans="1:64" hidden="1" outlineLevel="1">
      <c r="A776" s="9"/>
      <c r="B776" s="9"/>
      <c r="C776" s="9"/>
      <c r="D776" s="127" t="str">
        <f>Asset14</f>
        <v>Easements</v>
      </c>
      <c r="E776" s="9"/>
      <c r="F776" s="9"/>
      <c r="G776" s="9"/>
      <c r="H776" s="9"/>
      <c r="I776" s="9"/>
      <c r="J776" s="9"/>
      <c r="K776" s="9"/>
      <c r="L776" s="293"/>
      <c r="M776" s="351">
        <f>IF(N$666=0,'Adjustment for previous period'!G391,0)</f>
        <v>0</v>
      </c>
      <c r="N776" s="295"/>
      <c r="O776" s="293"/>
      <c r="P776" s="293"/>
      <c r="Q776" s="293"/>
      <c r="R776" s="9"/>
      <c r="S776" s="9"/>
      <c r="T776" s="9"/>
      <c r="U776" s="9"/>
      <c r="V776" s="9"/>
      <c r="W776" s="9"/>
      <c r="X776" s="9"/>
      <c r="Y776" s="9"/>
      <c r="Z776" s="9"/>
      <c r="AB776" s="198"/>
      <c r="AC776" s="198"/>
      <c r="AD776" s="198"/>
      <c r="AE776" s="198"/>
      <c r="AF776" s="198"/>
      <c r="AG776" s="198"/>
      <c r="AH776" s="198"/>
      <c r="AI776" s="198"/>
      <c r="AJ776" s="198"/>
      <c r="AK776" s="198"/>
      <c r="AL776" s="198"/>
      <c r="AM776" s="198"/>
      <c r="AN776" s="198"/>
      <c r="AO776" s="198"/>
      <c r="AP776" s="198"/>
      <c r="AQ776" s="198"/>
      <c r="AR776" s="198"/>
      <c r="AS776" s="198"/>
      <c r="AT776" s="198"/>
      <c r="AU776" s="198"/>
      <c r="AV776" s="198"/>
      <c r="AW776" s="198"/>
      <c r="AX776" s="198"/>
      <c r="AY776" s="198"/>
      <c r="AZ776" s="198"/>
      <c r="BA776" s="198"/>
      <c r="BB776" s="198"/>
      <c r="BC776" s="198"/>
      <c r="BD776" s="198"/>
      <c r="BE776" s="198"/>
      <c r="BF776" s="198"/>
      <c r="BG776" s="198"/>
      <c r="BH776" s="198"/>
      <c r="BI776" s="198"/>
      <c r="BJ776" s="198"/>
      <c r="BK776" s="198"/>
      <c r="BL776" s="198"/>
    </row>
    <row r="777" spans="1:64" hidden="1" outlineLevel="1">
      <c r="A777" s="9"/>
      <c r="B777" s="9"/>
      <c r="C777" s="9"/>
      <c r="D777" s="127">
        <f>Asset15</f>
        <v>0</v>
      </c>
      <c r="E777" s="9"/>
      <c r="F777" s="9"/>
      <c r="G777" s="9"/>
      <c r="H777" s="9"/>
      <c r="I777" s="9"/>
      <c r="J777" s="9"/>
      <c r="K777" s="9"/>
      <c r="L777" s="293"/>
      <c r="M777" s="351">
        <f>IF(N$666=0,'Adjustment for previous period'!G392,0)</f>
        <v>0</v>
      </c>
      <c r="N777" s="295"/>
      <c r="O777" s="293"/>
      <c r="P777" s="293"/>
      <c r="Q777" s="293"/>
      <c r="R777" s="9"/>
      <c r="S777" s="9"/>
      <c r="T777" s="9"/>
      <c r="U777" s="9"/>
      <c r="V777" s="9"/>
      <c r="W777" s="9"/>
      <c r="X777" s="9"/>
      <c r="Y777" s="9"/>
      <c r="Z777" s="9"/>
      <c r="AB777" s="198"/>
      <c r="AC777" s="198"/>
      <c r="AD777" s="198"/>
      <c r="AE777" s="198"/>
      <c r="AF777" s="198"/>
      <c r="AG777" s="198"/>
      <c r="AH777" s="198"/>
      <c r="AI777" s="198"/>
      <c r="AJ777" s="198"/>
      <c r="AK777" s="198"/>
      <c r="AL777" s="198"/>
      <c r="AM777" s="198"/>
      <c r="AN777" s="198"/>
      <c r="AO777" s="198"/>
      <c r="AP777" s="198"/>
      <c r="AQ777" s="198"/>
      <c r="AR777" s="198"/>
      <c r="AS777" s="198"/>
      <c r="AT777" s="198"/>
      <c r="AU777" s="198"/>
      <c r="AV777" s="198"/>
      <c r="AW777" s="198"/>
      <c r="AX777" s="198"/>
      <c r="AY777" s="198"/>
      <c r="AZ777" s="198"/>
      <c r="BA777" s="198"/>
      <c r="BB777" s="198"/>
      <c r="BC777" s="198"/>
      <c r="BD777" s="198"/>
      <c r="BE777" s="198"/>
      <c r="BF777" s="198"/>
      <c r="BG777" s="198"/>
      <c r="BH777" s="198"/>
      <c r="BI777" s="198"/>
      <c r="BJ777" s="198"/>
      <c r="BK777" s="198"/>
      <c r="BL777" s="198"/>
    </row>
    <row r="778" spans="1:64" hidden="1" outlineLevel="1">
      <c r="A778" s="9"/>
      <c r="B778" s="9"/>
      <c r="C778" s="9"/>
      <c r="D778" s="127">
        <f>Asset16</f>
        <v>0</v>
      </c>
      <c r="E778" s="9"/>
      <c r="F778" s="9"/>
      <c r="G778" s="9"/>
      <c r="H778" s="9"/>
      <c r="I778" s="9"/>
      <c r="J778" s="9"/>
      <c r="K778" s="9"/>
      <c r="L778" s="293"/>
      <c r="M778" s="351">
        <f>IF(N$666=0,'Adjustment for previous period'!G393,0)</f>
        <v>0</v>
      </c>
      <c r="N778" s="295"/>
      <c r="O778" s="293"/>
      <c r="P778" s="293"/>
      <c r="Q778" s="293"/>
      <c r="R778" s="9"/>
      <c r="S778" s="9"/>
      <c r="T778" s="9"/>
      <c r="U778" s="9"/>
      <c r="V778" s="9"/>
      <c r="W778" s="9"/>
      <c r="X778" s="9"/>
      <c r="Y778" s="9"/>
      <c r="Z778" s="9"/>
      <c r="AB778" s="198"/>
      <c r="AC778" s="198"/>
      <c r="AD778" s="198"/>
      <c r="AE778" s="198"/>
      <c r="AF778" s="198"/>
      <c r="AG778" s="198"/>
      <c r="AH778" s="198"/>
      <c r="AI778" s="198"/>
      <c r="AJ778" s="198"/>
      <c r="AK778" s="198"/>
      <c r="AL778" s="198"/>
      <c r="AM778" s="198"/>
      <c r="AN778" s="198"/>
      <c r="AO778" s="198"/>
      <c r="AP778" s="198"/>
      <c r="AQ778" s="198"/>
      <c r="AR778" s="198"/>
      <c r="AS778" s="198"/>
      <c r="AT778" s="198"/>
      <c r="AU778" s="198"/>
      <c r="AV778" s="198"/>
      <c r="AW778" s="198"/>
      <c r="AX778" s="198"/>
      <c r="AY778" s="198"/>
      <c r="AZ778" s="198"/>
      <c r="BA778" s="198"/>
      <c r="BB778" s="198"/>
      <c r="BC778" s="198"/>
      <c r="BD778" s="198"/>
      <c r="BE778" s="198"/>
      <c r="BF778" s="198"/>
      <c r="BG778" s="198"/>
      <c r="BH778" s="198"/>
      <c r="BI778" s="198"/>
      <c r="BJ778" s="198"/>
      <c r="BK778" s="198"/>
      <c r="BL778" s="198"/>
    </row>
    <row r="779" spans="1:64" hidden="1" outlineLevel="1">
      <c r="A779" s="9"/>
      <c r="B779" s="9"/>
      <c r="C779" s="9"/>
      <c r="D779" s="127">
        <f>Asset17</f>
        <v>0</v>
      </c>
      <c r="E779" s="9"/>
      <c r="F779" s="9"/>
      <c r="G779" s="9"/>
      <c r="H779" s="9"/>
      <c r="I779" s="9"/>
      <c r="J779" s="9"/>
      <c r="K779" s="9"/>
      <c r="L779" s="293"/>
      <c r="M779" s="351">
        <f>IF(N$666=0,'Adjustment for previous period'!G394,0)</f>
        <v>0</v>
      </c>
      <c r="N779" s="295"/>
      <c r="O779" s="293"/>
      <c r="P779" s="293"/>
      <c r="Q779" s="293"/>
      <c r="R779" s="9"/>
      <c r="S779" s="9"/>
      <c r="T779" s="9"/>
      <c r="U779" s="9"/>
      <c r="V779" s="9"/>
      <c r="W779" s="9"/>
      <c r="X779" s="9"/>
      <c r="Y779" s="9"/>
      <c r="Z779" s="9"/>
      <c r="AB779" s="198"/>
      <c r="AC779" s="198"/>
      <c r="AD779" s="198"/>
      <c r="AE779" s="198"/>
      <c r="AF779" s="198"/>
      <c r="AG779" s="198"/>
      <c r="AH779" s="198"/>
      <c r="AI779" s="198"/>
      <c r="AJ779" s="198"/>
      <c r="AK779" s="198"/>
      <c r="AL779" s="198"/>
      <c r="AM779" s="198"/>
      <c r="AN779" s="198"/>
      <c r="AO779" s="198"/>
      <c r="AP779" s="198"/>
      <c r="AQ779" s="198"/>
      <c r="AR779" s="198"/>
      <c r="AS779" s="198"/>
      <c r="AT779" s="198"/>
      <c r="AU779" s="198"/>
      <c r="AV779" s="198"/>
      <c r="AW779" s="198"/>
      <c r="AX779" s="198"/>
      <c r="AY779" s="198"/>
      <c r="AZ779" s="198"/>
      <c r="BA779" s="198"/>
      <c r="BB779" s="198"/>
      <c r="BC779" s="198"/>
      <c r="BD779" s="198"/>
      <c r="BE779" s="198"/>
      <c r="BF779" s="198"/>
      <c r="BG779" s="198"/>
      <c r="BH779" s="198"/>
      <c r="BI779" s="198"/>
      <c r="BJ779" s="198"/>
      <c r="BK779" s="198"/>
      <c r="BL779" s="198"/>
    </row>
    <row r="780" spans="1:64" hidden="1" outlineLevel="1">
      <c r="A780" s="9"/>
      <c r="B780" s="9"/>
      <c r="C780" s="9"/>
      <c r="D780" s="127">
        <f>Asset18</f>
        <v>0</v>
      </c>
      <c r="E780" s="9"/>
      <c r="F780" s="9"/>
      <c r="G780" s="9"/>
      <c r="H780" s="9"/>
      <c r="I780" s="9"/>
      <c r="J780" s="9"/>
      <c r="K780" s="9"/>
      <c r="L780" s="293"/>
      <c r="M780" s="351">
        <f>IF(N$666=0,'Adjustment for previous period'!G395,0)</f>
        <v>0</v>
      </c>
      <c r="N780" s="295"/>
      <c r="O780" s="293"/>
      <c r="P780" s="293"/>
      <c r="Q780" s="293"/>
      <c r="R780" s="9"/>
      <c r="S780" s="9"/>
      <c r="T780" s="9"/>
      <c r="U780" s="9"/>
      <c r="V780" s="9"/>
      <c r="W780" s="9"/>
      <c r="X780" s="9"/>
      <c r="Y780" s="9"/>
      <c r="Z780" s="9"/>
      <c r="AB780" s="198"/>
      <c r="AC780" s="198"/>
      <c r="AD780" s="198"/>
      <c r="AE780" s="198"/>
      <c r="AF780" s="198"/>
      <c r="AG780" s="198"/>
      <c r="AH780" s="198"/>
      <c r="AI780" s="198"/>
      <c r="AJ780" s="198"/>
      <c r="AK780" s="198"/>
      <c r="AL780" s="198"/>
      <c r="AM780" s="198"/>
      <c r="AN780" s="198"/>
      <c r="AO780" s="198"/>
      <c r="AP780" s="198"/>
      <c r="AQ780" s="198"/>
      <c r="AR780" s="198"/>
      <c r="AS780" s="198"/>
      <c r="AT780" s="198"/>
      <c r="AU780" s="198"/>
      <c r="AV780" s="198"/>
      <c r="AW780" s="198"/>
      <c r="AX780" s="198"/>
      <c r="AY780" s="198"/>
      <c r="AZ780" s="198"/>
      <c r="BA780" s="198"/>
      <c r="BB780" s="198"/>
      <c r="BC780" s="198"/>
      <c r="BD780" s="198"/>
      <c r="BE780" s="198"/>
      <c r="BF780" s="198"/>
      <c r="BG780" s="198"/>
      <c r="BH780" s="198"/>
      <c r="BI780" s="198"/>
      <c r="BJ780" s="198"/>
      <c r="BK780" s="198"/>
      <c r="BL780" s="198"/>
    </row>
    <row r="781" spans="1:64" hidden="1" outlineLevel="1">
      <c r="A781" s="9"/>
      <c r="B781" s="9"/>
      <c r="C781" s="9"/>
      <c r="D781" s="127">
        <f>Asset19</f>
        <v>0</v>
      </c>
      <c r="E781" s="9"/>
      <c r="F781" s="9"/>
      <c r="G781" s="9"/>
      <c r="H781" s="9"/>
      <c r="I781" s="9"/>
      <c r="J781" s="9"/>
      <c r="K781" s="9"/>
      <c r="L781" s="293"/>
      <c r="M781" s="351">
        <f>IF(N$666=0,'Adjustment for previous period'!G396,0)</f>
        <v>0</v>
      </c>
      <c r="N781" s="295"/>
      <c r="O781" s="293"/>
      <c r="P781" s="293"/>
      <c r="Q781" s="293"/>
      <c r="R781" s="9"/>
      <c r="S781" s="9"/>
      <c r="T781" s="9"/>
      <c r="U781" s="9"/>
      <c r="V781" s="9"/>
      <c r="W781" s="9"/>
      <c r="X781" s="9"/>
      <c r="Y781" s="9"/>
      <c r="Z781" s="9"/>
      <c r="AB781" s="198"/>
      <c r="AC781" s="198"/>
      <c r="AD781" s="198"/>
      <c r="AE781" s="198"/>
      <c r="AF781" s="198"/>
      <c r="AG781" s="198"/>
      <c r="AH781" s="198"/>
      <c r="AI781" s="198"/>
      <c r="AJ781" s="198"/>
      <c r="AK781" s="198"/>
      <c r="AL781" s="198"/>
      <c r="AM781" s="198"/>
      <c r="AN781" s="198"/>
      <c r="AO781" s="198"/>
      <c r="AP781" s="198"/>
      <c r="AQ781" s="198"/>
      <c r="AR781" s="198"/>
      <c r="AS781" s="198"/>
      <c r="AT781" s="198"/>
      <c r="AU781" s="198"/>
      <c r="AV781" s="198"/>
      <c r="AW781" s="198"/>
      <c r="AX781" s="198"/>
      <c r="AY781" s="198"/>
      <c r="AZ781" s="198"/>
      <c r="BA781" s="198"/>
      <c r="BB781" s="198"/>
      <c r="BC781" s="198"/>
      <c r="BD781" s="198"/>
      <c r="BE781" s="198"/>
      <c r="BF781" s="198"/>
      <c r="BG781" s="198"/>
      <c r="BH781" s="198"/>
      <c r="BI781" s="198"/>
      <c r="BJ781" s="198"/>
      <c r="BK781" s="198"/>
      <c r="BL781" s="198"/>
    </row>
    <row r="782" spans="1:64" hidden="1" outlineLevel="1">
      <c r="A782" s="9"/>
      <c r="B782" s="9"/>
      <c r="C782" s="9"/>
      <c r="D782" s="127">
        <f>Asset20</f>
        <v>0</v>
      </c>
      <c r="E782" s="9"/>
      <c r="F782" s="9"/>
      <c r="G782" s="9"/>
      <c r="H782" s="9"/>
      <c r="I782" s="9"/>
      <c r="J782" s="9"/>
      <c r="K782" s="9"/>
      <c r="L782" s="293"/>
      <c r="M782" s="351">
        <f>IF(N$666=0,'Adjustment for previous period'!G397,0)</f>
        <v>0</v>
      </c>
      <c r="N782" s="295"/>
      <c r="O782" s="293"/>
      <c r="P782" s="293"/>
      <c r="Q782" s="293"/>
      <c r="R782" s="9"/>
      <c r="S782" s="9"/>
      <c r="T782" s="9"/>
      <c r="U782" s="9"/>
      <c r="V782" s="9"/>
      <c r="W782" s="9"/>
      <c r="X782" s="9"/>
      <c r="Y782" s="9"/>
      <c r="Z782" s="9"/>
      <c r="AB782" s="198"/>
      <c r="AC782" s="198"/>
      <c r="AD782" s="198"/>
      <c r="AE782" s="198"/>
      <c r="AF782" s="198"/>
      <c r="AG782" s="198"/>
      <c r="AH782" s="198"/>
      <c r="AI782" s="198"/>
      <c r="AJ782" s="198"/>
      <c r="AK782" s="198"/>
      <c r="AL782" s="198"/>
      <c r="AM782" s="198"/>
      <c r="AN782" s="198"/>
      <c r="AO782" s="198"/>
      <c r="AP782" s="198"/>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row>
    <row r="783" spans="1:64" collapsed="1">
      <c r="A783" s="9"/>
      <c r="B783" s="9"/>
      <c r="C783" s="9"/>
      <c r="D783" s="9"/>
      <c r="E783" s="9"/>
      <c r="F783" s="9"/>
      <c r="G783" s="9"/>
      <c r="H783" s="9"/>
      <c r="I783" s="9"/>
      <c r="J783" s="9"/>
      <c r="K783" s="9"/>
      <c r="L783" s="293"/>
      <c r="M783" s="293"/>
      <c r="N783" s="295"/>
      <c r="O783" s="293"/>
      <c r="P783" s="293"/>
      <c r="Q783" s="293"/>
      <c r="R783" s="9"/>
      <c r="S783" s="9"/>
      <c r="T783" s="9"/>
      <c r="U783" s="9"/>
      <c r="V783" s="9"/>
      <c r="W783" s="9"/>
      <c r="X783" s="9"/>
      <c r="Y783" s="9"/>
      <c r="Z783" s="9"/>
      <c r="AB783" s="198"/>
      <c r="AC783" s="198"/>
      <c r="AD783" s="198"/>
      <c r="AE783" s="198"/>
      <c r="AF783" s="198"/>
      <c r="AG783" s="198"/>
      <c r="AH783" s="198"/>
      <c r="AI783" s="198"/>
      <c r="AJ783" s="198"/>
      <c r="AK783" s="198"/>
      <c r="AL783" s="198"/>
      <c r="AM783" s="198"/>
      <c r="AN783" s="198"/>
      <c r="AO783" s="198"/>
      <c r="AP783" s="198"/>
      <c r="AQ783" s="198"/>
      <c r="AR783" s="198"/>
      <c r="AS783" s="198"/>
      <c r="AT783" s="198"/>
      <c r="AU783" s="198"/>
      <c r="AV783" s="198"/>
      <c r="AW783" s="198"/>
      <c r="AX783" s="198"/>
      <c r="AY783" s="198"/>
      <c r="AZ783" s="198"/>
      <c r="BA783" s="198"/>
      <c r="BB783" s="198"/>
      <c r="BC783" s="198"/>
      <c r="BD783" s="198"/>
      <c r="BE783" s="198"/>
      <c r="BF783" s="198"/>
      <c r="BG783" s="198"/>
      <c r="BH783" s="198"/>
      <c r="BI783" s="198"/>
      <c r="BJ783" s="198"/>
      <c r="BK783" s="198"/>
      <c r="BL783" s="198"/>
    </row>
    <row r="784" spans="1:64">
      <c r="A784" s="9"/>
      <c r="B784" s="9"/>
      <c r="C784" s="346" t="s">
        <v>162</v>
      </c>
      <c r="D784" s="334"/>
      <c r="E784" s="9"/>
      <c r="F784" s="9"/>
      <c r="G784" s="9"/>
      <c r="H784" s="9"/>
      <c r="I784" s="9"/>
      <c r="J784" s="9"/>
      <c r="K784" s="9"/>
      <c r="L784" s="293"/>
      <c r="M784" s="342">
        <f>SUM(M785:M804)</f>
        <v>0.50666154203964797</v>
      </c>
      <c r="N784" s="295"/>
      <c r="O784" s="293"/>
      <c r="P784" s="293"/>
      <c r="Q784" s="293"/>
      <c r="R784" s="9"/>
      <c r="S784" s="9"/>
      <c r="T784" s="9"/>
      <c r="U784" s="9"/>
      <c r="V784" s="9"/>
      <c r="W784" s="9"/>
      <c r="X784" s="9"/>
      <c r="Y784" s="9"/>
      <c r="Z784" s="9"/>
      <c r="AB784" s="198"/>
      <c r="AC784" s="198"/>
      <c r="AD784" s="198"/>
      <c r="AE784" s="198"/>
      <c r="AF784" s="198"/>
      <c r="AG784" s="198"/>
      <c r="AH784" s="198"/>
      <c r="AI784" s="198"/>
      <c r="AJ784" s="198"/>
      <c r="AK784" s="198"/>
      <c r="AL784" s="198"/>
      <c r="AM784" s="198"/>
      <c r="AN784" s="198"/>
      <c r="AO784" s="198"/>
      <c r="AP784" s="198"/>
      <c r="AQ784" s="198"/>
      <c r="AR784" s="198"/>
      <c r="AS784" s="198"/>
      <c r="AT784" s="198"/>
      <c r="AU784" s="198"/>
      <c r="AV784" s="198"/>
      <c r="AW784" s="198"/>
      <c r="AX784" s="198"/>
      <c r="AY784" s="198"/>
      <c r="AZ784" s="198"/>
      <c r="BA784" s="198"/>
      <c r="BB784" s="198"/>
      <c r="BC784" s="198"/>
      <c r="BD784" s="198"/>
      <c r="BE784" s="198"/>
      <c r="BF784" s="198"/>
      <c r="BG784" s="198"/>
      <c r="BH784" s="198"/>
      <c r="BI784" s="198"/>
      <c r="BJ784" s="198"/>
      <c r="BK784" s="198"/>
      <c r="BL784" s="198"/>
    </row>
    <row r="785" spans="1:64" hidden="1" outlineLevel="1">
      <c r="A785" s="9"/>
      <c r="B785" s="9"/>
      <c r="C785" s="9"/>
      <c r="D785" s="127" t="str">
        <f>Asset1</f>
        <v>Secondary</v>
      </c>
      <c r="E785" s="9"/>
      <c r="F785" s="9"/>
      <c r="G785" s="9"/>
      <c r="H785" s="9"/>
      <c r="I785" s="9"/>
      <c r="J785" s="9"/>
      <c r="K785" s="9"/>
      <c r="L785" s="293"/>
      <c r="M785" s="352">
        <f>IF(N$234=0,'Adjustment for previous period'!M401, 0)</f>
        <v>6.3045468983551317E-2</v>
      </c>
      <c r="N785" s="295"/>
      <c r="O785" s="293"/>
      <c r="P785" s="293"/>
      <c r="Q785" s="293"/>
      <c r="R785" s="9"/>
      <c r="S785" s="9"/>
      <c r="T785" s="9"/>
      <c r="U785" s="9"/>
      <c r="V785" s="9"/>
      <c r="W785" s="9"/>
      <c r="X785" s="9"/>
      <c r="Y785" s="9"/>
      <c r="Z785" s="9"/>
      <c r="AB785" s="198"/>
      <c r="AC785" s="198"/>
      <c r="AD785" s="198"/>
      <c r="AE785" s="198"/>
      <c r="AF785" s="198"/>
      <c r="AG785" s="198"/>
      <c r="AH785" s="198"/>
      <c r="AI785" s="198"/>
      <c r="AJ785" s="198"/>
      <c r="AK785" s="198"/>
      <c r="AL785" s="198"/>
      <c r="AM785" s="198"/>
      <c r="AN785" s="198"/>
      <c r="AO785" s="198"/>
      <c r="AP785" s="198"/>
      <c r="AQ785" s="198"/>
      <c r="AR785" s="198"/>
      <c r="AS785" s="198"/>
      <c r="AT785" s="198"/>
      <c r="AU785" s="198"/>
      <c r="AV785" s="198"/>
      <c r="AW785" s="198"/>
      <c r="AX785" s="198"/>
      <c r="AY785" s="198"/>
      <c r="AZ785" s="198"/>
      <c r="BA785" s="198"/>
      <c r="BB785" s="198"/>
      <c r="BC785" s="198"/>
      <c r="BD785" s="198"/>
      <c r="BE785" s="198"/>
      <c r="BF785" s="198"/>
      <c r="BG785" s="198"/>
      <c r="BH785" s="198"/>
      <c r="BI785" s="198"/>
      <c r="BJ785" s="198"/>
      <c r="BK785" s="198"/>
      <c r="BL785" s="198"/>
    </row>
    <row r="786" spans="1:64" hidden="1" outlineLevel="1">
      <c r="A786" s="9"/>
      <c r="B786" s="9"/>
      <c r="C786" s="9"/>
      <c r="D786" s="127" t="str">
        <f>Asset2</f>
        <v>Switchgear</v>
      </c>
      <c r="E786" s="9"/>
      <c r="F786" s="9"/>
      <c r="G786" s="9"/>
      <c r="H786" s="9"/>
      <c r="I786" s="9"/>
      <c r="J786" s="9"/>
      <c r="K786" s="9"/>
      <c r="L786" s="293"/>
      <c r="M786" s="352">
        <f>IF(N$234=0,'Adjustment for previous period'!M403, 0)</f>
        <v>0.27962167153171219</v>
      </c>
      <c r="N786" s="295"/>
      <c r="O786" s="293"/>
      <c r="P786" s="293"/>
      <c r="Q786" s="293"/>
      <c r="R786" s="9"/>
      <c r="S786" s="9"/>
      <c r="T786" s="9"/>
      <c r="U786" s="9"/>
      <c r="V786" s="9"/>
      <c r="W786" s="9"/>
      <c r="X786" s="9"/>
      <c r="Y786" s="9"/>
      <c r="Z786" s="9"/>
      <c r="AB786" s="198"/>
      <c r="AC786" s="198"/>
      <c r="AD786" s="198"/>
      <c r="AE786" s="198"/>
      <c r="AF786" s="198"/>
      <c r="AG786" s="198"/>
      <c r="AH786" s="198"/>
      <c r="AI786" s="198"/>
      <c r="AJ786" s="198"/>
      <c r="AK786" s="198"/>
      <c r="AL786" s="198"/>
      <c r="AM786" s="198"/>
      <c r="AN786" s="198"/>
      <c r="AO786" s="198"/>
      <c r="AP786" s="198"/>
      <c r="AQ786" s="198"/>
      <c r="AR786" s="198"/>
      <c r="AS786" s="198"/>
      <c r="AT786" s="198"/>
      <c r="AU786" s="198"/>
      <c r="AV786" s="198"/>
      <c r="AW786" s="198"/>
      <c r="AX786" s="198"/>
      <c r="AY786" s="198"/>
      <c r="AZ786" s="198"/>
      <c r="BA786" s="198"/>
      <c r="BB786" s="198"/>
      <c r="BC786" s="198"/>
      <c r="BD786" s="198"/>
      <c r="BE786" s="198"/>
      <c r="BF786" s="198"/>
      <c r="BG786" s="198"/>
      <c r="BH786" s="198"/>
      <c r="BI786" s="198"/>
      <c r="BJ786" s="198"/>
      <c r="BK786" s="198"/>
      <c r="BL786" s="198"/>
    </row>
    <row r="787" spans="1:64" hidden="1" outlineLevel="1">
      <c r="A787" s="9"/>
      <c r="B787" s="9"/>
      <c r="C787" s="9"/>
      <c r="D787" s="127" t="str">
        <f>Asset3</f>
        <v>Transformers</v>
      </c>
      <c r="E787" s="9"/>
      <c r="F787" s="9"/>
      <c r="G787" s="9"/>
      <c r="H787" s="9"/>
      <c r="I787" s="9"/>
      <c r="J787" s="9"/>
      <c r="K787" s="9"/>
      <c r="L787" s="293"/>
      <c r="M787" s="352">
        <f>IF(N$234=0,'Adjustment for previous period'!M405, 0)</f>
        <v>5.5092572437079872E-2</v>
      </c>
      <c r="N787" s="295"/>
      <c r="O787" s="293"/>
      <c r="P787" s="293"/>
      <c r="Q787" s="293"/>
      <c r="R787" s="9"/>
      <c r="S787" s="9"/>
      <c r="T787" s="9"/>
      <c r="U787" s="9"/>
      <c r="V787" s="9"/>
      <c r="W787" s="9"/>
      <c r="X787" s="9"/>
      <c r="Y787" s="9"/>
      <c r="Z787" s="9"/>
      <c r="AB787" s="198"/>
      <c r="AC787" s="198"/>
      <c r="AD787" s="198"/>
      <c r="AE787" s="198"/>
      <c r="AF787" s="198"/>
      <c r="AG787" s="198"/>
      <c r="AH787" s="198"/>
      <c r="AI787" s="198"/>
      <c r="AJ787" s="198"/>
      <c r="AK787" s="198"/>
      <c r="AL787" s="198"/>
      <c r="AM787" s="198"/>
      <c r="AN787" s="198"/>
      <c r="AO787" s="198"/>
      <c r="AP787" s="198"/>
      <c r="AQ787" s="198"/>
      <c r="AR787" s="198"/>
      <c r="AS787" s="198"/>
      <c r="AT787" s="198"/>
      <c r="AU787" s="198"/>
      <c r="AV787" s="198"/>
      <c r="AW787" s="198"/>
      <c r="AX787" s="198"/>
      <c r="AY787" s="198"/>
      <c r="AZ787" s="198"/>
      <c r="BA787" s="198"/>
      <c r="BB787" s="198"/>
      <c r="BC787" s="198"/>
      <c r="BD787" s="198"/>
      <c r="BE787" s="198"/>
      <c r="BF787" s="198"/>
      <c r="BG787" s="198"/>
      <c r="BH787" s="198"/>
      <c r="BI787" s="198"/>
      <c r="BJ787" s="198"/>
      <c r="BK787" s="198"/>
      <c r="BL787" s="198"/>
    </row>
    <row r="788" spans="1:64" hidden="1" outlineLevel="1">
      <c r="A788" s="9"/>
      <c r="B788" s="9"/>
      <c r="C788" s="9"/>
      <c r="D788" s="127" t="str">
        <f>Asset4</f>
        <v>Reactive</v>
      </c>
      <c r="E788" s="9"/>
      <c r="F788" s="9"/>
      <c r="G788" s="9"/>
      <c r="H788" s="9"/>
      <c r="I788" s="9"/>
      <c r="J788" s="9"/>
      <c r="K788" s="9"/>
      <c r="L788" s="293"/>
      <c r="M788" s="352">
        <f>IF(N$234=0,'Adjustment for previous period'!M407, 0)</f>
        <v>8.4947234537842961E-2</v>
      </c>
      <c r="N788" s="295"/>
      <c r="O788" s="293"/>
      <c r="P788" s="293"/>
      <c r="Q788" s="293"/>
      <c r="R788" s="9"/>
      <c r="S788" s="9"/>
      <c r="T788" s="9"/>
      <c r="U788" s="9"/>
      <c r="V788" s="9"/>
      <c r="W788" s="9"/>
      <c r="X788" s="9"/>
      <c r="Y788" s="9"/>
      <c r="Z788" s="9"/>
      <c r="AB788" s="198"/>
      <c r="AC788" s="198"/>
      <c r="AD788" s="198"/>
      <c r="AE788" s="198"/>
      <c r="AF788" s="198"/>
      <c r="AG788" s="198"/>
      <c r="AH788" s="198"/>
      <c r="AI788" s="198"/>
      <c r="AJ788" s="198"/>
      <c r="AK788" s="198"/>
      <c r="AL788" s="198"/>
      <c r="AM788" s="198"/>
      <c r="AN788" s="198"/>
      <c r="AO788" s="198"/>
      <c r="AP788" s="198"/>
      <c r="AQ788" s="198"/>
      <c r="AR788" s="198"/>
      <c r="AS788" s="198"/>
      <c r="AT788" s="198"/>
      <c r="AU788" s="198"/>
      <c r="AV788" s="198"/>
      <c r="AW788" s="198"/>
      <c r="AX788" s="198"/>
      <c r="AY788" s="198"/>
      <c r="AZ788" s="198"/>
      <c r="BA788" s="198"/>
      <c r="BB788" s="198"/>
      <c r="BC788" s="198"/>
      <c r="BD788" s="198"/>
      <c r="BE788" s="198"/>
      <c r="BF788" s="198"/>
      <c r="BG788" s="198"/>
      <c r="BH788" s="198"/>
      <c r="BI788" s="198"/>
      <c r="BJ788" s="198"/>
      <c r="BK788" s="198"/>
      <c r="BL788" s="198"/>
    </row>
    <row r="789" spans="1:64" hidden="1" outlineLevel="1">
      <c r="A789" s="9"/>
      <c r="B789" s="9"/>
      <c r="C789" s="9"/>
      <c r="D789" s="127" t="str">
        <f>Asset5</f>
        <v>Towers and Conductor</v>
      </c>
      <c r="E789" s="9"/>
      <c r="F789" s="9"/>
      <c r="G789" s="9"/>
      <c r="H789" s="9"/>
      <c r="I789" s="9"/>
      <c r="J789" s="9"/>
      <c r="K789" s="9"/>
      <c r="L789" s="293"/>
      <c r="M789" s="352">
        <f>IF(N$234=0,'Adjustment for previous period'!M409, 0)</f>
        <v>3.0915552590470366E-3</v>
      </c>
      <c r="N789" s="295"/>
      <c r="O789" s="293"/>
      <c r="P789" s="293"/>
      <c r="Q789" s="293"/>
      <c r="R789" s="9"/>
      <c r="S789" s="9"/>
      <c r="T789" s="9"/>
      <c r="U789" s="9"/>
      <c r="V789" s="9"/>
      <c r="W789" s="9"/>
      <c r="X789" s="9"/>
      <c r="Y789" s="9"/>
      <c r="Z789" s="9"/>
      <c r="AB789" s="198"/>
      <c r="AC789" s="198"/>
      <c r="AD789" s="198"/>
      <c r="AE789" s="198"/>
      <c r="AF789" s="198"/>
      <c r="AG789" s="198"/>
      <c r="AH789" s="198"/>
      <c r="AI789" s="198"/>
      <c r="AJ789" s="198"/>
      <c r="AK789" s="198"/>
      <c r="AL789" s="198"/>
      <c r="AM789" s="198"/>
      <c r="AN789" s="198"/>
      <c r="AO789" s="198"/>
      <c r="AP789" s="198"/>
      <c r="AQ789" s="198"/>
      <c r="AR789" s="198"/>
      <c r="AS789" s="198"/>
      <c r="AT789" s="198"/>
      <c r="AU789" s="198"/>
      <c r="AV789" s="198"/>
      <c r="AW789" s="198"/>
      <c r="AX789" s="198"/>
      <c r="AY789" s="198"/>
      <c r="AZ789" s="198"/>
      <c r="BA789" s="198"/>
      <c r="BB789" s="198"/>
      <c r="BC789" s="198"/>
      <c r="BD789" s="198"/>
      <c r="BE789" s="198"/>
      <c r="BF789" s="198"/>
      <c r="BG789" s="198"/>
      <c r="BH789" s="198"/>
      <c r="BI789" s="198"/>
      <c r="BJ789" s="198"/>
      <c r="BK789" s="198"/>
      <c r="BL789" s="198"/>
    </row>
    <row r="790" spans="1:64" hidden="1" outlineLevel="1">
      <c r="A790" s="9"/>
      <c r="B790" s="9"/>
      <c r="C790" s="9"/>
      <c r="D790" s="127" t="str">
        <f>Asset6</f>
        <v>Establishment</v>
      </c>
      <c r="E790" s="9"/>
      <c r="F790" s="9"/>
      <c r="G790" s="9"/>
      <c r="H790" s="9"/>
      <c r="I790" s="9"/>
      <c r="J790" s="9"/>
      <c r="K790" s="9"/>
      <c r="L790" s="293"/>
      <c r="M790" s="352">
        <f>IF(N$234=0,'Adjustment for previous period'!M411, 0)</f>
        <v>1.737269227191782E-2</v>
      </c>
      <c r="N790" s="295"/>
      <c r="O790" s="293"/>
      <c r="P790" s="293"/>
      <c r="Q790" s="293"/>
      <c r="R790" s="9"/>
      <c r="S790" s="9"/>
      <c r="T790" s="9"/>
      <c r="U790" s="9"/>
      <c r="V790" s="9"/>
      <c r="W790" s="9"/>
      <c r="X790" s="9"/>
      <c r="Y790" s="9"/>
      <c r="Z790" s="9"/>
      <c r="AB790" s="198"/>
      <c r="AC790" s="198"/>
      <c r="AD790" s="198"/>
      <c r="AE790" s="198"/>
      <c r="AF790" s="198"/>
      <c r="AG790" s="198"/>
      <c r="AH790" s="198"/>
      <c r="AI790" s="198"/>
      <c r="AJ790" s="198"/>
      <c r="AK790" s="198"/>
      <c r="AL790" s="198"/>
      <c r="AM790" s="198"/>
      <c r="AN790" s="198"/>
      <c r="AO790" s="198"/>
      <c r="AP790" s="198"/>
      <c r="AQ790" s="198"/>
      <c r="AR790" s="198"/>
      <c r="AS790" s="198"/>
      <c r="AT790" s="198"/>
      <c r="AU790" s="198"/>
      <c r="AV790" s="198"/>
      <c r="AW790" s="198"/>
      <c r="AX790" s="198"/>
      <c r="AY790" s="198"/>
      <c r="AZ790" s="198"/>
      <c r="BA790" s="198"/>
      <c r="BB790" s="198"/>
      <c r="BC790" s="198"/>
      <c r="BD790" s="198"/>
      <c r="BE790" s="198"/>
      <c r="BF790" s="198"/>
      <c r="BG790" s="198"/>
      <c r="BH790" s="198"/>
      <c r="BI790" s="198"/>
      <c r="BJ790" s="198"/>
      <c r="BK790" s="198"/>
      <c r="BL790" s="198"/>
    </row>
    <row r="791" spans="1:64" hidden="1" outlineLevel="1">
      <c r="A791" s="9"/>
      <c r="B791" s="9"/>
      <c r="C791" s="9"/>
      <c r="D791" s="127" t="str">
        <f>Asset7</f>
        <v>Communications</v>
      </c>
      <c r="E791" s="9"/>
      <c r="F791" s="9"/>
      <c r="G791" s="9"/>
      <c r="H791" s="9"/>
      <c r="I791" s="9"/>
      <c r="J791" s="9"/>
      <c r="K791" s="9"/>
      <c r="L791" s="293"/>
      <c r="M791" s="352">
        <f>IF(N$234=0,'Adjustment for previous period'!M413, 0)</f>
        <v>3.4903470184967705E-3</v>
      </c>
      <c r="N791" s="295"/>
      <c r="O791" s="293"/>
      <c r="P791" s="293"/>
      <c r="Q791" s="293"/>
      <c r="R791" s="9"/>
      <c r="S791" s="9"/>
      <c r="T791" s="9"/>
      <c r="U791" s="9"/>
      <c r="V791" s="9"/>
      <c r="W791" s="9"/>
      <c r="X791" s="9"/>
      <c r="Y791" s="9"/>
      <c r="Z791" s="9"/>
      <c r="AB791" s="198"/>
      <c r="AC791" s="198"/>
      <c r="AD791" s="198"/>
      <c r="AE791" s="198"/>
      <c r="AF791" s="198"/>
      <c r="AG791" s="198"/>
      <c r="AH791" s="198"/>
      <c r="AI791" s="198"/>
      <c r="AJ791" s="198"/>
      <c r="AK791" s="198"/>
      <c r="AL791" s="198"/>
      <c r="AM791" s="198"/>
      <c r="AN791" s="198"/>
      <c r="AO791" s="198"/>
      <c r="AP791" s="198"/>
      <c r="AQ791" s="198"/>
      <c r="AR791" s="198"/>
      <c r="AS791" s="198"/>
      <c r="AT791" s="198"/>
      <c r="AU791" s="198"/>
      <c r="AV791" s="198"/>
      <c r="AW791" s="198"/>
      <c r="AX791" s="198"/>
      <c r="AY791" s="198"/>
      <c r="AZ791" s="198"/>
      <c r="BA791" s="198"/>
      <c r="BB791" s="198"/>
      <c r="BC791" s="198"/>
      <c r="BD791" s="198"/>
      <c r="BE791" s="198"/>
      <c r="BF791" s="198"/>
      <c r="BG791" s="198"/>
      <c r="BH791" s="198"/>
      <c r="BI791" s="198"/>
      <c r="BJ791" s="198"/>
      <c r="BK791" s="198"/>
      <c r="BL791" s="198"/>
    </row>
    <row r="792" spans="1:64" hidden="1" outlineLevel="1">
      <c r="A792" s="9"/>
      <c r="B792" s="9"/>
      <c r="C792" s="9"/>
      <c r="D792" s="127" t="str">
        <f>Asset8</f>
        <v>Inventory</v>
      </c>
      <c r="E792" s="9"/>
      <c r="F792" s="9"/>
      <c r="G792" s="9"/>
      <c r="H792" s="9"/>
      <c r="I792" s="9"/>
      <c r="J792" s="9"/>
      <c r="K792" s="9"/>
      <c r="L792" s="293"/>
      <c r="M792" s="352">
        <f>IF(N$234=0,'Adjustment for previous period'!M415, 0)</f>
        <v>0</v>
      </c>
      <c r="N792" s="295"/>
      <c r="O792" s="293"/>
      <c r="P792" s="293"/>
      <c r="Q792" s="293"/>
      <c r="R792" s="9"/>
      <c r="S792" s="9"/>
      <c r="T792" s="9"/>
      <c r="U792" s="9"/>
      <c r="V792" s="9"/>
      <c r="W792" s="9"/>
      <c r="X792" s="9"/>
      <c r="Y792" s="9"/>
      <c r="Z792" s="9"/>
      <c r="AB792" s="198"/>
      <c r="AC792" s="198"/>
      <c r="AD792" s="198"/>
      <c r="AE792" s="198"/>
      <c r="AF792" s="198"/>
      <c r="AG792" s="198"/>
      <c r="AH792" s="198"/>
      <c r="AI792" s="198"/>
      <c r="AJ792" s="198"/>
      <c r="AK792" s="198"/>
      <c r="AL792" s="198"/>
      <c r="AM792" s="198"/>
      <c r="AN792" s="198"/>
      <c r="AO792" s="198"/>
      <c r="AP792" s="198"/>
      <c r="AQ792" s="198"/>
      <c r="AR792" s="198"/>
      <c r="AS792" s="198"/>
      <c r="AT792" s="198"/>
      <c r="AU792" s="198"/>
      <c r="AV792" s="198"/>
      <c r="AW792" s="198"/>
      <c r="AX792" s="198"/>
      <c r="AY792" s="198"/>
      <c r="AZ792" s="198"/>
      <c r="BA792" s="198"/>
      <c r="BB792" s="198"/>
      <c r="BC792" s="198"/>
      <c r="BD792" s="198"/>
      <c r="BE792" s="198"/>
      <c r="BF792" s="198"/>
      <c r="BG792" s="198"/>
      <c r="BH792" s="198"/>
      <c r="BI792" s="198"/>
      <c r="BJ792" s="198"/>
      <c r="BK792" s="198"/>
      <c r="BL792" s="198"/>
    </row>
    <row r="793" spans="1:64" hidden="1" outlineLevel="1">
      <c r="A793" s="9"/>
      <c r="B793" s="9"/>
      <c r="C793" s="9"/>
      <c r="D793" s="127" t="str">
        <f>Asset9</f>
        <v>IT</v>
      </c>
      <c r="E793" s="9"/>
      <c r="F793" s="9"/>
      <c r="G793" s="9"/>
      <c r="H793" s="9"/>
      <c r="I793" s="9"/>
      <c r="J793" s="9"/>
      <c r="K793" s="9"/>
      <c r="L793" s="293"/>
      <c r="M793" s="352">
        <f>IF(N$234=0,'Adjustment for previous period'!M417, 0)</f>
        <v>0</v>
      </c>
      <c r="N793" s="295"/>
      <c r="O793" s="293"/>
      <c r="P793" s="293"/>
      <c r="Q793" s="293"/>
      <c r="R793" s="9"/>
      <c r="S793" s="9"/>
      <c r="T793" s="9"/>
      <c r="U793" s="9"/>
      <c r="V793" s="9"/>
      <c r="W793" s="9"/>
      <c r="X793" s="9"/>
      <c r="Y793" s="9"/>
      <c r="Z793" s="9"/>
      <c r="AB793" s="198"/>
      <c r="AC793" s="198"/>
      <c r="AD793" s="198"/>
      <c r="AE793" s="198"/>
      <c r="AF793" s="198"/>
      <c r="AG793" s="198"/>
      <c r="AH793" s="198"/>
      <c r="AI793" s="198"/>
      <c r="AJ793" s="198"/>
      <c r="AK793" s="198"/>
      <c r="AL793" s="198"/>
      <c r="AM793" s="198"/>
      <c r="AN793" s="198"/>
      <c r="AO793" s="198"/>
      <c r="AP793" s="198"/>
      <c r="AQ793" s="198"/>
      <c r="AR793" s="198"/>
      <c r="AS793" s="198"/>
      <c r="AT793" s="198"/>
      <c r="AU793" s="198"/>
      <c r="AV793" s="198"/>
      <c r="AW793" s="198"/>
      <c r="AX793" s="198"/>
      <c r="AY793" s="198"/>
      <c r="AZ793" s="198"/>
      <c r="BA793" s="198"/>
      <c r="BB793" s="198"/>
      <c r="BC793" s="198"/>
      <c r="BD793" s="198"/>
      <c r="BE793" s="198"/>
      <c r="BF793" s="198"/>
      <c r="BG793" s="198"/>
      <c r="BH793" s="198"/>
      <c r="BI793" s="198"/>
      <c r="BJ793" s="198"/>
      <c r="BK793" s="198"/>
      <c r="BL793" s="198"/>
    </row>
    <row r="794" spans="1:64" hidden="1" outlineLevel="1">
      <c r="A794" s="9"/>
      <c r="B794" s="9"/>
      <c r="C794" s="9"/>
      <c r="D794" s="127" t="str">
        <f>Asset10</f>
        <v>Vehicles</v>
      </c>
      <c r="E794" s="9"/>
      <c r="F794" s="9"/>
      <c r="G794" s="9"/>
      <c r="H794" s="9"/>
      <c r="I794" s="9"/>
      <c r="J794" s="9"/>
      <c r="K794" s="9"/>
      <c r="L794" s="293"/>
      <c r="M794" s="352">
        <f>IF(N$234=0,'Adjustment for previous period'!M419, 0)</f>
        <v>0</v>
      </c>
      <c r="N794" s="295"/>
      <c r="O794" s="293"/>
      <c r="P794" s="293"/>
      <c r="Q794" s="293"/>
      <c r="R794" s="9"/>
      <c r="S794" s="9"/>
      <c r="T794" s="9"/>
      <c r="U794" s="9"/>
      <c r="V794" s="9"/>
      <c r="W794" s="9"/>
      <c r="X794" s="9"/>
      <c r="Y794" s="9"/>
      <c r="Z794" s="9"/>
      <c r="AB794" s="198"/>
      <c r="AC794" s="198"/>
      <c r="AD794" s="198"/>
      <c r="AE794" s="198"/>
      <c r="AF794" s="198"/>
      <c r="AG794" s="198"/>
      <c r="AH794" s="198"/>
      <c r="AI794" s="198"/>
      <c r="AJ794" s="198"/>
      <c r="AK794" s="198"/>
      <c r="AL794" s="198"/>
      <c r="AM794" s="198"/>
      <c r="AN794" s="198"/>
      <c r="AO794" s="198"/>
      <c r="AP794" s="198"/>
      <c r="AQ794" s="198"/>
      <c r="AR794" s="198"/>
      <c r="AS794" s="198"/>
      <c r="AT794" s="198"/>
      <c r="AU794" s="198"/>
      <c r="AV794" s="198"/>
      <c r="AW794" s="198"/>
      <c r="AX794" s="198"/>
      <c r="AY794" s="198"/>
      <c r="AZ794" s="198"/>
      <c r="BA794" s="198"/>
      <c r="BB794" s="198"/>
      <c r="BC794" s="198"/>
      <c r="BD794" s="198"/>
      <c r="BE794" s="198"/>
      <c r="BF794" s="198"/>
      <c r="BG794" s="198"/>
      <c r="BH794" s="198"/>
      <c r="BI794" s="198"/>
      <c r="BJ794" s="198"/>
      <c r="BK794" s="198"/>
      <c r="BL794" s="198"/>
    </row>
    <row r="795" spans="1:64" hidden="1" outlineLevel="1">
      <c r="A795" s="9"/>
      <c r="B795" s="9"/>
      <c r="C795" s="9"/>
      <c r="D795" s="127" t="str">
        <f>Asset11</f>
        <v>other</v>
      </c>
      <c r="E795" s="9"/>
      <c r="F795" s="9"/>
      <c r="G795" s="9"/>
      <c r="H795" s="9"/>
      <c r="I795" s="9"/>
      <c r="J795" s="9"/>
      <c r="K795" s="9"/>
      <c r="L795" s="293"/>
      <c r="M795" s="352">
        <f>IF(N$234=0,'Adjustment for previous period'!M421, 0)</f>
        <v>0</v>
      </c>
      <c r="N795" s="295"/>
      <c r="O795" s="293"/>
      <c r="P795" s="293"/>
      <c r="Q795" s="293"/>
      <c r="R795" s="9"/>
      <c r="S795" s="9"/>
      <c r="T795" s="9"/>
      <c r="U795" s="9"/>
      <c r="V795" s="9"/>
      <c r="W795" s="9"/>
      <c r="X795" s="9"/>
      <c r="Y795" s="9"/>
      <c r="Z795" s="9"/>
      <c r="AB795" s="198"/>
      <c r="AC795" s="198"/>
      <c r="AD795" s="198"/>
      <c r="AE795" s="198"/>
      <c r="AF795" s="198"/>
      <c r="AG795" s="198"/>
      <c r="AH795" s="198"/>
      <c r="AI795" s="198"/>
      <c r="AJ795" s="198"/>
      <c r="AK795" s="198"/>
      <c r="AL795" s="198"/>
      <c r="AM795" s="198"/>
      <c r="AN795" s="198"/>
      <c r="AO795" s="198"/>
      <c r="AP795" s="198"/>
      <c r="AQ795" s="198"/>
      <c r="AR795" s="198"/>
      <c r="AS795" s="198"/>
      <c r="AT795" s="198"/>
      <c r="AU795" s="198"/>
      <c r="AV795" s="198"/>
      <c r="AW795" s="198"/>
      <c r="AX795" s="198"/>
      <c r="AY795" s="198"/>
      <c r="AZ795" s="198"/>
      <c r="BA795" s="198"/>
      <c r="BB795" s="198"/>
      <c r="BC795" s="198"/>
      <c r="BD795" s="198"/>
      <c r="BE795" s="198"/>
      <c r="BF795" s="198"/>
      <c r="BG795" s="198"/>
      <c r="BH795" s="198"/>
      <c r="BI795" s="198"/>
      <c r="BJ795" s="198"/>
      <c r="BK795" s="198"/>
      <c r="BL795" s="198"/>
    </row>
    <row r="796" spans="1:64" hidden="1" outlineLevel="1">
      <c r="A796" s="9"/>
      <c r="B796" s="9"/>
      <c r="C796" s="9"/>
      <c r="D796" s="127" t="str">
        <f>Asset12</f>
        <v>premises</v>
      </c>
      <c r="E796" s="9"/>
      <c r="F796" s="9"/>
      <c r="G796" s="9"/>
      <c r="H796" s="9"/>
      <c r="I796" s="9"/>
      <c r="J796" s="9"/>
      <c r="K796" s="9"/>
      <c r="L796" s="293"/>
      <c r="M796" s="352">
        <f>IF(N$234=0,'Adjustment for previous period'!M423, 0)</f>
        <v>0</v>
      </c>
      <c r="N796" s="295"/>
      <c r="O796" s="293"/>
      <c r="P796" s="293"/>
      <c r="Q796" s="293"/>
      <c r="R796" s="9"/>
      <c r="S796" s="9"/>
      <c r="T796" s="9"/>
      <c r="U796" s="9"/>
      <c r="V796" s="9"/>
      <c r="W796" s="9"/>
      <c r="X796" s="9"/>
      <c r="Y796" s="9"/>
      <c r="Z796" s="9"/>
      <c r="AB796" s="198"/>
      <c r="AC796" s="198"/>
      <c r="AD796" s="198"/>
      <c r="AE796" s="198"/>
      <c r="AF796" s="198"/>
      <c r="AG796" s="198"/>
      <c r="AH796" s="198"/>
      <c r="AI796" s="198"/>
      <c r="AJ796" s="198"/>
      <c r="AK796" s="198"/>
      <c r="AL796" s="198"/>
      <c r="AM796" s="198"/>
      <c r="AN796" s="198"/>
      <c r="AO796" s="198"/>
      <c r="AP796" s="198"/>
      <c r="AQ796" s="198"/>
      <c r="AR796" s="198"/>
      <c r="AS796" s="198"/>
      <c r="AT796" s="198"/>
      <c r="AU796" s="198"/>
      <c r="AV796" s="198"/>
      <c r="AW796" s="198"/>
      <c r="AX796" s="198"/>
      <c r="AY796" s="198"/>
      <c r="AZ796" s="198"/>
      <c r="BA796" s="198"/>
      <c r="BB796" s="198"/>
      <c r="BC796" s="198"/>
      <c r="BD796" s="198"/>
      <c r="BE796" s="198"/>
      <c r="BF796" s="198"/>
      <c r="BG796" s="198"/>
      <c r="BH796" s="198"/>
      <c r="BI796" s="198"/>
      <c r="BJ796" s="198"/>
      <c r="BK796" s="198"/>
      <c r="BL796" s="198"/>
    </row>
    <row r="797" spans="1:64" hidden="1" outlineLevel="1">
      <c r="A797" s="9"/>
      <c r="B797" s="9"/>
      <c r="C797" s="9"/>
      <c r="D797" s="127" t="str">
        <f>Asset13</f>
        <v>Land</v>
      </c>
      <c r="E797" s="9"/>
      <c r="F797" s="9"/>
      <c r="G797" s="9"/>
      <c r="H797" s="9"/>
      <c r="I797" s="9"/>
      <c r="J797" s="9"/>
      <c r="K797" s="9"/>
      <c r="L797" s="293"/>
      <c r="M797" s="352">
        <f>IF(N$234=0,'Adjustment for previous period'!M425, 0)</f>
        <v>0</v>
      </c>
      <c r="N797" s="295"/>
      <c r="O797" s="293"/>
      <c r="P797" s="293"/>
      <c r="Q797" s="293"/>
      <c r="R797" s="9"/>
      <c r="S797" s="9"/>
      <c r="T797" s="9"/>
      <c r="U797" s="9"/>
      <c r="V797" s="9"/>
      <c r="W797" s="9"/>
      <c r="X797" s="9"/>
      <c r="Y797" s="9"/>
      <c r="Z797" s="9"/>
      <c r="AB797" s="198"/>
      <c r="AC797" s="198"/>
      <c r="AD797" s="198"/>
      <c r="AE797" s="198"/>
      <c r="AF797" s="198"/>
      <c r="AG797" s="198"/>
      <c r="AH797" s="198"/>
      <c r="AI797" s="198"/>
      <c r="AJ797" s="198"/>
      <c r="AK797" s="198"/>
      <c r="AL797" s="198"/>
      <c r="AM797" s="198"/>
      <c r="AN797" s="198"/>
      <c r="AO797" s="198"/>
      <c r="AP797" s="198"/>
      <c r="AQ797" s="198"/>
      <c r="AR797" s="198"/>
      <c r="AS797" s="198"/>
      <c r="AT797" s="198"/>
      <c r="AU797" s="198"/>
      <c r="AV797" s="198"/>
      <c r="AW797" s="198"/>
      <c r="AX797" s="198"/>
      <c r="AY797" s="198"/>
      <c r="AZ797" s="198"/>
      <c r="BA797" s="198"/>
      <c r="BB797" s="198"/>
      <c r="BC797" s="198"/>
      <c r="BD797" s="198"/>
      <c r="BE797" s="198"/>
      <c r="BF797" s="198"/>
      <c r="BG797" s="198"/>
      <c r="BH797" s="198"/>
      <c r="BI797" s="198"/>
      <c r="BJ797" s="198"/>
      <c r="BK797" s="198"/>
      <c r="BL797" s="198"/>
    </row>
    <row r="798" spans="1:64" hidden="1" outlineLevel="1">
      <c r="A798" s="9"/>
      <c r="B798" s="9"/>
      <c r="C798" s="9"/>
      <c r="D798" s="127" t="str">
        <f>Asset14</f>
        <v>Easements</v>
      </c>
      <c r="E798" s="9"/>
      <c r="F798" s="9"/>
      <c r="G798" s="9"/>
      <c r="H798" s="9"/>
      <c r="I798" s="9"/>
      <c r="J798" s="9"/>
      <c r="K798" s="9"/>
      <c r="L798" s="293"/>
      <c r="M798" s="352">
        <f>IF(N$234=0,'Adjustment for previous period'!M427, 0)</f>
        <v>0</v>
      </c>
      <c r="N798" s="295"/>
      <c r="O798" s="293"/>
      <c r="P798" s="293"/>
      <c r="Q798" s="293"/>
      <c r="R798" s="9"/>
      <c r="S798" s="9"/>
      <c r="T798" s="9"/>
      <c r="U798" s="9"/>
      <c r="V798" s="9"/>
      <c r="W798" s="9"/>
      <c r="X798" s="9"/>
      <c r="Y798" s="9"/>
      <c r="Z798" s="9"/>
      <c r="AB798" s="198"/>
      <c r="AC798" s="198"/>
      <c r="AD798" s="198"/>
      <c r="AE798" s="198"/>
      <c r="AF798" s="198"/>
      <c r="AG798" s="198"/>
      <c r="AH798" s="198"/>
      <c r="AI798" s="198"/>
      <c r="AJ798" s="198"/>
      <c r="AK798" s="198"/>
      <c r="AL798" s="198"/>
      <c r="AM798" s="198"/>
      <c r="AN798" s="198"/>
      <c r="AO798" s="198"/>
      <c r="AP798" s="198"/>
      <c r="AQ798" s="198"/>
      <c r="AR798" s="198"/>
      <c r="AS798" s="198"/>
      <c r="AT798" s="198"/>
      <c r="AU798" s="198"/>
      <c r="AV798" s="198"/>
      <c r="AW798" s="198"/>
      <c r="AX798" s="198"/>
      <c r="AY798" s="198"/>
      <c r="AZ798" s="198"/>
      <c r="BA798" s="198"/>
      <c r="BB798" s="198"/>
      <c r="BC798" s="198"/>
      <c r="BD798" s="198"/>
      <c r="BE798" s="198"/>
      <c r="BF798" s="198"/>
      <c r="BG798" s="198"/>
      <c r="BH798" s="198"/>
      <c r="BI798" s="198"/>
      <c r="BJ798" s="198"/>
      <c r="BK798" s="198"/>
      <c r="BL798" s="198"/>
    </row>
    <row r="799" spans="1:64" hidden="1" outlineLevel="1">
      <c r="A799" s="9"/>
      <c r="B799" s="9"/>
      <c r="C799" s="9"/>
      <c r="D799" s="127">
        <f>Asset15</f>
        <v>0</v>
      </c>
      <c r="E799" s="9"/>
      <c r="F799" s="9"/>
      <c r="G799" s="9"/>
      <c r="H799" s="9"/>
      <c r="I799" s="9"/>
      <c r="J799" s="9"/>
      <c r="K799" s="9"/>
      <c r="L799" s="293"/>
      <c r="M799" s="352">
        <f>IF(N$234=0,'Adjustment for previous period'!M429, 0)</f>
        <v>0</v>
      </c>
      <c r="N799" s="295"/>
      <c r="O799" s="293"/>
      <c r="P799" s="293"/>
      <c r="Q799" s="293"/>
      <c r="R799" s="9"/>
      <c r="S799" s="9"/>
      <c r="T799" s="9"/>
      <c r="U799" s="9"/>
      <c r="V799" s="9"/>
      <c r="W799" s="9"/>
      <c r="X799" s="9"/>
      <c r="Y799" s="9"/>
      <c r="Z799" s="9"/>
      <c r="AB799" s="198"/>
      <c r="AC799" s="198"/>
      <c r="AD799" s="198"/>
      <c r="AE799" s="198"/>
      <c r="AF799" s="198"/>
      <c r="AG799" s="198"/>
      <c r="AH799" s="198"/>
      <c r="AI799" s="198"/>
      <c r="AJ799" s="198"/>
      <c r="AK799" s="198"/>
      <c r="AL799" s="198"/>
      <c r="AM799" s="198"/>
      <c r="AN799" s="198"/>
      <c r="AO799" s="198"/>
      <c r="AP799" s="198"/>
      <c r="AQ799" s="198"/>
      <c r="AR799" s="198"/>
      <c r="AS799" s="198"/>
      <c r="AT799" s="198"/>
      <c r="AU799" s="198"/>
      <c r="AV799" s="198"/>
      <c r="AW799" s="198"/>
      <c r="AX799" s="198"/>
      <c r="AY799" s="198"/>
      <c r="AZ799" s="198"/>
      <c r="BA799" s="198"/>
      <c r="BB799" s="198"/>
      <c r="BC799" s="198"/>
      <c r="BD799" s="198"/>
      <c r="BE799" s="198"/>
      <c r="BF799" s="198"/>
      <c r="BG799" s="198"/>
      <c r="BH799" s="198"/>
      <c r="BI799" s="198"/>
      <c r="BJ799" s="198"/>
      <c r="BK799" s="198"/>
      <c r="BL799" s="198"/>
    </row>
    <row r="800" spans="1:64" hidden="1" outlineLevel="1">
      <c r="A800" s="9"/>
      <c r="B800" s="9"/>
      <c r="C800" s="9"/>
      <c r="D800" s="127">
        <f>Asset16</f>
        <v>0</v>
      </c>
      <c r="E800" s="9"/>
      <c r="F800" s="9"/>
      <c r="G800" s="9"/>
      <c r="H800" s="9"/>
      <c r="I800" s="9"/>
      <c r="J800" s="9"/>
      <c r="K800" s="9"/>
      <c r="L800" s="293"/>
      <c r="M800" s="352">
        <f>IF(N$234=0,'Adjustment for previous period'!M431, 0)</f>
        <v>0</v>
      </c>
      <c r="N800" s="295"/>
      <c r="O800" s="293"/>
      <c r="P800" s="293"/>
      <c r="Q800" s="293"/>
      <c r="R800" s="9"/>
      <c r="S800" s="9"/>
      <c r="T800" s="9"/>
      <c r="U800" s="9"/>
      <c r="V800" s="9"/>
      <c r="W800" s="9"/>
      <c r="X800" s="9"/>
      <c r="Y800" s="9"/>
      <c r="Z800" s="9"/>
      <c r="AB800" s="198"/>
      <c r="AC800" s="198"/>
      <c r="AD800" s="198"/>
      <c r="AE800" s="198"/>
      <c r="AF800" s="198"/>
      <c r="AG800" s="198"/>
      <c r="AH800" s="198"/>
      <c r="AI800" s="198"/>
      <c r="AJ800" s="198"/>
      <c r="AK800" s="198"/>
      <c r="AL800" s="198"/>
      <c r="AM800" s="198"/>
      <c r="AN800" s="198"/>
      <c r="AO800" s="198"/>
      <c r="AP800" s="198"/>
      <c r="AQ800" s="198"/>
      <c r="AR800" s="198"/>
      <c r="AS800" s="198"/>
      <c r="AT800" s="198"/>
      <c r="AU800" s="198"/>
      <c r="AV800" s="198"/>
      <c r="AW800" s="198"/>
      <c r="AX800" s="198"/>
      <c r="AY800" s="198"/>
      <c r="AZ800" s="198"/>
      <c r="BA800" s="198"/>
      <c r="BB800" s="198"/>
      <c r="BC800" s="198"/>
      <c r="BD800" s="198"/>
      <c r="BE800" s="198"/>
      <c r="BF800" s="198"/>
      <c r="BG800" s="198"/>
      <c r="BH800" s="198"/>
      <c r="BI800" s="198"/>
      <c r="BJ800" s="198"/>
      <c r="BK800" s="198"/>
      <c r="BL800" s="198"/>
    </row>
    <row r="801" spans="1:64" hidden="1" outlineLevel="1">
      <c r="A801" s="9"/>
      <c r="B801" s="9"/>
      <c r="C801" s="9"/>
      <c r="D801" s="127">
        <f>Asset17</f>
        <v>0</v>
      </c>
      <c r="E801" s="9"/>
      <c r="F801" s="9"/>
      <c r="G801" s="9"/>
      <c r="H801" s="9"/>
      <c r="I801" s="9"/>
      <c r="J801" s="9"/>
      <c r="K801" s="9"/>
      <c r="L801" s="293"/>
      <c r="M801" s="352">
        <f>IF(N$234=0,'Adjustment for previous period'!M433, 0)</f>
        <v>0</v>
      </c>
      <c r="N801" s="295"/>
      <c r="O801" s="293"/>
      <c r="P801" s="293"/>
      <c r="Q801" s="293"/>
      <c r="R801" s="9"/>
      <c r="S801" s="9"/>
      <c r="T801" s="9"/>
      <c r="U801" s="9"/>
      <c r="V801" s="9"/>
      <c r="W801" s="9"/>
      <c r="X801" s="9"/>
      <c r="Y801" s="9"/>
      <c r="Z801" s="9"/>
      <c r="AB801" s="198"/>
      <c r="AC801" s="198"/>
      <c r="AD801" s="198"/>
      <c r="AE801" s="198"/>
      <c r="AF801" s="198"/>
      <c r="AG801" s="198"/>
      <c r="AH801" s="198"/>
      <c r="AI801" s="198"/>
      <c r="AJ801" s="198"/>
      <c r="AK801" s="198"/>
      <c r="AL801" s="198"/>
      <c r="AM801" s="198"/>
      <c r="AN801" s="198"/>
      <c r="AO801" s="198"/>
      <c r="AP801" s="198"/>
      <c r="AQ801" s="198"/>
      <c r="AR801" s="198"/>
      <c r="AS801" s="198"/>
      <c r="AT801" s="198"/>
      <c r="AU801" s="198"/>
      <c r="AV801" s="198"/>
      <c r="AW801" s="198"/>
      <c r="AX801" s="198"/>
      <c r="AY801" s="198"/>
      <c r="AZ801" s="198"/>
      <c r="BA801" s="198"/>
      <c r="BB801" s="198"/>
      <c r="BC801" s="198"/>
      <c r="BD801" s="198"/>
      <c r="BE801" s="198"/>
      <c r="BF801" s="198"/>
      <c r="BG801" s="198"/>
      <c r="BH801" s="198"/>
      <c r="BI801" s="198"/>
      <c r="BJ801" s="198"/>
      <c r="BK801" s="198"/>
      <c r="BL801" s="198"/>
    </row>
    <row r="802" spans="1:64" hidden="1" outlineLevel="1">
      <c r="A802" s="9"/>
      <c r="B802" s="9"/>
      <c r="C802" s="9"/>
      <c r="D802" s="127">
        <f>Asset18</f>
        <v>0</v>
      </c>
      <c r="E802" s="9"/>
      <c r="F802" s="9"/>
      <c r="G802" s="9"/>
      <c r="H802" s="9"/>
      <c r="I802" s="9"/>
      <c r="J802" s="9"/>
      <c r="K802" s="9"/>
      <c r="L802" s="293"/>
      <c r="M802" s="352">
        <f>IF(N$234=0,'Adjustment for previous period'!M435, 0)</f>
        <v>0</v>
      </c>
      <c r="N802" s="295"/>
      <c r="O802" s="293"/>
      <c r="P802" s="293"/>
      <c r="Q802" s="293"/>
      <c r="R802" s="9"/>
      <c r="S802" s="9"/>
      <c r="T802" s="9"/>
      <c r="U802" s="9"/>
      <c r="V802" s="9"/>
      <c r="W802" s="9"/>
      <c r="X802" s="9"/>
      <c r="Y802" s="9"/>
      <c r="Z802" s="9"/>
      <c r="AB802" s="198"/>
      <c r="AC802" s="198"/>
      <c r="AD802" s="198"/>
      <c r="AE802" s="198"/>
      <c r="AF802" s="198"/>
      <c r="AG802" s="198"/>
      <c r="AH802" s="198"/>
      <c r="AI802" s="198"/>
      <c r="AJ802" s="198"/>
      <c r="AK802" s="198"/>
      <c r="AL802" s="198"/>
      <c r="AM802" s="198"/>
      <c r="AN802" s="198"/>
      <c r="AO802" s="198"/>
      <c r="AP802" s="198"/>
      <c r="AQ802" s="198"/>
      <c r="AR802" s="198"/>
      <c r="AS802" s="198"/>
      <c r="AT802" s="198"/>
      <c r="AU802" s="198"/>
      <c r="AV802" s="198"/>
      <c r="AW802" s="198"/>
      <c r="AX802" s="198"/>
      <c r="AY802" s="198"/>
      <c r="AZ802" s="198"/>
      <c r="BA802" s="198"/>
      <c r="BB802" s="198"/>
      <c r="BC802" s="198"/>
      <c r="BD802" s="198"/>
      <c r="BE802" s="198"/>
      <c r="BF802" s="198"/>
      <c r="BG802" s="198"/>
      <c r="BH802" s="198"/>
      <c r="BI802" s="198"/>
      <c r="BJ802" s="198"/>
      <c r="BK802" s="198"/>
      <c r="BL802" s="198"/>
    </row>
    <row r="803" spans="1:64" hidden="1" outlineLevel="1">
      <c r="A803" s="9"/>
      <c r="B803" s="9"/>
      <c r="C803" s="9"/>
      <c r="D803" s="127">
        <f>Asset19</f>
        <v>0</v>
      </c>
      <c r="E803" s="9"/>
      <c r="F803" s="9"/>
      <c r="G803" s="9"/>
      <c r="H803" s="9"/>
      <c r="I803" s="9"/>
      <c r="J803" s="9"/>
      <c r="K803" s="9"/>
      <c r="L803" s="293"/>
      <c r="M803" s="352">
        <f>IF(N$234=0,'Adjustment for previous period'!M437, 0)</f>
        <v>0</v>
      </c>
      <c r="N803" s="295"/>
      <c r="O803" s="293"/>
      <c r="P803" s="293"/>
      <c r="Q803" s="293"/>
      <c r="R803" s="9"/>
      <c r="S803" s="9"/>
      <c r="T803" s="9"/>
      <c r="U803" s="9"/>
      <c r="V803" s="9"/>
      <c r="W803" s="9"/>
      <c r="X803" s="9"/>
      <c r="Y803" s="9"/>
      <c r="Z803" s="9"/>
      <c r="AB803" s="198"/>
      <c r="AC803" s="198"/>
      <c r="AD803" s="198"/>
      <c r="AE803" s="198"/>
      <c r="AF803" s="198"/>
      <c r="AG803" s="198"/>
      <c r="AH803" s="198"/>
      <c r="AI803" s="198"/>
      <c r="AJ803" s="198"/>
      <c r="AK803" s="198"/>
      <c r="AL803" s="198"/>
      <c r="AM803" s="198"/>
      <c r="AN803" s="198"/>
      <c r="AO803" s="198"/>
      <c r="AP803" s="198"/>
      <c r="AQ803" s="198"/>
      <c r="AR803" s="198"/>
      <c r="AS803" s="198"/>
      <c r="AT803" s="198"/>
      <c r="AU803" s="198"/>
      <c r="AV803" s="198"/>
      <c r="AW803" s="198"/>
      <c r="AX803" s="198"/>
      <c r="AY803" s="198"/>
      <c r="AZ803" s="198"/>
      <c r="BA803" s="198"/>
      <c r="BB803" s="198"/>
      <c r="BC803" s="198"/>
      <c r="BD803" s="198"/>
      <c r="BE803" s="198"/>
      <c r="BF803" s="198"/>
      <c r="BG803" s="198"/>
      <c r="BH803" s="198"/>
      <c r="BI803" s="198"/>
      <c r="BJ803" s="198"/>
      <c r="BK803" s="198"/>
      <c r="BL803" s="198"/>
    </row>
    <row r="804" spans="1:64" hidden="1" outlineLevel="1">
      <c r="A804" s="9"/>
      <c r="B804" s="9"/>
      <c r="C804" s="9"/>
      <c r="D804" s="127">
        <f>Asset20</f>
        <v>0</v>
      </c>
      <c r="E804" s="9"/>
      <c r="F804" s="9"/>
      <c r="G804" s="9"/>
      <c r="H804" s="9"/>
      <c r="I804" s="9"/>
      <c r="J804" s="9"/>
      <c r="K804" s="9"/>
      <c r="L804" s="293"/>
      <c r="M804" s="352">
        <f>IF(N$234=0,'Adjustment for previous period'!M439, 0)</f>
        <v>0</v>
      </c>
      <c r="N804" s="295"/>
      <c r="O804" s="293"/>
      <c r="P804" s="293"/>
      <c r="Q804" s="293"/>
      <c r="R804" s="9"/>
      <c r="S804" s="9"/>
      <c r="T804" s="9"/>
      <c r="U804" s="9"/>
      <c r="V804" s="9"/>
      <c r="W804" s="9"/>
      <c r="X804" s="9"/>
      <c r="Y804" s="9"/>
      <c r="Z804" s="9"/>
      <c r="AB804" s="198"/>
      <c r="AC804" s="198"/>
      <c r="AD804" s="198"/>
      <c r="AE804" s="198"/>
      <c r="AF804" s="198"/>
      <c r="AG804" s="198"/>
      <c r="AH804" s="198"/>
      <c r="AI804" s="198"/>
      <c r="AJ804" s="198"/>
      <c r="AK804" s="198"/>
      <c r="AL804" s="198"/>
      <c r="AM804" s="198"/>
      <c r="AN804" s="198"/>
      <c r="AO804" s="198"/>
      <c r="AP804" s="198"/>
      <c r="AQ804" s="198"/>
      <c r="AR804" s="198"/>
      <c r="AS804" s="198"/>
      <c r="AT804" s="198"/>
      <c r="AU804" s="198"/>
      <c r="AV804" s="198"/>
      <c r="AW804" s="198"/>
      <c r="AX804" s="198"/>
      <c r="AY804" s="198"/>
      <c r="AZ804" s="198"/>
      <c r="BA804" s="198"/>
      <c r="BB804" s="198"/>
      <c r="BC804" s="198"/>
      <c r="BD804" s="198"/>
      <c r="BE804" s="198"/>
      <c r="BF804" s="198"/>
      <c r="BG804" s="198"/>
      <c r="BH804" s="198"/>
      <c r="BI804" s="198"/>
      <c r="BJ804" s="198"/>
      <c r="BK804" s="198"/>
      <c r="BL804" s="198"/>
    </row>
    <row r="805" spans="1:64" collapsed="1">
      <c r="A805" s="9"/>
      <c r="B805" s="9"/>
      <c r="C805" s="9"/>
      <c r="D805" s="9"/>
      <c r="E805" s="9"/>
      <c r="F805" s="9"/>
      <c r="G805" s="9"/>
      <c r="H805" s="9"/>
      <c r="I805" s="9"/>
      <c r="J805" s="9"/>
      <c r="K805" s="9"/>
      <c r="L805" s="293"/>
      <c r="M805" s="352">
        <f>IF(N$234=0,'Adjustment for previous period'!M441, 0)</f>
        <v>0</v>
      </c>
      <c r="N805" s="295"/>
      <c r="O805" s="293"/>
      <c r="P805" s="293"/>
      <c r="Q805" s="293"/>
      <c r="R805" s="9"/>
      <c r="S805" s="9"/>
      <c r="T805" s="9"/>
      <c r="U805" s="9"/>
      <c r="V805" s="9"/>
      <c r="W805" s="9"/>
      <c r="X805" s="9"/>
      <c r="Y805" s="9"/>
      <c r="Z805" s="9"/>
      <c r="AB805" s="198"/>
      <c r="AC805" s="198"/>
      <c r="AD805" s="198"/>
      <c r="AE805" s="198"/>
      <c r="AF805" s="198"/>
      <c r="AG805" s="198"/>
      <c r="AH805" s="198"/>
      <c r="AI805" s="198"/>
      <c r="AJ805" s="198"/>
      <c r="AK805" s="198"/>
      <c r="AL805" s="198"/>
      <c r="AM805" s="198"/>
      <c r="AN805" s="198"/>
      <c r="AO805" s="198"/>
      <c r="AP805" s="198"/>
      <c r="AQ805" s="198"/>
      <c r="AR805" s="198"/>
      <c r="AS805" s="198"/>
      <c r="AT805" s="198"/>
      <c r="AU805" s="198"/>
      <c r="AV805" s="198"/>
      <c r="AW805" s="198"/>
      <c r="AX805" s="198"/>
      <c r="AY805" s="198"/>
      <c r="AZ805" s="198"/>
      <c r="BA805" s="198"/>
      <c r="BB805" s="198"/>
      <c r="BC805" s="198"/>
      <c r="BD805" s="198"/>
      <c r="BE805" s="198"/>
      <c r="BF805" s="198"/>
      <c r="BG805" s="198"/>
      <c r="BH805" s="198"/>
      <c r="BI805" s="198"/>
      <c r="BJ805" s="198"/>
      <c r="BK805" s="198"/>
      <c r="BL805" s="198"/>
    </row>
    <row r="806" spans="1:64">
      <c r="A806" s="9"/>
      <c r="B806" s="9"/>
      <c r="C806" s="9"/>
      <c r="D806" s="9"/>
      <c r="E806" s="9"/>
      <c r="F806" s="9"/>
      <c r="G806" s="9"/>
      <c r="H806" s="9"/>
      <c r="I806" s="9"/>
      <c r="J806" s="9"/>
      <c r="K806" s="9"/>
      <c r="L806" s="293">
        <v>5</v>
      </c>
      <c r="M806" s="293">
        <v>6</v>
      </c>
      <c r="N806" s="295">
        <v>7</v>
      </c>
      <c r="O806" s="293">
        <v>8</v>
      </c>
      <c r="P806" s="293">
        <v>9</v>
      </c>
      <c r="Q806" s="293">
        <v>10</v>
      </c>
      <c r="R806" s="9"/>
      <c r="S806" s="9"/>
      <c r="T806" s="9"/>
      <c r="U806" s="9"/>
      <c r="V806" s="9"/>
      <c r="W806" s="9"/>
      <c r="X806" s="9"/>
      <c r="Y806" s="9"/>
      <c r="Z806" s="9"/>
      <c r="AB806" s="198"/>
      <c r="AC806" s="198"/>
      <c r="AD806" s="198"/>
      <c r="AE806" s="198"/>
      <c r="AF806" s="198"/>
      <c r="AG806" s="198"/>
      <c r="AH806" s="198"/>
      <c r="AI806" s="198"/>
      <c r="AJ806" s="198"/>
      <c r="AK806" s="198"/>
      <c r="AL806" s="198"/>
      <c r="AM806" s="198"/>
      <c r="AN806" s="198"/>
      <c r="AO806" s="198"/>
      <c r="AP806" s="198"/>
      <c r="AQ806" s="198"/>
      <c r="AR806" s="198"/>
      <c r="AS806" s="198"/>
      <c r="AT806" s="198"/>
      <c r="AU806" s="198"/>
      <c r="AV806" s="198"/>
      <c r="AW806" s="198"/>
      <c r="AX806" s="198"/>
      <c r="AY806" s="198"/>
      <c r="AZ806" s="198"/>
      <c r="BA806" s="198"/>
      <c r="BB806" s="198"/>
      <c r="BC806" s="198"/>
      <c r="BD806" s="198"/>
      <c r="BE806" s="198"/>
      <c r="BF806" s="198"/>
      <c r="BG806" s="198"/>
      <c r="BH806" s="198"/>
      <c r="BI806" s="198"/>
      <c r="BJ806" s="198"/>
      <c r="BK806" s="198"/>
      <c r="BL806" s="198"/>
    </row>
    <row r="807" spans="1:64">
      <c r="A807" s="74"/>
      <c r="B807" s="74"/>
      <c r="C807" s="81" t="s">
        <v>91</v>
      </c>
      <c r="D807" s="74"/>
      <c r="E807" s="74"/>
      <c r="F807" s="74"/>
      <c r="G807" s="74"/>
      <c r="H807" s="74"/>
      <c r="I807" s="74"/>
      <c r="J807" s="74"/>
      <c r="K807" s="74"/>
      <c r="L807" s="154">
        <f t="shared" ref="L807:Q807" si="68">SUM(L808:L837)</f>
        <v>0</v>
      </c>
      <c r="M807" s="154">
        <f t="shared" si="68"/>
        <v>2524.883570641914</v>
      </c>
      <c r="N807" s="154">
        <f t="shared" si="68"/>
        <v>0</v>
      </c>
      <c r="O807" s="154">
        <f t="shared" si="68"/>
        <v>0</v>
      </c>
      <c r="P807" s="154">
        <f t="shared" si="68"/>
        <v>0</v>
      </c>
      <c r="Q807" s="154">
        <f t="shared" si="68"/>
        <v>0</v>
      </c>
      <c r="R807" s="154"/>
      <c r="S807" s="9"/>
      <c r="T807" s="9"/>
      <c r="U807" s="9"/>
      <c r="V807" s="9"/>
      <c r="W807" s="9"/>
      <c r="X807" s="9"/>
      <c r="Y807" s="9"/>
      <c r="Z807" s="9"/>
      <c r="AB807" s="198"/>
      <c r="AC807" s="198"/>
      <c r="AD807" s="198"/>
      <c r="AE807" s="198"/>
      <c r="AF807" s="198"/>
      <c r="AG807" s="198"/>
      <c r="AH807" s="198"/>
      <c r="AI807" s="198"/>
      <c r="AJ807" s="198"/>
      <c r="AK807" s="198"/>
      <c r="AL807" s="198"/>
      <c r="AM807" s="198"/>
      <c r="AN807" s="198"/>
      <c r="AO807" s="198"/>
      <c r="AP807" s="198"/>
      <c r="AQ807" s="198"/>
      <c r="AR807" s="198"/>
      <c r="AS807" s="198"/>
      <c r="AT807" s="198"/>
      <c r="AU807" s="198"/>
      <c r="AV807" s="198"/>
      <c r="AW807" s="198"/>
      <c r="AX807" s="198"/>
      <c r="AY807" s="198"/>
      <c r="AZ807" s="198"/>
      <c r="BA807" s="198"/>
      <c r="BB807" s="198"/>
      <c r="BC807" s="198"/>
      <c r="BD807" s="198"/>
      <c r="BE807" s="198"/>
      <c r="BF807" s="198"/>
      <c r="BG807" s="198"/>
      <c r="BH807" s="198"/>
      <c r="BI807" s="198"/>
      <c r="BJ807" s="198"/>
      <c r="BK807" s="198"/>
      <c r="BL807" s="198"/>
    </row>
    <row r="808" spans="1:64" hidden="1" outlineLevel="1">
      <c r="A808" s="9"/>
      <c r="B808" s="9"/>
      <c r="C808" s="9"/>
      <c r="D808" s="270" t="str">
        <f>Asset1</f>
        <v>Secondary</v>
      </c>
      <c r="E808" s="9"/>
      <c r="F808" s="9"/>
      <c r="G808" s="9"/>
      <c r="H808" s="9"/>
      <c r="I808" s="9"/>
      <c r="J808" s="9"/>
      <c r="K808" s="9"/>
      <c r="L808" s="111">
        <f t="shared" ref="L808:Q817" si="69">IF(M$666=0, L667+L699+L731, 0)</f>
        <v>0</v>
      </c>
      <c r="M808" s="331">
        <f t="shared" ref="M808:M827" si="70">IF(N$666=0, M667+M699+M731+M763+M785, 0)</f>
        <v>144.89689276237527</v>
      </c>
      <c r="N808" s="111">
        <f t="shared" si="69"/>
        <v>0</v>
      </c>
      <c r="O808" s="111">
        <f t="shared" si="69"/>
        <v>0</v>
      </c>
      <c r="P808" s="111">
        <f t="shared" si="69"/>
        <v>0</v>
      </c>
      <c r="Q808" s="111">
        <f t="shared" si="69"/>
        <v>0</v>
      </c>
      <c r="R808" s="9"/>
      <c r="S808" s="9"/>
      <c r="T808" s="9"/>
      <c r="U808" s="9"/>
      <c r="V808" s="9"/>
      <c r="W808" s="9"/>
      <c r="X808" s="9"/>
      <c r="Y808" s="9"/>
      <c r="Z808" s="9"/>
      <c r="AB808" s="198"/>
      <c r="AC808" s="198"/>
      <c r="AD808" s="198"/>
      <c r="AE808" s="198"/>
      <c r="AF808" s="198"/>
      <c r="AG808" s="198"/>
      <c r="AH808" s="198"/>
      <c r="AI808" s="198"/>
      <c r="AJ808" s="198"/>
      <c r="AK808" s="198"/>
      <c r="AL808" s="198"/>
      <c r="AM808" s="198"/>
      <c r="AN808" s="198"/>
      <c r="AO808" s="198"/>
      <c r="AP808" s="198"/>
      <c r="AQ808" s="198"/>
      <c r="AR808" s="198"/>
      <c r="AS808" s="198"/>
      <c r="AT808" s="198"/>
      <c r="AU808" s="198"/>
      <c r="AV808" s="198"/>
      <c r="AW808" s="198"/>
      <c r="AX808" s="198"/>
      <c r="AY808" s="198"/>
      <c r="AZ808" s="198"/>
      <c r="BA808" s="198"/>
      <c r="BB808" s="198"/>
      <c r="BC808" s="198"/>
      <c r="BD808" s="198"/>
      <c r="BE808" s="198"/>
      <c r="BF808" s="198"/>
      <c r="BG808" s="198"/>
      <c r="BH808" s="198"/>
      <c r="BI808" s="198"/>
      <c r="BJ808" s="198"/>
      <c r="BK808" s="198"/>
      <c r="BL808" s="198"/>
    </row>
    <row r="809" spans="1:64" hidden="1" outlineLevel="1">
      <c r="A809" s="9"/>
      <c r="B809" s="9"/>
      <c r="C809" s="9"/>
      <c r="D809" s="270" t="str">
        <f>Asset2</f>
        <v>Switchgear</v>
      </c>
      <c r="E809" s="9"/>
      <c r="F809" s="9"/>
      <c r="G809" s="9"/>
      <c r="H809" s="9"/>
      <c r="I809" s="9"/>
      <c r="J809" s="9"/>
      <c r="K809" s="9"/>
      <c r="L809" s="111">
        <f t="shared" si="69"/>
        <v>0</v>
      </c>
      <c r="M809" s="331">
        <f t="shared" si="70"/>
        <v>498.49010572684944</v>
      </c>
      <c r="N809" s="111">
        <f t="shared" si="69"/>
        <v>0</v>
      </c>
      <c r="O809" s="111">
        <f t="shared" si="69"/>
        <v>0</v>
      </c>
      <c r="P809" s="111">
        <f t="shared" si="69"/>
        <v>0</v>
      </c>
      <c r="Q809" s="111">
        <f t="shared" si="69"/>
        <v>0</v>
      </c>
      <c r="R809" s="9"/>
      <c r="S809" s="9"/>
      <c r="T809" s="9"/>
      <c r="U809" s="9"/>
      <c r="V809" s="9"/>
      <c r="W809" s="9"/>
      <c r="X809" s="9"/>
      <c r="Y809" s="9"/>
      <c r="Z809" s="9"/>
      <c r="AB809" s="198"/>
      <c r="AC809" s="198"/>
      <c r="AD809" s="198"/>
      <c r="AE809" s="198"/>
      <c r="AF809" s="198"/>
      <c r="AG809" s="198"/>
      <c r="AH809" s="198"/>
      <c r="AI809" s="198"/>
      <c r="AJ809" s="198"/>
      <c r="AK809" s="198"/>
      <c r="AL809" s="198"/>
      <c r="AM809" s="198"/>
      <c r="AN809" s="198"/>
      <c r="AO809" s="198"/>
      <c r="AP809" s="198"/>
      <c r="AQ809" s="198"/>
      <c r="AR809" s="198"/>
      <c r="AS809" s="198"/>
      <c r="AT809" s="198"/>
      <c r="AU809" s="198"/>
      <c r="AV809" s="198"/>
      <c r="AW809" s="198"/>
      <c r="AX809" s="198"/>
      <c r="AY809" s="198"/>
      <c r="AZ809" s="198"/>
      <c r="BA809" s="198"/>
      <c r="BB809" s="198"/>
      <c r="BC809" s="198"/>
      <c r="BD809" s="198"/>
      <c r="BE809" s="198"/>
      <c r="BF809" s="198"/>
      <c r="BG809" s="198"/>
      <c r="BH809" s="198"/>
      <c r="BI809" s="198"/>
      <c r="BJ809" s="198"/>
      <c r="BK809" s="198"/>
      <c r="BL809" s="198"/>
    </row>
    <row r="810" spans="1:64" hidden="1" outlineLevel="1">
      <c r="A810" s="9"/>
      <c r="B810" s="9"/>
      <c r="C810" s="9"/>
      <c r="D810" s="270" t="str">
        <f>Asset3</f>
        <v>Transformers</v>
      </c>
      <c r="E810" s="9"/>
      <c r="F810" s="9"/>
      <c r="G810" s="9"/>
      <c r="H810" s="9"/>
      <c r="I810" s="9"/>
      <c r="J810" s="9"/>
      <c r="K810" s="9"/>
      <c r="L810" s="111">
        <f t="shared" si="69"/>
        <v>0</v>
      </c>
      <c r="M810" s="331">
        <f t="shared" si="70"/>
        <v>210.50550637764931</v>
      </c>
      <c r="N810" s="111">
        <f t="shared" si="69"/>
        <v>0</v>
      </c>
      <c r="O810" s="111">
        <f t="shared" si="69"/>
        <v>0</v>
      </c>
      <c r="P810" s="111">
        <f t="shared" si="69"/>
        <v>0</v>
      </c>
      <c r="Q810" s="111">
        <f t="shared" si="69"/>
        <v>0</v>
      </c>
      <c r="R810" s="9"/>
      <c r="S810" s="9"/>
      <c r="T810" s="9"/>
      <c r="U810" s="9"/>
      <c r="V810" s="9"/>
      <c r="W810" s="9"/>
      <c r="X810" s="9"/>
      <c r="Y810" s="9"/>
      <c r="Z810" s="9"/>
      <c r="AB810" s="198"/>
      <c r="AC810" s="198"/>
      <c r="AD810" s="198"/>
      <c r="AE810" s="198"/>
      <c r="AF810" s="198"/>
      <c r="AG810" s="198"/>
      <c r="AH810" s="198"/>
      <c r="AI810" s="198"/>
      <c r="AJ810" s="198"/>
      <c r="AK810" s="198"/>
      <c r="AL810" s="198"/>
      <c r="AM810" s="198"/>
      <c r="AN810" s="198"/>
      <c r="AO810" s="198"/>
      <c r="AP810" s="198"/>
      <c r="AQ810" s="198"/>
      <c r="AR810" s="198"/>
      <c r="AS810" s="198"/>
      <c r="AT810" s="198"/>
      <c r="AU810" s="198"/>
      <c r="AV810" s="198"/>
      <c r="AW810" s="198"/>
      <c r="AX810" s="198"/>
      <c r="AY810" s="198"/>
      <c r="AZ810" s="198"/>
      <c r="BA810" s="198"/>
      <c r="BB810" s="198"/>
      <c r="BC810" s="198"/>
      <c r="BD810" s="198"/>
      <c r="BE810" s="198"/>
      <c r="BF810" s="198"/>
      <c r="BG810" s="198"/>
      <c r="BH810" s="198"/>
      <c r="BI810" s="198"/>
      <c r="BJ810" s="198"/>
      <c r="BK810" s="198"/>
      <c r="BL810" s="198"/>
    </row>
    <row r="811" spans="1:64" hidden="1" outlineLevel="1">
      <c r="A811" s="9"/>
      <c r="B811" s="9"/>
      <c r="C811" s="9"/>
      <c r="D811" s="270" t="str">
        <f>Asset4</f>
        <v>Reactive</v>
      </c>
      <c r="E811" s="9"/>
      <c r="F811" s="9"/>
      <c r="G811" s="9"/>
      <c r="H811" s="9"/>
      <c r="I811" s="9"/>
      <c r="J811" s="9"/>
      <c r="K811" s="9"/>
      <c r="L811" s="111">
        <f t="shared" si="69"/>
        <v>0</v>
      </c>
      <c r="M811" s="331">
        <f t="shared" si="70"/>
        <v>75.295585991961602</v>
      </c>
      <c r="N811" s="111">
        <f t="shared" si="69"/>
        <v>0</v>
      </c>
      <c r="O811" s="111">
        <f t="shared" si="69"/>
        <v>0</v>
      </c>
      <c r="P811" s="111">
        <f t="shared" si="69"/>
        <v>0</v>
      </c>
      <c r="Q811" s="111">
        <f t="shared" si="69"/>
        <v>0</v>
      </c>
      <c r="R811" s="9"/>
      <c r="S811" s="9"/>
      <c r="T811" s="9"/>
      <c r="U811" s="9"/>
      <c r="V811" s="9"/>
      <c r="W811" s="9"/>
      <c r="X811" s="9"/>
      <c r="Y811" s="9"/>
      <c r="Z811" s="9"/>
      <c r="AB811" s="198"/>
      <c r="AC811" s="198"/>
      <c r="AD811" s="198"/>
      <c r="AE811" s="198"/>
      <c r="AF811" s="198"/>
      <c r="AG811" s="198"/>
      <c r="AH811" s="198"/>
      <c r="AI811" s="198"/>
      <c r="AJ811" s="198"/>
      <c r="AK811" s="198"/>
      <c r="AL811" s="198"/>
      <c r="AM811" s="198"/>
      <c r="AN811" s="198"/>
      <c r="AO811" s="198"/>
      <c r="AP811" s="198"/>
      <c r="AQ811" s="198"/>
      <c r="AR811" s="198"/>
      <c r="AS811" s="198"/>
      <c r="AT811" s="198"/>
      <c r="AU811" s="198"/>
      <c r="AV811" s="198"/>
      <c r="AW811" s="198"/>
      <c r="AX811" s="198"/>
      <c r="AY811" s="198"/>
      <c r="AZ811" s="198"/>
      <c r="BA811" s="198"/>
      <c r="BB811" s="198"/>
      <c r="BC811" s="198"/>
      <c r="BD811" s="198"/>
      <c r="BE811" s="198"/>
      <c r="BF811" s="198"/>
      <c r="BG811" s="198"/>
      <c r="BH811" s="198"/>
      <c r="BI811" s="198"/>
      <c r="BJ811" s="198"/>
      <c r="BK811" s="198"/>
      <c r="BL811" s="198"/>
    </row>
    <row r="812" spans="1:64" hidden="1" outlineLevel="1">
      <c r="A812" s="9"/>
      <c r="B812" s="9"/>
      <c r="C812" s="9"/>
      <c r="D812" s="270" t="str">
        <f>Asset5</f>
        <v>Towers and Conductor</v>
      </c>
      <c r="E812" s="9"/>
      <c r="F812" s="9"/>
      <c r="G812" s="9"/>
      <c r="H812" s="9"/>
      <c r="I812" s="9"/>
      <c r="J812" s="9"/>
      <c r="K812" s="9"/>
      <c r="L812" s="111">
        <f t="shared" si="69"/>
        <v>0</v>
      </c>
      <c r="M812" s="331">
        <f t="shared" si="70"/>
        <v>1076.7385553355823</v>
      </c>
      <c r="N812" s="111">
        <f t="shared" si="69"/>
        <v>0</v>
      </c>
      <c r="O812" s="111">
        <f t="shared" si="69"/>
        <v>0</v>
      </c>
      <c r="P812" s="111">
        <f t="shared" si="69"/>
        <v>0</v>
      </c>
      <c r="Q812" s="111">
        <f t="shared" si="69"/>
        <v>0</v>
      </c>
      <c r="R812" s="9"/>
      <c r="S812" s="9"/>
      <c r="T812" s="9"/>
      <c r="U812" s="9"/>
      <c r="V812" s="9"/>
      <c r="W812" s="9"/>
      <c r="X812" s="9"/>
      <c r="Y812" s="9"/>
      <c r="Z812" s="9"/>
      <c r="AB812" s="198"/>
      <c r="AC812" s="198"/>
      <c r="AD812" s="198"/>
      <c r="AE812" s="198"/>
      <c r="AF812" s="198"/>
      <c r="AG812" s="198"/>
      <c r="AH812" s="198"/>
      <c r="AI812" s="198"/>
      <c r="AJ812" s="198"/>
      <c r="AK812" s="198"/>
      <c r="AL812" s="198"/>
      <c r="AM812" s="198"/>
      <c r="AN812" s="198"/>
      <c r="AO812" s="198"/>
      <c r="AP812" s="198"/>
      <c r="AQ812" s="198"/>
      <c r="AR812" s="198"/>
      <c r="AS812" s="198"/>
      <c r="AT812" s="198"/>
      <c r="AU812" s="198"/>
      <c r="AV812" s="198"/>
      <c r="AW812" s="198"/>
      <c r="AX812" s="198"/>
      <c r="AY812" s="198"/>
      <c r="AZ812" s="198"/>
      <c r="BA812" s="198"/>
      <c r="BB812" s="198"/>
      <c r="BC812" s="198"/>
      <c r="BD812" s="198"/>
      <c r="BE812" s="198"/>
      <c r="BF812" s="198"/>
      <c r="BG812" s="198"/>
      <c r="BH812" s="198"/>
      <c r="BI812" s="198"/>
      <c r="BJ812" s="198"/>
      <c r="BK812" s="198"/>
      <c r="BL812" s="198"/>
    </row>
    <row r="813" spans="1:64" hidden="1" outlineLevel="1">
      <c r="A813" s="9"/>
      <c r="B813" s="9"/>
      <c r="C813" s="9"/>
      <c r="D813" s="270" t="str">
        <f>Asset6</f>
        <v>Establishment</v>
      </c>
      <c r="E813" s="9"/>
      <c r="F813" s="9"/>
      <c r="G813" s="9"/>
      <c r="H813" s="9"/>
      <c r="I813" s="9"/>
      <c r="J813" s="9"/>
      <c r="K813" s="9"/>
      <c r="L813" s="111">
        <f t="shared" si="69"/>
        <v>0</v>
      </c>
      <c r="M813" s="331">
        <f t="shared" si="70"/>
        <v>147.66929897409022</v>
      </c>
      <c r="N813" s="111">
        <f t="shared" si="69"/>
        <v>0</v>
      </c>
      <c r="O813" s="111">
        <f t="shared" si="69"/>
        <v>0</v>
      </c>
      <c r="P813" s="111">
        <f t="shared" si="69"/>
        <v>0</v>
      </c>
      <c r="Q813" s="111">
        <f t="shared" si="69"/>
        <v>0</v>
      </c>
      <c r="R813" s="9"/>
      <c r="S813" s="9"/>
      <c r="T813" s="9"/>
      <c r="U813" s="9"/>
      <c r="V813" s="9"/>
      <c r="W813" s="9"/>
      <c r="X813" s="9"/>
      <c r="Y813" s="9"/>
      <c r="Z813" s="9"/>
      <c r="AB813" s="198"/>
      <c r="AC813" s="198"/>
      <c r="AD813" s="198"/>
      <c r="AE813" s="198"/>
      <c r="AF813" s="198"/>
      <c r="AG813" s="198"/>
      <c r="AH813" s="198"/>
      <c r="AI813" s="198"/>
      <c r="AJ813" s="198"/>
      <c r="AK813" s="198"/>
      <c r="AL813" s="198"/>
      <c r="AM813" s="198"/>
      <c r="AN813" s="198"/>
      <c r="AO813" s="198"/>
      <c r="AP813" s="198"/>
      <c r="AQ813" s="198"/>
      <c r="AR813" s="198"/>
      <c r="AS813" s="198"/>
      <c r="AT813" s="198"/>
      <c r="AU813" s="198"/>
      <c r="AV813" s="198"/>
      <c r="AW813" s="198"/>
      <c r="AX813" s="198"/>
      <c r="AY813" s="198"/>
      <c r="AZ813" s="198"/>
      <c r="BA813" s="198"/>
      <c r="BB813" s="198"/>
      <c r="BC813" s="198"/>
      <c r="BD813" s="198"/>
      <c r="BE813" s="198"/>
      <c r="BF813" s="198"/>
      <c r="BG813" s="198"/>
      <c r="BH813" s="198"/>
      <c r="BI813" s="198"/>
      <c r="BJ813" s="198"/>
      <c r="BK813" s="198"/>
      <c r="BL813" s="198"/>
    </row>
    <row r="814" spans="1:64" hidden="1" outlineLevel="1">
      <c r="A814" s="9"/>
      <c r="B814" s="9"/>
      <c r="C814" s="9"/>
      <c r="D814" s="270" t="str">
        <f>Asset7</f>
        <v>Communications</v>
      </c>
      <c r="E814" s="9"/>
      <c r="F814" s="9"/>
      <c r="G814" s="9"/>
      <c r="H814" s="9"/>
      <c r="I814" s="9"/>
      <c r="J814" s="9"/>
      <c r="K814" s="9"/>
      <c r="L814" s="111">
        <f t="shared" si="69"/>
        <v>0</v>
      </c>
      <c r="M814" s="331">
        <f t="shared" si="70"/>
        <v>21.578674566722913</v>
      </c>
      <c r="N814" s="111">
        <f t="shared" si="69"/>
        <v>0</v>
      </c>
      <c r="O814" s="111">
        <f t="shared" si="69"/>
        <v>0</v>
      </c>
      <c r="P814" s="111">
        <f t="shared" si="69"/>
        <v>0</v>
      </c>
      <c r="Q814" s="111">
        <f t="shared" si="69"/>
        <v>0</v>
      </c>
      <c r="R814" s="9"/>
      <c r="S814" s="9"/>
      <c r="T814" s="9"/>
      <c r="U814" s="9"/>
      <c r="V814" s="9"/>
      <c r="W814" s="9"/>
      <c r="X814" s="9"/>
      <c r="Y814" s="9"/>
      <c r="Z814" s="9"/>
      <c r="AB814" s="198"/>
      <c r="AC814" s="198"/>
      <c r="AD814" s="198"/>
      <c r="AE814" s="198"/>
      <c r="AF814" s="198"/>
      <c r="AG814" s="198"/>
      <c r="AH814" s="198"/>
      <c r="AI814" s="198"/>
      <c r="AJ814" s="198"/>
      <c r="AK814" s="198"/>
      <c r="AL814" s="198"/>
      <c r="AM814" s="198"/>
      <c r="AN814" s="198"/>
      <c r="AO814" s="198"/>
      <c r="AP814" s="198"/>
      <c r="AQ814" s="198"/>
      <c r="AR814" s="198"/>
      <c r="AS814" s="198"/>
      <c r="AT814" s="198"/>
      <c r="AU814" s="198"/>
      <c r="AV814" s="198"/>
      <c r="AW814" s="198"/>
      <c r="AX814" s="198"/>
      <c r="AY814" s="198"/>
      <c r="AZ814" s="198"/>
      <c r="BA814" s="198"/>
      <c r="BB814" s="198"/>
      <c r="BC814" s="198"/>
      <c r="BD814" s="198"/>
      <c r="BE814" s="198"/>
      <c r="BF814" s="198"/>
      <c r="BG814" s="198"/>
      <c r="BH814" s="198"/>
      <c r="BI814" s="198"/>
      <c r="BJ814" s="198"/>
      <c r="BK814" s="198"/>
      <c r="BL814" s="198"/>
    </row>
    <row r="815" spans="1:64" hidden="1" outlineLevel="1">
      <c r="A815" s="9"/>
      <c r="B815" s="9"/>
      <c r="C815" s="9"/>
      <c r="D815" s="270" t="str">
        <f>Asset8</f>
        <v>Inventory</v>
      </c>
      <c r="E815" s="9"/>
      <c r="F815" s="9"/>
      <c r="G815" s="9"/>
      <c r="H815" s="9"/>
      <c r="I815" s="9"/>
      <c r="J815" s="9"/>
      <c r="K815" s="9"/>
      <c r="L815" s="111">
        <f t="shared" si="69"/>
        <v>0</v>
      </c>
      <c r="M815" s="331">
        <f t="shared" si="70"/>
        <v>8.101365571660196</v>
      </c>
      <c r="N815" s="111">
        <f t="shared" si="69"/>
        <v>0</v>
      </c>
      <c r="O815" s="111">
        <f t="shared" si="69"/>
        <v>0</v>
      </c>
      <c r="P815" s="111">
        <f t="shared" si="69"/>
        <v>0</v>
      </c>
      <c r="Q815" s="111">
        <f t="shared" si="69"/>
        <v>0</v>
      </c>
      <c r="R815" s="9"/>
      <c r="S815" s="9"/>
      <c r="T815" s="9"/>
      <c r="U815" s="9"/>
      <c r="V815" s="9"/>
      <c r="W815" s="9"/>
      <c r="X815" s="9"/>
      <c r="Y815" s="9"/>
      <c r="Z815" s="9"/>
      <c r="AB815" s="198"/>
      <c r="AC815" s="198"/>
      <c r="AD815" s="198"/>
      <c r="AE815" s="198"/>
      <c r="AF815" s="198"/>
      <c r="AG815" s="198"/>
      <c r="AH815" s="198"/>
      <c r="AI815" s="198"/>
      <c r="AJ815" s="198"/>
      <c r="AK815" s="198"/>
      <c r="AL815" s="198"/>
      <c r="AM815" s="198"/>
      <c r="AN815" s="198"/>
      <c r="AO815" s="198"/>
      <c r="AP815" s="198"/>
      <c r="AQ815" s="198"/>
      <c r="AR815" s="198"/>
      <c r="AS815" s="198"/>
      <c r="AT815" s="198"/>
      <c r="AU815" s="198"/>
      <c r="AV815" s="198"/>
      <c r="AW815" s="198"/>
      <c r="AX815" s="198"/>
      <c r="AY815" s="198"/>
      <c r="AZ815" s="198"/>
      <c r="BA815" s="198"/>
      <c r="BB815" s="198"/>
      <c r="BC815" s="198"/>
      <c r="BD815" s="198"/>
      <c r="BE815" s="198"/>
      <c r="BF815" s="198"/>
      <c r="BG815" s="198"/>
      <c r="BH815" s="198"/>
      <c r="BI815" s="198"/>
      <c r="BJ815" s="198"/>
      <c r="BK815" s="198"/>
      <c r="BL815" s="198"/>
    </row>
    <row r="816" spans="1:64" hidden="1" outlineLevel="1">
      <c r="A816" s="9"/>
      <c r="B816" s="9"/>
      <c r="C816" s="9"/>
      <c r="D816" s="270" t="str">
        <f>Asset9</f>
        <v>IT</v>
      </c>
      <c r="E816" s="9"/>
      <c r="F816" s="9"/>
      <c r="G816" s="9"/>
      <c r="H816" s="9"/>
      <c r="I816" s="9"/>
      <c r="J816" s="9"/>
      <c r="K816" s="9"/>
      <c r="L816" s="111">
        <f t="shared" si="69"/>
        <v>0</v>
      </c>
      <c r="M816" s="331">
        <f t="shared" si="70"/>
        <v>75.049174317939489</v>
      </c>
      <c r="N816" s="111">
        <f t="shared" si="69"/>
        <v>0</v>
      </c>
      <c r="O816" s="111">
        <f t="shared" si="69"/>
        <v>0</v>
      </c>
      <c r="P816" s="111">
        <f t="shared" si="69"/>
        <v>0</v>
      </c>
      <c r="Q816" s="111">
        <f t="shared" si="69"/>
        <v>0</v>
      </c>
      <c r="R816" s="9"/>
      <c r="S816" s="9"/>
      <c r="T816" s="9"/>
      <c r="U816" s="9"/>
      <c r="V816" s="9"/>
      <c r="W816" s="9"/>
      <c r="X816" s="9"/>
      <c r="Y816" s="9"/>
      <c r="Z816" s="9"/>
      <c r="AB816" s="198"/>
      <c r="AC816" s="198"/>
      <c r="AD816" s="198"/>
      <c r="AE816" s="198"/>
      <c r="AF816" s="198"/>
      <c r="AG816" s="198"/>
      <c r="AH816" s="198"/>
      <c r="AI816" s="198"/>
      <c r="AJ816" s="198"/>
      <c r="AK816" s="198"/>
      <c r="AL816" s="198"/>
      <c r="AM816" s="198"/>
      <c r="AN816" s="198"/>
      <c r="AO816" s="198"/>
      <c r="AP816" s="198"/>
      <c r="AQ816" s="198"/>
      <c r="AR816" s="198"/>
      <c r="AS816" s="198"/>
      <c r="AT816" s="198"/>
      <c r="AU816" s="198"/>
      <c r="AV816" s="198"/>
      <c r="AW816" s="198"/>
      <c r="AX816" s="198"/>
      <c r="AY816" s="198"/>
      <c r="AZ816" s="198"/>
      <c r="BA816" s="198"/>
      <c r="BB816" s="198"/>
      <c r="BC816" s="198"/>
      <c r="BD816" s="198"/>
      <c r="BE816" s="198"/>
      <c r="BF816" s="198"/>
      <c r="BG816" s="198"/>
      <c r="BH816" s="198"/>
      <c r="BI816" s="198"/>
      <c r="BJ816" s="198"/>
      <c r="BK816" s="198"/>
      <c r="BL816" s="198"/>
    </row>
    <row r="817" spans="1:64" hidden="1" outlineLevel="1">
      <c r="A817" s="9"/>
      <c r="B817" s="9"/>
      <c r="C817" s="9"/>
      <c r="D817" s="270" t="str">
        <f>Asset10</f>
        <v>Vehicles</v>
      </c>
      <c r="E817" s="9"/>
      <c r="F817" s="9"/>
      <c r="G817" s="9"/>
      <c r="H817" s="9"/>
      <c r="I817" s="9"/>
      <c r="J817" s="9"/>
      <c r="K817" s="9"/>
      <c r="L817" s="111">
        <f t="shared" si="69"/>
        <v>0</v>
      </c>
      <c r="M817" s="331">
        <f t="shared" si="70"/>
        <v>5.7468867792595972</v>
      </c>
      <c r="N817" s="111">
        <f t="shared" si="69"/>
        <v>0</v>
      </c>
      <c r="O817" s="111">
        <f t="shared" si="69"/>
        <v>0</v>
      </c>
      <c r="P817" s="111">
        <f t="shared" si="69"/>
        <v>0</v>
      </c>
      <c r="Q817" s="111">
        <f t="shared" si="69"/>
        <v>0</v>
      </c>
      <c r="R817" s="9"/>
      <c r="S817" s="9"/>
      <c r="T817" s="9"/>
      <c r="U817" s="9"/>
      <c r="V817" s="9"/>
      <c r="W817" s="9"/>
      <c r="X817" s="9"/>
      <c r="Y817" s="9"/>
      <c r="Z817" s="9"/>
      <c r="AB817" s="198"/>
      <c r="AC817" s="198"/>
      <c r="AD817" s="198"/>
      <c r="AE817" s="198"/>
      <c r="AF817" s="198"/>
      <c r="AG817" s="198"/>
      <c r="AH817" s="198"/>
      <c r="AI817" s="198"/>
      <c r="AJ817" s="198"/>
      <c r="AK817" s="198"/>
      <c r="AL817" s="198"/>
      <c r="AM817" s="198"/>
      <c r="AN817" s="198"/>
      <c r="AO817" s="198"/>
      <c r="AP817" s="198"/>
      <c r="AQ817" s="198"/>
      <c r="AR817" s="198"/>
      <c r="AS817" s="198"/>
      <c r="AT817" s="198"/>
      <c r="AU817" s="198"/>
      <c r="AV817" s="198"/>
      <c r="AW817" s="198"/>
      <c r="AX817" s="198"/>
      <c r="AY817" s="198"/>
      <c r="AZ817" s="198"/>
      <c r="BA817" s="198"/>
      <c r="BB817" s="198"/>
      <c r="BC817" s="198"/>
      <c r="BD817" s="198"/>
      <c r="BE817" s="198"/>
      <c r="BF817" s="198"/>
      <c r="BG817" s="198"/>
      <c r="BH817" s="198"/>
      <c r="BI817" s="198"/>
      <c r="BJ817" s="198"/>
      <c r="BK817" s="198"/>
      <c r="BL817" s="198"/>
    </row>
    <row r="818" spans="1:64" hidden="1" outlineLevel="1">
      <c r="A818" s="9"/>
      <c r="B818" s="9"/>
      <c r="C818" s="9"/>
      <c r="D818" s="270" t="str">
        <f>Asset11</f>
        <v>other</v>
      </c>
      <c r="E818" s="9"/>
      <c r="F818" s="9"/>
      <c r="G818" s="9"/>
      <c r="H818" s="9"/>
      <c r="I818" s="9"/>
      <c r="J818" s="9"/>
      <c r="K818" s="9"/>
      <c r="L818" s="111">
        <f t="shared" ref="L818:Q825" si="71">IF(M$666=0, L677+L709+L741, 0)</f>
        <v>0</v>
      </c>
      <c r="M818" s="331">
        <f t="shared" si="70"/>
        <v>19.13488297089155</v>
      </c>
      <c r="N818" s="111">
        <f t="shared" si="71"/>
        <v>0</v>
      </c>
      <c r="O818" s="111">
        <f t="shared" si="71"/>
        <v>0</v>
      </c>
      <c r="P818" s="111">
        <f t="shared" si="71"/>
        <v>0</v>
      </c>
      <c r="Q818" s="111">
        <f t="shared" si="71"/>
        <v>0</v>
      </c>
      <c r="R818" s="9"/>
      <c r="S818" s="9"/>
      <c r="T818" s="9"/>
      <c r="U818" s="9"/>
      <c r="V818" s="9"/>
      <c r="W818" s="9"/>
      <c r="X818" s="9"/>
      <c r="Y818" s="9"/>
      <c r="Z818" s="9"/>
      <c r="AB818" s="198"/>
      <c r="AC818" s="198"/>
      <c r="AD818" s="198"/>
      <c r="AE818" s="198"/>
      <c r="AF818" s="198"/>
      <c r="AG818" s="198"/>
      <c r="AH818" s="198"/>
      <c r="AI818" s="198"/>
      <c r="AJ818" s="198"/>
      <c r="AK818" s="198"/>
      <c r="AL818" s="198"/>
      <c r="AM818" s="198"/>
      <c r="AN818" s="198"/>
      <c r="AO818" s="198"/>
      <c r="AP818" s="198"/>
      <c r="AQ818" s="198"/>
      <c r="AR818" s="198"/>
      <c r="AS818" s="198"/>
      <c r="AT818" s="198"/>
      <c r="AU818" s="198"/>
      <c r="AV818" s="198"/>
      <c r="AW818" s="198"/>
      <c r="AX818" s="198"/>
      <c r="AY818" s="198"/>
      <c r="AZ818" s="198"/>
      <c r="BA818" s="198"/>
      <c r="BB818" s="198"/>
      <c r="BC818" s="198"/>
      <c r="BD818" s="198"/>
      <c r="BE818" s="198"/>
      <c r="BF818" s="198"/>
      <c r="BG818" s="198"/>
      <c r="BH818" s="198"/>
      <c r="BI818" s="198"/>
      <c r="BJ818" s="198"/>
      <c r="BK818" s="198"/>
      <c r="BL818" s="198"/>
    </row>
    <row r="819" spans="1:64" hidden="1" outlineLevel="1">
      <c r="A819" s="9"/>
      <c r="B819" s="9"/>
      <c r="C819" s="9"/>
      <c r="D819" s="270" t="str">
        <f>Asset12</f>
        <v>premises</v>
      </c>
      <c r="E819" s="9"/>
      <c r="F819" s="9"/>
      <c r="G819" s="9"/>
      <c r="H819" s="9"/>
      <c r="I819" s="9"/>
      <c r="J819" s="9"/>
      <c r="K819" s="9"/>
      <c r="L819" s="111">
        <f t="shared" si="71"/>
        <v>0</v>
      </c>
      <c r="M819" s="331">
        <f t="shared" si="70"/>
        <v>2.7265288656924587</v>
      </c>
      <c r="N819" s="111">
        <f t="shared" si="71"/>
        <v>0</v>
      </c>
      <c r="O819" s="111">
        <f t="shared" si="71"/>
        <v>0</v>
      </c>
      <c r="P819" s="111">
        <f t="shared" si="71"/>
        <v>0</v>
      </c>
      <c r="Q819" s="111">
        <f t="shared" si="71"/>
        <v>0</v>
      </c>
      <c r="R819" s="9"/>
      <c r="S819" s="9"/>
      <c r="T819" s="9"/>
      <c r="U819" s="9"/>
      <c r="V819" s="9"/>
      <c r="W819" s="9"/>
      <c r="X819" s="9"/>
      <c r="Y819" s="9"/>
      <c r="Z819" s="9"/>
      <c r="AB819" s="198"/>
      <c r="AC819" s="198"/>
      <c r="AD819" s="198"/>
      <c r="AE819" s="198"/>
      <c r="AF819" s="198"/>
      <c r="AG819" s="198"/>
      <c r="AH819" s="198"/>
      <c r="AI819" s="198"/>
      <c r="AJ819" s="198"/>
      <c r="AK819" s="198"/>
      <c r="AL819" s="198"/>
      <c r="AM819" s="198"/>
      <c r="AN819" s="198"/>
      <c r="AO819" s="198"/>
      <c r="AP819" s="198"/>
      <c r="AQ819" s="198"/>
      <c r="AR819" s="198"/>
      <c r="AS819" s="198"/>
      <c r="AT819" s="198"/>
      <c r="AU819" s="198"/>
      <c r="AV819" s="198"/>
      <c r="AW819" s="198"/>
      <c r="AX819" s="198"/>
      <c r="AY819" s="198"/>
      <c r="AZ819" s="198"/>
      <c r="BA819" s="198"/>
      <c r="BB819" s="198"/>
      <c r="BC819" s="198"/>
      <c r="BD819" s="198"/>
      <c r="BE819" s="198"/>
      <c r="BF819" s="198"/>
      <c r="BG819" s="198"/>
      <c r="BH819" s="198"/>
      <c r="BI819" s="198"/>
      <c r="BJ819" s="198"/>
      <c r="BK819" s="198"/>
      <c r="BL819" s="198"/>
    </row>
    <row r="820" spans="1:64" hidden="1" outlineLevel="1">
      <c r="A820" s="9"/>
      <c r="B820" s="9"/>
      <c r="C820" s="9"/>
      <c r="D820" s="270" t="str">
        <f>Asset13</f>
        <v>Land</v>
      </c>
      <c r="E820" s="9"/>
      <c r="F820" s="9"/>
      <c r="G820" s="9"/>
      <c r="H820" s="9"/>
      <c r="I820" s="9"/>
      <c r="J820" s="9"/>
      <c r="K820" s="9"/>
      <c r="L820" s="111">
        <f t="shared" si="71"/>
        <v>0</v>
      </c>
      <c r="M820" s="331">
        <f t="shared" si="70"/>
        <v>111.02770744609418</v>
      </c>
      <c r="N820" s="111">
        <f t="shared" si="71"/>
        <v>0</v>
      </c>
      <c r="O820" s="111">
        <f t="shared" si="71"/>
        <v>0</v>
      </c>
      <c r="P820" s="111">
        <f t="shared" si="71"/>
        <v>0</v>
      </c>
      <c r="Q820" s="111">
        <f t="shared" si="71"/>
        <v>0</v>
      </c>
      <c r="R820" s="9"/>
      <c r="S820" s="9"/>
      <c r="T820" s="9"/>
      <c r="U820" s="9"/>
      <c r="V820" s="9"/>
      <c r="W820" s="9"/>
      <c r="X820" s="9"/>
      <c r="Y820" s="9"/>
      <c r="Z820" s="9"/>
      <c r="AB820" s="198"/>
      <c r="AC820" s="198"/>
      <c r="AD820" s="198"/>
      <c r="AE820" s="198"/>
      <c r="AF820" s="198"/>
      <c r="AG820" s="198"/>
      <c r="AH820" s="198"/>
      <c r="AI820" s="198"/>
      <c r="AJ820" s="198"/>
      <c r="AK820" s="198"/>
      <c r="AL820" s="198"/>
      <c r="AM820" s="198"/>
      <c r="AN820" s="198"/>
      <c r="AO820" s="198"/>
      <c r="AP820" s="198"/>
      <c r="AQ820" s="198"/>
      <c r="AR820" s="198"/>
      <c r="AS820" s="198"/>
      <c r="AT820" s="198"/>
      <c r="AU820" s="198"/>
      <c r="AV820" s="198"/>
      <c r="AW820" s="198"/>
      <c r="AX820" s="198"/>
      <c r="AY820" s="198"/>
      <c r="AZ820" s="198"/>
      <c r="BA820" s="198"/>
      <c r="BB820" s="198"/>
      <c r="BC820" s="198"/>
      <c r="BD820" s="198"/>
      <c r="BE820" s="198"/>
      <c r="BF820" s="198"/>
      <c r="BG820" s="198"/>
      <c r="BH820" s="198"/>
      <c r="BI820" s="198"/>
      <c r="BJ820" s="198"/>
      <c r="BK820" s="198"/>
      <c r="BL820" s="198"/>
    </row>
    <row r="821" spans="1:64" hidden="1" outlineLevel="1">
      <c r="A821" s="9"/>
      <c r="B821" s="9"/>
      <c r="C821" s="9"/>
      <c r="D821" s="270" t="str">
        <f>Asset14</f>
        <v>Easements</v>
      </c>
      <c r="E821" s="9"/>
      <c r="F821" s="9"/>
      <c r="G821" s="9"/>
      <c r="H821" s="9"/>
      <c r="I821" s="9"/>
      <c r="J821" s="9"/>
      <c r="K821" s="9"/>
      <c r="L821" s="111">
        <f t="shared" si="71"/>
        <v>0</v>
      </c>
      <c r="M821" s="331">
        <f t="shared" si="70"/>
        <v>127.92240495514515</v>
      </c>
      <c r="N821" s="111">
        <f t="shared" si="71"/>
        <v>0</v>
      </c>
      <c r="O821" s="111">
        <f t="shared" si="71"/>
        <v>0</v>
      </c>
      <c r="P821" s="111">
        <f t="shared" si="71"/>
        <v>0</v>
      </c>
      <c r="Q821" s="111">
        <f t="shared" si="71"/>
        <v>0</v>
      </c>
      <c r="R821" s="9"/>
      <c r="S821" s="9"/>
      <c r="T821" s="9"/>
      <c r="U821" s="9"/>
      <c r="V821" s="9"/>
      <c r="W821" s="9"/>
      <c r="X821" s="9"/>
      <c r="Y821" s="9"/>
      <c r="Z821" s="9"/>
      <c r="AB821" s="198"/>
      <c r="AC821" s="198"/>
      <c r="AD821" s="198"/>
      <c r="AE821" s="198"/>
      <c r="AF821" s="198"/>
      <c r="AG821" s="198"/>
      <c r="AH821" s="198"/>
      <c r="AI821" s="198"/>
      <c r="AJ821" s="198"/>
      <c r="AK821" s="198"/>
      <c r="AL821" s="198"/>
      <c r="AM821" s="198"/>
      <c r="AN821" s="198"/>
      <c r="AO821" s="198"/>
      <c r="AP821" s="198"/>
      <c r="AQ821" s="198"/>
      <c r="AR821" s="198"/>
      <c r="AS821" s="198"/>
      <c r="AT821" s="198"/>
      <c r="AU821" s="198"/>
      <c r="AV821" s="198"/>
      <c r="AW821" s="198"/>
      <c r="AX821" s="198"/>
      <c r="AY821" s="198"/>
      <c r="AZ821" s="198"/>
      <c r="BA821" s="198"/>
      <c r="BB821" s="198"/>
      <c r="BC821" s="198"/>
      <c r="BD821" s="198"/>
      <c r="BE821" s="198"/>
      <c r="BF821" s="198"/>
      <c r="BG821" s="198"/>
      <c r="BH821" s="198"/>
      <c r="BI821" s="198"/>
      <c r="BJ821" s="198"/>
      <c r="BK821" s="198"/>
      <c r="BL821" s="198"/>
    </row>
    <row r="822" spans="1:64" hidden="1" outlineLevel="1">
      <c r="A822" s="9"/>
      <c r="B822" s="9"/>
      <c r="C822" s="9"/>
      <c r="D822" s="270">
        <f>Asset15</f>
        <v>0</v>
      </c>
      <c r="E822" s="9"/>
      <c r="F822" s="9"/>
      <c r="G822" s="9"/>
      <c r="H822" s="9"/>
      <c r="I822" s="9"/>
      <c r="J822" s="9"/>
      <c r="K822" s="9"/>
      <c r="L822" s="111">
        <f t="shared" si="71"/>
        <v>0</v>
      </c>
      <c r="M822" s="331">
        <f t="shared" si="70"/>
        <v>0</v>
      </c>
      <c r="N822" s="111">
        <f t="shared" si="71"/>
        <v>0</v>
      </c>
      <c r="O822" s="111">
        <f t="shared" si="71"/>
        <v>0</v>
      </c>
      <c r="P822" s="111">
        <f t="shared" si="71"/>
        <v>0</v>
      </c>
      <c r="Q822" s="111">
        <f t="shared" si="71"/>
        <v>0</v>
      </c>
      <c r="R822" s="9"/>
      <c r="S822" s="9"/>
      <c r="T822" s="9"/>
      <c r="U822" s="9"/>
      <c r="V822" s="9"/>
      <c r="W822" s="9"/>
      <c r="X822" s="9"/>
      <c r="Y822" s="9"/>
      <c r="Z822" s="9"/>
      <c r="AB822" s="198"/>
      <c r="AC822" s="198"/>
      <c r="AD822" s="198"/>
      <c r="AE822" s="198"/>
      <c r="AF822" s="198"/>
      <c r="AG822" s="198"/>
      <c r="AH822" s="198"/>
      <c r="AI822" s="198"/>
      <c r="AJ822" s="198"/>
      <c r="AK822" s="198"/>
      <c r="AL822" s="198"/>
      <c r="AM822" s="198"/>
      <c r="AN822" s="198"/>
      <c r="AO822" s="198"/>
      <c r="AP822" s="198"/>
      <c r="AQ822" s="198"/>
      <c r="AR822" s="198"/>
      <c r="AS822" s="198"/>
      <c r="AT822" s="198"/>
      <c r="AU822" s="198"/>
      <c r="AV822" s="198"/>
      <c r="AW822" s="198"/>
      <c r="AX822" s="198"/>
      <c r="AY822" s="198"/>
      <c r="AZ822" s="198"/>
      <c r="BA822" s="198"/>
      <c r="BB822" s="198"/>
      <c r="BC822" s="198"/>
      <c r="BD822" s="198"/>
      <c r="BE822" s="198"/>
      <c r="BF822" s="198"/>
      <c r="BG822" s="198"/>
      <c r="BH822" s="198"/>
      <c r="BI822" s="198"/>
      <c r="BJ822" s="198"/>
      <c r="BK822" s="198"/>
      <c r="BL822" s="198"/>
    </row>
    <row r="823" spans="1:64" hidden="1" outlineLevel="1">
      <c r="A823" s="9"/>
      <c r="B823" s="9"/>
      <c r="C823" s="9"/>
      <c r="D823" s="270">
        <f>Asset16</f>
        <v>0</v>
      </c>
      <c r="E823" s="9"/>
      <c r="F823" s="9"/>
      <c r="G823" s="9"/>
      <c r="H823" s="9"/>
      <c r="I823" s="9"/>
      <c r="J823" s="9"/>
      <c r="K823" s="9"/>
      <c r="L823" s="111">
        <f t="shared" si="71"/>
        <v>0</v>
      </c>
      <c r="M823" s="331">
        <f t="shared" si="70"/>
        <v>0</v>
      </c>
      <c r="N823" s="111">
        <f t="shared" si="71"/>
        <v>0</v>
      </c>
      <c r="O823" s="111">
        <f t="shared" si="71"/>
        <v>0</v>
      </c>
      <c r="P823" s="111">
        <f t="shared" si="71"/>
        <v>0</v>
      </c>
      <c r="Q823" s="111">
        <f t="shared" si="71"/>
        <v>0</v>
      </c>
      <c r="R823" s="9"/>
      <c r="S823" s="9"/>
      <c r="T823" s="9"/>
      <c r="U823" s="9"/>
      <c r="V823" s="9"/>
      <c r="W823" s="9"/>
      <c r="X823" s="9"/>
      <c r="Y823" s="9"/>
      <c r="Z823" s="9"/>
      <c r="AB823" s="198"/>
      <c r="AC823" s="198"/>
      <c r="AD823" s="198"/>
      <c r="AE823" s="198"/>
      <c r="AF823" s="198"/>
      <c r="AG823" s="198"/>
      <c r="AH823" s="198"/>
      <c r="AI823" s="198"/>
      <c r="AJ823" s="198"/>
      <c r="AK823" s="198"/>
      <c r="AL823" s="198"/>
      <c r="AM823" s="198"/>
      <c r="AN823" s="198"/>
      <c r="AO823" s="198"/>
      <c r="AP823" s="198"/>
      <c r="AQ823" s="198"/>
      <c r="AR823" s="198"/>
      <c r="AS823" s="198"/>
      <c r="AT823" s="198"/>
      <c r="AU823" s="198"/>
      <c r="AV823" s="198"/>
      <c r="AW823" s="198"/>
      <c r="AX823" s="198"/>
      <c r="AY823" s="198"/>
      <c r="AZ823" s="198"/>
      <c r="BA823" s="198"/>
      <c r="BB823" s="198"/>
      <c r="BC823" s="198"/>
      <c r="BD823" s="198"/>
      <c r="BE823" s="198"/>
      <c r="BF823" s="198"/>
      <c r="BG823" s="198"/>
      <c r="BH823" s="198"/>
      <c r="BI823" s="198"/>
      <c r="BJ823" s="198"/>
      <c r="BK823" s="198"/>
      <c r="BL823" s="198"/>
    </row>
    <row r="824" spans="1:64" hidden="1" outlineLevel="1">
      <c r="A824" s="9"/>
      <c r="B824" s="9"/>
      <c r="C824" s="9"/>
      <c r="D824" s="270">
        <f>Asset17</f>
        <v>0</v>
      </c>
      <c r="E824" s="9"/>
      <c r="F824" s="9"/>
      <c r="G824" s="9"/>
      <c r="H824" s="9"/>
      <c r="I824" s="9"/>
      <c r="J824" s="9"/>
      <c r="K824" s="9"/>
      <c r="L824" s="111">
        <f t="shared" si="71"/>
        <v>0</v>
      </c>
      <c r="M824" s="331">
        <f t="shared" si="70"/>
        <v>0</v>
      </c>
      <c r="N824" s="111">
        <f t="shared" si="71"/>
        <v>0</v>
      </c>
      <c r="O824" s="111">
        <f t="shared" si="71"/>
        <v>0</v>
      </c>
      <c r="P824" s="111">
        <f t="shared" si="71"/>
        <v>0</v>
      </c>
      <c r="Q824" s="111">
        <f t="shared" si="71"/>
        <v>0</v>
      </c>
      <c r="R824" s="9"/>
      <c r="S824" s="9"/>
      <c r="T824" s="9"/>
      <c r="U824" s="9"/>
      <c r="V824" s="9"/>
      <c r="W824" s="9"/>
      <c r="X824" s="9"/>
      <c r="Y824" s="9"/>
      <c r="Z824" s="9"/>
      <c r="AB824" s="198"/>
      <c r="AC824" s="198"/>
      <c r="AD824" s="198"/>
      <c r="AE824" s="198"/>
      <c r="AF824" s="198"/>
      <c r="AG824" s="198"/>
      <c r="AH824" s="198"/>
      <c r="AI824" s="198"/>
      <c r="AJ824" s="198"/>
      <c r="AK824" s="198"/>
      <c r="AL824" s="198"/>
      <c r="AM824" s="198"/>
      <c r="AN824" s="198"/>
      <c r="AO824" s="198"/>
      <c r="AP824" s="198"/>
      <c r="AQ824" s="198"/>
      <c r="AR824" s="198"/>
      <c r="AS824" s="198"/>
      <c r="AT824" s="198"/>
      <c r="AU824" s="198"/>
      <c r="AV824" s="198"/>
      <c r="AW824" s="198"/>
      <c r="AX824" s="198"/>
      <c r="AY824" s="198"/>
      <c r="AZ824" s="198"/>
      <c r="BA824" s="198"/>
      <c r="BB824" s="198"/>
      <c r="BC824" s="198"/>
      <c r="BD824" s="198"/>
      <c r="BE824" s="198"/>
      <c r="BF824" s="198"/>
      <c r="BG824" s="198"/>
      <c r="BH824" s="198"/>
      <c r="BI824" s="198"/>
      <c r="BJ824" s="198"/>
      <c r="BK824" s="198"/>
      <c r="BL824" s="198"/>
    </row>
    <row r="825" spans="1:64" hidden="1" outlineLevel="1">
      <c r="A825" s="9"/>
      <c r="B825" s="9"/>
      <c r="C825" s="9"/>
      <c r="D825" s="270">
        <f>Asset18</f>
        <v>0</v>
      </c>
      <c r="E825" s="9"/>
      <c r="F825" s="9"/>
      <c r="G825" s="9"/>
      <c r="H825" s="9"/>
      <c r="I825" s="9"/>
      <c r="J825" s="9"/>
      <c r="K825" s="9"/>
      <c r="L825" s="111">
        <f t="shared" si="71"/>
        <v>0</v>
      </c>
      <c r="M825" s="331">
        <f t="shared" si="70"/>
        <v>0</v>
      </c>
      <c r="N825" s="111">
        <f t="shared" si="71"/>
        <v>0</v>
      </c>
      <c r="O825" s="111">
        <f t="shared" si="71"/>
        <v>0</v>
      </c>
      <c r="P825" s="111">
        <f t="shared" si="71"/>
        <v>0</v>
      </c>
      <c r="Q825" s="111">
        <f t="shared" si="71"/>
        <v>0</v>
      </c>
      <c r="R825" s="9"/>
      <c r="S825" s="9"/>
      <c r="T825" s="9"/>
      <c r="U825" s="9"/>
      <c r="V825" s="9"/>
      <c r="W825" s="9"/>
      <c r="X825" s="9"/>
      <c r="Y825" s="9"/>
      <c r="Z825" s="9"/>
      <c r="AB825" s="198"/>
      <c r="AC825" s="198"/>
      <c r="AD825" s="198"/>
      <c r="AE825" s="198"/>
      <c r="AF825" s="198"/>
      <c r="AG825" s="198"/>
      <c r="AH825" s="198"/>
      <c r="AI825" s="198"/>
      <c r="AJ825" s="198"/>
      <c r="AK825" s="198"/>
      <c r="AL825" s="198"/>
      <c r="AM825" s="198"/>
      <c r="AN825" s="198"/>
      <c r="AO825" s="198"/>
      <c r="AP825" s="198"/>
      <c r="AQ825" s="198"/>
      <c r="AR825" s="198"/>
      <c r="AS825" s="198"/>
      <c r="AT825" s="198"/>
      <c r="AU825" s="198"/>
      <c r="AV825" s="198"/>
      <c r="AW825" s="198"/>
      <c r="AX825" s="198"/>
      <c r="AY825" s="198"/>
      <c r="AZ825" s="198"/>
      <c r="BA825" s="198"/>
      <c r="BB825" s="198"/>
      <c r="BC825" s="198"/>
      <c r="BD825" s="198"/>
      <c r="BE825" s="198"/>
      <c r="BF825" s="198"/>
      <c r="BG825" s="198"/>
      <c r="BH825" s="198"/>
      <c r="BI825" s="198"/>
      <c r="BJ825" s="198"/>
      <c r="BK825" s="198"/>
      <c r="BL825" s="198"/>
    </row>
    <row r="826" spans="1:64" hidden="1" outlineLevel="1">
      <c r="A826" s="9"/>
      <c r="B826" s="9"/>
      <c r="C826" s="9"/>
      <c r="D826" s="270">
        <f>Asset19</f>
        <v>0</v>
      </c>
      <c r="E826" s="9"/>
      <c r="F826" s="9"/>
      <c r="G826" s="9"/>
      <c r="H826" s="9"/>
      <c r="I826" s="9"/>
      <c r="J826" s="9"/>
      <c r="K826" s="9"/>
      <c r="L826" s="111">
        <f t="shared" ref="L826:Q826" si="72">IF(M$666=0, L685+L717+L749, 0)</f>
        <v>0</v>
      </c>
      <c r="M826" s="331">
        <f t="shared" si="70"/>
        <v>0</v>
      </c>
      <c r="N826" s="111">
        <f t="shared" si="72"/>
        <v>0</v>
      </c>
      <c r="O826" s="111">
        <f t="shared" si="72"/>
        <v>0</v>
      </c>
      <c r="P826" s="111">
        <f t="shared" si="72"/>
        <v>0</v>
      </c>
      <c r="Q826" s="111">
        <f t="shared" si="72"/>
        <v>0</v>
      </c>
      <c r="R826" s="9"/>
      <c r="S826" s="9"/>
      <c r="T826" s="9"/>
      <c r="U826" s="9"/>
      <c r="V826" s="9"/>
      <c r="W826" s="9"/>
      <c r="X826" s="9"/>
      <c r="Y826" s="9"/>
      <c r="Z826" s="9"/>
      <c r="AB826" s="198"/>
      <c r="AC826" s="198"/>
      <c r="AD826" s="198"/>
      <c r="AE826" s="198"/>
      <c r="AF826" s="198"/>
      <c r="AG826" s="198"/>
      <c r="AH826" s="198"/>
      <c r="AI826" s="198"/>
      <c r="AJ826" s="198"/>
      <c r="AK826" s="198"/>
      <c r="AL826" s="198"/>
      <c r="AM826" s="198"/>
      <c r="AN826" s="198"/>
      <c r="AO826" s="198"/>
      <c r="AP826" s="198"/>
      <c r="AQ826" s="198"/>
      <c r="AR826" s="198"/>
      <c r="AS826" s="198"/>
      <c r="AT826" s="198"/>
      <c r="AU826" s="198"/>
      <c r="AV826" s="198"/>
      <c r="AW826" s="198"/>
      <c r="AX826" s="198"/>
      <c r="AY826" s="198"/>
      <c r="AZ826" s="198"/>
      <c r="BA826" s="198"/>
      <c r="BB826" s="198"/>
      <c r="BC826" s="198"/>
      <c r="BD826" s="198"/>
      <c r="BE826" s="198"/>
      <c r="BF826" s="198"/>
      <c r="BG826" s="198"/>
      <c r="BH826" s="198"/>
      <c r="BI826" s="198"/>
      <c r="BJ826" s="198"/>
      <c r="BK826" s="198"/>
      <c r="BL826" s="198"/>
    </row>
    <row r="827" spans="1:64" hidden="1" outlineLevel="1">
      <c r="B827" s="9"/>
      <c r="C827" s="9"/>
      <c r="D827" s="270">
        <f>Asset20</f>
        <v>0</v>
      </c>
      <c r="E827" s="9"/>
      <c r="F827" s="9"/>
      <c r="G827" s="9"/>
      <c r="H827" s="9"/>
      <c r="I827" s="9"/>
      <c r="J827" s="9"/>
      <c r="K827" s="9"/>
      <c r="L827" s="111">
        <f t="shared" ref="L827:Q827" si="73">IF(M$666=0, L686+L718+L750, 0)</f>
        <v>0</v>
      </c>
      <c r="M827" s="331">
        <f t="shared" si="70"/>
        <v>0</v>
      </c>
      <c r="N827" s="111">
        <f t="shared" si="73"/>
        <v>0</v>
      </c>
      <c r="O827" s="111">
        <f t="shared" si="73"/>
        <v>0</v>
      </c>
      <c r="P827" s="111">
        <f t="shared" si="73"/>
        <v>0</v>
      </c>
      <c r="Q827" s="111">
        <f t="shared" si="73"/>
        <v>0</v>
      </c>
      <c r="R827" s="9"/>
      <c r="S827" s="9"/>
      <c r="T827" s="9"/>
      <c r="U827" s="9"/>
      <c r="V827" s="9"/>
      <c r="W827" s="9"/>
      <c r="X827" s="9"/>
      <c r="Y827" s="9"/>
      <c r="Z827" s="9"/>
      <c r="AB827" s="198"/>
      <c r="AC827" s="198"/>
      <c r="AD827" s="198"/>
      <c r="AE827" s="198"/>
      <c r="AF827" s="198"/>
      <c r="AG827" s="198"/>
      <c r="AH827" s="198"/>
      <c r="AI827" s="198"/>
      <c r="AJ827" s="198"/>
      <c r="AK827" s="198"/>
      <c r="AL827" s="198"/>
      <c r="AM827" s="198"/>
      <c r="AN827" s="198"/>
      <c r="AO827" s="198"/>
      <c r="AP827" s="198"/>
      <c r="AQ827" s="198"/>
      <c r="AR827" s="198"/>
      <c r="AS827" s="198"/>
      <c r="AT827" s="198"/>
      <c r="AU827" s="198"/>
      <c r="AV827" s="198"/>
      <c r="AW827" s="198"/>
      <c r="AX827" s="198"/>
      <c r="AY827" s="198"/>
      <c r="AZ827" s="198"/>
      <c r="BA827" s="198"/>
      <c r="BB827" s="198"/>
      <c r="BC827" s="198"/>
      <c r="BD827" s="198"/>
      <c r="BE827" s="198"/>
      <c r="BF827" s="198"/>
      <c r="BG827" s="198"/>
      <c r="BH827" s="198"/>
      <c r="BI827" s="198"/>
      <c r="BJ827" s="198"/>
      <c r="BK827" s="198"/>
      <c r="BL827" s="198"/>
    </row>
    <row r="828" spans="1:64" hidden="1" outlineLevel="1">
      <c r="B828" s="9"/>
      <c r="C828" s="9"/>
      <c r="D828" s="270">
        <f>Asset21</f>
        <v>0</v>
      </c>
      <c r="E828" s="9"/>
      <c r="F828" s="9"/>
      <c r="G828" s="9"/>
      <c r="H828" s="9"/>
      <c r="I828" s="9"/>
      <c r="J828" s="9"/>
      <c r="K828" s="9"/>
      <c r="L828" s="111">
        <f t="shared" ref="L828:Q836" si="74">IF(M$666=0, L687+L719+L751, 0)</f>
        <v>0</v>
      </c>
      <c r="M828" s="111">
        <f t="shared" si="74"/>
        <v>0</v>
      </c>
      <c r="N828" s="111">
        <f t="shared" si="74"/>
        <v>0</v>
      </c>
      <c r="O828" s="111">
        <f t="shared" si="74"/>
        <v>0</v>
      </c>
      <c r="P828" s="111">
        <f t="shared" si="74"/>
        <v>0</v>
      </c>
      <c r="Q828" s="111">
        <f t="shared" si="74"/>
        <v>0</v>
      </c>
      <c r="R828" s="9"/>
      <c r="S828" s="9"/>
      <c r="T828" s="9"/>
      <c r="U828" s="9"/>
      <c r="V828" s="9"/>
      <c r="W828" s="9"/>
      <c r="X828" s="9"/>
      <c r="Y828" s="9"/>
      <c r="Z828" s="9"/>
      <c r="AB828" s="198"/>
      <c r="AC828" s="198"/>
      <c r="AD828" s="198"/>
      <c r="AE828" s="198"/>
      <c r="AF828" s="198"/>
      <c r="AG828" s="198"/>
      <c r="AH828" s="198"/>
      <c r="AI828" s="198"/>
      <c r="AJ828" s="198"/>
      <c r="AK828" s="198"/>
      <c r="AL828" s="198"/>
      <c r="AM828" s="198"/>
      <c r="AN828" s="198"/>
      <c r="AO828" s="198"/>
      <c r="AP828" s="198"/>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row>
    <row r="829" spans="1:64" hidden="1" outlineLevel="1">
      <c r="B829" s="9"/>
      <c r="C829" s="9"/>
      <c r="D829" s="270">
        <f>Asset22</f>
        <v>0</v>
      </c>
      <c r="E829" s="9"/>
      <c r="F829" s="9"/>
      <c r="G829" s="9"/>
      <c r="H829" s="9"/>
      <c r="I829" s="9"/>
      <c r="J829" s="9"/>
      <c r="K829" s="9"/>
      <c r="L829" s="111">
        <f t="shared" si="74"/>
        <v>0</v>
      </c>
      <c r="M829" s="111">
        <f t="shared" si="74"/>
        <v>0</v>
      </c>
      <c r="N829" s="111">
        <f t="shared" si="74"/>
        <v>0</v>
      </c>
      <c r="O829" s="111">
        <f t="shared" si="74"/>
        <v>0</v>
      </c>
      <c r="P829" s="111">
        <f t="shared" si="74"/>
        <v>0</v>
      </c>
      <c r="Q829" s="111">
        <f t="shared" si="74"/>
        <v>0</v>
      </c>
      <c r="R829" s="9"/>
      <c r="S829" s="9"/>
      <c r="T829" s="9"/>
      <c r="U829" s="9"/>
      <c r="V829" s="9"/>
      <c r="W829" s="9"/>
      <c r="X829" s="9"/>
      <c r="Y829" s="9"/>
      <c r="Z829" s="9"/>
      <c r="AB829" s="198"/>
      <c r="AC829" s="198"/>
      <c r="AD829" s="198"/>
      <c r="AE829" s="198"/>
      <c r="AF829" s="198"/>
      <c r="AG829" s="198"/>
      <c r="AH829" s="198"/>
      <c r="AI829" s="198"/>
      <c r="AJ829" s="198"/>
      <c r="AK829" s="198"/>
      <c r="AL829" s="198"/>
      <c r="AM829" s="198"/>
      <c r="AN829" s="198"/>
      <c r="AO829" s="198"/>
      <c r="AP829" s="198"/>
      <c r="AQ829" s="198"/>
      <c r="AR829" s="198"/>
      <c r="AS829" s="198"/>
      <c r="AT829" s="198"/>
      <c r="AU829" s="198"/>
      <c r="AV829" s="198"/>
      <c r="AW829" s="198"/>
      <c r="AX829" s="198"/>
      <c r="AY829" s="198"/>
      <c r="AZ829" s="198"/>
      <c r="BA829" s="198"/>
      <c r="BB829" s="198"/>
      <c r="BC829" s="198"/>
      <c r="BD829" s="198"/>
      <c r="BE829" s="198"/>
      <c r="BF829" s="198"/>
      <c r="BG829" s="198"/>
      <c r="BH829" s="198"/>
      <c r="BI829" s="198"/>
      <c r="BJ829" s="198"/>
      <c r="BK829" s="198"/>
      <c r="BL829" s="198"/>
    </row>
    <row r="830" spans="1:64" hidden="1" outlineLevel="1">
      <c r="B830" s="9"/>
      <c r="C830" s="9"/>
      <c r="D830" s="270">
        <f>Asset23</f>
        <v>0</v>
      </c>
      <c r="E830" s="9"/>
      <c r="F830" s="9"/>
      <c r="G830" s="9"/>
      <c r="H830" s="9"/>
      <c r="I830" s="9"/>
      <c r="J830" s="9"/>
      <c r="K830" s="9"/>
      <c r="L830" s="111">
        <f t="shared" si="74"/>
        <v>0</v>
      </c>
      <c r="M830" s="111">
        <f t="shared" si="74"/>
        <v>0</v>
      </c>
      <c r="N830" s="111">
        <f t="shared" si="74"/>
        <v>0</v>
      </c>
      <c r="O830" s="111">
        <f t="shared" si="74"/>
        <v>0</v>
      </c>
      <c r="P830" s="111">
        <f t="shared" si="74"/>
        <v>0</v>
      </c>
      <c r="Q830" s="111">
        <f t="shared" si="74"/>
        <v>0</v>
      </c>
      <c r="R830" s="9"/>
      <c r="S830" s="9"/>
      <c r="T830" s="9"/>
      <c r="U830" s="9"/>
      <c r="V830" s="9"/>
      <c r="W830" s="9"/>
      <c r="X830" s="9"/>
      <c r="Y830" s="9"/>
      <c r="Z830" s="9"/>
      <c r="AB830" s="198"/>
      <c r="AC830" s="198"/>
      <c r="AD830" s="198"/>
      <c r="AE830" s="198"/>
      <c r="AF830" s="198"/>
      <c r="AG830" s="198"/>
      <c r="AH830" s="198"/>
      <c r="AI830" s="198"/>
      <c r="AJ830" s="198"/>
      <c r="AK830" s="198"/>
      <c r="AL830" s="198"/>
      <c r="AM830" s="198"/>
      <c r="AN830" s="198"/>
      <c r="AO830" s="198"/>
      <c r="AP830" s="198"/>
      <c r="AQ830" s="198"/>
      <c r="AR830" s="198"/>
      <c r="AS830" s="198"/>
      <c r="AT830" s="198"/>
      <c r="AU830" s="198"/>
      <c r="AV830" s="198"/>
      <c r="AW830" s="198"/>
      <c r="AX830" s="198"/>
      <c r="AY830" s="198"/>
      <c r="AZ830" s="198"/>
      <c r="BA830" s="198"/>
      <c r="BB830" s="198"/>
      <c r="BC830" s="198"/>
      <c r="BD830" s="198"/>
      <c r="BE830" s="198"/>
      <c r="BF830" s="198"/>
      <c r="BG830" s="198"/>
      <c r="BH830" s="198"/>
      <c r="BI830" s="198"/>
      <c r="BJ830" s="198"/>
      <c r="BK830" s="198"/>
      <c r="BL830" s="198"/>
    </row>
    <row r="831" spans="1:64" hidden="1" outlineLevel="1">
      <c r="B831" s="9"/>
      <c r="C831" s="9"/>
      <c r="D831" s="270">
        <f>Asset24</f>
        <v>0</v>
      </c>
      <c r="E831" s="9"/>
      <c r="F831" s="9"/>
      <c r="G831" s="9"/>
      <c r="H831" s="9"/>
      <c r="I831" s="9"/>
      <c r="J831" s="9"/>
      <c r="K831" s="9"/>
      <c r="L831" s="111">
        <f t="shared" si="74"/>
        <v>0</v>
      </c>
      <c r="M831" s="111">
        <f t="shared" si="74"/>
        <v>0</v>
      </c>
      <c r="N831" s="111">
        <f t="shared" si="74"/>
        <v>0</v>
      </c>
      <c r="O831" s="111">
        <f t="shared" si="74"/>
        <v>0</v>
      </c>
      <c r="P831" s="111">
        <f t="shared" si="74"/>
        <v>0</v>
      </c>
      <c r="Q831" s="111">
        <f t="shared" si="74"/>
        <v>0</v>
      </c>
      <c r="R831" s="9"/>
      <c r="S831" s="9"/>
      <c r="T831" s="9"/>
      <c r="U831" s="9"/>
      <c r="V831" s="9"/>
      <c r="W831" s="9"/>
      <c r="X831" s="9"/>
      <c r="Y831" s="9"/>
      <c r="Z831" s="9"/>
      <c r="AB831" s="198"/>
      <c r="AC831" s="198"/>
      <c r="AD831" s="198"/>
      <c r="AE831" s="198"/>
      <c r="AF831" s="198"/>
      <c r="AG831" s="198"/>
      <c r="AH831" s="198"/>
      <c r="AI831" s="198"/>
      <c r="AJ831" s="198"/>
      <c r="AK831" s="198"/>
      <c r="AL831" s="198"/>
      <c r="AM831" s="198"/>
      <c r="AN831" s="198"/>
      <c r="AO831" s="198"/>
      <c r="AP831" s="198"/>
      <c r="AQ831" s="198"/>
      <c r="AR831" s="198"/>
      <c r="AS831" s="198"/>
      <c r="AT831" s="198"/>
      <c r="AU831" s="198"/>
      <c r="AV831" s="198"/>
      <c r="AW831" s="198"/>
      <c r="AX831" s="198"/>
      <c r="AY831" s="198"/>
      <c r="AZ831" s="198"/>
      <c r="BA831" s="198"/>
      <c r="BB831" s="198"/>
      <c r="BC831" s="198"/>
      <c r="BD831" s="198"/>
      <c r="BE831" s="198"/>
      <c r="BF831" s="198"/>
      <c r="BG831" s="198"/>
      <c r="BH831" s="198"/>
      <c r="BI831" s="198"/>
      <c r="BJ831" s="198"/>
      <c r="BK831" s="198"/>
      <c r="BL831" s="198"/>
    </row>
    <row r="832" spans="1:64" hidden="1" outlineLevel="1">
      <c r="B832" s="9"/>
      <c r="C832" s="9"/>
      <c r="D832" s="270">
        <f>Asset25</f>
        <v>0</v>
      </c>
      <c r="E832" s="9"/>
      <c r="F832" s="9"/>
      <c r="G832" s="9"/>
      <c r="H832" s="9"/>
      <c r="I832" s="9"/>
      <c r="J832" s="9"/>
      <c r="K832" s="9"/>
      <c r="L832" s="111">
        <f t="shared" si="74"/>
        <v>0</v>
      </c>
      <c r="M832" s="111">
        <f t="shared" si="74"/>
        <v>0</v>
      </c>
      <c r="N832" s="111">
        <f t="shared" si="74"/>
        <v>0</v>
      </c>
      <c r="O832" s="111">
        <f t="shared" si="74"/>
        <v>0</v>
      </c>
      <c r="P832" s="111">
        <f t="shared" si="74"/>
        <v>0</v>
      </c>
      <c r="Q832" s="111">
        <f t="shared" si="74"/>
        <v>0</v>
      </c>
      <c r="R832" s="9"/>
      <c r="S832" s="9"/>
      <c r="T832" s="9"/>
      <c r="U832" s="9"/>
      <c r="V832" s="9"/>
      <c r="W832" s="9"/>
      <c r="X832" s="9"/>
      <c r="Y832" s="9"/>
      <c r="Z832" s="9"/>
      <c r="AB832" s="198"/>
      <c r="AC832" s="198"/>
      <c r="AD832" s="198"/>
      <c r="AE832" s="198"/>
      <c r="AF832" s="198"/>
      <c r="AG832" s="198"/>
      <c r="AH832" s="198"/>
      <c r="AI832" s="198"/>
      <c r="AJ832" s="198"/>
      <c r="AK832" s="198"/>
      <c r="AL832" s="198"/>
      <c r="AM832" s="198"/>
      <c r="AN832" s="198"/>
      <c r="AO832" s="198"/>
      <c r="AP832" s="198"/>
      <c r="AQ832" s="198"/>
      <c r="AR832" s="198"/>
      <c r="AS832" s="198"/>
      <c r="AT832" s="198"/>
      <c r="AU832" s="198"/>
      <c r="AV832" s="198"/>
      <c r="AW832" s="198"/>
      <c r="AX832" s="198"/>
      <c r="AY832" s="198"/>
      <c r="AZ832" s="198"/>
      <c r="BA832" s="198"/>
      <c r="BB832" s="198"/>
      <c r="BC832" s="198"/>
      <c r="BD832" s="198"/>
      <c r="BE832" s="198"/>
      <c r="BF832" s="198"/>
      <c r="BG832" s="198"/>
      <c r="BH832" s="198"/>
      <c r="BI832" s="198"/>
      <c r="BJ832" s="198"/>
      <c r="BK832" s="198"/>
      <c r="BL832" s="198"/>
    </row>
    <row r="833" spans="1:64" hidden="1" outlineLevel="1">
      <c r="B833" s="9"/>
      <c r="C833" s="9"/>
      <c r="D833" s="270">
        <f>Asset26</f>
        <v>0</v>
      </c>
      <c r="E833" s="9"/>
      <c r="F833" s="9"/>
      <c r="G833" s="9"/>
      <c r="H833" s="9"/>
      <c r="I833" s="9"/>
      <c r="J833" s="9"/>
      <c r="K833" s="9"/>
      <c r="L833" s="111">
        <f t="shared" si="74"/>
        <v>0</v>
      </c>
      <c r="M833" s="111">
        <f t="shared" si="74"/>
        <v>0</v>
      </c>
      <c r="N833" s="111">
        <f t="shared" si="74"/>
        <v>0</v>
      </c>
      <c r="O833" s="111">
        <f t="shared" si="74"/>
        <v>0</v>
      </c>
      <c r="P833" s="111">
        <f t="shared" si="74"/>
        <v>0</v>
      </c>
      <c r="Q833" s="111">
        <f t="shared" si="74"/>
        <v>0</v>
      </c>
      <c r="R833" s="9"/>
      <c r="S833" s="9"/>
      <c r="T833" s="9"/>
      <c r="U833" s="9"/>
      <c r="V833" s="9"/>
      <c r="W833" s="9"/>
      <c r="X833" s="9"/>
      <c r="Y833" s="9"/>
      <c r="Z833" s="9"/>
      <c r="AB833" s="198"/>
      <c r="AC833" s="198"/>
      <c r="AD833" s="198"/>
      <c r="AE833" s="198"/>
      <c r="AF833" s="198"/>
      <c r="AG833" s="198"/>
      <c r="AH833" s="198"/>
      <c r="AI833" s="198"/>
      <c r="AJ833" s="198"/>
      <c r="AK833" s="198"/>
      <c r="AL833" s="198"/>
      <c r="AM833" s="198"/>
      <c r="AN833" s="198"/>
      <c r="AO833" s="198"/>
      <c r="AP833" s="198"/>
      <c r="AQ833" s="198"/>
      <c r="AR833" s="198"/>
      <c r="AS833" s="198"/>
      <c r="AT833" s="198"/>
      <c r="AU833" s="198"/>
      <c r="AV833" s="198"/>
      <c r="AW833" s="198"/>
      <c r="AX833" s="198"/>
      <c r="AY833" s="198"/>
      <c r="AZ833" s="198"/>
      <c r="BA833" s="198"/>
      <c r="BB833" s="198"/>
      <c r="BC833" s="198"/>
      <c r="BD833" s="198"/>
      <c r="BE833" s="198"/>
      <c r="BF833" s="198"/>
      <c r="BG833" s="198"/>
      <c r="BH833" s="198"/>
      <c r="BI833" s="198"/>
      <c r="BJ833" s="198"/>
      <c r="BK833" s="198"/>
      <c r="BL833" s="198"/>
    </row>
    <row r="834" spans="1:64" hidden="1" outlineLevel="1">
      <c r="B834" s="9"/>
      <c r="C834" s="9"/>
      <c r="D834" s="270">
        <f>Asset27</f>
        <v>0</v>
      </c>
      <c r="E834" s="9"/>
      <c r="F834" s="9"/>
      <c r="G834" s="9"/>
      <c r="H834" s="9"/>
      <c r="I834" s="9"/>
      <c r="J834" s="9"/>
      <c r="K834" s="9"/>
      <c r="L834" s="111">
        <f t="shared" si="74"/>
        <v>0</v>
      </c>
      <c r="M834" s="111">
        <f t="shared" si="74"/>
        <v>0</v>
      </c>
      <c r="N834" s="111">
        <f t="shared" si="74"/>
        <v>0</v>
      </c>
      <c r="O834" s="111">
        <f t="shared" si="74"/>
        <v>0</v>
      </c>
      <c r="P834" s="111">
        <f t="shared" si="74"/>
        <v>0</v>
      </c>
      <c r="Q834" s="111">
        <f t="shared" si="74"/>
        <v>0</v>
      </c>
      <c r="R834" s="9"/>
      <c r="S834" s="9"/>
      <c r="T834" s="9"/>
      <c r="U834" s="9"/>
      <c r="V834" s="9"/>
      <c r="W834" s="9"/>
      <c r="X834" s="9"/>
      <c r="Y834" s="9"/>
      <c r="Z834" s="9"/>
      <c r="AB834" s="198"/>
      <c r="AC834" s="198"/>
      <c r="AD834" s="198"/>
      <c r="AE834" s="198"/>
      <c r="AF834" s="198"/>
      <c r="AG834" s="198"/>
      <c r="AH834" s="198"/>
      <c r="AI834" s="198"/>
      <c r="AJ834" s="198"/>
      <c r="AK834" s="198"/>
      <c r="AL834" s="198"/>
      <c r="AM834" s="198"/>
      <c r="AN834" s="198"/>
      <c r="AO834" s="198"/>
      <c r="AP834" s="198"/>
      <c r="AQ834" s="198"/>
      <c r="AR834" s="198"/>
      <c r="AS834" s="198"/>
      <c r="AT834" s="198"/>
      <c r="AU834" s="198"/>
      <c r="AV834" s="198"/>
      <c r="AW834" s="198"/>
      <c r="AX834" s="198"/>
      <c r="AY834" s="198"/>
      <c r="AZ834" s="198"/>
      <c r="BA834" s="198"/>
      <c r="BB834" s="198"/>
      <c r="BC834" s="198"/>
      <c r="BD834" s="198"/>
      <c r="BE834" s="198"/>
      <c r="BF834" s="198"/>
      <c r="BG834" s="198"/>
      <c r="BH834" s="198"/>
      <c r="BI834" s="198"/>
      <c r="BJ834" s="198"/>
      <c r="BK834" s="198"/>
      <c r="BL834" s="198"/>
    </row>
    <row r="835" spans="1:64" hidden="1" outlineLevel="1">
      <c r="B835" s="9"/>
      <c r="C835" s="9"/>
      <c r="D835" s="270">
        <f>Asset28</f>
        <v>0</v>
      </c>
      <c r="E835" s="9"/>
      <c r="F835" s="9"/>
      <c r="G835" s="9"/>
      <c r="H835" s="9"/>
      <c r="I835" s="9"/>
      <c r="J835" s="9"/>
      <c r="K835" s="9"/>
      <c r="L835" s="111">
        <f t="shared" si="74"/>
        <v>0</v>
      </c>
      <c r="M835" s="111">
        <f t="shared" si="74"/>
        <v>0</v>
      </c>
      <c r="N835" s="111">
        <f t="shared" si="74"/>
        <v>0</v>
      </c>
      <c r="O835" s="111">
        <f t="shared" si="74"/>
        <v>0</v>
      </c>
      <c r="P835" s="111">
        <f t="shared" si="74"/>
        <v>0</v>
      </c>
      <c r="Q835" s="111">
        <f t="shared" si="74"/>
        <v>0</v>
      </c>
      <c r="R835" s="9"/>
      <c r="S835" s="9"/>
      <c r="T835" s="9"/>
      <c r="U835" s="9"/>
      <c r="V835" s="9"/>
      <c r="W835" s="9"/>
      <c r="X835" s="9"/>
      <c r="Y835" s="9"/>
      <c r="Z835" s="9"/>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198"/>
      <c r="BD835" s="198"/>
      <c r="BE835" s="198"/>
      <c r="BF835" s="198"/>
      <c r="BG835" s="198"/>
      <c r="BH835" s="198"/>
      <c r="BI835" s="198"/>
      <c r="BJ835" s="198"/>
      <c r="BK835" s="198"/>
      <c r="BL835" s="198"/>
    </row>
    <row r="836" spans="1:64" hidden="1" outlineLevel="1">
      <c r="B836" s="9"/>
      <c r="C836" s="9"/>
      <c r="D836" s="270">
        <f>Asset29</f>
        <v>0</v>
      </c>
      <c r="E836" s="9"/>
      <c r="F836" s="9"/>
      <c r="G836" s="9"/>
      <c r="H836" s="9"/>
      <c r="I836" s="9"/>
      <c r="J836" s="9"/>
      <c r="K836" s="9"/>
      <c r="L836" s="111">
        <f t="shared" si="74"/>
        <v>0</v>
      </c>
      <c r="M836" s="111">
        <f t="shared" si="74"/>
        <v>0</v>
      </c>
      <c r="N836" s="111">
        <f t="shared" si="74"/>
        <v>0</v>
      </c>
      <c r="O836" s="111">
        <f t="shared" si="74"/>
        <v>0</v>
      </c>
      <c r="P836" s="111">
        <f t="shared" si="74"/>
        <v>0</v>
      </c>
      <c r="Q836" s="111">
        <f t="shared" si="74"/>
        <v>0</v>
      </c>
      <c r="R836" s="9"/>
      <c r="S836" s="9"/>
      <c r="T836" s="9"/>
      <c r="U836" s="9"/>
      <c r="V836" s="9"/>
      <c r="W836" s="9"/>
      <c r="X836" s="9"/>
      <c r="Y836" s="9"/>
      <c r="Z836" s="9"/>
      <c r="AB836" s="198"/>
      <c r="AC836" s="198"/>
      <c r="AD836" s="198"/>
      <c r="AE836" s="198"/>
      <c r="AF836" s="198"/>
      <c r="AG836" s="198"/>
      <c r="AH836" s="198"/>
      <c r="AI836" s="198"/>
      <c r="AJ836" s="198"/>
      <c r="AK836" s="198"/>
      <c r="AL836" s="198"/>
      <c r="AM836" s="198"/>
      <c r="AN836" s="198"/>
      <c r="AO836" s="198"/>
      <c r="AP836" s="198"/>
      <c r="AQ836" s="198"/>
      <c r="AR836" s="198"/>
      <c r="AS836" s="198"/>
      <c r="AT836" s="198"/>
      <c r="AU836" s="198"/>
      <c r="AV836" s="198"/>
      <c r="AW836" s="198"/>
      <c r="AX836" s="198"/>
      <c r="AY836" s="198"/>
      <c r="AZ836" s="198"/>
      <c r="BA836" s="198"/>
      <c r="BB836" s="198"/>
      <c r="BC836" s="198"/>
      <c r="BD836" s="198"/>
      <c r="BE836" s="198"/>
      <c r="BF836" s="198"/>
      <c r="BG836" s="198"/>
      <c r="BH836" s="198"/>
      <c r="BI836" s="198"/>
      <c r="BJ836" s="198"/>
      <c r="BK836" s="198"/>
      <c r="BL836" s="198"/>
    </row>
    <row r="837" spans="1:64" hidden="1" outlineLevel="1">
      <c r="B837" s="9"/>
      <c r="C837" s="9"/>
      <c r="D837" s="270">
        <f>Asset30</f>
        <v>0</v>
      </c>
      <c r="E837" s="9"/>
      <c r="F837" s="9"/>
      <c r="G837" s="9"/>
      <c r="H837" s="9"/>
      <c r="I837" s="9"/>
      <c r="J837" s="9"/>
      <c r="K837" s="9"/>
      <c r="L837" s="111">
        <f t="shared" ref="L837:Q837" si="75">IF(M$666=0, L696+L728+L760, 0)</f>
        <v>0</v>
      </c>
      <c r="M837" s="111">
        <f t="shared" si="75"/>
        <v>0</v>
      </c>
      <c r="N837" s="111">
        <f t="shared" si="75"/>
        <v>0</v>
      </c>
      <c r="O837" s="111">
        <f t="shared" si="75"/>
        <v>0</v>
      </c>
      <c r="P837" s="111">
        <f t="shared" si="75"/>
        <v>0</v>
      </c>
      <c r="Q837" s="111">
        <f t="shared" si="75"/>
        <v>0</v>
      </c>
      <c r="R837" s="9"/>
      <c r="S837" s="9"/>
      <c r="T837" s="9"/>
      <c r="U837" s="9"/>
      <c r="V837" s="9"/>
      <c r="W837" s="9"/>
      <c r="X837" s="9"/>
      <c r="Y837" s="9"/>
      <c r="Z837" s="9"/>
      <c r="AB837" s="198"/>
      <c r="AC837" s="198"/>
      <c r="AD837" s="198"/>
      <c r="AE837" s="198"/>
      <c r="AF837" s="198"/>
      <c r="AG837" s="198"/>
      <c r="AH837" s="198"/>
      <c r="AI837" s="198"/>
      <c r="AJ837" s="198"/>
      <c r="AK837" s="198"/>
      <c r="AL837" s="198"/>
      <c r="AM837" s="198"/>
      <c r="AN837" s="198"/>
      <c r="AO837" s="198"/>
      <c r="AP837" s="198"/>
      <c r="AQ837" s="198"/>
      <c r="AR837" s="198"/>
      <c r="AS837" s="198"/>
      <c r="AT837" s="198"/>
      <c r="AU837" s="198"/>
      <c r="AV837" s="198"/>
      <c r="AW837" s="198"/>
      <c r="AX837" s="198"/>
      <c r="AY837" s="198"/>
      <c r="AZ837" s="198"/>
      <c r="BA837" s="198"/>
      <c r="BB837" s="198"/>
      <c r="BC837" s="198"/>
      <c r="BD837" s="198"/>
      <c r="BE837" s="198"/>
      <c r="BF837" s="198"/>
      <c r="BG837" s="198"/>
      <c r="BH837" s="198"/>
      <c r="BI837" s="198"/>
      <c r="BJ837" s="198"/>
      <c r="BK837" s="198"/>
      <c r="BL837" s="198"/>
    </row>
    <row r="838" spans="1:64" collapsed="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64">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64">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64">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64">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64">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6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64">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64">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64">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64">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sheetData>
  <phoneticPr fontId="0" type="noConversion"/>
  <printOptions headings="1"/>
  <pageMargins left="0.75" right="0.75" top="1" bottom="1" header="0.5" footer="0.5"/>
  <pageSetup paperSize="8" scale="65" orientation="landscape" horizontalDpi="4294967292" r:id="rId1"/>
  <headerFooter alignWithMargins="0"/>
  <rowBreaks count="1" manualBreakCount="1">
    <brk id="838" max="17" man="1"/>
  </rowBreaks>
  <legacyDrawing r:id="rId2"/>
</worksheet>
</file>

<file path=xl/worksheets/sheet7.xml><?xml version="1.0" encoding="utf-8"?>
<worksheet xmlns="http://schemas.openxmlformats.org/spreadsheetml/2006/main" xmlns:r="http://schemas.openxmlformats.org/officeDocument/2006/relationships">
  <sheetPr codeName="Sheet6"/>
  <dimension ref="A1:IU567"/>
  <sheetViews>
    <sheetView zoomScaleNormal="100" workbookViewId="0">
      <pane ySplit="4" topLeftCell="A5" activePane="bottomLeft" state="frozen"/>
      <selection pane="bottomLeft" activeCell="N464" sqref="N464"/>
    </sheetView>
  </sheetViews>
  <sheetFormatPr defaultRowHeight="12.75" outlineLevelRow="2"/>
  <cols>
    <col min="1" max="1" width="3.5703125" customWidth="1"/>
    <col min="2" max="2" width="22.85546875" customWidth="1"/>
    <col min="3" max="3" width="12.42578125" customWidth="1"/>
    <col min="4" max="4" width="10.28515625" customWidth="1"/>
    <col min="5" max="5" width="3.5703125" customWidth="1"/>
    <col min="6" max="6" width="6" customWidth="1"/>
    <col min="7" max="7" width="6.42578125" customWidth="1"/>
    <col min="8" max="8" width="10" customWidth="1"/>
    <col min="9" max="9" width="10.140625" customWidth="1"/>
    <col min="10" max="11" width="10" customWidth="1"/>
    <col min="12" max="12" width="11.140625" bestFit="1" customWidth="1"/>
    <col min="13" max="13" width="11.28515625" bestFit="1" customWidth="1"/>
    <col min="14" max="14" width="11.140625" bestFit="1" customWidth="1"/>
    <col min="15" max="15" width="9.7109375" bestFit="1" customWidth="1"/>
    <col min="16" max="60" width="9.5703125" bestFit="1" customWidth="1"/>
  </cols>
  <sheetData>
    <row r="1" spans="1:255" ht="15.75">
      <c r="A1" s="9"/>
      <c r="B1" s="362" t="str">
        <f>'SP AusNet record of changes'!$B$2</f>
        <v>SP AusNet  - RFM - data as at 28-February-2013</v>
      </c>
      <c r="C1" s="9"/>
      <c r="D1" s="9"/>
      <c r="E1" s="9"/>
      <c r="F1" s="52"/>
      <c r="G1" s="52"/>
      <c r="H1" s="52"/>
      <c r="I1" s="52"/>
      <c r="J1" s="52"/>
      <c r="K1" s="52"/>
      <c r="L1" s="52"/>
      <c r="M1" s="52"/>
      <c r="N1" s="52"/>
      <c r="O1" s="52"/>
      <c r="P1" s="52"/>
      <c r="Q1" s="52"/>
      <c r="R1" s="52"/>
      <c r="S1" s="52"/>
      <c r="T1" s="52"/>
      <c r="U1" s="52"/>
      <c r="V1" s="52"/>
      <c r="W1" s="52"/>
      <c r="X1" s="52"/>
      <c r="Y1" s="52"/>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198"/>
      <c r="BJ1" s="198"/>
      <c r="BK1" s="198"/>
      <c r="BL1" s="198"/>
      <c r="BM1" s="198"/>
      <c r="BN1" s="198"/>
    </row>
    <row r="2" spans="1:255" ht="15.75">
      <c r="A2" s="9"/>
      <c r="B2" s="57" t="str">
        <f>"Tax Asset Value Roll Forward - RFM "&amp;Intro!L4</f>
        <v>Tax Asset Value Roll Forward - RFM Version: 2.0</v>
      </c>
      <c r="C2" s="9"/>
      <c r="D2" s="9"/>
      <c r="E2" s="9"/>
      <c r="F2" s="9"/>
      <c r="H2" s="9"/>
      <c r="I2" s="301">
        <v>1</v>
      </c>
      <c r="J2" s="301">
        <v>2</v>
      </c>
      <c r="K2" s="301">
        <v>3</v>
      </c>
      <c r="L2" s="301">
        <v>4</v>
      </c>
      <c r="M2" s="301">
        <v>5</v>
      </c>
      <c r="N2" s="301">
        <v>6</v>
      </c>
      <c r="O2" s="301">
        <v>7</v>
      </c>
      <c r="P2" s="301">
        <v>8</v>
      </c>
      <c r="Q2" s="301">
        <v>9</v>
      </c>
      <c r="R2" s="301">
        <v>10</v>
      </c>
      <c r="S2" s="9"/>
      <c r="T2" s="9"/>
      <c r="U2" s="9"/>
      <c r="V2" s="9"/>
      <c r="W2" s="9"/>
      <c r="X2" s="9"/>
      <c r="Y2" s="9"/>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row>
    <row r="3" spans="1:255" s="1" customFormat="1">
      <c r="A3" s="58"/>
      <c r="B3" s="59"/>
      <c r="C3" s="58"/>
      <c r="D3" s="58"/>
      <c r="E3" s="58"/>
      <c r="F3" s="9"/>
      <c r="G3" s="60">
        <v>0</v>
      </c>
      <c r="H3" s="60">
        <f t="shared" ref="H3:R3" si="0">G3+1</f>
        <v>1</v>
      </c>
      <c r="I3" s="60">
        <f t="shared" si="0"/>
        <v>2</v>
      </c>
      <c r="J3" s="60">
        <f t="shared" si="0"/>
        <v>3</v>
      </c>
      <c r="K3" s="60">
        <f t="shared" si="0"/>
        <v>4</v>
      </c>
      <c r="L3" s="60">
        <f t="shared" si="0"/>
        <v>5</v>
      </c>
      <c r="M3" s="60">
        <f t="shared" si="0"/>
        <v>6</v>
      </c>
      <c r="N3" s="60">
        <f t="shared" si="0"/>
        <v>7</v>
      </c>
      <c r="O3" s="60">
        <f t="shared" si="0"/>
        <v>8</v>
      </c>
      <c r="P3" s="60">
        <f t="shared" si="0"/>
        <v>9</v>
      </c>
      <c r="Q3" s="60">
        <f t="shared" si="0"/>
        <v>10</v>
      </c>
      <c r="R3" s="60">
        <f t="shared" si="0"/>
        <v>11</v>
      </c>
      <c r="S3" s="52"/>
      <c r="T3" s="52"/>
      <c r="U3" s="52"/>
      <c r="V3" s="52"/>
      <c r="W3" s="52"/>
      <c r="X3" s="52"/>
      <c r="Y3" s="52"/>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2"/>
      <c r="BJ3" s="212"/>
      <c r="BK3" s="212"/>
      <c r="BL3" s="212"/>
      <c r="BM3" s="212"/>
      <c r="BN3" s="212"/>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row>
    <row r="4" spans="1:255" s="24" customFormat="1" ht="15.75">
      <c r="A4" s="82"/>
      <c r="B4" s="83" t="s">
        <v>3</v>
      </c>
      <c r="C4" s="82"/>
      <c r="D4" s="82"/>
      <c r="E4" s="82"/>
      <c r="F4" s="82"/>
      <c r="G4" s="82"/>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t="str">
        <f>CONCATENATE(LEFT(Q4, 4)+1 &amp;"-" &amp;IF(Q4&gt;"2007-08",,"0") &amp;RIGHT(Q4,2)+1)</f>
        <v>2018-19</v>
      </c>
      <c r="S4" s="17"/>
      <c r="T4" s="17"/>
      <c r="U4" s="17"/>
      <c r="V4" s="17"/>
      <c r="W4" s="17"/>
      <c r="X4" s="17"/>
      <c r="Y4" s="17"/>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198"/>
      <c r="BJ4" s="198"/>
      <c r="BK4" s="198"/>
      <c r="BL4" s="198"/>
      <c r="BM4" s="198"/>
      <c r="BN4" s="198"/>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98" customFormat="1">
      <c r="A5" s="74"/>
      <c r="B5" s="81" t="s">
        <v>98</v>
      </c>
      <c r="C5" s="74"/>
      <c r="D5" s="74"/>
      <c r="E5" s="74"/>
      <c r="F5" s="84"/>
      <c r="G5" s="84"/>
      <c r="H5" s="85"/>
      <c r="I5" s="85"/>
      <c r="J5" s="85"/>
      <c r="K5" s="85"/>
      <c r="L5" s="85"/>
      <c r="M5" s="85"/>
      <c r="N5" s="85"/>
      <c r="O5" s="85"/>
      <c r="P5" s="85"/>
      <c r="Q5" s="85"/>
      <c r="R5" s="85"/>
      <c r="S5" s="106"/>
      <c r="T5" s="106"/>
      <c r="U5" s="106"/>
      <c r="V5" s="106"/>
      <c r="W5" s="106"/>
      <c r="X5" s="106"/>
      <c r="Y5" s="106"/>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row>
    <row r="6" spans="1:255" s="198" customFormat="1">
      <c r="A6" s="12"/>
      <c r="B6" s="17"/>
      <c r="C6" s="12"/>
      <c r="D6" s="12"/>
      <c r="E6" s="12"/>
      <c r="F6" s="114"/>
      <c r="G6" s="114"/>
      <c r="H6" s="106"/>
      <c r="I6" s="106"/>
      <c r="J6" s="106"/>
      <c r="K6" s="106"/>
      <c r="L6" s="106"/>
      <c r="M6" s="106"/>
      <c r="N6" s="106"/>
      <c r="O6" s="106"/>
      <c r="P6" s="106"/>
      <c r="Q6" s="106"/>
      <c r="R6" s="106"/>
      <c r="S6" s="106"/>
      <c r="T6" s="106"/>
      <c r="U6" s="106"/>
      <c r="V6" s="106"/>
      <c r="W6" s="106"/>
      <c r="X6" s="106"/>
      <c r="Y6" s="106"/>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row>
    <row r="7" spans="1:255" s="198" customFormat="1">
      <c r="A7" s="9"/>
      <c r="B7" s="44" t="s">
        <v>68</v>
      </c>
      <c r="C7" s="9"/>
      <c r="D7" s="9"/>
      <c r="E7" s="9"/>
      <c r="F7" s="9"/>
      <c r="G7" s="9"/>
      <c r="H7" s="315">
        <f>SUM(H8:H37)</f>
        <v>1912.8682163606891</v>
      </c>
      <c r="I7" s="311">
        <f>SUM(I8:I37)</f>
        <v>1882.6408924471145</v>
      </c>
      <c r="J7" s="311">
        <f t="shared" ref="J7:Q7" si="1">SUM(J8:J37)</f>
        <v>1894.4470160832259</v>
      </c>
      <c r="K7" s="311">
        <f t="shared" si="1"/>
        <v>1922.8167635293773</v>
      </c>
      <c r="L7" s="311">
        <f t="shared" si="1"/>
        <v>1958.6949630373908</v>
      </c>
      <c r="M7" s="311">
        <f t="shared" si="1"/>
        <v>2009.3479149923896</v>
      </c>
      <c r="N7" s="311">
        <f t="shared" si="1"/>
        <v>2050.8965850097611</v>
      </c>
      <c r="O7" s="311">
        <f t="shared" si="1"/>
        <v>0</v>
      </c>
      <c r="P7" s="311">
        <f t="shared" si="1"/>
        <v>0</v>
      </c>
      <c r="Q7" s="311">
        <f t="shared" si="1"/>
        <v>0</v>
      </c>
      <c r="R7" s="311">
        <f>SUM(R8:R37)</f>
        <v>0</v>
      </c>
      <c r="S7" s="106"/>
      <c r="T7" s="106"/>
      <c r="U7" s="106"/>
      <c r="V7" s="106"/>
      <c r="W7" s="106"/>
      <c r="X7" s="106"/>
      <c r="Y7" s="106"/>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row>
    <row r="8" spans="1:255" s="198" customFormat="1" hidden="1" outlineLevel="1">
      <c r="A8" s="9"/>
      <c r="B8" s="9"/>
      <c r="C8" s="270" t="str">
        <f>Asset1</f>
        <v>Secondary</v>
      </c>
      <c r="D8" s="9"/>
      <c r="E8" s="9"/>
      <c r="F8" s="9"/>
      <c r="G8" s="9"/>
      <c r="H8" s="153">
        <f>A1taxvalue-Input!M7+(Input!G143-Input!G177)</f>
        <v>137.75299695341457</v>
      </c>
      <c r="I8" s="111">
        <f>H8+H40+H84</f>
        <v>138.41767317380186</v>
      </c>
      <c r="J8" s="111">
        <f>I8+I40+I84</f>
        <v>134.31436194172844</v>
      </c>
      <c r="K8" s="111">
        <f>J8+J40+J84</f>
        <v>137.73613528650304</v>
      </c>
      <c r="L8" s="111">
        <f>K8+K40+K84</f>
        <v>141.47388960578846</v>
      </c>
      <c r="M8" s="111">
        <f>L8+L40+L84</f>
        <v>161.63821437956219</v>
      </c>
      <c r="N8" s="111">
        <f>IF(COUNT($H8:M8)&gt;Input!$Y$7,0, M8+M40+M84)</f>
        <v>169.77126383682722</v>
      </c>
      <c r="O8" s="111">
        <f>IF(COUNT($H8:N8)&gt;Input!$Y$7,0, N8+N40+N84)</f>
        <v>0</v>
      </c>
      <c r="P8" s="111">
        <f>IF(COUNT($H8:O8)&gt;Input!$Y$7,0, O8+O40+O84)</f>
        <v>0</v>
      </c>
      <c r="Q8" s="111">
        <f>IF(COUNT($H8:P8)&gt;Input!$Y$7,0, P8+P40+P84)</f>
        <v>0</v>
      </c>
      <c r="R8" s="111">
        <f>IF(COUNT($H8:Q8)&gt;Input!$Y$7,0, Q8+Q40+Q84)</f>
        <v>0</v>
      </c>
      <c r="S8" s="106"/>
      <c r="T8" s="106"/>
      <c r="U8" s="106"/>
      <c r="V8" s="106"/>
      <c r="W8" s="106"/>
      <c r="X8" s="106"/>
      <c r="Y8" s="106"/>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row>
    <row r="9" spans="1:255" s="198" customFormat="1" hidden="1" outlineLevel="1">
      <c r="A9" s="9"/>
      <c r="B9" s="44"/>
      <c r="C9" s="270" t="str">
        <f>Asset2</f>
        <v>Switchgear</v>
      </c>
      <c r="D9" s="9"/>
      <c r="E9" s="9"/>
      <c r="F9" s="9"/>
      <c r="G9" s="9"/>
      <c r="H9" s="153">
        <f>A2taxvalue-Input!M8+(Input!G144-Input!G178)</f>
        <v>316.94134759451288</v>
      </c>
      <c r="I9" s="111">
        <f>H9+H41+H97</f>
        <v>312.08089614601556</v>
      </c>
      <c r="J9" s="111">
        <f>I9+I41+I97</f>
        <v>326.99570980576249</v>
      </c>
      <c r="K9" s="111">
        <f>J9+J41+J97</f>
        <v>363.9049692697119</v>
      </c>
      <c r="L9" s="111">
        <f>K9+K41+K97</f>
        <v>383.64662012930046</v>
      </c>
      <c r="M9" s="111">
        <f>L9+L41+L97</f>
        <v>397.20792507965268</v>
      </c>
      <c r="N9" s="111">
        <f>IF(COUNT($H9:M9)&gt;Input!$Y$7,0, M9+M41+M97)</f>
        <v>425.37817126494207</v>
      </c>
      <c r="O9" s="111">
        <f>IF(COUNT($H9:N9)&gt;Input!$Y$7,0, N9+N41+N97)</f>
        <v>0</v>
      </c>
      <c r="P9" s="111">
        <f>IF(COUNT($H9:O9)&gt;Input!$Y$7,0, O9+O41+O97)</f>
        <v>0</v>
      </c>
      <c r="Q9" s="111">
        <f>IF(COUNT($H9:P9)&gt;Input!$Y$7,0, P9+P41+P97)</f>
        <v>0</v>
      </c>
      <c r="R9" s="111">
        <f>IF(COUNT($H9:Q9)&gt;Input!$Y$7,0, Q9+Q41+Q97)</f>
        <v>0</v>
      </c>
      <c r="S9" s="106"/>
      <c r="T9" s="106"/>
      <c r="U9" s="106"/>
      <c r="V9" s="106"/>
      <c r="W9" s="106"/>
      <c r="X9" s="106"/>
      <c r="Y9" s="106"/>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255" s="198" customFormat="1" hidden="1" outlineLevel="1">
      <c r="A10" s="9"/>
      <c r="B10" s="44"/>
      <c r="C10" s="270" t="str">
        <f>Asset3</f>
        <v>Transformers</v>
      </c>
      <c r="D10" s="9"/>
      <c r="E10" s="9"/>
      <c r="F10" s="9"/>
      <c r="G10" s="9"/>
      <c r="H10" s="153">
        <f>A3taxvalue-Input!M9+(Input!G145-Input!G179)</f>
        <v>150.93898423532423</v>
      </c>
      <c r="I10" s="111">
        <f>H10+H42+H110</f>
        <v>148.76615789569303</v>
      </c>
      <c r="J10" s="111">
        <f>I10+I42+I110</f>
        <v>147.7885510778604</v>
      </c>
      <c r="K10" s="111">
        <f>J10+J42+J110</f>
        <v>151.34766603258026</v>
      </c>
      <c r="L10" s="111">
        <f>K10+K42+K110</f>
        <v>152.84858754462411</v>
      </c>
      <c r="M10" s="111">
        <f>L10+L42+L110</f>
        <v>169.81647276787336</v>
      </c>
      <c r="N10" s="111">
        <f>IF(COUNT($H10:M10)&gt;Input!$Y$7,0, M10+M42+M110)</f>
        <v>195.29659434747191</v>
      </c>
      <c r="O10" s="111">
        <f>IF(COUNT($H10:N10)&gt;Input!$Y$7,0, N10+N42+N110)</f>
        <v>0</v>
      </c>
      <c r="P10" s="111">
        <f>IF(COUNT($H10:O10)&gt;Input!$Y$7,0, O10+O42+O110)</f>
        <v>0</v>
      </c>
      <c r="Q10" s="111">
        <f>IF(COUNT($H10:P10)&gt;Input!$Y$7,0, P10+P42+P110)</f>
        <v>0</v>
      </c>
      <c r="R10" s="111">
        <f>IF(COUNT($H10:Q10)&gt;Input!$Y$7,0, Q10+Q42+Q110)</f>
        <v>0</v>
      </c>
      <c r="S10" s="106"/>
      <c r="T10" s="106"/>
      <c r="U10" s="106"/>
      <c r="V10" s="106"/>
      <c r="W10" s="106"/>
      <c r="X10" s="106"/>
      <c r="Y10" s="106"/>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255" s="198" customFormat="1" hidden="1" outlineLevel="1">
      <c r="A11" s="9"/>
      <c r="B11" s="44"/>
      <c r="C11" s="270" t="str">
        <f>Asset4</f>
        <v>Reactive</v>
      </c>
      <c r="D11" s="9"/>
      <c r="E11" s="9"/>
      <c r="F11" s="9"/>
      <c r="G11" s="9"/>
      <c r="H11" s="153">
        <f>A4taxvalue-Input!M10+(Input!G146-Input!G180)</f>
        <v>75.648155177884448</v>
      </c>
      <c r="I11" s="111">
        <f>H11+H43+H123</f>
        <v>72.199590819215047</v>
      </c>
      <c r="J11" s="111">
        <f>I11+I43+I123</f>
        <v>69.727832705545637</v>
      </c>
      <c r="K11" s="111">
        <f>J11+J43+J123</f>
        <v>66.295686902376232</v>
      </c>
      <c r="L11" s="111">
        <f>K11+K43+K123</f>
        <v>63.339578097322928</v>
      </c>
      <c r="M11" s="111">
        <f>L11+L43+L123</f>
        <v>60.790300508356879</v>
      </c>
      <c r="N11" s="111">
        <f>IF(COUNT($H11:M11)&gt;Input!$Y$7,0, M11+M43+M123)</f>
        <v>58.122727262291193</v>
      </c>
      <c r="O11" s="111">
        <f>IF(COUNT($H11:N11)&gt;Input!$Y$7,0, N11+N43+N123)</f>
        <v>0</v>
      </c>
      <c r="P11" s="111">
        <f>IF(COUNT($H11:O11)&gt;Input!$Y$7,0, O11+O43+O123)</f>
        <v>0</v>
      </c>
      <c r="Q11" s="111">
        <f>IF(COUNT($H11:P11)&gt;Input!$Y$7,0, P11+P43+P123)</f>
        <v>0</v>
      </c>
      <c r="R11" s="111">
        <f>IF(COUNT($H11:Q11)&gt;Input!$Y$7,0, Q11+Q43+Q123)</f>
        <v>0</v>
      </c>
      <c r="S11" s="106"/>
      <c r="T11" s="106"/>
      <c r="U11" s="106"/>
      <c r="V11" s="106"/>
      <c r="W11" s="106"/>
      <c r="X11" s="106"/>
      <c r="Y11" s="106"/>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255" s="198" customFormat="1" hidden="1" outlineLevel="1">
      <c r="A12" s="9"/>
      <c r="B12" s="44"/>
      <c r="C12" s="270" t="str">
        <f>Asset5</f>
        <v>Towers and Conductor</v>
      </c>
      <c r="D12" s="9"/>
      <c r="E12" s="9"/>
      <c r="F12" s="9"/>
      <c r="G12" s="9"/>
      <c r="H12" s="153">
        <f>A5taxvalue-Input!M11+(Input!G147-Input!G181)</f>
        <v>882.45972028209451</v>
      </c>
      <c r="I12" s="111">
        <f>H12+H44+H136</f>
        <v>857.77719014978322</v>
      </c>
      <c r="J12" s="111">
        <f>I12+I44+I136</f>
        <v>846.4921056328302</v>
      </c>
      <c r="K12" s="111">
        <f>J12+J44+J136</f>
        <v>824.99567324819293</v>
      </c>
      <c r="L12" s="111">
        <f>K12+K44+K136</f>
        <v>834.77578345007271</v>
      </c>
      <c r="M12" s="111">
        <f>L12+L44+L136</f>
        <v>826.87812173520081</v>
      </c>
      <c r="N12" s="111">
        <f>IF(COUNT($H12:M12)&gt;Input!$Y$7,0, M12+M44+M136)</f>
        <v>799.61030206880594</v>
      </c>
      <c r="O12" s="111">
        <f>IF(COUNT($H12:N12)&gt;Input!$Y$7,0, N12+N44+N136)</f>
        <v>0</v>
      </c>
      <c r="P12" s="111">
        <f>IF(COUNT($H12:O12)&gt;Input!$Y$7,0, O12+O44+O136)</f>
        <v>0</v>
      </c>
      <c r="Q12" s="111">
        <f>IF(COUNT($H12:P12)&gt;Input!$Y$7,0, P12+P44+P136)</f>
        <v>0</v>
      </c>
      <c r="R12" s="111">
        <f>IF(COUNT($H12:Q12)&gt;Input!$Y$7,0, Q12+Q44+Q136)</f>
        <v>0</v>
      </c>
      <c r="S12" s="106"/>
      <c r="T12" s="106"/>
      <c r="U12" s="106"/>
      <c r="V12" s="106"/>
      <c r="W12" s="106"/>
      <c r="X12" s="106"/>
      <c r="Y12" s="106"/>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255" s="198" customFormat="1" hidden="1" outlineLevel="1">
      <c r="A13" s="9"/>
      <c r="B13" s="44"/>
      <c r="C13" s="270" t="str">
        <f>Asset6</f>
        <v>Establishment</v>
      </c>
      <c r="D13" s="9"/>
      <c r="E13" s="9"/>
      <c r="F13" s="9"/>
      <c r="G13" s="9"/>
      <c r="H13" s="153">
        <f>A6taxvalue-Input!M12+(Input!G148-Input!G182)</f>
        <v>91.848460054005557</v>
      </c>
      <c r="I13" s="111">
        <f>H13+H45+H149</f>
        <v>101.52256599480189</v>
      </c>
      <c r="J13" s="111">
        <f>I13+I45+I149</f>
        <v>109.73879326689017</v>
      </c>
      <c r="K13" s="111">
        <f>J13+J45+J149</f>
        <v>113.10580773195845</v>
      </c>
      <c r="L13" s="111">
        <f>K13+K45+K149</f>
        <v>114.99816017947289</v>
      </c>
      <c r="M13" s="111">
        <f>L13+L45+L149</f>
        <v>119.11154024862377</v>
      </c>
      <c r="N13" s="111">
        <f>IF(COUNT($H13:M13)&gt;Input!$Y$7,0, M13+M45+M149)</f>
        <v>124.7273347536069</v>
      </c>
      <c r="O13" s="111">
        <f>IF(COUNT($H13:N13)&gt;Input!$Y$7,0, N13+N45+N149)</f>
        <v>0</v>
      </c>
      <c r="P13" s="111">
        <f>IF(COUNT($H13:O13)&gt;Input!$Y$7,0, O13+O45+O149)</f>
        <v>0</v>
      </c>
      <c r="Q13" s="111">
        <f>IF(COUNT($H13:P13)&gt;Input!$Y$7,0, P13+P45+P149)</f>
        <v>0</v>
      </c>
      <c r="R13" s="111">
        <f>IF(COUNT($H13:Q13)&gt;Input!$Y$7,0, Q13+Q45+Q149)</f>
        <v>0</v>
      </c>
      <c r="S13" s="106"/>
      <c r="T13" s="106"/>
      <c r="U13" s="106"/>
      <c r="V13" s="106"/>
      <c r="W13" s="106"/>
      <c r="X13" s="106"/>
      <c r="Y13" s="106"/>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255" s="198" customFormat="1" hidden="1" outlineLevel="1">
      <c r="A14" s="9"/>
      <c r="B14" s="44"/>
      <c r="C14" s="270" t="str">
        <f>Asset7</f>
        <v>Communications</v>
      </c>
      <c r="D14" s="9"/>
      <c r="E14" s="9"/>
      <c r="F14" s="9"/>
      <c r="G14" s="9"/>
      <c r="H14" s="153">
        <f>A7taxvalue-Input!M13+(Input!G149-Input!G183)</f>
        <v>9.5967209869702987</v>
      </c>
      <c r="I14" s="111">
        <f>H14+H46+H162</f>
        <v>8.7459043987686051</v>
      </c>
      <c r="J14" s="111">
        <f>I14+I46+I162</f>
        <v>9.5856972311669111</v>
      </c>
      <c r="K14" s="111">
        <f>J14+J46+J162</f>
        <v>20.000304174645215</v>
      </c>
      <c r="L14" s="111">
        <f>K14+K46+K162</f>
        <v>24.296029843723524</v>
      </c>
      <c r="M14" s="111">
        <f>L14+L46+L162</f>
        <v>25.92711487000183</v>
      </c>
      <c r="N14" s="111">
        <f>IF(COUNT($H14:M14)&gt;Input!$Y$7,0, M14+M46+M162)</f>
        <v>28.135271983928408</v>
      </c>
      <c r="O14" s="111">
        <f>IF(COUNT($H14:N14)&gt;Input!$Y$7,0, N14+N46+N162)</f>
        <v>0</v>
      </c>
      <c r="P14" s="111">
        <f>IF(COUNT($H14:O14)&gt;Input!$Y$7,0, O14+O46+O162)</f>
        <v>0</v>
      </c>
      <c r="Q14" s="111">
        <f>IF(COUNT($H14:P14)&gt;Input!$Y$7,0, P14+P46+P162)</f>
        <v>0</v>
      </c>
      <c r="R14" s="111">
        <f>IF(COUNT($H14:Q14)&gt;Input!$Y$7,0, Q14+Q46+Q162)</f>
        <v>0</v>
      </c>
      <c r="S14" s="106"/>
      <c r="T14" s="106"/>
      <c r="U14" s="106"/>
      <c r="V14" s="106"/>
      <c r="W14" s="106"/>
      <c r="X14" s="106"/>
      <c r="Y14" s="106"/>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255" s="198" customFormat="1" hidden="1" outlineLevel="1">
      <c r="A15" s="9"/>
      <c r="B15" s="44"/>
      <c r="C15" s="270" t="str">
        <f>Asset8</f>
        <v>Inventory</v>
      </c>
      <c r="D15" s="9"/>
      <c r="E15" s="9"/>
      <c r="F15" s="9"/>
      <c r="G15" s="9"/>
      <c r="H15" s="153">
        <f>A8taxvalue-Input!M14+(Input!G150-Input!G184)</f>
        <v>5.6919330861763093</v>
      </c>
      <c r="I15" s="111">
        <f>H15+H47+H175</f>
        <v>5.6919330861763093</v>
      </c>
      <c r="J15" s="111">
        <f>I15+I47+I175</f>
        <v>5.6919330861763093</v>
      </c>
      <c r="K15" s="111">
        <f>J15+J47+J175</f>
        <v>5.6919330861763093</v>
      </c>
      <c r="L15" s="111">
        <f>K15+K47+K175</f>
        <v>5.6919330861763093</v>
      </c>
      <c r="M15" s="111">
        <f>L15+L47+L175</f>
        <v>5.6919330861763093</v>
      </c>
      <c r="N15" s="111">
        <f>IF(COUNT($H15:M15)&gt;Input!$Y$7,0, M15+M47+M175)</f>
        <v>5.6919330861763093</v>
      </c>
      <c r="O15" s="111">
        <f>IF(COUNT($H15:N15)&gt;Input!$Y$7,0, N15+N47+N175)</f>
        <v>0</v>
      </c>
      <c r="P15" s="111">
        <f>IF(COUNT($H15:O15)&gt;Input!$Y$7,0, O15+O47+O175)</f>
        <v>0</v>
      </c>
      <c r="Q15" s="111">
        <f>IF(COUNT($H15:P15)&gt;Input!$Y$7,0, P15+P47+P175)</f>
        <v>0</v>
      </c>
      <c r="R15" s="111">
        <f>IF(COUNT($H15:Q15)&gt;Input!$Y$7,0, Q15+Q47+Q175)</f>
        <v>0</v>
      </c>
      <c r="S15" s="106"/>
      <c r="T15" s="106"/>
      <c r="U15" s="106"/>
      <c r="V15" s="106"/>
      <c r="W15" s="106"/>
      <c r="X15" s="106"/>
      <c r="Y15" s="106"/>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255" s="198" customFormat="1" hidden="1" outlineLevel="1">
      <c r="A16" s="9"/>
      <c r="B16" s="44"/>
      <c r="C16" s="270" t="str">
        <f>Asset9</f>
        <v>IT</v>
      </c>
      <c r="D16" s="9"/>
      <c r="E16" s="9"/>
      <c r="F16" s="9"/>
      <c r="G16" s="9"/>
      <c r="H16" s="153">
        <f>A9taxvalue-Input!M15+(Input!G151-Input!G185)</f>
        <v>42.007635168867232</v>
      </c>
      <c r="I16" s="111">
        <f>H16+H48+H188</f>
        <v>40.032620599874065</v>
      </c>
      <c r="J16" s="111">
        <f>I16+I48+I188</f>
        <v>46.84159049669514</v>
      </c>
      <c r="K16" s="111">
        <f>J16+J48+J188</f>
        <v>43.030244339101962</v>
      </c>
      <c r="L16" s="111">
        <f>K16+K48+K188</f>
        <v>40.828073718651666</v>
      </c>
      <c r="M16" s="111">
        <f>L16+L48+L188</f>
        <v>45.52542352962994</v>
      </c>
      <c r="N16" s="111">
        <f>IF(COUNT($H16:M16)&gt;Input!$Y$7,0, M16+M48+M188)</f>
        <v>48.255639830579554</v>
      </c>
      <c r="O16" s="111">
        <f>IF(COUNT($H16:N16)&gt;Input!$Y$7,0, N16+N48+N188)</f>
        <v>0</v>
      </c>
      <c r="P16" s="111">
        <f>IF(COUNT($H16:O16)&gt;Input!$Y$7,0, O16+O48+O188)</f>
        <v>0</v>
      </c>
      <c r="Q16" s="111">
        <f>IF(COUNT($H16:P16)&gt;Input!$Y$7,0, P16+P48+P188)</f>
        <v>0</v>
      </c>
      <c r="R16" s="111">
        <f>IF(COUNT($H16:Q16)&gt;Input!$Y$7,0, Q16+Q48+Q188)</f>
        <v>0</v>
      </c>
      <c r="S16" s="106"/>
      <c r="T16" s="106"/>
      <c r="U16" s="106"/>
      <c r="V16" s="106"/>
      <c r="W16" s="106"/>
      <c r="X16" s="106"/>
      <c r="Y16" s="106"/>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s="198" customFormat="1" hidden="1" outlineLevel="1">
      <c r="A17" s="9"/>
      <c r="B17" s="44"/>
      <c r="C17" s="270" t="str">
        <f>Asset10</f>
        <v>Vehicles</v>
      </c>
      <c r="D17" s="9"/>
      <c r="E17" s="9"/>
      <c r="F17" s="9"/>
      <c r="G17" s="9"/>
      <c r="H17" s="153">
        <f>A10taxvalue-Input!M16+(Input!G152-Input!G186)</f>
        <v>4.6049454038949609</v>
      </c>
      <c r="I17" s="111">
        <f>H17+H49+H201</f>
        <v>3.965485359219731</v>
      </c>
      <c r="J17" s="111">
        <f>I17+I49+I201</f>
        <v>3.8728141984182733</v>
      </c>
      <c r="K17" s="111">
        <f>J17+J49+J201</f>
        <v>3.074426240982838</v>
      </c>
      <c r="L17" s="111">
        <f>K17+K49+K201</f>
        <v>2.6241559810474029</v>
      </c>
      <c r="M17" s="111">
        <f>L17+L49+L201</f>
        <v>3.5489938536119672</v>
      </c>
      <c r="N17" s="111">
        <f>IF(COUNT($H17:M17)&gt;Input!$Y$7,0, M17+M49+M201)</f>
        <v>4.3261636400041876</v>
      </c>
      <c r="O17" s="111">
        <f>IF(COUNT($H17:N17)&gt;Input!$Y$7,0, N17+N49+N201)</f>
        <v>0</v>
      </c>
      <c r="P17" s="111">
        <f>IF(COUNT($H17:O17)&gt;Input!$Y$7,0, O17+O49+O201)</f>
        <v>0</v>
      </c>
      <c r="Q17" s="111">
        <f>IF(COUNT($H17:P17)&gt;Input!$Y$7,0, P17+P49+P201)</f>
        <v>0</v>
      </c>
      <c r="R17" s="111">
        <f>IF(COUNT($H17:Q17)&gt;Input!$Y$7,0, Q17+Q49+Q201)</f>
        <v>0</v>
      </c>
      <c r="S17" s="106"/>
      <c r="T17" s="106"/>
      <c r="U17" s="106"/>
      <c r="V17" s="106"/>
      <c r="W17" s="106"/>
      <c r="X17" s="106"/>
      <c r="Y17" s="106"/>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s="198" customFormat="1" hidden="1" outlineLevel="1">
      <c r="A18" s="9"/>
      <c r="B18" s="44"/>
      <c r="C18" s="270" t="str">
        <f>Asset11</f>
        <v>other</v>
      </c>
      <c r="D18" s="9"/>
      <c r="E18" s="9"/>
      <c r="F18" s="9"/>
      <c r="G18" s="9"/>
      <c r="H18" s="153">
        <f>A11taxvalue-Input!M17+(Input!G153-Input!G187)</f>
        <v>11.212737035416721</v>
      </c>
      <c r="I18" s="111">
        <f>H18+H50+H214</f>
        <v>10.296866957502594</v>
      </c>
      <c r="J18" s="111">
        <f>I18+I50+I214</f>
        <v>10.710726783753643</v>
      </c>
      <c r="K18" s="111">
        <f>J18+J50+J214</f>
        <v>12.3552041101147</v>
      </c>
      <c r="L18" s="111">
        <f>K18+K50+K214</f>
        <v>13.811124866541039</v>
      </c>
      <c r="M18" s="111">
        <f>L18+L50+L214</f>
        <v>13.716063634395566</v>
      </c>
      <c r="N18" s="111">
        <f>IF(COUNT($H18:M18)&gt;Input!$Y$7,0, M18+M50+M214)</f>
        <v>12.95452594934428</v>
      </c>
      <c r="O18" s="111">
        <f>IF(COUNT($H18:N18)&gt;Input!$Y$7,0, N18+N50+N214)</f>
        <v>0</v>
      </c>
      <c r="P18" s="111">
        <f>IF(COUNT($H18:O18)&gt;Input!$Y$7,0, O18+O50+O214)</f>
        <v>0</v>
      </c>
      <c r="Q18" s="111">
        <f>IF(COUNT($H18:P18)&gt;Input!$Y$7,0, P18+P50+P214)</f>
        <v>0</v>
      </c>
      <c r="R18" s="111">
        <f>IF(COUNT($H18:Q18)&gt;Input!$Y$7,0, Q18+Q50+Q214)</f>
        <v>0</v>
      </c>
      <c r="S18" s="106"/>
      <c r="T18" s="106"/>
      <c r="U18" s="106"/>
      <c r="V18" s="106"/>
      <c r="W18" s="106"/>
      <c r="X18" s="106"/>
      <c r="Y18" s="106"/>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s="198" customFormat="1" hidden="1" outlineLevel="1">
      <c r="A19" s="9"/>
      <c r="B19" s="44"/>
      <c r="C19" s="270" t="str">
        <f>Asset12</f>
        <v>premises</v>
      </c>
      <c r="D19" s="9"/>
      <c r="E19" s="9"/>
      <c r="F19" s="9"/>
      <c r="G19" s="9"/>
      <c r="H19" s="153">
        <f>A12taxvalue-Input!M18+(Input!G154-Input!G188)</f>
        <v>6.1009213821275514</v>
      </c>
      <c r="I19" s="111">
        <f>H19+H51+H227</f>
        <v>5.0803488662628924</v>
      </c>
      <c r="J19" s="111">
        <f>I19+I51+I227</f>
        <v>4.4315488563982335</v>
      </c>
      <c r="K19" s="111">
        <f>J19+J51+J227</f>
        <v>3.4973621070335743</v>
      </c>
      <c r="L19" s="111">
        <f>K19+K51+K227</f>
        <v>3.5476755346689144</v>
      </c>
      <c r="M19" s="111">
        <f>L19+L51+L227</f>
        <v>2.682460299304255</v>
      </c>
      <c r="N19" s="111">
        <f>IF(COUNT($H19:M19)&gt;Input!$Y$7,0, M19+M51+M227)</f>
        <v>1.8133059857832832</v>
      </c>
      <c r="O19" s="111">
        <f>IF(COUNT($H19:N19)&gt;Input!$Y$7,0, N19+N51+N227)</f>
        <v>0</v>
      </c>
      <c r="P19" s="111">
        <f>IF(COUNT($H19:O19)&gt;Input!$Y$7,0, O19+O51+O227)</f>
        <v>0</v>
      </c>
      <c r="Q19" s="111">
        <f>IF(COUNT($H19:P19)&gt;Input!$Y$7,0, P19+P51+P227)</f>
        <v>0</v>
      </c>
      <c r="R19" s="111">
        <f>IF(COUNT($H19:Q19)&gt;Input!$Y$7,0, Q19+Q51+Q227)</f>
        <v>0</v>
      </c>
      <c r="S19" s="106"/>
      <c r="T19" s="106"/>
      <c r="U19" s="106"/>
      <c r="V19" s="106"/>
      <c r="W19" s="106"/>
      <c r="X19" s="106"/>
      <c r="Y19" s="106"/>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s="198" customFormat="1" hidden="1" outlineLevel="1">
      <c r="A20" s="9"/>
      <c r="B20" s="44"/>
      <c r="C20" s="270" t="str">
        <f>Asset13</f>
        <v>Land</v>
      </c>
      <c r="D20" s="9"/>
      <c r="E20" s="9"/>
      <c r="F20" s="9"/>
      <c r="G20" s="9"/>
      <c r="H20" s="153">
        <f>A13taxvalue-Input!M19+(Input!G155-Input!G189)</f>
        <v>83.478960000000001</v>
      </c>
      <c r="I20" s="111">
        <f>H20+H52+H240</f>
        <v>83.478960000000001</v>
      </c>
      <c r="J20" s="111">
        <f>I20+I52+I240</f>
        <v>83.670652000000004</v>
      </c>
      <c r="K20" s="111">
        <f>J20+J52+J240</f>
        <v>83.196652</v>
      </c>
      <c r="L20" s="111">
        <f>K20+K52+K240</f>
        <v>82.228651999999997</v>
      </c>
      <c r="M20" s="111">
        <f>L20+L52+L240</f>
        <v>82.228651999999997</v>
      </c>
      <c r="N20" s="111">
        <f>IF(COUNT($H20:M20)&gt;Input!$Y$7,0, M20+M52+M240)</f>
        <v>82.228651999999997</v>
      </c>
      <c r="O20" s="111">
        <f>IF(COUNT($H20:N20)&gt;Input!$Y$7,0, N20+N52+N240)</f>
        <v>0</v>
      </c>
      <c r="P20" s="111">
        <f>IF(COUNT($H20:O20)&gt;Input!$Y$7,0, O20+O52+O240)</f>
        <v>0</v>
      </c>
      <c r="Q20" s="111">
        <f>IF(COUNT($H20:P20)&gt;Input!$Y$7,0, P20+P52+P240)</f>
        <v>0</v>
      </c>
      <c r="R20" s="111">
        <f>IF(COUNT($H20:Q20)&gt;Input!$Y$7,0, Q20+Q52+Q240)</f>
        <v>0</v>
      </c>
      <c r="S20" s="106"/>
      <c r="T20" s="106"/>
      <c r="U20" s="106"/>
      <c r="V20" s="106"/>
      <c r="W20" s="106"/>
      <c r="X20" s="106"/>
      <c r="Y20" s="106"/>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s="198" customFormat="1" hidden="1" outlineLevel="1">
      <c r="A21" s="9"/>
      <c r="B21" s="44"/>
      <c r="C21" s="270" t="str">
        <f>Asset14</f>
        <v>Easements</v>
      </c>
      <c r="D21" s="9"/>
      <c r="E21" s="9"/>
      <c r="F21" s="9"/>
      <c r="G21" s="9"/>
      <c r="H21" s="153">
        <f>A14taxvalue-Input!M20+(Input!G156-Input!G190)</f>
        <v>94.584698999999986</v>
      </c>
      <c r="I21" s="111">
        <f>H21+H53+H253</f>
        <v>94.584698999999986</v>
      </c>
      <c r="J21" s="111">
        <f>I21+I53+I253</f>
        <v>94.584698999999986</v>
      </c>
      <c r="K21" s="111">
        <f>J21+J53+J253</f>
        <v>94.584698999999986</v>
      </c>
      <c r="L21" s="111">
        <f>K21+K53+K253</f>
        <v>94.584698999999986</v>
      </c>
      <c r="M21" s="111">
        <f>L21+L53+L253</f>
        <v>94.584698999999986</v>
      </c>
      <c r="N21" s="111">
        <f>IF(COUNT($H21:M21)&gt;Input!$Y$7,0, M21+M53+M253)</f>
        <v>94.584698999999986</v>
      </c>
      <c r="O21" s="111">
        <f>IF(COUNT($H21:N21)&gt;Input!$Y$7,0, N21+N53+N253)</f>
        <v>0</v>
      </c>
      <c r="P21" s="111">
        <f>IF(COUNT($H21:O21)&gt;Input!$Y$7,0, O21+O53+O253)</f>
        <v>0</v>
      </c>
      <c r="Q21" s="111">
        <f>IF(COUNT($H21:P21)&gt;Input!$Y$7,0, P21+P53+P253)</f>
        <v>0</v>
      </c>
      <c r="R21" s="111">
        <f>IF(COUNT($H21:Q21)&gt;Input!$Y$7,0, Q21+Q53+Q253)</f>
        <v>0</v>
      </c>
      <c r="S21" s="106"/>
      <c r="T21" s="106"/>
      <c r="U21" s="106"/>
      <c r="V21" s="106"/>
      <c r="W21" s="106"/>
      <c r="X21" s="106"/>
      <c r="Y21" s="106"/>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s="198" customFormat="1" hidden="1" outlineLevel="1">
      <c r="A22" s="9"/>
      <c r="B22" s="44"/>
      <c r="C22" s="270">
        <f>Asset15</f>
        <v>0</v>
      </c>
      <c r="D22" s="9"/>
      <c r="E22" s="9"/>
      <c r="F22" s="9"/>
      <c r="G22" s="9"/>
      <c r="H22" s="153">
        <f>A15taxvalue-Input!M21+(Input!G157-Input!G191)</f>
        <v>0</v>
      </c>
      <c r="I22" s="111">
        <f>H22+H54+H266</f>
        <v>0</v>
      </c>
      <c r="J22" s="111">
        <f>I22+I54+I266</f>
        <v>0</v>
      </c>
      <c r="K22" s="111">
        <f>J22+J54+J266</f>
        <v>0</v>
      </c>
      <c r="L22" s="111">
        <f>K22+K54+K266</f>
        <v>0</v>
      </c>
      <c r="M22" s="111">
        <f>L22+L54+L266</f>
        <v>0</v>
      </c>
      <c r="N22" s="111">
        <f>IF(COUNT($H22:M22)&gt;Input!$Y$7,0, M22+M54+M266)</f>
        <v>0</v>
      </c>
      <c r="O22" s="111">
        <f>IF(COUNT($H22:N22)&gt;Input!$Y$7,0, N22+N54+N266)</f>
        <v>0</v>
      </c>
      <c r="P22" s="111">
        <f>IF(COUNT($H22:O22)&gt;Input!$Y$7,0, O22+O54+O266)</f>
        <v>0</v>
      </c>
      <c r="Q22" s="111">
        <f>IF(COUNT($H22:P22)&gt;Input!$Y$7,0, P22+P54+P266)</f>
        <v>0</v>
      </c>
      <c r="R22" s="111">
        <f>IF(COUNT($H22:Q22)&gt;Input!$Y$7,0, Q22+Q54+Q266)</f>
        <v>0</v>
      </c>
      <c r="S22" s="106"/>
      <c r="T22" s="106"/>
      <c r="U22" s="106"/>
      <c r="V22" s="106"/>
      <c r="W22" s="106"/>
      <c r="X22" s="106"/>
      <c r="Y22" s="106"/>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s="198" customFormat="1" hidden="1" outlineLevel="1">
      <c r="A23" s="9"/>
      <c r="B23" s="44"/>
      <c r="C23" s="270">
        <f>Asset16</f>
        <v>0</v>
      </c>
      <c r="D23" s="9"/>
      <c r="E23" s="9"/>
      <c r="F23" s="9"/>
      <c r="G23" s="9"/>
      <c r="H23" s="153">
        <f>A16taxvalue-Input!M22+(Input!G158-Input!G192)</f>
        <v>0</v>
      </c>
      <c r="I23" s="111">
        <f>H23+H55+H279</f>
        <v>0</v>
      </c>
      <c r="J23" s="111">
        <f>I23+I55+I279</f>
        <v>0</v>
      </c>
      <c r="K23" s="111">
        <f>J23+J55+J279</f>
        <v>0</v>
      </c>
      <c r="L23" s="111">
        <f>K23+K55+K279</f>
        <v>0</v>
      </c>
      <c r="M23" s="111">
        <f>L23+L55+L279</f>
        <v>0</v>
      </c>
      <c r="N23" s="111">
        <f>IF(COUNT($H23:M23)&gt;Input!$Y$7,0, M23+M55+M279)</f>
        <v>0</v>
      </c>
      <c r="O23" s="111">
        <f>IF(COUNT($H23:N23)&gt;Input!$Y$7,0, N23+N55+N279)</f>
        <v>0</v>
      </c>
      <c r="P23" s="111">
        <f>IF(COUNT($H23:O23)&gt;Input!$Y$7,0, O23+O55+O279)</f>
        <v>0</v>
      </c>
      <c r="Q23" s="111">
        <f>IF(COUNT($H23:P23)&gt;Input!$Y$7,0, P23+P55+P279)</f>
        <v>0</v>
      </c>
      <c r="R23" s="111">
        <f>IF(COUNT($H23:Q23)&gt;Input!$Y$7,0, Q23+Q55+Q279)</f>
        <v>0</v>
      </c>
      <c r="S23" s="106"/>
      <c r="T23" s="106"/>
      <c r="U23" s="106"/>
      <c r="V23" s="106"/>
      <c r="W23" s="106"/>
      <c r="X23" s="106"/>
      <c r="Y23" s="106"/>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s="198" customFormat="1" hidden="1" outlineLevel="1">
      <c r="A24" s="9"/>
      <c r="B24" s="44"/>
      <c r="C24" s="270">
        <f>Asset17</f>
        <v>0</v>
      </c>
      <c r="D24" s="9"/>
      <c r="E24" s="9"/>
      <c r="F24" s="9"/>
      <c r="G24" s="9"/>
      <c r="H24" s="153">
        <f>A17taxvalue-Input!M23+(Input!G159-Input!G193)</f>
        <v>0</v>
      </c>
      <c r="I24" s="111">
        <f>H24+H56+H292</f>
        <v>0</v>
      </c>
      <c r="J24" s="111">
        <f>I24+I56+I292</f>
        <v>0</v>
      </c>
      <c r="K24" s="111">
        <f>J24+J56+J292</f>
        <v>0</v>
      </c>
      <c r="L24" s="111">
        <f>K24+K56+K292</f>
        <v>0</v>
      </c>
      <c r="M24" s="111">
        <f>L24+L56+L292</f>
        <v>0</v>
      </c>
      <c r="N24" s="111">
        <f>IF(COUNT($H24:M24)&gt;Input!$Y$7,0, M24+M56+M292)</f>
        <v>0</v>
      </c>
      <c r="O24" s="111">
        <f>IF(COUNT($H24:N24)&gt;Input!$Y$7,0, N24+N56+N292)</f>
        <v>0</v>
      </c>
      <c r="P24" s="111">
        <f>IF(COUNT($H24:O24)&gt;Input!$Y$7,0, O24+O56+O292)</f>
        <v>0</v>
      </c>
      <c r="Q24" s="111">
        <f>IF(COUNT($H24:P24)&gt;Input!$Y$7,0, P24+P56+P292)</f>
        <v>0</v>
      </c>
      <c r="R24" s="111">
        <f>IF(COUNT($H24:Q24)&gt;Input!$Y$7,0, Q24+Q56+Q292)</f>
        <v>0</v>
      </c>
      <c r="S24" s="106"/>
      <c r="T24" s="106"/>
      <c r="U24" s="106"/>
      <c r="V24" s="106"/>
      <c r="W24" s="106"/>
      <c r="X24" s="106"/>
      <c r="Y24" s="106"/>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s="198" customFormat="1" hidden="1" outlineLevel="1">
      <c r="A25" s="9"/>
      <c r="B25" s="44"/>
      <c r="C25" s="270">
        <f>Asset18</f>
        <v>0</v>
      </c>
      <c r="D25" s="9"/>
      <c r="E25" s="9"/>
      <c r="F25" s="9"/>
      <c r="G25" s="9"/>
      <c r="H25" s="153">
        <f>A18taxvalue-Input!M24+(Input!G160-Input!G194)</f>
        <v>0</v>
      </c>
      <c r="I25" s="111">
        <f>H25+H57+H305</f>
        <v>0</v>
      </c>
      <c r="J25" s="111">
        <f>I25+I57+I305</f>
        <v>0</v>
      </c>
      <c r="K25" s="111">
        <f>J25+J57+J305</f>
        <v>0</v>
      </c>
      <c r="L25" s="111">
        <f>K25+K57+K305</f>
        <v>0</v>
      </c>
      <c r="M25" s="111">
        <f>L25+L57+L305</f>
        <v>0</v>
      </c>
      <c r="N25" s="111">
        <f>IF(COUNT($H25:M25)&gt;Input!$Y$7,0, M25+M57+M305)</f>
        <v>0</v>
      </c>
      <c r="O25" s="111">
        <f>IF(COUNT($H25:N25)&gt;Input!$Y$7,0, N25+N57+N305)</f>
        <v>0</v>
      </c>
      <c r="P25" s="111">
        <f>IF(COUNT($H25:O25)&gt;Input!$Y$7,0, O25+O57+O305)</f>
        <v>0</v>
      </c>
      <c r="Q25" s="111">
        <f>IF(COUNT($H25:P25)&gt;Input!$Y$7,0, P25+P57+P305)</f>
        <v>0</v>
      </c>
      <c r="R25" s="111">
        <f>IF(COUNT($H25:Q25)&gt;Input!$Y$7,0, Q25+Q57+Q305)</f>
        <v>0</v>
      </c>
      <c r="S25" s="106"/>
      <c r="T25" s="106"/>
      <c r="U25" s="106"/>
      <c r="V25" s="106"/>
      <c r="W25" s="106"/>
      <c r="X25" s="106"/>
      <c r="Y25" s="106"/>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s="198" customFormat="1" hidden="1" outlineLevel="1">
      <c r="A26" s="9"/>
      <c r="B26" s="44"/>
      <c r="C26" s="270">
        <f>Asset19</f>
        <v>0</v>
      </c>
      <c r="D26" s="9"/>
      <c r="E26" s="9"/>
      <c r="F26" s="9"/>
      <c r="G26" s="9"/>
      <c r="H26" s="153">
        <f>A19taxvalue-Input!M25+(Input!G161-Input!G195)</f>
        <v>0</v>
      </c>
      <c r="I26" s="111">
        <f>H26+H58+H318</f>
        <v>0</v>
      </c>
      <c r="J26" s="111">
        <f>I26+I58+I318</f>
        <v>0</v>
      </c>
      <c r="K26" s="111">
        <f>J26+J58+J318</f>
        <v>0</v>
      </c>
      <c r="L26" s="111">
        <f>K26+K58+K318</f>
        <v>0</v>
      </c>
      <c r="M26" s="111">
        <f>L26+L58+L318</f>
        <v>0</v>
      </c>
      <c r="N26" s="111">
        <f>IF(COUNT($H26:M26)&gt;Input!$Y$7,0, M26+M58+M318)</f>
        <v>0</v>
      </c>
      <c r="O26" s="111">
        <f>IF(COUNT($H26:N26)&gt;Input!$Y$7,0, N26+N58+N318)</f>
        <v>0</v>
      </c>
      <c r="P26" s="111">
        <f>IF(COUNT($H26:O26)&gt;Input!$Y$7,0, O26+O58+O318)</f>
        <v>0</v>
      </c>
      <c r="Q26" s="111">
        <f>IF(COUNT($H26:P26)&gt;Input!$Y$7,0, P26+P58+P318)</f>
        <v>0</v>
      </c>
      <c r="R26" s="111">
        <f>IF(COUNT($H26:Q26)&gt;Input!$Y$7,0, Q26+Q58+Q318)</f>
        <v>0</v>
      </c>
      <c r="S26" s="106"/>
      <c r="T26" s="106"/>
      <c r="U26" s="106"/>
      <c r="V26" s="106"/>
      <c r="W26" s="106"/>
      <c r="X26" s="106"/>
      <c r="Y26" s="106"/>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s="198" customFormat="1" hidden="1" outlineLevel="1">
      <c r="A27" s="9"/>
      <c r="B27" s="44"/>
      <c r="C27" s="270">
        <f>Asset20</f>
        <v>0</v>
      </c>
      <c r="D27" s="9"/>
      <c r="E27" s="9"/>
      <c r="F27" s="9"/>
      <c r="G27" s="9"/>
      <c r="H27" s="153">
        <f>A20taxvalue-Input!M26+(Input!G162-Input!G196)</f>
        <v>0</v>
      </c>
      <c r="I27" s="111">
        <f>H27+H59+H331</f>
        <v>0</v>
      </c>
      <c r="J27" s="111">
        <f>I27+I59+I331</f>
        <v>0</v>
      </c>
      <c r="K27" s="111">
        <f>J27+J59+J331</f>
        <v>0</v>
      </c>
      <c r="L27" s="111">
        <f>K27+K59+K331</f>
        <v>0</v>
      </c>
      <c r="M27" s="111">
        <f>L27+L59+L331</f>
        <v>0</v>
      </c>
      <c r="N27" s="111">
        <f>IF(COUNT($H27:M27)&gt;Input!$Y$7,0, M27+M59+M331)</f>
        <v>0</v>
      </c>
      <c r="O27" s="111">
        <f>IF(COUNT($H27:N27)&gt;Input!$Y$7,0, N27+N59+N331)</f>
        <v>0</v>
      </c>
      <c r="P27" s="111">
        <f>IF(COUNT($H27:O27)&gt;Input!$Y$7,0, O27+O59+O331)</f>
        <v>0</v>
      </c>
      <c r="Q27" s="111">
        <f>IF(COUNT($H27:P27)&gt;Input!$Y$7,0, P27+P59+P331)</f>
        <v>0</v>
      </c>
      <c r="R27" s="111">
        <f>IF(COUNT($H27:Q27)&gt;Input!$Y$7,0, Q27+Q59+Q331)</f>
        <v>0</v>
      </c>
      <c r="S27" s="106"/>
      <c r="T27" s="106"/>
      <c r="U27" s="106"/>
      <c r="V27" s="106"/>
      <c r="W27" s="106"/>
      <c r="X27" s="106"/>
      <c r="Y27" s="106"/>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s="198" customFormat="1" hidden="1" outlineLevel="1">
      <c r="A28" s="9"/>
      <c r="B28" s="44"/>
      <c r="C28" s="270">
        <f>Asset21</f>
        <v>0</v>
      </c>
      <c r="D28" s="9"/>
      <c r="E28" s="9"/>
      <c r="F28" s="9"/>
      <c r="G28" s="9"/>
      <c r="H28" s="153">
        <f>A21taxvalue-Input!M27+(Input!G163-Input!G197)</f>
        <v>0</v>
      </c>
      <c r="I28" s="111">
        <f>H28+H60+H344</f>
        <v>0</v>
      </c>
      <c r="J28" s="111">
        <f>I28+I60+I344</f>
        <v>0</v>
      </c>
      <c r="K28" s="111">
        <f>J28+J60+J344</f>
        <v>0</v>
      </c>
      <c r="L28" s="111">
        <f>K28+K60+K344</f>
        <v>0</v>
      </c>
      <c r="M28" s="111">
        <f>L28+L60+L344</f>
        <v>0</v>
      </c>
      <c r="N28" s="111">
        <f>IF(COUNT($H28:M28)&gt;Input!$Y$7,0, M28+M60+M344)</f>
        <v>0</v>
      </c>
      <c r="O28" s="111">
        <f>IF(COUNT($H28:N28)&gt;Input!$Y$7,0, N28+N60+N344)</f>
        <v>0</v>
      </c>
      <c r="P28" s="111">
        <f>IF(COUNT($H28:O28)&gt;Input!$Y$7,0, O28+O60+O344)</f>
        <v>0</v>
      </c>
      <c r="Q28" s="111">
        <f>IF(COUNT($H28:P28)&gt;Input!$Y$7,0, P28+P60+P344)</f>
        <v>0</v>
      </c>
      <c r="R28" s="111">
        <f>IF(COUNT($H28:Q28)&gt;Input!$Y$7,0, Q28+Q60+Q344)</f>
        <v>0</v>
      </c>
      <c r="S28" s="106"/>
      <c r="T28" s="106"/>
      <c r="U28" s="106"/>
      <c r="V28" s="106"/>
      <c r="W28" s="106"/>
      <c r="X28" s="106"/>
      <c r="Y28" s="106"/>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s="198" customFormat="1" hidden="1" outlineLevel="1">
      <c r="A29" s="9"/>
      <c r="B29" s="44"/>
      <c r="C29" s="270">
        <f>Asset22</f>
        <v>0</v>
      </c>
      <c r="D29" s="9"/>
      <c r="E29" s="9"/>
      <c r="F29" s="9"/>
      <c r="G29" s="9"/>
      <c r="H29" s="153">
        <f>A22taxvalue-Input!M28+(Input!G164-Input!G198)</f>
        <v>0</v>
      </c>
      <c r="I29" s="111">
        <f>H29+H61+H357</f>
        <v>0</v>
      </c>
      <c r="J29" s="111">
        <f>I29+I61+I357</f>
        <v>0</v>
      </c>
      <c r="K29" s="111">
        <f>J29+J61+J357</f>
        <v>0</v>
      </c>
      <c r="L29" s="111">
        <f>K29+K61+K357</f>
        <v>0</v>
      </c>
      <c r="M29" s="111">
        <f>L29+L61+L357</f>
        <v>0</v>
      </c>
      <c r="N29" s="111">
        <f>IF(COUNT($H29:M29)&gt;Input!$Y$7,0, M29+M61+M357)</f>
        <v>0</v>
      </c>
      <c r="O29" s="111">
        <f>IF(COUNT($H29:N29)&gt;Input!$Y$7,0, N29+N61+N357)</f>
        <v>0</v>
      </c>
      <c r="P29" s="111">
        <f>IF(COUNT($H29:O29)&gt;Input!$Y$7,0, O29+O61+O357)</f>
        <v>0</v>
      </c>
      <c r="Q29" s="111">
        <f>IF(COUNT($H29:P29)&gt;Input!$Y$7,0, P29+P61+P357)</f>
        <v>0</v>
      </c>
      <c r="R29" s="111">
        <f>IF(COUNT($H29:Q29)&gt;Input!$Y$7,0, Q29+Q61+Q357)</f>
        <v>0</v>
      </c>
      <c r="S29" s="106"/>
      <c r="T29" s="106"/>
      <c r="U29" s="106"/>
      <c r="V29" s="106"/>
      <c r="W29" s="106"/>
      <c r="X29" s="106"/>
      <c r="Y29" s="106"/>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s="198" customFormat="1" hidden="1" outlineLevel="1">
      <c r="A30" s="9"/>
      <c r="B30" s="44"/>
      <c r="C30" s="270">
        <f>Asset23</f>
        <v>0</v>
      </c>
      <c r="D30" s="9"/>
      <c r="E30" s="9"/>
      <c r="F30" s="9"/>
      <c r="G30" s="9"/>
      <c r="H30" s="153">
        <f>A23taxvalue-Input!M29+(Input!G165-Input!G199)</f>
        <v>0</v>
      </c>
      <c r="I30" s="111">
        <f>H30+H62+H370</f>
        <v>0</v>
      </c>
      <c r="J30" s="111">
        <f>I30+I62+I370</f>
        <v>0</v>
      </c>
      <c r="K30" s="111">
        <f>J30+J62+J370</f>
        <v>0</v>
      </c>
      <c r="L30" s="111">
        <f>K30+K62+K370</f>
        <v>0</v>
      </c>
      <c r="M30" s="111">
        <f>L30+L62+L370</f>
        <v>0</v>
      </c>
      <c r="N30" s="111">
        <f>IF(COUNT($H30:M30)&gt;Input!$Y$7,0, M30+M62+M370)</f>
        <v>0</v>
      </c>
      <c r="O30" s="111">
        <f>IF(COUNT($H30:N30)&gt;Input!$Y$7,0, N30+N62+N370)</f>
        <v>0</v>
      </c>
      <c r="P30" s="111">
        <f>IF(COUNT($H30:O30)&gt;Input!$Y$7,0, O30+O62+O370)</f>
        <v>0</v>
      </c>
      <c r="Q30" s="111">
        <f>IF(COUNT($H30:P30)&gt;Input!$Y$7,0, P30+P62+P370)</f>
        <v>0</v>
      </c>
      <c r="R30" s="111">
        <f>IF(COUNT($H30:Q30)&gt;Input!$Y$7,0, Q30+Q62+Q370)</f>
        <v>0</v>
      </c>
      <c r="S30" s="106"/>
      <c r="T30" s="106"/>
      <c r="U30" s="106"/>
      <c r="V30" s="106"/>
      <c r="W30" s="106"/>
      <c r="X30" s="106"/>
      <c r="Y30" s="106"/>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s="198" customFormat="1" hidden="1" outlineLevel="1">
      <c r="A31" s="9"/>
      <c r="B31" s="44"/>
      <c r="C31" s="270">
        <f>Asset24</f>
        <v>0</v>
      </c>
      <c r="D31" s="9"/>
      <c r="E31" s="9"/>
      <c r="F31" s="9"/>
      <c r="G31" s="9"/>
      <c r="H31" s="153">
        <f>A24taxvalue-Input!M30+(Input!G166-Input!G200)</f>
        <v>0</v>
      </c>
      <c r="I31" s="111">
        <f>H31+H63+H383</f>
        <v>0</v>
      </c>
      <c r="J31" s="111">
        <f>I31+I63+I383</f>
        <v>0</v>
      </c>
      <c r="K31" s="111">
        <f>J31+J63+J383</f>
        <v>0</v>
      </c>
      <c r="L31" s="111">
        <f>K31+K63+K383</f>
        <v>0</v>
      </c>
      <c r="M31" s="111">
        <f>L31+L63+L383</f>
        <v>0</v>
      </c>
      <c r="N31" s="111">
        <f>IF(COUNT($H31:M31)&gt;Input!$Y$7,0, M31+M63+M383)</f>
        <v>0</v>
      </c>
      <c r="O31" s="111">
        <f>IF(COUNT($H31:N31)&gt;Input!$Y$7,0, N31+N63+N383)</f>
        <v>0</v>
      </c>
      <c r="P31" s="111">
        <f>IF(COUNT($H31:O31)&gt;Input!$Y$7,0, O31+O63+O383)</f>
        <v>0</v>
      </c>
      <c r="Q31" s="111">
        <f>IF(COUNT($H31:P31)&gt;Input!$Y$7,0, P31+P63+P383)</f>
        <v>0</v>
      </c>
      <c r="R31" s="111">
        <f>IF(COUNT($H31:Q31)&gt;Input!$Y$7,0, Q31+Q63+Q383)</f>
        <v>0</v>
      </c>
      <c r="S31" s="106"/>
      <c r="T31" s="106"/>
      <c r="U31" s="106"/>
      <c r="V31" s="106"/>
      <c r="W31" s="106"/>
      <c r="X31" s="106"/>
      <c r="Y31" s="106"/>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s="198" customFormat="1" hidden="1" outlineLevel="1">
      <c r="A32" s="9"/>
      <c r="B32" s="44"/>
      <c r="C32" s="270">
        <f>Asset25</f>
        <v>0</v>
      </c>
      <c r="D32" s="9"/>
      <c r="E32" s="9"/>
      <c r="F32" s="9"/>
      <c r="G32" s="9"/>
      <c r="H32" s="153">
        <f>A25taxvalue-Input!M31+(Input!G167-Input!G201)</f>
        <v>0</v>
      </c>
      <c r="I32" s="111">
        <f>H32+H64+H396</f>
        <v>0</v>
      </c>
      <c r="J32" s="111">
        <f>I32+I64+I396</f>
        <v>0</v>
      </c>
      <c r="K32" s="111">
        <f>J32+J64+J396</f>
        <v>0</v>
      </c>
      <c r="L32" s="111">
        <f>K32+K64+K396</f>
        <v>0</v>
      </c>
      <c r="M32" s="111">
        <f>L32+L64+L396</f>
        <v>0</v>
      </c>
      <c r="N32" s="111">
        <f>IF(COUNT($H32:M32)&gt;Input!$Y$7,0, M32+M64+M396)</f>
        <v>0</v>
      </c>
      <c r="O32" s="111">
        <f>IF(COUNT($H32:N32)&gt;Input!$Y$7,0, N32+N64+N396)</f>
        <v>0</v>
      </c>
      <c r="P32" s="111">
        <f>IF(COUNT($H32:O32)&gt;Input!$Y$7,0, O32+O64+O396)</f>
        <v>0</v>
      </c>
      <c r="Q32" s="111">
        <f>IF(COUNT($H32:P32)&gt;Input!$Y$7,0, P32+P64+P396)</f>
        <v>0</v>
      </c>
      <c r="R32" s="111">
        <f>IF(COUNT($H32:Q32)&gt;Input!$Y$7,0, Q32+Q64+Q396)</f>
        <v>0</v>
      </c>
      <c r="S32" s="106"/>
      <c r="T32" s="106"/>
      <c r="U32" s="106"/>
      <c r="V32" s="106"/>
      <c r="W32" s="106"/>
      <c r="X32" s="106"/>
      <c r="Y32" s="106"/>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s="198" customFormat="1" hidden="1" outlineLevel="1">
      <c r="A33" s="9"/>
      <c r="B33" s="44"/>
      <c r="C33" s="270">
        <f>Asset26</f>
        <v>0</v>
      </c>
      <c r="D33" s="9"/>
      <c r="E33" s="9"/>
      <c r="F33" s="9"/>
      <c r="G33" s="9"/>
      <c r="H33" s="153">
        <f>A26taxvalue-Input!M32+(Input!G168-Input!G202)</f>
        <v>0</v>
      </c>
      <c r="I33" s="111">
        <f>H33+H65+H409</f>
        <v>0</v>
      </c>
      <c r="J33" s="111">
        <f>I33+I65+I409</f>
        <v>0</v>
      </c>
      <c r="K33" s="111">
        <f>J33+J65+J409</f>
        <v>0</v>
      </c>
      <c r="L33" s="111">
        <f>K33+K65+K409</f>
        <v>0</v>
      </c>
      <c r="M33" s="111">
        <f>L33+L65+L409</f>
        <v>0</v>
      </c>
      <c r="N33" s="111">
        <f>IF(COUNT($H33:M33)&gt;Input!$Y$7,0, M33+M65+M409)</f>
        <v>0</v>
      </c>
      <c r="O33" s="111">
        <f>IF(COUNT($H33:N33)&gt;Input!$Y$7,0, N33+N65+N409)</f>
        <v>0</v>
      </c>
      <c r="P33" s="111">
        <f>IF(COUNT($H33:O33)&gt;Input!$Y$7,0, O33+O65+O409)</f>
        <v>0</v>
      </c>
      <c r="Q33" s="111">
        <f>IF(COUNT($H33:P33)&gt;Input!$Y$7,0, P33+P65+P409)</f>
        <v>0</v>
      </c>
      <c r="R33" s="111">
        <f>IF(COUNT($H33:Q33)&gt;Input!$Y$7,0, Q33+Q65+Q409)</f>
        <v>0</v>
      </c>
      <c r="S33" s="106"/>
      <c r="T33" s="106"/>
      <c r="U33" s="106"/>
      <c r="V33" s="106"/>
      <c r="W33" s="106"/>
      <c r="X33" s="106"/>
      <c r="Y33" s="106"/>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s="198" customFormat="1" hidden="1" outlineLevel="1">
      <c r="A34" s="9"/>
      <c r="B34" s="44"/>
      <c r="C34" s="270">
        <f>Asset27</f>
        <v>0</v>
      </c>
      <c r="D34" s="9"/>
      <c r="E34" s="9"/>
      <c r="F34" s="9"/>
      <c r="G34" s="9"/>
      <c r="H34" s="153">
        <f>A27taxvalue-Input!M33+(Input!G169-Input!G203)</f>
        <v>0</v>
      </c>
      <c r="I34" s="111">
        <f>H34+H66+H422</f>
        <v>0</v>
      </c>
      <c r="J34" s="111">
        <f>I34+I66+I422</f>
        <v>0</v>
      </c>
      <c r="K34" s="111">
        <f>J34+J66+J422</f>
        <v>0</v>
      </c>
      <c r="L34" s="111">
        <f>K34+K66+K422</f>
        <v>0</v>
      </c>
      <c r="M34" s="111">
        <f>L34+L66+L422</f>
        <v>0</v>
      </c>
      <c r="N34" s="111">
        <f>IF(COUNT($H34:M34)&gt;Input!$Y$7,0, M34+M66+M422)</f>
        <v>0</v>
      </c>
      <c r="O34" s="111">
        <f>IF(COUNT($H34:N34)&gt;Input!$Y$7,0, N34+N66+N422)</f>
        <v>0</v>
      </c>
      <c r="P34" s="111">
        <f>IF(COUNT($H34:O34)&gt;Input!$Y$7,0, O34+O66+O422)</f>
        <v>0</v>
      </c>
      <c r="Q34" s="111">
        <f>IF(COUNT($H34:P34)&gt;Input!$Y$7,0, P34+P66+P422)</f>
        <v>0</v>
      </c>
      <c r="R34" s="111">
        <f>IF(COUNT($H34:Q34)&gt;Input!$Y$7,0, Q34+Q66+Q422)</f>
        <v>0</v>
      </c>
      <c r="S34" s="106"/>
      <c r="T34" s="106"/>
      <c r="U34" s="106"/>
      <c r="V34" s="106"/>
      <c r="W34" s="106"/>
      <c r="X34" s="106"/>
      <c r="Y34" s="106"/>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s="198" customFormat="1" hidden="1" outlineLevel="1">
      <c r="A35" s="9"/>
      <c r="B35" s="44"/>
      <c r="C35" s="270">
        <f>Asset28</f>
        <v>0</v>
      </c>
      <c r="D35" s="9"/>
      <c r="E35" s="9"/>
      <c r="F35" s="9"/>
      <c r="G35" s="9"/>
      <c r="H35" s="153">
        <f>A28taxvalue-Input!M34+(Input!G170-Input!G204)</f>
        <v>0</v>
      </c>
      <c r="I35" s="111">
        <f>H35+H67+H435</f>
        <v>0</v>
      </c>
      <c r="J35" s="111">
        <f>I35+I67+I435</f>
        <v>0</v>
      </c>
      <c r="K35" s="111">
        <f>J35+J67+J435</f>
        <v>0</v>
      </c>
      <c r="L35" s="111">
        <f>K35+K67+K435</f>
        <v>0</v>
      </c>
      <c r="M35" s="111">
        <f>L35+L67+L435</f>
        <v>0</v>
      </c>
      <c r="N35" s="111">
        <f>IF(COUNT($H35:M35)&gt;Input!$Y$7,0, M35+M67+M435)</f>
        <v>0</v>
      </c>
      <c r="O35" s="111">
        <f>IF(COUNT($H35:N35)&gt;Input!$Y$7,0, N35+N67+N435)</f>
        <v>0</v>
      </c>
      <c r="P35" s="111">
        <f>IF(COUNT($H35:O35)&gt;Input!$Y$7,0, O35+O67+O435)</f>
        <v>0</v>
      </c>
      <c r="Q35" s="111">
        <f>IF(COUNT($H35:P35)&gt;Input!$Y$7,0, P35+P67+P435)</f>
        <v>0</v>
      </c>
      <c r="R35" s="111">
        <f>IF(COUNT($H35:Q35)&gt;Input!$Y$7,0, Q35+Q67+Q435)</f>
        <v>0</v>
      </c>
      <c r="S35" s="106"/>
      <c r="T35" s="106"/>
      <c r="U35" s="106"/>
      <c r="V35" s="106"/>
      <c r="W35" s="106"/>
      <c r="X35" s="106"/>
      <c r="Y35" s="106"/>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s="198" customFormat="1" hidden="1" outlineLevel="1">
      <c r="A36" s="9"/>
      <c r="B36" s="44"/>
      <c r="C36" s="270">
        <f>Asset29</f>
        <v>0</v>
      </c>
      <c r="D36" s="9"/>
      <c r="E36" s="9"/>
      <c r="F36" s="9"/>
      <c r="G36" s="9"/>
      <c r="H36" s="153">
        <f>A29taxvalue-Input!M35+(Input!G171-Input!G205)</f>
        <v>0</v>
      </c>
      <c r="I36" s="111">
        <f>H36+H68+H448</f>
        <v>0</v>
      </c>
      <c r="J36" s="111">
        <f>I36+I68+I448</f>
        <v>0</v>
      </c>
      <c r="K36" s="111">
        <f>J36+J68+J448</f>
        <v>0</v>
      </c>
      <c r="L36" s="111">
        <f>K36+K68+K448</f>
        <v>0</v>
      </c>
      <c r="M36" s="111">
        <f>L36+L68+L448</f>
        <v>0</v>
      </c>
      <c r="N36" s="111">
        <f>IF(COUNT($H36:M36)&gt;Input!$Y$7,0, M36+M68+M448)</f>
        <v>0</v>
      </c>
      <c r="O36" s="111">
        <f>IF(COUNT($H36:N36)&gt;Input!$Y$7,0, N36+N68+N448)</f>
        <v>0</v>
      </c>
      <c r="P36" s="111">
        <f>IF(COUNT($H36:O36)&gt;Input!$Y$7,0, O36+O68+O448)</f>
        <v>0</v>
      </c>
      <c r="Q36" s="111">
        <f>IF(COUNT($H36:P36)&gt;Input!$Y$7,0, P36+P68+P448)</f>
        <v>0</v>
      </c>
      <c r="R36" s="111">
        <f>IF(COUNT($H36:Q36)&gt;Input!$Y$7,0, Q36+Q68+Q448)</f>
        <v>0</v>
      </c>
      <c r="S36" s="106"/>
      <c r="T36" s="106"/>
      <c r="U36" s="106"/>
      <c r="V36" s="106"/>
      <c r="W36" s="106"/>
      <c r="X36" s="106"/>
      <c r="Y36" s="106"/>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s="198" customFormat="1" hidden="1" outlineLevel="1">
      <c r="A37" s="9"/>
      <c r="B37" s="44"/>
      <c r="C37" s="270">
        <f>Asset30</f>
        <v>0</v>
      </c>
      <c r="D37" s="9"/>
      <c r="E37" s="9"/>
      <c r="F37" s="9"/>
      <c r="G37" s="9"/>
      <c r="H37" s="153">
        <f>A30taxvalue-Input!M36+(Input!G172-Input!G206)</f>
        <v>0</v>
      </c>
      <c r="I37" s="111">
        <f>H37+H69+H461</f>
        <v>0</v>
      </c>
      <c r="J37" s="111">
        <f>I37+I69+I461</f>
        <v>0</v>
      </c>
      <c r="K37" s="111">
        <f>J37+J69+J461</f>
        <v>0</v>
      </c>
      <c r="L37" s="111">
        <f>K37+K69+K461</f>
        <v>0</v>
      </c>
      <c r="M37" s="111">
        <f>L37+L69+L461</f>
        <v>0</v>
      </c>
      <c r="N37" s="111">
        <f>IF(COUNT($H37:M37)&gt;Input!$Y$7,0, M37+M69+M461)</f>
        <v>0</v>
      </c>
      <c r="O37" s="111">
        <f>IF(COUNT($H37:N37)&gt;Input!$Y$7,0, N37+N69+N461)</f>
        <v>0</v>
      </c>
      <c r="P37" s="111">
        <f>IF(COUNT($H37:O37)&gt;Input!$Y$7,0, O37+O69+O461)</f>
        <v>0</v>
      </c>
      <c r="Q37" s="111">
        <f>IF(COUNT($H37:P37)&gt;Input!$Y$7,0, P37+P69+P461)</f>
        <v>0</v>
      </c>
      <c r="R37" s="111">
        <f>IF(COUNT($H37:Q37)&gt;Input!$Y$7,0, Q37+Q69+Q461)</f>
        <v>0</v>
      </c>
      <c r="S37" s="106"/>
      <c r="T37" s="106"/>
      <c r="U37" s="106"/>
      <c r="V37" s="106"/>
      <c r="W37" s="106"/>
      <c r="X37" s="106"/>
      <c r="Y37" s="106"/>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s="198" customFormat="1" collapsed="1">
      <c r="A38" s="12"/>
      <c r="B38" s="17"/>
      <c r="C38" s="12"/>
      <c r="D38" s="12"/>
      <c r="E38" s="12"/>
      <c r="F38" s="114"/>
      <c r="G38" s="114"/>
      <c r="H38" s="106"/>
      <c r="I38" s="106"/>
      <c r="J38" s="106"/>
      <c r="K38" s="106"/>
      <c r="L38" s="106"/>
      <c r="M38" s="106"/>
      <c r="N38" s="106"/>
      <c r="O38" s="106"/>
      <c r="P38" s="106"/>
      <c r="Q38" s="106"/>
      <c r="R38" s="106"/>
      <c r="S38" s="106"/>
      <c r="T38" s="106"/>
      <c r="U38" s="106"/>
      <c r="V38" s="106"/>
      <c r="W38" s="106"/>
      <c r="X38" s="106"/>
      <c r="Y38" s="106"/>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s="198" customFormat="1">
      <c r="A39" s="12"/>
      <c r="B39" s="44" t="s">
        <v>67</v>
      </c>
      <c r="C39" s="9"/>
      <c r="D39" s="12"/>
      <c r="E39" s="12"/>
      <c r="F39" s="114"/>
      <c r="G39" s="114"/>
      <c r="H39" s="106">
        <f>SUM(H40:H69)</f>
        <v>39.032615786994008</v>
      </c>
      <c r="I39" s="106">
        <f>SUM(I40:I69)</f>
        <v>83.133266528119023</v>
      </c>
      <c r="J39" s="106">
        <f t="shared" ref="J39:Q39" si="2">SUM(J40:J69)</f>
        <v>105.32160183999994</v>
      </c>
      <c r="K39" s="106">
        <f t="shared" si="2"/>
        <v>118.19575115000008</v>
      </c>
      <c r="L39" s="106">
        <f>SUM(L40:L69)</f>
        <v>138.81193000000002</v>
      </c>
      <c r="M39" s="106">
        <f t="shared" si="2"/>
        <v>137.5375970295201</v>
      </c>
      <c r="N39" s="106">
        <f t="shared" si="2"/>
        <v>0</v>
      </c>
      <c r="O39" s="106">
        <f t="shared" si="2"/>
        <v>0</v>
      </c>
      <c r="P39" s="106">
        <f t="shared" si="2"/>
        <v>0</v>
      </c>
      <c r="Q39" s="106">
        <f t="shared" si="2"/>
        <v>0</v>
      </c>
      <c r="R39" s="106"/>
      <c r="S39" s="106"/>
      <c r="T39" s="106"/>
      <c r="U39" s="106"/>
      <c r="V39" s="106"/>
      <c r="W39" s="106"/>
      <c r="X39" s="106"/>
      <c r="Y39" s="106"/>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s="198" customFormat="1" ht="12.75" hidden="1" customHeight="1" outlineLevel="1">
      <c r="A40" s="12"/>
      <c r="B40" s="9"/>
      <c r="C40" s="270" t="str">
        <f>Asset1</f>
        <v>Secondary</v>
      </c>
      <c r="D40" s="12"/>
      <c r="E40" s="12"/>
      <c r="F40" s="114"/>
      <c r="G40" s="114"/>
      <c r="H40" s="106">
        <f>Input!H143-Input!H177</f>
        <v>7.1320027193154649</v>
      </c>
      <c r="I40" s="106">
        <f>Input!I143-Input!I177</f>
        <v>2.9345754844000007</v>
      </c>
      <c r="J40" s="106">
        <f>Input!J143-Input!J177</f>
        <v>10.694426100000001</v>
      </c>
      <c r="K40" s="106">
        <f>Input!K143-Input!K177</f>
        <v>11.865961162510843</v>
      </c>
      <c r="L40" s="106">
        <f>Input!L143-Input!L177</f>
        <v>29.241808510000006</v>
      </c>
      <c r="M40" s="106">
        <f>Input!M143-Input!M177</f>
        <v>19.549877874291326</v>
      </c>
      <c r="N40" s="106">
        <f>Input!N143-Input!N177</f>
        <v>0</v>
      </c>
      <c r="O40" s="106">
        <f>Input!O143-Input!O177</f>
        <v>0</v>
      </c>
      <c r="P40" s="106">
        <f>Input!P143-Input!P177</f>
        <v>0</v>
      </c>
      <c r="Q40" s="106">
        <f>Input!Q143-Input!Q177</f>
        <v>0</v>
      </c>
      <c r="R40" s="106"/>
      <c r="S40" s="106"/>
      <c r="T40" s="106"/>
      <c r="U40" s="106"/>
      <c r="V40" s="106"/>
      <c r="W40" s="106"/>
      <c r="X40" s="106"/>
      <c r="Y40" s="106"/>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s="198" customFormat="1" ht="12.75" hidden="1" customHeight="1" outlineLevel="1">
      <c r="A41" s="12"/>
      <c r="B41" s="44"/>
      <c r="C41" s="270" t="str">
        <f>Asset2</f>
        <v>Switchgear</v>
      </c>
      <c r="D41" s="12"/>
      <c r="E41" s="12"/>
      <c r="F41" s="114"/>
      <c r="G41" s="114"/>
      <c r="H41" s="106">
        <f>Input!H144-Input!H178</f>
        <v>6.2302791099080608</v>
      </c>
      <c r="I41" s="106">
        <f>Input!I144-Input!I178</f>
        <v>26.161301195899977</v>
      </c>
      <c r="J41" s="106">
        <f>Input!J144-Input!J178</f>
        <v>48.809779529999972</v>
      </c>
      <c r="K41" s="106">
        <f>Input!K144-Input!K178</f>
        <v>32.862415413889082</v>
      </c>
      <c r="L41" s="106">
        <f>Input!L144-Input!L178</f>
        <v>27.503629890000003</v>
      </c>
      <c r="M41" s="106">
        <f>Input!M144-Input!M178</f>
        <v>42.800161872187175</v>
      </c>
      <c r="N41" s="106">
        <f>Input!N144-Input!N178</f>
        <v>0</v>
      </c>
      <c r="O41" s="106">
        <f>Input!O144-Input!O178</f>
        <v>0</v>
      </c>
      <c r="P41" s="106">
        <f>Input!P144-Input!P178</f>
        <v>0</v>
      </c>
      <c r="Q41" s="106">
        <f>Input!Q144-Input!Q178</f>
        <v>0</v>
      </c>
      <c r="R41" s="106"/>
      <c r="S41" s="106"/>
      <c r="T41" s="106"/>
      <c r="U41" s="106"/>
      <c r="V41" s="106"/>
      <c r="W41" s="106"/>
      <c r="X41" s="106"/>
      <c r="Y41" s="106"/>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s="198" customFormat="1" ht="12.75" hidden="1" customHeight="1" outlineLevel="1">
      <c r="A42" s="12"/>
      <c r="B42" s="44"/>
      <c r="C42" s="270" t="str">
        <f>Asset3</f>
        <v>Transformers</v>
      </c>
      <c r="D42" s="12"/>
      <c r="E42" s="12"/>
      <c r="F42" s="114"/>
      <c r="G42" s="114"/>
      <c r="H42" s="106">
        <f>Input!H145-Input!H179</f>
        <v>4.7651269269282128</v>
      </c>
      <c r="I42" s="106">
        <f>Input!I145-Input!I179</f>
        <v>6.0794746218999984</v>
      </c>
      <c r="J42" s="106">
        <f>Input!J145-Input!J179</f>
        <v>10.768183260000013</v>
      </c>
      <c r="K42" s="106">
        <f>Input!K145-Input!K179</f>
        <v>8.9791943988239886</v>
      </c>
      <c r="L42" s="106">
        <f>Input!L145-Input!L179</f>
        <v>24.670637970000005</v>
      </c>
      <c r="M42" s="106">
        <f>Input!M145-Input!M179</f>
        <v>33.799640275599259</v>
      </c>
      <c r="N42" s="106">
        <f>Input!N145-Input!N179</f>
        <v>0</v>
      </c>
      <c r="O42" s="106">
        <f>Input!O145-Input!O179</f>
        <v>0</v>
      </c>
      <c r="P42" s="106">
        <f>Input!P145-Input!P179</f>
        <v>0</v>
      </c>
      <c r="Q42" s="106">
        <f>Input!Q145-Input!Q179</f>
        <v>0</v>
      </c>
      <c r="R42" s="106"/>
      <c r="S42" s="106"/>
      <c r="T42" s="106"/>
      <c r="U42" s="106"/>
      <c r="V42" s="106"/>
      <c r="W42" s="106"/>
      <c r="X42" s="106"/>
      <c r="Y42" s="106"/>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s="198" customFormat="1" ht="12.75" hidden="1" customHeight="1" outlineLevel="1">
      <c r="A43" s="12"/>
      <c r="B43" s="44"/>
      <c r="C43" s="270" t="str">
        <f>Asset4</f>
        <v>Reactive</v>
      </c>
      <c r="D43" s="12"/>
      <c r="E43" s="12"/>
      <c r="F43" s="114"/>
      <c r="G43" s="114"/>
      <c r="H43" s="106">
        <f>Input!H146-Input!H180</f>
        <v>6.0293999999999999E-3</v>
      </c>
      <c r="I43" s="106">
        <f>Input!I146-Input!I180</f>
        <v>0.98298638000000005</v>
      </c>
      <c r="J43" s="106">
        <f>Input!J146-Input!J180</f>
        <v>4.7173350000000003E-2</v>
      </c>
      <c r="K43" s="106">
        <f>Input!K146-Input!K180</f>
        <v>0.52438968186609591</v>
      </c>
      <c r="L43" s="106">
        <f>Input!L146-Input!L180</f>
        <v>0.94433064000000011</v>
      </c>
      <c r="M43" s="106">
        <f>Input!M146-Input!M180</f>
        <v>0.84964324890037268</v>
      </c>
      <c r="N43" s="106">
        <f>Input!N146-Input!N180</f>
        <v>0</v>
      </c>
      <c r="O43" s="106">
        <f>Input!O146-Input!O180</f>
        <v>0</v>
      </c>
      <c r="P43" s="106">
        <f>Input!P146-Input!P180</f>
        <v>0</v>
      </c>
      <c r="Q43" s="106">
        <f>Input!Q146-Input!Q180</f>
        <v>0</v>
      </c>
      <c r="R43" s="106"/>
      <c r="S43" s="106"/>
      <c r="T43" s="106"/>
      <c r="U43" s="106"/>
      <c r="V43" s="106"/>
      <c r="W43" s="106"/>
      <c r="X43" s="106"/>
      <c r="Y43" s="106"/>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s="198" customFormat="1" ht="12.75" hidden="1" customHeight="1" outlineLevel="1">
      <c r="A44" s="12"/>
      <c r="B44" s="44"/>
      <c r="C44" s="270" t="str">
        <f>Asset5</f>
        <v>Towers and Conductor</v>
      </c>
      <c r="D44" s="12"/>
      <c r="E44" s="12"/>
      <c r="F44" s="114"/>
      <c r="G44" s="114"/>
      <c r="H44" s="106">
        <f>Input!H147-Input!H181</f>
        <v>5.3853436194945257</v>
      </c>
      <c r="I44" s="106">
        <f>Input!I147-Input!I181</f>
        <v>18.896164890000001</v>
      </c>
      <c r="J44" s="106">
        <f>Input!J147-Input!J181</f>
        <v>9.0826310199999885</v>
      </c>
      <c r="K44" s="106">
        <f>Input!K147-Input!K181</f>
        <v>40.550386891148619</v>
      </c>
      <c r="L44" s="106">
        <f>Input!L147-Input!L181</f>
        <v>23.726307330000001</v>
      </c>
      <c r="M44" s="106">
        <f>Input!M147-Input!M181</f>
        <v>4.8556505854245415</v>
      </c>
      <c r="N44" s="106">
        <f>Input!N147-Input!N181</f>
        <v>0</v>
      </c>
      <c r="O44" s="106">
        <f>Input!O147-Input!O181</f>
        <v>0</v>
      </c>
      <c r="P44" s="106">
        <f>Input!P147-Input!P181</f>
        <v>0</v>
      </c>
      <c r="Q44" s="106">
        <f>Input!Q147-Input!Q181</f>
        <v>0</v>
      </c>
      <c r="R44" s="106"/>
      <c r="S44" s="106"/>
      <c r="T44" s="106"/>
      <c r="U44" s="106"/>
      <c r="V44" s="106"/>
      <c r="W44" s="106"/>
      <c r="X44" s="106"/>
      <c r="Y44" s="106"/>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s="198" customFormat="1" ht="12.75" hidden="1" customHeight="1" outlineLevel="1">
      <c r="A45" s="12"/>
      <c r="B45" s="44"/>
      <c r="C45" s="270" t="str">
        <f>Asset6</f>
        <v>Establishment</v>
      </c>
      <c r="D45" s="12"/>
      <c r="E45" s="12"/>
      <c r="F45" s="114"/>
      <c r="G45" s="114"/>
      <c r="H45" s="106">
        <f>Input!H148-Input!H182</f>
        <v>12.23923570488591</v>
      </c>
      <c r="I45" s="106">
        <f>Input!I148-Input!I182</f>
        <v>11.087337928799993</v>
      </c>
      <c r="J45" s="106">
        <f>Input!J148-Input!J182</f>
        <v>6.5153085700000002</v>
      </c>
      <c r="K45" s="106">
        <f>Input!K148-Input!K182</f>
        <v>5.203529266696159</v>
      </c>
      <c r="L45" s="106">
        <f>Input!L148-Input!L182</f>
        <v>7.5546451200000009</v>
      </c>
      <c r="M45" s="106">
        <f>Input!M148-Input!M182</f>
        <v>9.2459256838322652</v>
      </c>
      <c r="N45" s="106">
        <f>Input!N148-Input!N182</f>
        <v>0</v>
      </c>
      <c r="O45" s="106">
        <f>Input!O148-Input!O182</f>
        <v>0</v>
      </c>
      <c r="P45" s="106">
        <f>Input!P148-Input!P182</f>
        <v>0</v>
      </c>
      <c r="Q45" s="106">
        <f>Input!Q148-Input!Q182</f>
        <v>0</v>
      </c>
      <c r="R45" s="106"/>
      <c r="S45" s="106"/>
      <c r="T45" s="106"/>
      <c r="U45" s="106"/>
      <c r="V45" s="106"/>
      <c r="W45" s="106"/>
      <c r="X45" s="106"/>
      <c r="Y45" s="106"/>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s="198" customFormat="1" ht="12.75" hidden="1" customHeight="1" outlineLevel="1">
      <c r="A46" s="12"/>
      <c r="B46" s="44"/>
      <c r="C46" s="270" t="str">
        <f>Asset7</f>
        <v>Communications</v>
      </c>
      <c r="D46" s="12"/>
      <c r="E46" s="12"/>
      <c r="F46" s="114"/>
      <c r="G46" s="114"/>
      <c r="H46" s="106">
        <f>Input!H149-Input!H183</f>
        <v>0.33874497999999997</v>
      </c>
      <c r="I46" s="106">
        <f>Input!I149-Input!I183</f>
        <v>2.0564539989999999</v>
      </c>
      <c r="J46" s="106">
        <f>Input!J149-Input!J183</f>
        <v>11.795784429999999</v>
      </c>
      <c r="K46" s="106">
        <f>Input!K149-Input!K183</f>
        <v>6.6205659100000025</v>
      </c>
      <c r="L46" s="106">
        <f>Input!L149-Input!L183</f>
        <v>4.4855705400000003</v>
      </c>
      <c r="M46" s="106">
        <f>Input!M149-Input!M183</f>
        <v>5.4214882708482728</v>
      </c>
      <c r="N46" s="106">
        <f>Input!N149-Input!N183</f>
        <v>0</v>
      </c>
      <c r="O46" s="106">
        <f>Input!O149-Input!O183</f>
        <v>0</v>
      </c>
      <c r="P46" s="106">
        <f>Input!P149-Input!P183</f>
        <v>0</v>
      </c>
      <c r="Q46" s="106">
        <f>Input!Q149-Input!Q183</f>
        <v>0</v>
      </c>
      <c r="R46" s="106"/>
      <c r="S46" s="106"/>
      <c r="T46" s="106"/>
      <c r="U46" s="106"/>
      <c r="V46" s="106"/>
      <c r="W46" s="106"/>
      <c r="X46" s="106"/>
      <c r="Y46" s="106"/>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s="198" customFormat="1" ht="12.75" hidden="1" customHeight="1" outlineLevel="1">
      <c r="A47" s="12"/>
      <c r="B47" s="44"/>
      <c r="C47" s="270" t="str">
        <f>Asset8</f>
        <v>Inventory</v>
      </c>
      <c r="D47" s="12"/>
      <c r="E47" s="12"/>
      <c r="F47" s="114"/>
      <c r="G47" s="114"/>
      <c r="H47" s="106">
        <f>Input!H150-Input!H184</f>
        <v>0</v>
      </c>
      <c r="I47" s="106">
        <f>Input!I150-Input!I184</f>
        <v>0</v>
      </c>
      <c r="J47" s="106">
        <f>Input!J150-Input!J184</f>
        <v>0</v>
      </c>
      <c r="K47" s="106">
        <f>Input!K150-Input!K184</f>
        <v>0</v>
      </c>
      <c r="L47" s="106">
        <f>Input!L150-Input!L184</f>
        <v>0</v>
      </c>
      <c r="M47" s="106">
        <f>Input!M150-Input!M184</f>
        <v>0</v>
      </c>
      <c r="N47" s="106">
        <f>Input!N150-Input!N184</f>
        <v>0</v>
      </c>
      <c r="O47" s="106">
        <f>Input!O150-Input!O184</f>
        <v>0</v>
      </c>
      <c r="P47" s="106">
        <f>Input!P150-Input!P184</f>
        <v>0</v>
      </c>
      <c r="Q47" s="106">
        <f>Input!Q150-Input!Q184</f>
        <v>0</v>
      </c>
      <c r="R47" s="106"/>
      <c r="S47" s="106"/>
      <c r="T47" s="106"/>
      <c r="U47" s="106"/>
      <c r="V47" s="106"/>
      <c r="W47" s="106"/>
      <c r="X47" s="106"/>
      <c r="Y47" s="106"/>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s="198" customFormat="1" ht="12.75" hidden="1" customHeight="1" outlineLevel="1">
      <c r="A48" s="12"/>
      <c r="B48" s="44"/>
      <c r="C48" s="270" t="str">
        <f>Asset9</f>
        <v>IT</v>
      </c>
      <c r="D48" s="12"/>
      <c r="E48" s="12"/>
      <c r="F48" s="114"/>
      <c r="G48" s="114"/>
      <c r="H48" s="106">
        <f>Input!H151-Input!H185</f>
        <v>2.5942245499999994</v>
      </c>
      <c r="I48" s="106">
        <f>Input!I151-Input!I185</f>
        <v>12.119416030099959</v>
      </c>
      <c r="J48" s="106">
        <f>Input!J151-Input!J185</f>
        <v>4.9617902699999803</v>
      </c>
      <c r="K48" s="106">
        <f>Input!K151-Input!K185</f>
        <v>7.9886201699999999</v>
      </c>
      <c r="L48" s="106">
        <f>Input!L151-Input!L185</f>
        <v>16.8</v>
      </c>
      <c r="M48" s="106">
        <f>Input!M151-Input!M185</f>
        <v>17.530917835671342</v>
      </c>
      <c r="N48" s="106">
        <f>Input!N151-Input!N185</f>
        <v>0</v>
      </c>
      <c r="O48" s="106">
        <f>Input!O151-Input!O185</f>
        <v>0</v>
      </c>
      <c r="P48" s="106">
        <f>Input!P151-Input!P185</f>
        <v>0</v>
      </c>
      <c r="Q48" s="106">
        <f>Input!Q151-Input!Q185</f>
        <v>0</v>
      </c>
      <c r="R48" s="106"/>
      <c r="S48" s="106"/>
      <c r="T48" s="106"/>
      <c r="U48" s="106"/>
      <c r="V48" s="106"/>
      <c r="W48" s="106"/>
      <c r="X48" s="106"/>
      <c r="Y48" s="106"/>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s="198" customFormat="1" ht="12.75" hidden="1" customHeight="1" outlineLevel="1">
      <c r="A49" s="12"/>
      <c r="B49" s="44"/>
      <c r="C49" s="270" t="str">
        <f>Asset10</f>
        <v>Vehicles</v>
      </c>
      <c r="D49" s="12"/>
      <c r="E49" s="12"/>
      <c r="F49" s="114"/>
      <c r="G49" s="114"/>
      <c r="H49" s="106">
        <f>Input!H152-Input!H186</f>
        <v>-4.8133845115272023E-2</v>
      </c>
      <c r="I49" s="106">
        <f>Input!I152-Input!I186</f>
        <v>0.49263830811909115</v>
      </c>
      <c r="J49" s="106">
        <f>Input!J152-Input!J186</f>
        <v>-0.15149870000000001</v>
      </c>
      <c r="K49" s="106">
        <f>Input!K152-Input!K186</f>
        <v>0.17768165999999999</v>
      </c>
      <c r="L49" s="106">
        <f>Input!L152-Input!L186</f>
        <v>1.5750000000000002</v>
      </c>
      <c r="M49" s="106">
        <f>Input!M152-Input!M186</f>
        <v>1.6242069138276554</v>
      </c>
      <c r="N49" s="106">
        <f>Input!N152-Input!N186</f>
        <v>0</v>
      </c>
      <c r="O49" s="106">
        <f>Input!O152-Input!O186</f>
        <v>0</v>
      </c>
      <c r="P49" s="106">
        <f>Input!P152-Input!P186</f>
        <v>0</v>
      </c>
      <c r="Q49" s="106">
        <f>Input!Q152-Input!Q186</f>
        <v>0</v>
      </c>
      <c r="R49" s="106"/>
      <c r="S49" s="106"/>
      <c r="T49" s="106"/>
      <c r="U49" s="106"/>
      <c r="V49" s="106"/>
      <c r="W49" s="106"/>
      <c r="X49" s="106"/>
      <c r="Y49" s="106"/>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s="198" customFormat="1" ht="12.75" hidden="1" customHeight="1" outlineLevel="1">
      <c r="A50" s="12"/>
      <c r="B50" s="44"/>
      <c r="C50" s="270" t="str">
        <f>Asset11</f>
        <v>other</v>
      </c>
      <c r="D50" s="12"/>
      <c r="E50" s="12"/>
      <c r="F50" s="114"/>
      <c r="G50" s="114"/>
      <c r="H50" s="106">
        <f>Input!H153-Input!H187</f>
        <v>0.40945054157710759</v>
      </c>
      <c r="I50" s="106">
        <f>Input!I153-Input!I187</f>
        <v>1.7801254998999936</v>
      </c>
      <c r="J50" s="106">
        <f>Input!J153-Input!J187</f>
        <v>3.1887555500000015</v>
      </c>
      <c r="K50" s="106">
        <f>Input!K153-Input!K187</f>
        <v>3.3190745350652855</v>
      </c>
      <c r="L50" s="106">
        <f>Input!L153-Input!L187</f>
        <v>2.1</v>
      </c>
      <c r="M50" s="106">
        <f>Input!M153-Input!M187</f>
        <v>1.6435235470941885</v>
      </c>
      <c r="N50" s="106">
        <f>Input!N153-Input!N187</f>
        <v>0</v>
      </c>
      <c r="O50" s="106">
        <f>Input!O153-Input!O187</f>
        <v>0</v>
      </c>
      <c r="P50" s="106">
        <f>Input!P153-Input!P187</f>
        <v>0</v>
      </c>
      <c r="Q50" s="106">
        <f>Input!Q153-Input!Q187</f>
        <v>0</v>
      </c>
      <c r="R50" s="106"/>
      <c r="S50" s="106"/>
      <c r="T50" s="106"/>
      <c r="U50" s="106"/>
      <c r="V50" s="106"/>
      <c r="W50" s="106"/>
      <c r="X50" s="106"/>
      <c r="Y50" s="106"/>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s="198" customFormat="1" ht="12.75" hidden="1" customHeight="1" outlineLevel="1">
      <c r="A51" s="12"/>
      <c r="B51" s="44"/>
      <c r="C51" s="270" t="str">
        <f>Asset12</f>
        <v>premises</v>
      </c>
      <c r="D51" s="12"/>
      <c r="E51" s="12"/>
      <c r="F51" s="114"/>
      <c r="G51" s="114"/>
      <c r="H51" s="106">
        <f>Input!H154-Input!H188</f>
        <v>-1.9687919999999998E-2</v>
      </c>
      <c r="I51" s="106">
        <f>Input!I154-Input!I188</f>
        <v>0.35110018999999998</v>
      </c>
      <c r="J51" s="106">
        <f>Input!J154-Input!J188</f>
        <v>8.3268459999999989E-2</v>
      </c>
      <c r="K51" s="106">
        <f>Input!K154-Input!K188</f>
        <v>1.07193206</v>
      </c>
      <c r="L51" s="106">
        <f>Input!L154-Input!L188</f>
        <v>0.21000000000000002</v>
      </c>
      <c r="M51" s="106">
        <f>Input!M154-Input!M188</f>
        <v>0.21656092184368742</v>
      </c>
      <c r="N51" s="106">
        <f>Input!N154-Input!N188</f>
        <v>0</v>
      </c>
      <c r="O51" s="106">
        <f>Input!O154-Input!O188</f>
        <v>0</v>
      </c>
      <c r="P51" s="106">
        <f>Input!P154-Input!P188</f>
        <v>0</v>
      </c>
      <c r="Q51" s="106">
        <f>Input!Q154-Input!Q188</f>
        <v>0</v>
      </c>
      <c r="R51" s="106"/>
      <c r="S51" s="106"/>
      <c r="T51" s="106"/>
      <c r="U51" s="106"/>
      <c r="V51" s="106"/>
      <c r="W51" s="106"/>
      <c r="X51" s="106"/>
      <c r="Y51" s="106"/>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s="198" customFormat="1" ht="12.75" hidden="1" customHeight="1" outlineLevel="1">
      <c r="A52" s="12"/>
      <c r="B52" s="44"/>
      <c r="C52" s="270" t="str">
        <f>Asset13</f>
        <v>Land</v>
      </c>
      <c r="D52" s="12"/>
      <c r="E52" s="12"/>
      <c r="F52" s="114"/>
      <c r="G52" s="114"/>
      <c r="H52" s="106">
        <f>Input!H155-Input!H189</f>
        <v>0</v>
      </c>
      <c r="I52" s="106">
        <f>Input!I155-Input!I189</f>
        <v>0.191692</v>
      </c>
      <c r="J52" s="106">
        <f>Input!J155-Input!J189</f>
        <v>-0.47399999999999998</v>
      </c>
      <c r="K52" s="106">
        <f>Input!K155-Input!K189</f>
        <v>-0.96799999999999997</v>
      </c>
      <c r="L52" s="106">
        <f>Input!L155-Input!L189</f>
        <v>0</v>
      </c>
      <c r="M52" s="106">
        <f>Input!M155-Input!M189</f>
        <v>0</v>
      </c>
      <c r="N52" s="106">
        <f>Input!N155-Input!N189</f>
        <v>0</v>
      </c>
      <c r="O52" s="106">
        <f>Input!O155-Input!O189</f>
        <v>0</v>
      </c>
      <c r="P52" s="106">
        <f>Input!P155-Input!P189</f>
        <v>0</v>
      </c>
      <c r="Q52" s="106">
        <f>Input!Q155-Input!Q189</f>
        <v>0</v>
      </c>
      <c r="R52" s="106"/>
      <c r="S52" s="106"/>
      <c r="T52" s="106"/>
      <c r="U52" s="106"/>
      <c r="V52" s="106"/>
      <c r="W52" s="106"/>
      <c r="X52" s="106"/>
      <c r="Y52" s="106"/>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s="198" customFormat="1" ht="12.75" hidden="1" customHeight="1" outlineLevel="1">
      <c r="A53" s="12"/>
      <c r="B53" s="44"/>
      <c r="C53" s="270" t="str">
        <f>Asset14</f>
        <v>Easements</v>
      </c>
      <c r="D53" s="12"/>
      <c r="E53" s="12"/>
      <c r="F53" s="114"/>
      <c r="G53" s="114"/>
      <c r="H53" s="106">
        <f>Input!H156-Input!H190</f>
        <v>0</v>
      </c>
      <c r="I53" s="106">
        <f>Input!I156-Input!I190</f>
        <v>0</v>
      </c>
      <c r="J53" s="106">
        <f>Input!J156-Input!J190</f>
        <v>0</v>
      </c>
      <c r="K53" s="106">
        <f>Input!K156-Input!K190</f>
        <v>0</v>
      </c>
      <c r="L53" s="106">
        <f>Input!L156-Input!L190</f>
        <v>0</v>
      </c>
      <c r="M53" s="106">
        <f>Input!M156-Input!M190</f>
        <v>0</v>
      </c>
      <c r="N53" s="106">
        <f>Input!N156-Input!N190</f>
        <v>0</v>
      </c>
      <c r="O53" s="106">
        <f>Input!O156-Input!O190</f>
        <v>0</v>
      </c>
      <c r="P53" s="106">
        <f>Input!P156-Input!P190</f>
        <v>0</v>
      </c>
      <c r="Q53" s="106">
        <f>Input!Q156-Input!Q190</f>
        <v>0</v>
      </c>
      <c r="R53" s="106"/>
      <c r="S53" s="106"/>
      <c r="T53" s="106"/>
      <c r="U53" s="106"/>
      <c r="V53" s="106"/>
      <c r="W53" s="106"/>
      <c r="X53" s="106"/>
      <c r="Y53" s="106"/>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s="198" customFormat="1" ht="12.75" hidden="1" customHeight="1" outlineLevel="1">
      <c r="A54" s="12"/>
      <c r="B54" s="44"/>
      <c r="C54" s="270">
        <f>Asset15</f>
        <v>0</v>
      </c>
      <c r="D54" s="12"/>
      <c r="E54" s="12"/>
      <c r="F54" s="114"/>
      <c r="G54" s="114"/>
      <c r="H54" s="106">
        <f>Input!H157-Input!H191</f>
        <v>0</v>
      </c>
      <c r="I54" s="106">
        <f>Input!I157-Input!I191</f>
        <v>0</v>
      </c>
      <c r="J54" s="106">
        <f>Input!J157-Input!J191</f>
        <v>0</v>
      </c>
      <c r="K54" s="106">
        <f>Input!K157-Input!K191</f>
        <v>0</v>
      </c>
      <c r="L54" s="106">
        <f>Input!L157-Input!L191</f>
        <v>0</v>
      </c>
      <c r="M54" s="106">
        <f>Input!M157-Input!M191</f>
        <v>0</v>
      </c>
      <c r="N54" s="106">
        <f>Input!N157-Input!N191</f>
        <v>0</v>
      </c>
      <c r="O54" s="106">
        <f>Input!O157-Input!O191</f>
        <v>0</v>
      </c>
      <c r="P54" s="106">
        <f>Input!P157-Input!P191</f>
        <v>0</v>
      </c>
      <c r="Q54" s="106">
        <f>Input!Q157-Input!Q191</f>
        <v>0</v>
      </c>
      <c r="R54" s="106"/>
      <c r="S54" s="106"/>
      <c r="T54" s="106"/>
      <c r="U54" s="106"/>
      <c r="V54" s="106"/>
      <c r="W54" s="106"/>
      <c r="X54" s="106"/>
      <c r="Y54" s="106"/>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s="198" customFormat="1" ht="12.75" hidden="1" customHeight="1" outlineLevel="1">
      <c r="A55" s="12"/>
      <c r="B55" s="44"/>
      <c r="C55" s="270">
        <f>Asset16</f>
        <v>0</v>
      </c>
      <c r="D55" s="12"/>
      <c r="E55" s="12"/>
      <c r="F55" s="114"/>
      <c r="G55" s="114"/>
      <c r="H55" s="106">
        <f>Input!H158-Input!H192</f>
        <v>0</v>
      </c>
      <c r="I55" s="106">
        <f>Input!I158-Input!I192</f>
        <v>0</v>
      </c>
      <c r="J55" s="106">
        <f>Input!J158-Input!J192</f>
        <v>0</v>
      </c>
      <c r="K55" s="106">
        <f>Input!K158-Input!K192</f>
        <v>0</v>
      </c>
      <c r="L55" s="106">
        <f>Input!L158-Input!L192</f>
        <v>0</v>
      </c>
      <c r="M55" s="106">
        <f>Input!M158-Input!M192</f>
        <v>0</v>
      </c>
      <c r="N55" s="106">
        <f>Input!N158-Input!N192</f>
        <v>0</v>
      </c>
      <c r="O55" s="106">
        <f>Input!O158-Input!O192</f>
        <v>0</v>
      </c>
      <c r="P55" s="106">
        <f>Input!P158-Input!P192</f>
        <v>0</v>
      </c>
      <c r="Q55" s="106">
        <f>Input!Q158-Input!Q192</f>
        <v>0</v>
      </c>
      <c r="R55" s="106"/>
      <c r="S55" s="106"/>
      <c r="T55" s="106"/>
      <c r="U55" s="106"/>
      <c r="V55" s="106"/>
      <c r="W55" s="106"/>
      <c r="X55" s="106"/>
      <c r="Y55" s="106"/>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s="198" customFormat="1" ht="12.75" hidden="1" customHeight="1" outlineLevel="1">
      <c r="A56" s="12"/>
      <c r="B56" s="44"/>
      <c r="C56" s="270">
        <f>Asset17</f>
        <v>0</v>
      </c>
      <c r="D56" s="12"/>
      <c r="E56" s="12"/>
      <c r="F56" s="114"/>
      <c r="G56" s="114"/>
      <c r="H56" s="106">
        <f>Input!H159-Input!H193</f>
        <v>0</v>
      </c>
      <c r="I56" s="106">
        <f>Input!I159-Input!I193</f>
        <v>0</v>
      </c>
      <c r="J56" s="106">
        <f>Input!J159-Input!J193</f>
        <v>0</v>
      </c>
      <c r="K56" s="106">
        <f>Input!K159-Input!K193</f>
        <v>0</v>
      </c>
      <c r="L56" s="106">
        <f>Input!L159-Input!L193</f>
        <v>0</v>
      </c>
      <c r="M56" s="106">
        <f>Input!M159-Input!M193</f>
        <v>0</v>
      </c>
      <c r="N56" s="106">
        <f>Input!N159-Input!N193</f>
        <v>0</v>
      </c>
      <c r="O56" s="106">
        <f>Input!O159-Input!O193</f>
        <v>0</v>
      </c>
      <c r="P56" s="106">
        <f>Input!P159-Input!P193</f>
        <v>0</v>
      </c>
      <c r="Q56" s="106">
        <f>Input!Q159-Input!Q193</f>
        <v>0</v>
      </c>
      <c r="R56" s="106"/>
      <c r="S56" s="106"/>
      <c r="T56" s="106"/>
      <c r="U56" s="106"/>
      <c r="V56" s="106"/>
      <c r="W56" s="106"/>
      <c r="X56" s="106"/>
      <c r="Y56" s="106"/>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s="198" customFormat="1" ht="12.75" hidden="1" customHeight="1" outlineLevel="1">
      <c r="A57" s="12"/>
      <c r="B57" s="44"/>
      <c r="C57" s="270">
        <f>Asset18</f>
        <v>0</v>
      </c>
      <c r="D57" s="12"/>
      <c r="E57" s="12"/>
      <c r="F57" s="114"/>
      <c r="G57" s="114"/>
      <c r="H57" s="106">
        <f>Input!H160-Input!H194</f>
        <v>0</v>
      </c>
      <c r="I57" s="106">
        <f>Input!I160-Input!I194</f>
        <v>0</v>
      </c>
      <c r="J57" s="106">
        <f>Input!J160-Input!J194</f>
        <v>0</v>
      </c>
      <c r="K57" s="106">
        <f>Input!K160-Input!K194</f>
        <v>0</v>
      </c>
      <c r="L57" s="106">
        <f>Input!L160-Input!L194</f>
        <v>0</v>
      </c>
      <c r="M57" s="106">
        <f>Input!M160-Input!M194</f>
        <v>0</v>
      </c>
      <c r="N57" s="106">
        <f>Input!N160-Input!N194</f>
        <v>0</v>
      </c>
      <c r="O57" s="106">
        <f>Input!O160-Input!O194</f>
        <v>0</v>
      </c>
      <c r="P57" s="106">
        <f>Input!P160-Input!P194</f>
        <v>0</v>
      </c>
      <c r="Q57" s="106">
        <f>Input!Q160-Input!Q194</f>
        <v>0</v>
      </c>
      <c r="R57" s="106"/>
      <c r="S57" s="106"/>
      <c r="T57" s="106"/>
      <c r="U57" s="106"/>
      <c r="V57" s="106"/>
      <c r="W57" s="106"/>
      <c r="X57" s="106"/>
      <c r="Y57" s="106"/>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s="198" customFormat="1" ht="12.75" hidden="1" customHeight="1" outlineLevel="1">
      <c r="A58" s="12"/>
      <c r="B58" s="44"/>
      <c r="C58" s="270">
        <f>Asset19</f>
        <v>0</v>
      </c>
      <c r="D58" s="12"/>
      <c r="E58" s="12"/>
      <c r="F58" s="114"/>
      <c r="G58" s="114"/>
      <c r="H58" s="106">
        <f>Input!H161-Input!H195</f>
        <v>0</v>
      </c>
      <c r="I58" s="106">
        <f>Input!I161-Input!I195</f>
        <v>0</v>
      </c>
      <c r="J58" s="106">
        <f>Input!J161-Input!J195</f>
        <v>0</v>
      </c>
      <c r="K58" s="106">
        <f>Input!K161-Input!K195</f>
        <v>0</v>
      </c>
      <c r="L58" s="106">
        <f>Input!L161-Input!L195</f>
        <v>0</v>
      </c>
      <c r="M58" s="106">
        <f>Input!M161-Input!M195</f>
        <v>0</v>
      </c>
      <c r="N58" s="106">
        <f>Input!N161-Input!N195</f>
        <v>0</v>
      </c>
      <c r="O58" s="106">
        <f>Input!O161-Input!O195</f>
        <v>0</v>
      </c>
      <c r="P58" s="106">
        <f>Input!P161-Input!P195</f>
        <v>0</v>
      </c>
      <c r="Q58" s="106">
        <f>Input!Q161-Input!Q195</f>
        <v>0</v>
      </c>
      <c r="R58" s="106"/>
      <c r="S58" s="106"/>
      <c r="T58" s="106"/>
      <c r="U58" s="106"/>
      <c r="V58" s="106"/>
      <c r="W58" s="106"/>
      <c r="X58" s="106"/>
      <c r="Y58" s="106"/>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s="198" customFormat="1" ht="12.75" hidden="1" customHeight="1" outlineLevel="1">
      <c r="A59" s="12"/>
      <c r="B59" s="44"/>
      <c r="C59" s="270">
        <f>Asset20</f>
        <v>0</v>
      </c>
      <c r="D59" s="12"/>
      <c r="E59" s="12"/>
      <c r="F59" s="114"/>
      <c r="G59" s="114"/>
      <c r="H59" s="106">
        <f>Input!H162-Input!H196</f>
        <v>0</v>
      </c>
      <c r="I59" s="106">
        <f>Input!I162-Input!I196</f>
        <v>0</v>
      </c>
      <c r="J59" s="106">
        <f>Input!J162-Input!J196</f>
        <v>0</v>
      </c>
      <c r="K59" s="106">
        <f>Input!K162-Input!K196</f>
        <v>0</v>
      </c>
      <c r="L59" s="106">
        <f>Input!L162-Input!L196</f>
        <v>0</v>
      </c>
      <c r="M59" s="106">
        <f>Input!M162-Input!M196</f>
        <v>0</v>
      </c>
      <c r="N59" s="106">
        <f>Input!N162-Input!N196</f>
        <v>0</v>
      </c>
      <c r="O59" s="106">
        <f>Input!O162-Input!O196</f>
        <v>0</v>
      </c>
      <c r="P59" s="106">
        <f>Input!P162-Input!P196</f>
        <v>0</v>
      </c>
      <c r="Q59" s="106">
        <f>Input!Q162-Input!Q196</f>
        <v>0</v>
      </c>
      <c r="R59" s="106"/>
      <c r="S59" s="106"/>
      <c r="T59" s="106"/>
      <c r="U59" s="106"/>
      <c r="V59" s="106"/>
      <c r="W59" s="106"/>
      <c r="X59" s="106"/>
      <c r="Y59" s="106"/>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s="198" customFormat="1" ht="12.75" hidden="1" customHeight="1" outlineLevel="1">
      <c r="A60" s="12"/>
      <c r="B60" s="44"/>
      <c r="C60" s="270">
        <f>Asset21</f>
        <v>0</v>
      </c>
      <c r="D60" s="12"/>
      <c r="E60" s="12"/>
      <c r="F60" s="114"/>
      <c r="G60" s="114"/>
      <c r="H60" s="106">
        <f>Input!H163-Input!H197</f>
        <v>0</v>
      </c>
      <c r="I60" s="106">
        <f>Input!I163-Input!I197</f>
        <v>0</v>
      </c>
      <c r="J60" s="106">
        <f>Input!J163-Input!J197</f>
        <v>0</v>
      </c>
      <c r="K60" s="106">
        <f>Input!K163-Input!K197</f>
        <v>0</v>
      </c>
      <c r="L60" s="106">
        <f>Input!L163-Input!L197</f>
        <v>0</v>
      </c>
      <c r="M60" s="106">
        <f>Input!M163-Input!M197</f>
        <v>0</v>
      </c>
      <c r="N60" s="106">
        <f>Input!N163-Input!N197</f>
        <v>0</v>
      </c>
      <c r="O60" s="106">
        <f>Input!O163-Input!O197</f>
        <v>0</v>
      </c>
      <c r="P60" s="106">
        <f>Input!P163-Input!P197</f>
        <v>0</v>
      </c>
      <c r="Q60" s="106">
        <f>Input!Q163-Input!Q197</f>
        <v>0</v>
      </c>
      <c r="R60" s="106"/>
      <c r="S60" s="106"/>
      <c r="T60" s="106"/>
      <c r="U60" s="106"/>
      <c r="V60" s="106"/>
      <c r="W60" s="106"/>
      <c r="X60" s="106"/>
      <c r="Y60" s="106"/>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s="198" customFormat="1" ht="12.75" hidden="1" customHeight="1" outlineLevel="1">
      <c r="A61" s="12"/>
      <c r="B61" s="44"/>
      <c r="C61" s="270">
        <f>Asset22</f>
        <v>0</v>
      </c>
      <c r="D61" s="12"/>
      <c r="E61" s="12"/>
      <c r="F61" s="114"/>
      <c r="G61" s="114"/>
      <c r="H61" s="106">
        <f>Input!H164-Input!H198</f>
        <v>0</v>
      </c>
      <c r="I61" s="106">
        <f>Input!I164-Input!I198</f>
        <v>0</v>
      </c>
      <c r="J61" s="106">
        <f>Input!J164-Input!J198</f>
        <v>0</v>
      </c>
      <c r="K61" s="106">
        <f>Input!K164-Input!K198</f>
        <v>0</v>
      </c>
      <c r="L61" s="106">
        <f>Input!L164-Input!L198</f>
        <v>0</v>
      </c>
      <c r="M61" s="106">
        <f>Input!M164-Input!M198</f>
        <v>0</v>
      </c>
      <c r="N61" s="106">
        <f>Input!N164-Input!N198</f>
        <v>0</v>
      </c>
      <c r="O61" s="106">
        <f>Input!O164-Input!O198</f>
        <v>0</v>
      </c>
      <c r="P61" s="106">
        <f>Input!P164-Input!P198</f>
        <v>0</v>
      </c>
      <c r="Q61" s="106">
        <f>Input!Q164-Input!Q198</f>
        <v>0</v>
      </c>
      <c r="R61" s="106"/>
      <c r="S61" s="106"/>
      <c r="T61" s="106"/>
      <c r="U61" s="106"/>
      <c r="V61" s="106"/>
      <c r="W61" s="106"/>
      <c r="X61" s="106"/>
      <c r="Y61" s="106"/>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s="198" customFormat="1" ht="12.75" hidden="1" customHeight="1" outlineLevel="1">
      <c r="A62" s="12"/>
      <c r="B62" s="44"/>
      <c r="C62" s="270">
        <f>Asset23</f>
        <v>0</v>
      </c>
      <c r="D62" s="12"/>
      <c r="E62" s="12"/>
      <c r="F62" s="114"/>
      <c r="G62" s="114"/>
      <c r="H62" s="106">
        <f>Input!H165-Input!H199</f>
        <v>0</v>
      </c>
      <c r="I62" s="106">
        <f>Input!I165-Input!I199</f>
        <v>0</v>
      </c>
      <c r="J62" s="106">
        <f>Input!J165-Input!J199</f>
        <v>0</v>
      </c>
      <c r="K62" s="106">
        <f>Input!K165-Input!K199</f>
        <v>0</v>
      </c>
      <c r="L62" s="106">
        <f>Input!L165-Input!L199</f>
        <v>0</v>
      </c>
      <c r="M62" s="106">
        <f>Input!M165-Input!M199</f>
        <v>0</v>
      </c>
      <c r="N62" s="106">
        <f>Input!N165-Input!N199</f>
        <v>0</v>
      </c>
      <c r="O62" s="106">
        <f>Input!O165-Input!O199</f>
        <v>0</v>
      </c>
      <c r="P62" s="106">
        <f>Input!P165-Input!P199</f>
        <v>0</v>
      </c>
      <c r="Q62" s="106">
        <f>Input!Q165-Input!Q199</f>
        <v>0</v>
      </c>
      <c r="R62" s="106"/>
      <c r="S62" s="106"/>
      <c r="T62" s="106"/>
      <c r="U62" s="106"/>
      <c r="V62" s="106"/>
      <c r="W62" s="106"/>
      <c r="X62" s="106"/>
      <c r="Y62" s="106"/>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s="198" customFormat="1" ht="12.75" hidden="1" customHeight="1" outlineLevel="1">
      <c r="A63" s="12"/>
      <c r="B63" s="44"/>
      <c r="C63" s="270">
        <f>Asset24</f>
        <v>0</v>
      </c>
      <c r="D63" s="12"/>
      <c r="E63" s="12"/>
      <c r="F63" s="114"/>
      <c r="G63" s="114"/>
      <c r="H63" s="106">
        <f>Input!H166-Input!H200</f>
        <v>0</v>
      </c>
      <c r="I63" s="106">
        <f>Input!I166-Input!I200</f>
        <v>0</v>
      </c>
      <c r="J63" s="106">
        <f>Input!J166-Input!J200</f>
        <v>0</v>
      </c>
      <c r="K63" s="106">
        <f>Input!K166-Input!K200</f>
        <v>0</v>
      </c>
      <c r="L63" s="106">
        <f>Input!L166-Input!L200</f>
        <v>0</v>
      </c>
      <c r="M63" s="106">
        <f>Input!M166-Input!M200</f>
        <v>0</v>
      </c>
      <c r="N63" s="106">
        <f>Input!N166-Input!N200</f>
        <v>0</v>
      </c>
      <c r="O63" s="106">
        <f>Input!O166-Input!O200</f>
        <v>0</v>
      </c>
      <c r="P63" s="106">
        <f>Input!P166-Input!P200</f>
        <v>0</v>
      </c>
      <c r="Q63" s="106">
        <f>Input!Q166-Input!Q200</f>
        <v>0</v>
      </c>
      <c r="R63" s="106"/>
      <c r="S63" s="106"/>
      <c r="T63" s="106"/>
      <c r="U63" s="106"/>
      <c r="V63" s="106"/>
      <c r="W63" s="106"/>
      <c r="X63" s="106"/>
      <c r="Y63" s="106"/>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s="198" customFormat="1" ht="12.75" hidden="1" customHeight="1" outlineLevel="1">
      <c r="A64" s="12"/>
      <c r="B64" s="44"/>
      <c r="C64" s="270">
        <f>Asset25</f>
        <v>0</v>
      </c>
      <c r="D64" s="12"/>
      <c r="E64" s="12"/>
      <c r="F64" s="114"/>
      <c r="G64" s="114"/>
      <c r="H64" s="106">
        <f>Input!H167-Input!H201</f>
        <v>0</v>
      </c>
      <c r="I64" s="106">
        <f>Input!I167-Input!I201</f>
        <v>0</v>
      </c>
      <c r="J64" s="106">
        <f>Input!J167-Input!J201</f>
        <v>0</v>
      </c>
      <c r="K64" s="106">
        <f>Input!K167-Input!K201</f>
        <v>0</v>
      </c>
      <c r="L64" s="106">
        <f>Input!L167-Input!L201</f>
        <v>0</v>
      </c>
      <c r="M64" s="106">
        <f>Input!M167-Input!M201</f>
        <v>0</v>
      </c>
      <c r="N64" s="106">
        <f>Input!N167-Input!N201</f>
        <v>0</v>
      </c>
      <c r="O64" s="106">
        <f>Input!O167-Input!O201</f>
        <v>0</v>
      </c>
      <c r="P64" s="106">
        <f>Input!P167-Input!P201</f>
        <v>0</v>
      </c>
      <c r="Q64" s="106">
        <f>Input!Q167-Input!Q201</f>
        <v>0</v>
      </c>
      <c r="R64" s="106"/>
      <c r="S64" s="106"/>
      <c r="T64" s="106"/>
      <c r="U64" s="106"/>
      <c r="V64" s="106"/>
      <c r="W64" s="106"/>
      <c r="X64" s="106"/>
      <c r="Y64" s="106"/>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s="198" customFormat="1" ht="12.75" hidden="1" customHeight="1" outlineLevel="1">
      <c r="A65" s="12"/>
      <c r="B65" s="44"/>
      <c r="C65" s="270">
        <f>Asset26</f>
        <v>0</v>
      </c>
      <c r="D65" s="12"/>
      <c r="E65" s="12"/>
      <c r="F65" s="114"/>
      <c r="G65" s="114"/>
      <c r="H65" s="106">
        <f>Input!H168-Input!H202</f>
        <v>0</v>
      </c>
      <c r="I65" s="106">
        <f>Input!I168-Input!I202</f>
        <v>0</v>
      </c>
      <c r="J65" s="106">
        <f>Input!J168-Input!J202</f>
        <v>0</v>
      </c>
      <c r="K65" s="106">
        <f>Input!K168-Input!K202</f>
        <v>0</v>
      </c>
      <c r="L65" s="106">
        <f>Input!L168-Input!L202</f>
        <v>0</v>
      </c>
      <c r="M65" s="106">
        <f>Input!M168-Input!M202</f>
        <v>0</v>
      </c>
      <c r="N65" s="106">
        <f>Input!N168-Input!N202</f>
        <v>0</v>
      </c>
      <c r="O65" s="106">
        <f>Input!O168-Input!O202</f>
        <v>0</v>
      </c>
      <c r="P65" s="106">
        <f>Input!P168-Input!P202</f>
        <v>0</v>
      </c>
      <c r="Q65" s="106">
        <f>Input!Q168-Input!Q202</f>
        <v>0</v>
      </c>
      <c r="R65" s="106"/>
      <c r="S65" s="106"/>
      <c r="T65" s="106"/>
      <c r="U65" s="106"/>
      <c r="V65" s="106"/>
      <c r="W65" s="106"/>
      <c r="X65" s="106"/>
      <c r="Y65" s="106"/>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s="198" customFormat="1" ht="12.75" hidden="1" customHeight="1" outlineLevel="1">
      <c r="A66" s="12"/>
      <c r="B66" s="44"/>
      <c r="C66" s="270">
        <f>Asset27</f>
        <v>0</v>
      </c>
      <c r="D66" s="12"/>
      <c r="E66" s="12"/>
      <c r="F66" s="114"/>
      <c r="G66" s="114"/>
      <c r="H66" s="106">
        <f>Input!H169-Input!H203</f>
        <v>0</v>
      </c>
      <c r="I66" s="106">
        <f>Input!I169-Input!I203</f>
        <v>0</v>
      </c>
      <c r="J66" s="106">
        <f>Input!J169-Input!J203</f>
        <v>0</v>
      </c>
      <c r="K66" s="106">
        <f>Input!K169-Input!K203</f>
        <v>0</v>
      </c>
      <c r="L66" s="106">
        <f>Input!L169-Input!L203</f>
        <v>0</v>
      </c>
      <c r="M66" s="106">
        <f>Input!M169-Input!M203</f>
        <v>0</v>
      </c>
      <c r="N66" s="106">
        <f>Input!N169-Input!N203</f>
        <v>0</v>
      </c>
      <c r="O66" s="106">
        <f>Input!O169-Input!O203</f>
        <v>0</v>
      </c>
      <c r="P66" s="106">
        <f>Input!P169-Input!P203</f>
        <v>0</v>
      </c>
      <c r="Q66" s="106">
        <f>Input!Q169-Input!Q203</f>
        <v>0</v>
      </c>
      <c r="R66" s="106"/>
      <c r="S66" s="106"/>
      <c r="T66" s="106"/>
      <c r="U66" s="106"/>
      <c r="V66" s="106"/>
      <c r="W66" s="106"/>
      <c r="X66" s="106"/>
      <c r="Y66" s="106"/>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s="198" customFormat="1" ht="12.75" hidden="1" customHeight="1" outlineLevel="1">
      <c r="A67" s="12"/>
      <c r="B67" s="44"/>
      <c r="C67" s="270">
        <f>Asset28</f>
        <v>0</v>
      </c>
      <c r="D67" s="12"/>
      <c r="E67" s="12"/>
      <c r="F67" s="114"/>
      <c r="G67" s="114"/>
      <c r="H67" s="106">
        <f>Input!H170-Input!H204</f>
        <v>0</v>
      </c>
      <c r="I67" s="106">
        <f>Input!I170-Input!I204</f>
        <v>0</v>
      </c>
      <c r="J67" s="106">
        <f>Input!J170-Input!J204</f>
        <v>0</v>
      </c>
      <c r="K67" s="106">
        <f>Input!K170-Input!K204</f>
        <v>0</v>
      </c>
      <c r="L67" s="106">
        <f>Input!L170-Input!L204</f>
        <v>0</v>
      </c>
      <c r="M67" s="106">
        <f>Input!M170-Input!M204</f>
        <v>0</v>
      </c>
      <c r="N67" s="106">
        <f>Input!N170-Input!N204</f>
        <v>0</v>
      </c>
      <c r="O67" s="106">
        <f>Input!O170-Input!O204</f>
        <v>0</v>
      </c>
      <c r="P67" s="106">
        <f>Input!P170-Input!P204</f>
        <v>0</v>
      </c>
      <c r="Q67" s="106">
        <f>Input!Q170-Input!Q204</f>
        <v>0</v>
      </c>
      <c r="R67" s="106"/>
      <c r="S67" s="106"/>
      <c r="T67" s="106"/>
      <c r="U67" s="106"/>
      <c r="V67" s="106"/>
      <c r="W67" s="106"/>
      <c r="X67" s="106"/>
      <c r="Y67" s="106"/>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s="198" customFormat="1" ht="12.75" hidden="1" customHeight="1" outlineLevel="1">
      <c r="A68" s="12"/>
      <c r="B68" s="44"/>
      <c r="C68" s="270">
        <f>Asset29</f>
        <v>0</v>
      </c>
      <c r="D68" s="12"/>
      <c r="E68" s="12"/>
      <c r="F68" s="114"/>
      <c r="G68" s="114"/>
      <c r="H68" s="106">
        <f>Input!H171-Input!H205</f>
        <v>0</v>
      </c>
      <c r="I68" s="106">
        <f>Input!I171-Input!I205</f>
        <v>0</v>
      </c>
      <c r="J68" s="106">
        <f>Input!J171-Input!J205</f>
        <v>0</v>
      </c>
      <c r="K68" s="106">
        <f>Input!K171-Input!K205</f>
        <v>0</v>
      </c>
      <c r="L68" s="106">
        <f>Input!L171-Input!L205</f>
        <v>0</v>
      </c>
      <c r="M68" s="106">
        <f>Input!M171-Input!M205</f>
        <v>0</v>
      </c>
      <c r="N68" s="106">
        <f>Input!N171-Input!N205</f>
        <v>0</v>
      </c>
      <c r="O68" s="106">
        <f>Input!O171-Input!O205</f>
        <v>0</v>
      </c>
      <c r="P68" s="106">
        <f>Input!P171-Input!P205</f>
        <v>0</v>
      </c>
      <c r="Q68" s="106">
        <f>Input!Q171-Input!Q205</f>
        <v>0</v>
      </c>
      <c r="R68" s="106"/>
      <c r="S68" s="106"/>
      <c r="T68" s="106"/>
      <c r="U68" s="106"/>
      <c r="V68" s="106"/>
      <c r="W68" s="106"/>
      <c r="X68" s="106"/>
      <c r="Y68" s="106"/>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s="198" customFormat="1" ht="12.75" hidden="1" customHeight="1" outlineLevel="1">
      <c r="A69" s="12"/>
      <c r="B69" s="44"/>
      <c r="C69" s="270">
        <f>Asset30</f>
        <v>0</v>
      </c>
      <c r="D69" s="12"/>
      <c r="E69" s="12"/>
      <c r="F69" s="114"/>
      <c r="G69" s="114"/>
      <c r="H69" s="106">
        <f>Input!H172-Input!H206</f>
        <v>0</v>
      </c>
      <c r="I69" s="106">
        <f>Input!I172-Input!I206</f>
        <v>0</v>
      </c>
      <c r="J69" s="106">
        <f>Input!J172-Input!J206</f>
        <v>0</v>
      </c>
      <c r="K69" s="106">
        <f>Input!K172-Input!K206</f>
        <v>0</v>
      </c>
      <c r="L69" s="106">
        <f>Input!L172-Input!L206</f>
        <v>0</v>
      </c>
      <c r="M69" s="106">
        <f>Input!M172-Input!M206</f>
        <v>0</v>
      </c>
      <c r="N69" s="106">
        <f>Input!N172-Input!N206</f>
        <v>0</v>
      </c>
      <c r="O69" s="106">
        <f>Input!O172-Input!O206</f>
        <v>0</v>
      </c>
      <c r="P69" s="106">
        <f>Input!P172-Input!P206</f>
        <v>0</v>
      </c>
      <c r="Q69" s="106">
        <f>Input!Q172-Input!Q206</f>
        <v>0</v>
      </c>
      <c r="R69" s="106"/>
      <c r="S69" s="106"/>
      <c r="T69" s="106"/>
      <c r="U69" s="106"/>
      <c r="V69" s="106"/>
      <c r="W69" s="106"/>
      <c r="X69" s="106"/>
      <c r="Y69" s="106"/>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s="198" customFormat="1" collapsed="1">
      <c r="A70" s="12"/>
      <c r="B70" s="17"/>
      <c r="C70" s="12"/>
      <c r="D70" s="12"/>
      <c r="E70" s="12"/>
      <c r="F70" s="114"/>
      <c r="G70" s="114"/>
      <c r="H70" s="106"/>
      <c r="I70" s="106"/>
      <c r="J70" s="106"/>
      <c r="K70" s="106"/>
      <c r="L70" s="106"/>
      <c r="M70" s="106"/>
      <c r="N70" s="106"/>
      <c r="O70" s="106"/>
      <c r="P70" s="106"/>
      <c r="Q70" s="106"/>
      <c r="R70" s="106"/>
      <c r="S70" s="106"/>
      <c r="T70" s="106"/>
      <c r="U70" s="106"/>
      <c r="V70" s="106"/>
      <c r="W70" s="106"/>
      <c r="X70" s="106"/>
      <c r="Y70" s="106"/>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s="198" customFormat="1">
      <c r="A71" s="9"/>
      <c r="B71" s="9" t="s">
        <v>69</v>
      </c>
      <c r="C71" s="9"/>
      <c r="D71" s="9"/>
      <c r="E71" s="9"/>
      <c r="F71" s="23"/>
      <c r="G71" s="23"/>
      <c r="H71" s="118">
        <f t="shared" ref="H71:Q71" si="3">H84+H97+H110+H123+H136+H149+H162+H175+H188+H201+H214+H227+H240+H253+H266+H279+H292+H305+H318+H331+H344+H357+H370+H383+H396+H409+H422+H435+H448+H461</f>
        <v>-69.259939700568495</v>
      </c>
      <c r="I71" s="118">
        <f t="shared" si="3"/>
        <v>-71.327142892008027</v>
      </c>
      <c r="J71" s="118">
        <f t="shared" si="3"/>
        <v>-76.951854393848393</v>
      </c>
      <c r="K71" s="118">
        <f t="shared" si="3"/>
        <v>-82.317551641987137</v>
      </c>
      <c r="L71" s="118">
        <f t="shared" si="3"/>
        <v>-88.158978045000964</v>
      </c>
      <c r="M71" s="118">
        <f t="shared" si="3"/>
        <v>-95.988927012148338</v>
      </c>
      <c r="N71" s="118">
        <f t="shared" si="3"/>
        <v>0</v>
      </c>
      <c r="O71" s="118">
        <f t="shared" si="3"/>
        <v>0</v>
      </c>
      <c r="P71" s="118">
        <f t="shared" si="3"/>
        <v>0</v>
      </c>
      <c r="Q71" s="118">
        <f t="shared" si="3"/>
        <v>0</v>
      </c>
      <c r="R71" s="316"/>
      <c r="S71" s="199"/>
      <c r="T71" s="199"/>
      <c r="U71" s="199"/>
      <c r="V71" s="199"/>
      <c r="W71" s="199"/>
      <c r="X71" s="199"/>
      <c r="Y71" s="199"/>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row>
    <row r="72" spans="1:60" s="198" customFormat="1" hidden="1" outlineLevel="2">
      <c r="A72" s="9"/>
      <c r="B72" s="272" t="str">
        <f>Asset1</f>
        <v>Secondary</v>
      </c>
      <c r="C72" s="31"/>
      <c r="D72" s="32" t="s">
        <v>66</v>
      </c>
      <c r="E72" s="31"/>
      <c r="F72" s="31"/>
      <c r="G72" s="31"/>
      <c r="H72" s="68">
        <f>IF(H$3&gt;A1taxremlife,A1taxvalue-SUM($F72:F72),IF(A1taxremlife="N/A","n/a",A1taxvalue/A1taxremlife))</f>
        <v>6.4673264989281778</v>
      </c>
      <c r="I72" s="68">
        <f>IF(I$3&gt;A1taxremlife,A1taxvalue-SUM($F72:H72),IF(A1taxremlife="N/A","n/a",A1taxvalue/A1taxremlife))</f>
        <v>6.4673264989281778</v>
      </c>
      <c r="J72" s="68">
        <f>IF(J$3&gt;A1taxremlife,A1taxvalue-SUM($F72:I72),IF(A1taxremlife="N/A","n/a",A1taxvalue/A1taxremlife))</f>
        <v>6.4673264989281778</v>
      </c>
      <c r="K72" s="68">
        <f>IF(K$3&gt;A1taxremlife,A1taxvalue-SUM($F72:J72),IF(A1taxremlife="N/A","n/a",A1taxvalue/A1taxremlife))</f>
        <v>6.4673264989281778</v>
      </c>
      <c r="L72" s="68">
        <f>IF(L$3&gt;A1taxremlife,A1taxvalue-SUM($F72:K72),IF(A1taxremlife="N/A","n/a",A1taxvalue/A1taxremlife))</f>
        <v>6.4673264989281778</v>
      </c>
      <c r="M72" s="68">
        <f>IF(M$3&gt;A1taxremlife,A1taxvalue-SUM($F72:L72),IF(A1taxremlife="N/A","n/a",A1taxvalue/A1taxremlife))</f>
        <v>6.4673264989281778</v>
      </c>
      <c r="N72" s="68">
        <f>IF(N$3&gt;A1taxremlife,A1taxvalue-SUM($F72:M72),IF(A1taxremlife="N/A","n/a",A1taxvalue/A1taxremlife))</f>
        <v>6.4673264989281778</v>
      </c>
      <c r="O72" s="68">
        <f>IF(O$3&gt;A1taxremlife,A1taxvalue-SUM($F72:N72),IF(A1taxremlife="N/A","n/a",A1taxvalue/A1taxremlife))</f>
        <v>6.4673264989281778</v>
      </c>
      <c r="P72" s="68">
        <f>IF(P$3&gt;A1taxremlife,A1taxvalue-SUM($F72:O72),IF(A1taxremlife="N/A","n/a",A1taxvalue/A1taxremlife))</f>
        <v>6.4673264989281778</v>
      </c>
      <c r="Q72" s="68">
        <f>IF(Q$3&gt;A1taxremlife,A1taxvalue-SUM($F72:P72),IF(A1taxremlife="N/A","n/a",A1taxvalue/A1taxremlife))</f>
        <v>6.4673264989281778</v>
      </c>
      <c r="R72" s="68"/>
      <c r="S72" s="103"/>
      <c r="T72" s="103"/>
      <c r="U72" s="103"/>
      <c r="V72" s="103"/>
      <c r="W72" s="103"/>
      <c r="X72" s="103"/>
      <c r="Y72" s="103"/>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s="198" customFormat="1" ht="12.75" hidden="1" customHeight="1" outlineLevel="2">
      <c r="A73" s="9"/>
      <c r="B73" s="26"/>
      <c r="C73" s="25"/>
      <c r="D73" s="391" t="s">
        <v>82</v>
      </c>
      <c r="E73" s="87"/>
      <c r="F73" s="27"/>
      <c r="G73" s="27"/>
      <c r="H73" s="103"/>
      <c r="I73" s="69"/>
      <c r="J73" s="69"/>
      <c r="K73" s="69"/>
      <c r="L73" s="69"/>
      <c r="M73" s="69"/>
      <c r="N73" s="69"/>
      <c r="O73" s="69"/>
      <c r="P73" s="69"/>
      <c r="Q73" s="69"/>
      <c r="R73" s="69"/>
      <c r="S73" s="103"/>
      <c r="T73" s="103"/>
      <c r="U73" s="103"/>
      <c r="V73" s="103"/>
      <c r="W73" s="103"/>
      <c r="X73" s="103"/>
      <c r="Y73" s="103"/>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s="198" customFormat="1" hidden="1" outlineLevel="2">
      <c r="A74" s="9"/>
      <c r="B74" s="26"/>
      <c r="C74" s="25"/>
      <c r="D74" s="392"/>
      <c r="E74" s="87">
        <v>1</v>
      </c>
      <c r="F74" s="27"/>
      <c r="G74" s="27"/>
      <c r="H74" s="145"/>
      <c r="I74" s="69">
        <f>IF(A1taxstdlife="n/a","n/a",IF(I$3&gt;(A1taxstdlife+$E74),(Input!$H$143-Input!$H$177)-SUM($H74:H74),(Input!$H$143-Input!$H$177)/A1taxstdlife))</f>
        <v>0.57056021754523722</v>
      </c>
      <c r="J74" s="69">
        <f>IF(A1taxstdlife="n/a","n/a",IF(J$3&gt;(A1taxstdlife+$E74),(Input!$H$143-Input!$H$177)-SUM($H74:I74),(Input!$H$143-Input!$H$177)/A1taxstdlife))</f>
        <v>0.57056021754523722</v>
      </c>
      <c r="K74" s="69">
        <f>IF(A1taxstdlife="n/a","n/a",IF(K$3&gt;(A1taxstdlife+$E74),(Input!$H$143-Input!$H$177)-SUM($H74:J74),(Input!$H$143-Input!$H$177)/A1taxstdlife))</f>
        <v>0.57056021754523722</v>
      </c>
      <c r="L74" s="69">
        <f>IF(A1taxstdlife="n/a","n/a",IF(L$3&gt;(A1taxstdlife+$E74),(Input!$H$143-Input!$H$177)-SUM($H74:K74),(Input!$H$143-Input!$H$177)/A1taxstdlife))</f>
        <v>0.57056021754523722</v>
      </c>
      <c r="M74" s="69">
        <f>IF(A1taxstdlife="n/a","n/a",IF(M$3&gt;(A1taxstdlife+$E74),(Input!$H$143-Input!$H$177)-SUM($H74:L74),(Input!$H$143-Input!$H$177)/A1taxstdlife))</f>
        <v>0.57056021754523722</v>
      </c>
      <c r="N74" s="69">
        <f>IF(A1taxstdlife="n/a","n/a",IF(N$3&gt;(A1taxstdlife+$E74),(Input!$H$143-Input!$H$177)-SUM($H74:M74),(Input!$H$143-Input!$H$177)/A1taxstdlife))</f>
        <v>0.57056021754523722</v>
      </c>
      <c r="O74" s="69">
        <f>IF(A1taxstdlife="n/a","n/a",IF(O$3&gt;(A1taxstdlife+$E74),(Input!$H$143-Input!$H$177)-SUM($H74:N74),(Input!$H$143-Input!$H$177)/A1taxstdlife))</f>
        <v>0.57056021754523722</v>
      </c>
      <c r="P74" s="69">
        <f>IF(A1taxstdlife="n/a","n/a",IF(P$3&gt;(A1taxstdlife+$E74),(Input!$H$143-Input!$H$177)-SUM($H74:O74),(Input!$H$143-Input!$H$177)/A1taxstdlife))</f>
        <v>0.57056021754523722</v>
      </c>
      <c r="Q74" s="69">
        <f>IF(A1taxstdlife="n/a","n/a",IF(Q$3&gt;(A1taxstdlife+$E74),(Input!$H$143-Input!$H$177)-SUM($H74:P74),(Input!$H$143-Input!$H$177)/A1taxstdlife))</f>
        <v>0.57056021754523722</v>
      </c>
      <c r="R74" s="69"/>
      <c r="S74" s="103"/>
      <c r="T74" s="103"/>
      <c r="U74" s="103"/>
      <c r="V74" s="103"/>
      <c r="W74" s="103"/>
      <c r="X74" s="103"/>
      <c r="Y74" s="103"/>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s="198" customFormat="1" hidden="1" outlineLevel="2">
      <c r="A75" s="9"/>
      <c r="B75" s="26"/>
      <c r="C75" s="25"/>
      <c r="D75" s="392"/>
      <c r="E75" s="87">
        <v>2</v>
      </c>
      <c r="F75" s="27"/>
      <c r="G75" s="27"/>
      <c r="H75" s="146"/>
      <c r="I75" s="147"/>
      <c r="J75" s="69">
        <f>IF(A1taxstdlife="n/a","n/a",IF(J$3&gt;(A1taxstdlife+$E75),(Input!$I$143-Input!$I$177)-SUM($I75:I75),(Input!$I$143-Input!$I$177)/A1taxstdlife))</f>
        <v>0.23476603875200006</v>
      </c>
      <c r="K75" s="69">
        <f>IF(A1taxstdlife="n/a","n/a",IF(K$3&gt;(A1taxstdlife+$E75),(Input!$I$143-Input!$I$177)-SUM($I75:J75),(Input!$I$143-Input!$I$177)/A1taxstdlife))</f>
        <v>0.23476603875200006</v>
      </c>
      <c r="L75" s="69">
        <f>IF(A1taxstdlife="n/a","n/a",IF(L$3&gt;(A1taxstdlife+$E75),(Input!$I$143-Input!$I$177)-SUM($I75:K75),(Input!$I$143-Input!$I$177)/A1taxstdlife))</f>
        <v>0.23476603875200006</v>
      </c>
      <c r="M75" s="69">
        <f>IF(A1taxstdlife="n/a","n/a",IF(M$3&gt;(A1taxstdlife+$E75),(Input!$I$143-Input!$I$177)-SUM($I75:L75),(Input!$I$143-Input!$I$177)/A1taxstdlife))</f>
        <v>0.23476603875200006</v>
      </c>
      <c r="N75" s="69">
        <f>IF(A1taxstdlife="n/a","n/a",IF(N$3&gt;(A1taxstdlife+$E75),(Input!$I$143-Input!$I$177)-SUM($I75:M75),(Input!$I$143-Input!$I$177)/A1taxstdlife))</f>
        <v>0.23476603875200006</v>
      </c>
      <c r="O75" s="69">
        <f>IF(A1taxstdlife="n/a","n/a",IF(O$3&gt;(A1taxstdlife+$E75),(Input!$I$143-Input!$I$177)-SUM($I75:N75),(Input!$I$143-Input!$I$177)/A1taxstdlife))</f>
        <v>0.23476603875200006</v>
      </c>
      <c r="P75" s="69">
        <f>IF(A1taxstdlife="n/a","n/a",IF(P$3&gt;(A1taxstdlife+$E75),(Input!$I$143-Input!$I$177)-SUM($I75:O75),(Input!$I$143-Input!$I$177)/A1taxstdlife))</f>
        <v>0.23476603875200006</v>
      </c>
      <c r="Q75" s="69">
        <f>IF(A1taxstdlife="n/a","n/a",IF(Q$3&gt;(A1taxstdlife+$E75),(Input!$I$143-Input!$I$177)-SUM($I75:P75),(Input!$I$143-Input!$I$177)/A1taxstdlife))</f>
        <v>0.23476603875200006</v>
      </c>
      <c r="R75" s="69"/>
      <c r="S75" s="103"/>
      <c r="T75" s="103"/>
      <c r="U75" s="103"/>
      <c r="V75" s="103"/>
      <c r="W75" s="103"/>
      <c r="X75" s="103"/>
      <c r="Y75" s="103"/>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s="198" customFormat="1" hidden="1" outlineLevel="2">
      <c r="A76" s="9"/>
      <c r="B76" s="26"/>
      <c r="C76" s="25"/>
      <c r="D76" s="392"/>
      <c r="E76" s="87">
        <v>3</v>
      </c>
      <c r="F76" s="27"/>
      <c r="G76" s="27"/>
      <c r="H76" s="146"/>
      <c r="I76" s="148"/>
      <c r="J76" s="147"/>
      <c r="K76" s="69">
        <f>IF(A1taxstdlife="n/a","n/a",IF(K$3&gt;(A1taxstdlife+$E76),(Input!$J$143-Input!$J$177)-SUM($J76:J76),(Input!$J$143-Input!$J$177)/A1taxstdlife))</f>
        <v>0.8555540880000001</v>
      </c>
      <c r="L76" s="69">
        <f>IF(A1taxstdlife="n/a","n/a",IF(L$3&gt;(A1taxstdlife+$E76),(Input!$J$143-Input!$J$177)-SUM($J76:K76),(Input!$J$143-Input!$J$177)/A1taxstdlife))</f>
        <v>0.8555540880000001</v>
      </c>
      <c r="M76" s="69">
        <f>IF(A1taxstdlife="n/a","n/a",IF(M$3&gt;(A1taxstdlife+$E76),(Input!$J$143-Input!$J$177)-SUM($J76:L76),(Input!$J$143-Input!$J$177)/A1taxstdlife))</f>
        <v>0.8555540880000001</v>
      </c>
      <c r="N76" s="69">
        <f>IF(A1taxstdlife="n/a","n/a",IF(N$3&gt;(A1taxstdlife+$E76),(Input!$J$143-Input!$J$177)-SUM($J76:M76),(Input!$J$143-Input!$J$177)/A1taxstdlife))</f>
        <v>0.8555540880000001</v>
      </c>
      <c r="O76" s="69">
        <f>IF(A1taxstdlife="n/a","n/a",IF(O$3&gt;(A1taxstdlife+$E76),(Input!$J$143-Input!$J$177)-SUM($J76:N76),(Input!$J$143-Input!$J$177)/A1taxstdlife))</f>
        <v>0.8555540880000001</v>
      </c>
      <c r="P76" s="69">
        <f>IF(A1taxstdlife="n/a","n/a",IF(P$3&gt;(A1taxstdlife+$E76),(Input!$J$143-Input!$J$177)-SUM($J76:O76),(Input!$J$143-Input!$J$177)/A1taxstdlife))</f>
        <v>0.8555540880000001</v>
      </c>
      <c r="Q76" s="69">
        <f>IF(A1taxstdlife="n/a","n/a",IF(Q$3&gt;(A1taxstdlife+$E76),(Input!$J$143-Input!$J$177)-SUM($J76:P76),(Input!$J$143-Input!$J$177)/A1taxstdlife))</f>
        <v>0.8555540880000001</v>
      </c>
      <c r="R76" s="69"/>
      <c r="S76" s="103"/>
      <c r="T76" s="103"/>
      <c r="U76" s="103"/>
      <c r="V76" s="103"/>
      <c r="W76" s="103"/>
      <c r="X76" s="103"/>
      <c r="Y76" s="103"/>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s="198" customFormat="1" hidden="1" outlineLevel="2">
      <c r="A77" s="9"/>
      <c r="B77" s="26"/>
      <c r="C77" s="25"/>
      <c r="D77" s="392"/>
      <c r="E77" s="87">
        <v>4</v>
      </c>
      <c r="F77" s="27"/>
      <c r="G77" s="27"/>
      <c r="H77" s="146"/>
      <c r="I77" s="148"/>
      <c r="J77" s="148"/>
      <c r="K77" s="147"/>
      <c r="L77" s="69">
        <f>IF(A1taxstdlife="n/a","n/a",IF(L$3&gt;(A1taxstdlife+$E77),(Input!$K$143-Input!$K$177)-SUM($K77:K77),(Input!$K$143-Input!$K$177)/A1taxstdlife))</f>
        <v>0.94927689300086737</v>
      </c>
      <c r="M77" s="69">
        <f>IF(A1taxstdlife="n/a","n/a",IF(M$3&gt;(A1taxstdlife+$E77),(Input!$K$143-Input!$K$177)-SUM($K77:L77),(Input!$K$143-Input!$K$177)/A1taxstdlife))</f>
        <v>0.94927689300086737</v>
      </c>
      <c r="N77" s="69">
        <f>IF(A1taxstdlife="n/a","n/a",IF(N$3&gt;(A1taxstdlife+$E77),(Input!$K$143-Input!$K$177)-SUM($K77:M77),(Input!$K$143-Input!$K$177)/A1taxstdlife))</f>
        <v>0.94927689300086737</v>
      </c>
      <c r="O77" s="69">
        <f>IF(A1taxstdlife="n/a","n/a",IF(O$3&gt;(A1taxstdlife+$E77),(Input!$K$143-Input!$K$177)-SUM($K77:N77),(Input!$K$143-Input!$K$177)/A1taxstdlife))</f>
        <v>0.94927689300086737</v>
      </c>
      <c r="P77" s="69">
        <f>IF(A1taxstdlife="n/a","n/a",IF(P$3&gt;(A1taxstdlife+$E77),(Input!$K$143-Input!$K$177)-SUM($K77:O77),(Input!$K$143-Input!$K$177)/A1taxstdlife))</f>
        <v>0.94927689300086737</v>
      </c>
      <c r="Q77" s="69">
        <f>IF(A1taxstdlife="n/a","n/a",IF(Q$3&gt;(A1taxstdlife+$E77),(Input!$K$143-Input!$K$177)-SUM($K77:P77),(Input!$K$143-Input!$K$177)/A1taxstdlife))</f>
        <v>0.94927689300086737</v>
      </c>
      <c r="R77" s="69"/>
      <c r="S77" s="103"/>
      <c r="T77" s="103"/>
      <c r="U77" s="103"/>
      <c r="V77" s="103"/>
      <c r="W77" s="103"/>
      <c r="X77" s="103"/>
      <c r="Y77" s="103"/>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s="198" customFormat="1" hidden="1" outlineLevel="2">
      <c r="A78" s="9"/>
      <c r="B78" s="26"/>
      <c r="C78" s="25"/>
      <c r="D78" s="392"/>
      <c r="E78" s="87">
        <v>5</v>
      </c>
      <c r="F78" s="27"/>
      <c r="G78" s="27"/>
      <c r="H78" s="146"/>
      <c r="I78" s="148"/>
      <c r="J78" s="148"/>
      <c r="K78" s="148"/>
      <c r="L78" s="147"/>
      <c r="M78" s="69">
        <f>IF(A1taxstdlife="n/a","n/a",IF(M$3&gt;(A1taxstdlife+$E78),(Input!$L$143-Input!$L$177)-SUM($L78:L78),(Input!$L$143-Input!$L$177)/A1taxstdlife))</f>
        <v>2.3393446808000005</v>
      </c>
      <c r="N78" s="69">
        <f>IF(A1taxstdlife="n/a","n/a",IF(N$3&gt;(A1taxstdlife+$E78),(Input!$L$143-Input!$L$177)-SUM($L78:M78),(Input!$L$143-Input!$L$177)/A1taxstdlife))</f>
        <v>2.3393446808000005</v>
      </c>
      <c r="O78" s="69">
        <f>IF(A1taxstdlife="n/a","n/a",IF(O$3&gt;(A1taxstdlife+$E78),(Input!$L$143-Input!$L$177)-SUM($L78:N78),(Input!$L$143-Input!$L$177)/A1taxstdlife))</f>
        <v>2.3393446808000005</v>
      </c>
      <c r="P78" s="69">
        <f>IF(A1taxstdlife="n/a","n/a",IF(P$3&gt;(A1taxstdlife+$E78),(Input!$L$143-Input!$L$177)-SUM($L78:O78),(Input!$L$143-Input!$L$177)/A1taxstdlife))</f>
        <v>2.3393446808000005</v>
      </c>
      <c r="Q78" s="69">
        <f>IF(A1taxstdlife="n/a","n/a",IF(Q$3&gt;(A1taxstdlife+$E78),(Input!$L$143-Input!$L$177)-SUM($L78:P78),(Input!$L$143-Input!$L$177)/A1taxstdlife))</f>
        <v>2.3393446808000005</v>
      </c>
      <c r="R78" s="69"/>
      <c r="S78" s="103"/>
      <c r="T78" s="103"/>
      <c r="U78" s="103"/>
      <c r="V78" s="103"/>
      <c r="W78" s="103"/>
      <c r="X78" s="103"/>
      <c r="Y78" s="103"/>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s="198" customFormat="1" hidden="1" outlineLevel="2">
      <c r="A79" s="9"/>
      <c r="B79" s="26"/>
      <c r="C79" s="25"/>
      <c r="D79" s="392"/>
      <c r="E79" s="87">
        <v>6</v>
      </c>
      <c r="F79" s="27"/>
      <c r="G79" s="27"/>
      <c r="H79" s="146"/>
      <c r="I79" s="148"/>
      <c r="J79" s="148"/>
      <c r="K79" s="148"/>
      <c r="L79" s="148"/>
      <c r="M79" s="147"/>
      <c r="N79" s="69">
        <f>IF(A1taxstdlife="n/a","n/a",IF(N$3&gt;(A1taxstdlife+$E79),(Input!$M$143-Input!$M$177)-SUM($M79:M79),(Input!$M$143-Input!$M$177)/A1taxstdlife))</f>
        <v>1.5639902299433062</v>
      </c>
      <c r="O79" s="69">
        <f>IF(A1taxstdlife="n/a","n/a",IF(O$3&gt;(A1taxstdlife+$E79),(Input!$M$143-Input!$M$177)-SUM($M79:N79),(Input!$M$143-Input!$M$177)/A1taxstdlife))</f>
        <v>1.5639902299433062</v>
      </c>
      <c r="P79" s="69">
        <f>IF(A1taxstdlife="n/a","n/a",IF(P$3&gt;(A1taxstdlife+$E79),(Input!$M$143-Input!$M$177)-SUM($M79:O79),(Input!$M$143-Input!$M$177)/A1taxstdlife))</f>
        <v>1.5639902299433062</v>
      </c>
      <c r="Q79" s="69">
        <f>IF(A1taxstdlife="n/a","n/a",IF(Q$3&gt;(A1taxstdlife+$E79),(Input!$M$143-Input!$M$177)-SUM($M79:P79),(Input!$M$143-Input!$M$177)/A1taxstdlife))</f>
        <v>1.5639902299433062</v>
      </c>
      <c r="R79" s="69"/>
      <c r="S79" s="103"/>
      <c r="T79" s="103"/>
      <c r="U79" s="103"/>
      <c r="V79" s="103"/>
      <c r="W79" s="103"/>
      <c r="X79" s="103"/>
      <c r="Y79" s="103"/>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s="198" customFormat="1" hidden="1" outlineLevel="2">
      <c r="A80" s="9"/>
      <c r="B80" s="26"/>
      <c r="C80" s="25"/>
      <c r="D80" s="392"/>
      <c r="E80" s="87">
        <v>7</v>
      </c>
      <c r="F80" s="27"/>
      <c r="G80" s="27"/>
      <c r="H80" s="146"/>
      <c r="I80" s="148"/>
      <c r="J80" s="148"/>
      <c r="K80" s="148"/>
      <c r="L80" s="148"/>
      <c r="M80" s="148"/>
      <c r="N80" s="147"/>
      <c r="O80" s="69">
        <f>IF(A1taxstdlife="n/a","n/a",IF(O$3&gt;(A1taxstdlife+$E80),(Input!$N$143-Input!$N$177)-SUM($N80:N80),(Input!$N$143-Input!$N$177)/A1taxstdlife))</f>
        <v>0</v>
      </c>
      <c r="P80" s="69">
        <f>IF(A1taxstdlife="n/a","n/a",IF(P$3&gt;(A1taxstdlife+$E80),(Input!$N$143-Input!$N$177)-SUM($N80:O80),(Input!$N$143-Input!$N$177)/A1taxstdlife))</f>
        <v>0</v>
      </c>
      <c r="Q80" s="69">
        <f>IF(A1taxstdlife="n/a","n/a",IF(Q$3&gt;(A1taxstdlife+$E80),(Input!$N$143-Input!$N$177)-SUM($N80:P80),(Input!$N$143-Input!$N$177)/A1taxstdlife))</f>
        <v>0</v>
      </c>
      <c r="R80" s="69"/>
      <c r="S80" s="103"/>
      <c r="T80" s="103"/>
      <c r="U80" s="103"/>
      <c r="V80" s="103"/>
      <c r="W80" s="103"/>
      <c r="X80" s="103"/>
      <c r="Y80" s="103"/>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1" s="198" customFormat="1" hidden="1" outlineLevel="2">
      <c r="A81" s="9"/>
      <c r="B81" s="26"/>
      <c r="C81" s="25"/>
      <c r="D81" s="392"/>
      <c r="E81" s="87">
        <v>8</v>
      </c>
      <c r="F81" s="27"/>
      <c r="G81" s="27"/>
      <c r="H81" s="146"/>
      <c r="I81" s="148"/>
      <c r="J81" s="148"/>
      <c r="K81" s="148"/>
      <c r="L81" s="148"/>
      <c r="M81" s="148"/>
      <c r="N81" s="148"/>
      <c r="O81" s="147"/>
      <c r="P81" s="69">
        <f>IF(A1taxstdlife="n/a","n/a",IF(P$3&gt;(A1taxstdlife+$E81),(Input!$O$143-Input!$O$177)-SUM($O81:O81),(Input!$O$143-Input!$O$177)/A1taxstdlife))</f>
        <v>0</v>
      </c>
      <c r="Q81" s="69">
        <f>IF(A1taxstdlife="n/a","n/a",IF(Q$3&gt;(A1taxstdlife+$E81),(Input!$O$143-Input!$O$177)-SUM($O81:P81),(Input!$O$143-Input!$O$177)/A1taxstdlife))</f>
        <v>0</v>
      </c>
      <c r="R81" s="69"/>
      <c r="S81" s="103"/>
      <c r="T81" s="103"/>
      <c r="U81" s="103"/>
      <c r="V81" s="103"/>
      <c r="W81" s="103"/>
      <c r="X81" s="103"/>
      <c r="Y81" s="103"/>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1" s="198" customFormat="1" hidden="1" outlineLevel="2">
      <c r="A82" s="9"/>
      <c r="B82" s="26"/>
      <c r="C82" s="25"/>
      <c r="D82" s="392"/>
      <c r="E82" s="87">
        <v>9</v>
      </c>
      <c r="F82" s="27"/>
      <c r="G82" s="27"/>
      <c r="H82" s="146"/>
      <c r="I82" s="148"/>
      <c r="J82" s="148"/>
      <c r="K82" s="148"/>
      <c r="L82" s="148"/>
      <c r="M82" s="148"/>
      <c r="N82" s="148"/>
      <c r="O82" s="148"/>
      <c r="P82" s="147"/>
      <c r="Q82" s="69">
        <f>IF(A1taxstdlife="n/a","n/a",IF(Q$3&gt;(A1taxstdlife+$E82),(Input!$P$143-Input!$P$177)-SUM($P82:P82),(Input!$P$143-Input!$P$177)/A1taxstdlife))</f>
        <v>0</v>
      </c>
      <c r="R82" s="69"/>
      <c r="S82" s="103"/>
      <c r="T82" s="103"/>
      <c r="U82" s="103"/>
      <c r="V82" s="103"/>
      <c r="W82" s="103"/>
      <c r="X82" s="103"/>
      <c r="Y82" s="103"/>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1" s="198" customFormat="1" hidden="1" outlineLevel="2">
      <c r="A83" s="9"/>
      <c r="B83" s="26"/>
      <c r="C83" s="25"/>
      <c r="D83" s="392"/>
      <c r="E83" s="88">
        <v>10</v>
      </c>
      <c r="F83" s="27"/>
      <c r="G83" s="27"/>
      <c r="H83" s="146"/>
      <c r="I83" s="148"/>
      <c r="J83" s="148"/>
      <c r="K83" s="148"/>
      <c r="L83" s="148"/>
      <c r="M83" s="148"/>
      <c r="N83" s="148"/>
      <c r="O83" s="148"/>
      <c r="P83" s="148"/>
      <c r="Q83" s="147"/>
      <c r="R83" s="69"/>
      <c r="S83" s="103"/>
      <c r="T83" s="103"/>
      <c r="U83" s="103"/>
      <c r="V83" s="103"/>
      <c r="W83" s="103"/>
      <c r="X83" s="103"/>
      <c r="Y83" s="103"/>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1" s="198" customFormat="1" hidden="1" outlineLevel="1">
      <c r="A84" s="9"/>
      <c r="B84" s="9"/>
      <c r="C84" s="271" t="str">
        <f>Asset1</f>
        <v>Secondary</v>
      </c>
      <c r="D84" s="9"/>
      <c r="E84" s="9"/>
      <c r="F84" s="23"/>
      <c r="G84" s="23"/>
      <c r="H84" s="297">
        <f>-SUM(H72:H83)</f>
        <v>-6.4673264989281778</v>
      </c>
      <c r="I84" s="161">
        <f>-SUM(I72:I83)</f>
        <v>-7.0378867164734151</v>
      </c>
      <c r="J84" s="161">
        <f>-SUM(J72:J83)</f>
        <v>-7.2726527552254154</v>
      </c>
      <c r="K84" s="161">
        <f>-SUM(K72:K83)</f>
        <v>-8.1282068432254153</v>
      </c>
      <c r="L84" s="161">
        <f>-SUM(L72:L83)</f>
        <v>-9.0774837362262826</v>
      </c>
      <c r="M84" s="161">
        <f>IF(COUNT($H84:L84)&gt;=Input!$Y$7,0, -SUM(M72:M83))</f>
        <v>-11.416828417026283</v>
      </c>
      <c r="N84" s="161">
        <f>IF(COUNT($H84:M84)&gt;=Input!$Y$7,0, -SUM(N72:N83))</f>
        <v>0</v>
      </c>
      <c r="O84" s="161">
        <f>IF(COUNT($H84:N84)&gt;=Input!$Y$7,0, -SUM(O72:O83))</f>
        <v>0</v>
      </c>
      <c r="P84" s="161">
        <f>IF(COUNT($H84:O84)&gt;=Input!$Y$7,0, -SUM(P72:P83))</f>
        <v>0</v>
      </c>
      <c r="Q84" s="161">
        <f>IF(COUNT($H84:P84)&gt;=Input!$Y$7,0, -SUM(Q72:Q83))</f>
        <v>0</v>
      </c>
      <c r="R84" s="161"/>
      <c r="S84" s="102"/>
      <c r="T84" s="102"/>
      <c r="U84" s="102"/>
      <c r="V84" s="102"/>
      <c r="W84" s="102"/>
      <c r="X84" s="102"/>
      <c r="Y84" s="102"/>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row>
    <row r="85" spans="1:61" s="198" customFormat="1" hidden="1" outlineLevel="2">
      <c r="A85" s="9"/>
      <c r="B85" s="272" t="str">
        <f>Asset2</f>
        <v>Switchgear</v>
      </c>
      <c r="C85" s="31"/>
      <c r="D85" s="32" t="s">
        <v>66</v>
      </c>
      <c r="E85" s="31"/>
      <c r="F85" s="300"/>
      <c r="G85" s="300"/>
      <c r="H85" s="68">
        <f>IF(H$3&gt;A2taxremlife,A2taxvalue-SUM($F85:F85),IF(A2taxremlife="N/A","n/a",A2taxvalue/A2taxremlife))</f>
        <v>11.090730558405346</v>
      </c>
      <c r="I85" s="68">
        <f>IF(I$3&gt;A2taxremlife,A2taxvalue-SUM($F85:H85),IF(A2taxremlife="N/A","n/a",A2taxvalue/A2taxremlife))</f>
        <v>11.090730558405346</v>
      </c>
      <c r="J85" s="68">
        <f>IF(J$3&gt;A2taxremlife,A2taxvalue-SUM($F85:I85),IF(A2taxremlife="N/A","n/a",A2taxvalue/A2taxremlife))</f>
        <v>11.090730558405346</v>
      </c>
      <c r="K85" s="68">
        <f>IF(K$3&gt;A2taxremlife,A2taxvalue-SUM($F85:J85),IF(A2taxremlife="N/A","n/a",A2taxvalue/A2taxremlife))</f>
        <v>11.090730558405346</v>
      </c>
      <c r="L85" s="68">
        <f>IF(L$3&gt;A2taxremlife,A2taxvalue-SUM($F85:K85),IF(A2taxremlife="N/A","n/a",A2taxvalue/A2taxremlife))</f>
        <v>11.090730558405346</v>
      </c>
      <c r="M85" s="68">
        <f>IF(M$3&gt;A2taxremlife,A2taxvalue-SUM($F85:L85),IF(A2taxremlife="N/A","n/a",A2taxvalue/A2taxremlife))</f>
        <v>11.090730558405346</v>
      </c>
      <c r="N85" s="68">
        <f>IF(N$3&gt;A2taxremlife,A2taxvalue-SUM($F85:M85),IF(A2taxremlife="N/A","n/a",A2taxvalue/A2taxremlife))</f>
        <v>11.090730558405346</v>
      </c>
      <c r="O85" s="68">
        <f>IF(O$3&gt;A2taxremlife,A2taxvalue-SUM($F85:N85),IF(A2taxremlife="N/A","n/a",A2taxvalue/A2taxremlife))</f>
        <v>11.090730558405346</v>
      </c>
      <c r="P85" s="68">
        <f>IF(P$3&gt;A2taxremlife,A2taxvalue-SUM($F85:O85),IF(A2taxremlife="N/A","n/a",A2taxvalue/A2taxremlife))</f>
        <v>11.090730558405346</v>
      </c>
      <c r="Q85" s="68">
        <f>IF(Q$3&gt;A2taxremlife,A2taxvalue-SUM($F85:P85),IF(A2taxremlife="N/A","n/a",A2taxvalue/A2taxremlife))</f>
        <v>11.090730558405346</v>
      </c>
      <c r="R85" s="68"/>
      <c r="S85" s="103"/>
      <c r="T85" s="103"/>
      <c r="U85" s="103"/>
      <c r="V85" s="103"/>
      <c r="W85" s="103"/>
      <c r="X85" s="103"/>
      <c r="Y85" s="103"/>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1" s="198" customFormat="1" ht="12.75" hidden="1" customHeight="1" outlineLevel="2">
      <c r="A86" s="9"/>
      <c r="B86" s="9"/>
      <c r="C86" s="26"/>
      <c r="D86" s="391" t="s">
        <v>82</v>
      </c>
      <c r="E86" s="87"/>
      <c r="F86" s="27"/>
      <c r="G86" s="27"/>
      <c r="H86" s="103"/>
      <c r="I86" s="69"/>
      <c r="J86" s="69"/>
      <c r="K86" s="69"/>
      <c r="L86" s="69"/>
      <c r="M86" s="69"/>
      <c r="N86" s="69"/>
      <c r="O86" s="69"/>
      <c r="P86" s="69"/>
      <c r="Q86" s="69"/>
      <c r="R86" s="69"/>
      <c r="S86" s="103"/>
      <c r="T86" s="103"/>
      <c r="U86" s="103"/>
      <c r="V86" s="103"/>
      <c r="W86" s="103"/>
      <c r="X86" s="103"/>
      <c r="Y86" s="103"/>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1" s="198" customFormat="1" hidden="1" outlineLevel="2">
      <c r="A87" s="9"/>
      <c r="B87" s="9"/>
      <c r="C87" s="26"/>
      <c r="D87" s="392"/>
      <c r="E87" s="87">
        <v>1</v>
      </c>
      <c r="F87" s="27"/>
      <c r="G87" s="27"/>
      <c r="H87" s="145"/>
      <c r="I87" s="69">
        <f>IF(A2taxstdlife="n/a","n/a",IF(I$3&gt;(A2taxstdlife+$E87),(Input!$H$144-Input!$H$178)-SUM($H87:H87),(Input!$H$144-Input!$H$178)/A2taxstdlife))</f>
        <v>0.15575697774770153</v>
      </c>
      <c r="J87" s="69">
        <f>IF(A2taxstdlife="n/a","n/a",IF(J$3&gt;(A2taxstdlife+$E87),(Input!$H$144-Input!$H$178)-SUM($H87:I87),(Input!$H$144-Input!$H$178)/A2taxstdlife))</f>
        <v>0.15575697774770153</v>
      </c>
      <c r="K87" s="69">
        <f>IF(A2taxstdlife="n/a","n/a",IF(K$3&gt;(A2taxstdlife+$E87),(Input!$H$144-Input!$H$178)-SUM($H87:J87),(Input!$H$144-Input!$H$178)/A2taxstdlife))</f>
        <v>0.15575697774770153</v>
      </c>
      <c r="L87" s="69">
        <f>IF(A2taxstdlife="n/a","n/a",IF(L$3&gt;(A2taxstdlife+$E87),(Input!$H$144-Input!$H$178)-SUM($H87:K87),(Input!$H$144-Input!$H$178)/A2taxstdlife))</f>
        <v>0.15575697774770153</v>
      </c>
      <c r="M87" s="69">
        <f>IF(A2taxstdlife="n/a","n/a",IF(M$3&gt;(A2taxstdlife+$E87),(Input!$H$144-Input!$H$178)-SUM($H87:L87),(Input!$H$144-Input!$H$178)/A2taxstdlife))</f>
        <v>0.15575697774770153</v>
      </c>
      <c r="N87" s="69">
        <f>IF(A2taxstdlife="n/a","n/a",IF(N$3&gt;(A2taxstdlife+$E87),(Input!$H$144-Input!$H$178)-SUM($H87:M87),(Input!$H$144-Input!$H$178)/A2taxstdlife))</f>
        <v>0.15575697774770153</v>
      </c>
      <c r="O87" s="69">
        <f>IF(A2taxstdlife="n/a","n/a",IF(O$3&gt;(A2taxstdlife+$E87),(Input!$H$144-Input!$H$178)-SUM($H87:N87),(Input!$H$144-Input!$H$178)/A2taxstdlife))</f>
        <v>0.15575697774770153</v>
      </c>
      <c r="P87" s="69">
        <f>IF(A2taxstdlife="n/a","n/a",IF(P$3&gt;(A2taxstdlife+$E87),(Input!$H$144-Input!$H$178)-SUM($H87:O87),(Input!$H$144-Input!$H$178)/A2taxstdlife))</f>
        <v>0.15575697774770153</v>
      </c>
      <c r="Q87" s="69">
        <f>IF(A2taxstdlife="n/a","n/a",IF(Q$3&gt;(A2taxstdlife+$E87),(Input!$H$144-Input!$H$178)-SUM($H87:P87),(Input!$H$144-Input!$H$178)/A2taxstdlife))</f>
        <v>0.15575697774770153</v>
      </c>
      <c r="R87" s="69"/>
      <c r="S87" s="103"/>
      <c r="T87" s="103"/>
      <c r="U87" s="103"/>
      <c r="V87" s="103"/>
      <c r="W87" s="103"/>
      <c r="X87" s="103"/>
      <c r="Y87" s="103"/>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1" s="198" customFormat="1" hidden="1" outlineLevel="2">
      <c r="A88" s="9"/>
      <c r="B88" s="9"/>
      <c r="C88" s="26"/>
      <c r="D88" s="392"/>
      <c r="E88" s="87">
        <v>2</v>
      </c>
      <c r="F88" s="27"/>
      <c r="G88" s="27"/>
      <c r="H88" s="146"/>
      <c r="I88" s="147"/>
      <c r="J88" s="69">
        <f>IF(A2taxstdlife="n/a","n/a",IF(J$3&gt;(A2taxstdlife+$E88),(Input!$I$144-Input!$I$178)-SUM($I88:I88),(Input!$I$144-Input!$I$178)/A2taxstdlife))</f>
        <v>0.65403252989749938</v>
      </c>
      <c r="K88" s="69">
        <f>IF(A2taxstdlife="n/a","n/a",IF(K$3&gt;(A2taxstdlife+$E88),(Input!$I$144-Input!$I$178)-SUM($I88:J88),(Input!$I$144-Input!$I$178)/A2taxstdlife))</f>
        <v>0.65403252989749938</v>
      </c>
      <c r="L88" s="69">
        <f>IF(A2taxstdlife="n/a","n/a",IF(L$3&gt;(A2taxstdlife+$E88),(Input!$I$144-Input!$I$178)-SUM($I88:K88),(Input!$I$144-Input!$I$178)/A2taxstdlife))</f>
        <v>0.65403252989749938</v>
      </c>
      <c r="M88" s="69">
        <f>IF(A2taxstdlife="n/a","n/a",IF(M$3&gt;(A2taxstdlife+$E88),(Input!$I$144-Input!$I$178)-SUM($I88:L88),(Input!$I$144-Input!$I$178)/A2taxstdlife))</f>
        <v>0.65403252989749938</v>
      </c>
      <c r="N88" s="69">
        <f>IF(A2taxstdlife="n/a","n/a",IF(N$3&gt;(A2taxstdlife+$E88),(Input!$I$144-Input!$I$178)-SUM($I88:M88),(Input!$I$144-Input!$I$178)/A2taxstdlife))</f>
        <v>0.65403252989749938</v>
      </c>
      <c r="O88" s="69">
        <f>IF(A2taxstdlife="n/a","n/a",IF(O$3&gt;(A2taxstdlife+$E88),(Input!$I$144-Input!$I$178)-SUM($I88:N88),(Input!$I$144-Input!$I$178)/A2taxstdlife))</f>
        <v>0.65403252989749938</v>
      </c>
      <c r="P88" s="69">
        <f>IF(A2taxstdlife="n/a","n/a",IF(P$3&gt;(A2taxstdlife+$E88),(Input!$I$144-Input!$I$178)-SUM($I88:O88),(Input!$I$144-Input!$I$178)/A2taxstdlife))</f>
        <v>0.65403252989749938</v>
      </c>
      <c r="Q88" s="69">
        <f>IF(A2taxstdlife="n/a","n/a",IF(Q$3&gt;(A2taxstdlife+$E88),(Input!$I$144-Input!$I$178)-SUM($I88:P88),(Input!$I$144-Input!$I$178)/A2taxstdlife))</f>
        <v>0.65403252989749938</v>
      </c>
      <c r="R88" s="69"/>
      <c r="S88" s="103"/>
      <c r="T88" s="103"/>
      <c r="U88" s="103"/>
      <c r="V88" s="103"/>
      <c r="W88" s="103"/>
      <c r="X88" s="103"/>
      <c r="Y88" s="103"/>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9"/>
    </row>
    <row r="89" spans="1:61" s="198" customFormat="1" hidden="1" outlineLevel="2">
      <c r="A89" s="9"/>
      <c r="B89" s="9"/>
      <c r="C89" s="26"/>
      <c r="D89" s="392"/>
      <c r="E89" s="87">
        <v>3</v>
      </c>
      <c r="F89" s="27"/>
      <c r="G89" s="27"/>
      <c r="H89" s="146"/>
      <c r="I89" s="148"/>
      <c r="J89" s="147"/>
      <c r="K89" s="69">
        <f>IF(A2taxstdlife="n/a","n/a",IF(K$3&gt;(A2taxstdlife+$E89),(Input!$J$144-Input!$J$178)-SUM($J89:J89),(Input!$J$144-Input!$J$178)/A2taxstdlife))</f>
        <v>1.2202444882499992</v>
      </c>
      <c r="L89" s="69">
        <f>IF(A2taxstdlife="n/a","n/a",IF(L$3&gt;(A2taxstdlife+$E89),(Input!$J$144-Input!$J$178)-SUM($J89:K89),(Input!$J$144-Input!$J$178)/A2taxstdlife))</f>
        <v>1.2202444882499992</v>
      </c>
      <c r="M89" s="69">
        <f>IF(A2taxstdlife="n/a","n/a",IF(M$3&gt;(A2taxstdlife+$E89),(Input!$J$144-Input!$J$178)-SUM($J89:L89),(Input!$J$144-Input!$J$178)/A2taxstdlife))</f>
        <v>1.2202444882499992</v>
      </c>
      <c r="N89" s="69">
        <f>IF(A2taxstdlife="n/a","n/a",IF(N$3&gt;(A2taxstdlife+$E89),(Input!$J$144-Input!$J$178)-SUM($J89:M89),(Input!$J$144-Input!$J$178)/A2taxstdlife))</f>
        <v>1.2202444882499992</v>
      </c>
      <c r="O89" s="69">
        <f>IF(A2taxstdlife="n/a","n/a",IF(O$3&gt;(A2taxstdlife+$E89),(Input!$J$144-Input!$J$178)-SUM($J89:N89),(Input!$J$144-Input!$J$178)/A2taxstdlife))</f>
        <v>1.2202444882499992</v>
      </c>
      <c r="P89" s="69">
        <f>IF(A2taxstdlife="n/a","n/a",IF(P$3&gt;(A2taxstdlife+$E89),(Input!$J$144-Input!$J$178)-SUM($J89:O89),(Input!$J$144-Input!$J$178)/A2taxstdlife))</f>
        <v>1.2202444882499992</v>
      </c>
      <c r="Q89" s="69">
        <f>IF(A2taxstdlife="n/a","n/a",IF(Q$3&gt;(A2taxstdlife+$E89),(Input!$J$144-Input!$J$178)-SUM($J89:P89),(Input!$J$144-Input!$J$178)/A2taxstdlife))</f>
        <v>1.2202444882499992</v>
      </c>
      <c r="R89" s="69"/>
      <c r="S89" s="103"/>
      <c r="T89" s="103"/>
      <c r="U89" s="103"/>
      <c r="V89" s="103"/>
      <c r="W89" s="103"/>
      <c r="X89" s="103"/>
      <c r="Y89" s="103"/>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1" s="198" customFormat="1" hidden="1" outlineLevel="2">
      <c r="A90" s="9"/>
      <c r="B90" s="9"/>
      <c r="C90" s="26"/>
      <c r="D90" s="392"/>
      <c r="E90" s="87">
        <v>4</v>
      </c>
      <c r="F90" s="27"/>
      <c r="G90" s="27"/>
      <c r="H90" s="146"/>
      <c r="I90" s="148"/>
      <c r="J90" s="148"/>
      <c r="K90" s="147"/>
      <c r="L90" s="69">
        <f>IF(A2taxstdlife="n/a","n/a",IF(L$3&gt;(A2taxstdlife+$E90),(Input!$K$144-Input!$K$178)-SUM($K90:K90),(Input!$K$144-Input!$K$178)/A2taxstdlife))</f>
        <v>0.82156038534722708</v>
      </c>
      <c r="M90" s="69">
        <f>IF(A2taxstdlife="n/a","n/a",IF(M$3&gt;(A2taxstdlife+$E90),(Input!$K$144-Input!$K$178)-SUM($K90:L90),(Input!$K$144-Input!$K$178)/A2taxstdlife))</f>
        <v>0.82156038534722708</v>
      </c>
      <c r="N90" s="69">
        <f>IF(A2taxstdlife="n/a","n/a",IF(N$3&gt;(A2taxstdlife+$E90),(Input!$K$144-Input!$K$178)-SUM($K90:M90),(Input!$K$144-Input!$K$178)/A2taxstdlife))</f>
        <v>0.82156038534722708</v>
      </c>
      <c r="O90" s="69">
        <f>IF(A2taxstdlife="n/a","n/a",IF(O$3&gt;(A2taxstdlife+$E90),(Input!$K$144-Input!$K$178)-SUM($K90:N90),(Input!$K$144-Input!$K$178)/A2taxstdlife))</f>
        <v>0.82156038534722708</v>
      </c>
      <c r="P90" s="69">
        <f>IF(A2taxstdlife="n/a","n/a",IF(P$3&gt;(A2taxstdlife+$E90),(Input!$K$144-Input!$K$178)-SUM($K90:O90),(Input!$K$144-Input!$K$178)/A2taxstdlife))</f>
        <v>0.82156038534722708</v>
      </c>
      <c r="Q90" s="69">
        <f>IF(A2taxstdlife="n/a","n/a",IF(Q$3&gt;(A2taxstdlife+$E90),(Input!$K$144-Input!$K$178)-SUM($K90:P90),(Input!$K$144-Input!$K$178)/A2taxstdlife))</f>
        <v>0.82156038534722708</v>
      </c>
      <c r="R90" s="69"/>
      <c r="S90" s="103"/>
      <c r="T90" s="103"/>
      <c r="U90" s="103"/>
      <c r="V90" s="103"/>
      <c r="W90" s="103"/>
      <c r="X90" s="103"/>
      <c r="Y90" s="103"/>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1" s="198" customFormat="1" hidden="1" outlineLevel="2">
      <c r="A91" s="9"/>
      <c r="B91" s="9"/>
      <c r="C91" s="26"/>
      <c r="D91" s="392"/>
      <c r="E91" s="87">
        <v>5</v>
      </c>
      <c r="F91" s="27"/>
      <c r="G91" s="27"/>
      <c r="H91" s="146"/>
      <c r="I91" s="148"/>
      <c r="J91" s="148"/>
      <c r="K91" s="148"/>
      <c r="L91" s="147"/>
      <c r="M91" s="69">
        <f>IF(A2taxstdlife="n/a","n/a",IF(M$3&gt;(A2taxstdlife+$E91),(Input!$L$144-Input!$L$178)-SUM($L91:L91),(Input!$L$144-Input!$L$178)/A2taxstdlife))</f>
        <v>0.68759074725000002</v>
      </c>
      <c r="N91" s="69">
        <f>IF(A2taxstdlife="n/a","n/a",IF(N$3&gt;(A2taxstdlife+$E91),(Input!$L$144-Input!$L$178)-SUM($L91:M91),(Input!$L$144-Input!$L$178)/A2taxstdlife))</f>
        <v>0.68759074725000002</v>
      </c>
      <c r="O91" s="69">
        <f>IF(A2taxstdlife="n/a","n/a",IF(O$3&gt;(A2taxstdlife+$E91),(Input!$L$144-Input!$L$178)-SUM($L91:N91),(Input!$L$144-Input!$L$178)/A2taxstdlife))</f>
        <v>0.68759074725000002</v>
      </c>
      <c r="P91" s="69">
        <f>IF(A2taxstdlife="n/a","n/a",IF(P$3&gt;(A2taxstdlife+$E91),(Input!$L$144-Input!$L$178)-SUM($L91:O91),(Input!$L$144-Input!$L$178)/A2taxstdlife))</f>
        <v>0.68759074725000002</v>
      </c>
      <c r="Q91" s="69">
        <f>IF(A2taxstdlife="n/a","n/a",IF(Q$3&gt;(A2taxstdlife+$E91),(Input!$L$144-Input!$L$178)-SUM($L91:P91),(Input!$L$144-Input!$L$178)/A2taxstdlife))</f>
        <v>0.68759074725000002</v>
      </c>
      <c r="R91" s="69"/>
      <c r="S91" s="103"/>
      <c r="T91" s="103"/>
      <c r="U91" s="103"/>
      <c r="V91" s="103"/>
      <c r="W91" s="103"/>
      <c r="X91" s="103"/>
      <c r="Y91" s="103"/>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1" s="198" customFormat="1" hidden="1" outlineLevel="2">
      <c r="A92" s="9"/>
      <c r="B92" s="9"/>
      <c r="C92" s="26"/>
      <c r="D92" s="392"/>
      <c r="E92" s="87">
        <v>6</v>
      </c>
      <c r="F92" s="27"/>
      <c r="G92" s="27"/>
      <c r="H92" s="146"/>
      <c r="I92" s="148"/>
      <c r="J92" s="148"/>
      <c r="K92" s="148"/>
      <c r="L92" s="148"/>
      <c r="M92" s="147"/>
      <c r="N92" s="69">
        <f>IF(A2taxstdlife="n/a","n/a",IF(N$3&gt;(A2taxstdlife+$E92),(Input!$M$144-Input!$M$178)-SUM($M92:M92),(Input!$M$144-Input!$M$178)/A2taxstdlife))</f>
        <v>1.0700040468046794</v>
      </c>
      <c r="O92" s="69">
        <f>IF(A2taxstdlife="n/a","n/a",IF(O$3&gt;(A2taxstdlife+$E92),(Input!$M$144-Input!$M$178)-SUM($M92:N92),(Input!$M$144-Input!$M$178)/A2taxstdlife))</f>
        <v>1.0700040468046794</v>
      </c>
      <c r="P92" s="69">
        <f>IF(A2taxstdlife="n/a","n/a",IF(P$3&gt;(A2taxstdlife+$E92),(Input!$M$144-Input!$M$178)-SUM($M92:O92),(Input!$M$144-Input!$M$178)/A2taxstdlife))</f>
        <v>1.0700040468046794</v>
      </c>
      <c r="Q92" s="69">
        <f>IF(A2taxstdlife="n/a","n/a",IF(Q$3&gt;(A2taxstdlife+$E92),(Input!$M$144-Input!$M$178)-SUM($M92:P92),(Input!$M$144-Input!$M$178)/A2taxstdlife))</f>
        <v>1.0700040468046794</v>
      </c>
      <c r="R92" s="69"/>
      <c r="S92" s="103"/>
      <c r="T92" s="103"/>
      <c r="U92" s="103"/>
      <c r="V92" s="103"/>
      <c r="W92" s="103"/>
      <c r="X92" s="103"/>
      <c r="Y92" s="103"/>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1" s="198" customFormat="1" hidden="1" outlineLevel="2">
      <c r="A93" s="9"/>
      <c r="B93" s="9"/>
      <c r="C93" s="26"/>
      <c r="D93" s="392"/>
      <c r="E93" s="87">
        <v>7</v>
      </c>
      <c r="F93" s="27"/>
      <c r="G93" s="27"/>
      <c r="H93" s="146"/>
      <c r="I93" s="148"/>
      <c r="J93" s="148"/>
      <c r="K93" s="148"/>
      <c r="L93" s="148"/>
      <c r="M93" s="148"/>
      <c r="N93" s="147"/>
      <c r="O93" s="69">
        <f>IF(A2taxstdlife="n/a","n/a",IF(O$3&gt;(A2taxstdlife+$E93),(Input!$N$144-Input!$N$178)-SUM($N93:N93),(Input!$N$144-Input!$N$178)/A2taxstdlife))</f>
        <v>0</v>
      </c>
      <c r="P93" s="69">
        <f>IF(A2taxstdlife="n/a","n/a",IF(P$3&gt;(A2taxstdlife+$E93),(Input!$N$144-Input!$N$178)-SUM($N93:O93),(Input!$N$144-Input!$N$178)/A2taxstdlife))</f>
        <v>0</v>
      </c>
      <c r="Q93" s="69">
        <f>IF(A2taxstdlife="n/a","n/a",IF(Q$3&gt;(A2taxstdlife+$E93),(Input!$N$144-Input!$N$178)-SUM($N93:P93),(Input!$N$144-Input!$N$178)/A2taxstdlife))</f>
        <v>0</v>
      </c>
      <c r="R93" s="69"/>
      <c r="S93" s="103"/>
      <c r="T93" s="103"/>
      <c r="U93" s="103"/>
      <c r="V93" s="103"/>
      <c r="W93" s="103"/>
      <c r="X93" s="103"/>
      <c r="Y93" s="103"/>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1" s="198" customFormat="1" hidden="1" outlineLevel="2">
      <c r="A94" s="9"/>
      <c r="B94" s="9"/>
      <c r="C94" s="26"/>
      <c r="D94" s="392"/>
      <c r="E94" s="87">
        <v>8</v>
      </c>
      <c r="F94" s="27"/>
      <c r="G94" s="27"/>
      <c r="H94" s="146"/>
      <c r="I94" s="148"/>
      <c r="J94" s="148"/>
      <c r="K94" s="148"/>
      <c r="L94" s="148"/>
      <c r="M94" s="148"/>
      <c r="N94" s="148"/>
      <c r="O94" s="147"/>
      <c r="P94" s="69">
        <f>IF(A2taxstdlife="n/a","n/a",IF(P$3&gt;(A2taxstdlife+$E94),(Input!$O$144-Input!$O$178)-SUM($O94:O94),(Input!$O$144-Input!$O$178)/A2taxstdlife))</f>
        <v>0</v>
      </c>
      <c r="Q94" s="69">
        <f>IF(A2taxstdlife="n/a","n/a",IF(Q$3&gt;(A2taxstdlife+$E94),(Input!$O$144-Input!$O$178)-SUM($O94:P94),(Input!$O$144-Input!$O$178)/A2taxstdlife))</f>
        <v>0</v>
      </c>
      <c r="R94" s="69"/>
      <c r="S94" s="103"/>
      <c r="T94" s="103"/>
      <c r="U94" s="103"/>
      <c r="V94" s="103"/>
      <c r="W94" s="103"/>
      <c r="X94" s="103"/>
      <c r="Y94" s="103"/>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1" s="198" customFormat="1" hidden="1" outlineLevel="2">
      <c r="A95" s="9"/>
      <c r="B95" s="9"/>
      <c r="C95" s="26"/>
      <c r="D95" s="392"/>
      <c r="E95" s="87">
        <v>9</v>
      </c>
      <c r="F95" s="27"/>
      <c r="G95" s="27"/>
      <c r="H95" s="146"/>
      <c r="I95" s="148"/>
      <c r="J95" s="148"/>
      <c r="K95" s="148"/>
      <c r="L95" s="148"/>
      <c r="M95" s="148"/>
      <c r="N95" s="148"/>
      <c r="O95" s="148"/>
      <c r="P95" s="147"/>
      <c r="Q95" s="69">
        <f>IF(A2taxstdlife="n/a","n/a",IF(Q$3&gt;(A2taxstdlife+$E95),(Input!$P$144-Input!$P$178)-SUM($P95:P95),(Input!$P$144-Input!$P$178)/A2taxstdlife))</f>
        <v>0</v>
      </c>
      <c r="R95" s="69"/>
      <c r="S95" s="103"/>
      <c r="T95" s="103"/>
      <c r="U95" s="103"/>
      <c r="V95" s="103"/>
      <c r="W95" s="103"/>
      <c r="X95" s="103"/>
      <c r="Y95" s="103"/>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1" s="198" customFormat="1" hidden="1" outlineLevel="2">
      <c r="A96" s="9"/>
      <c r="B96" s="9"/>
      <c r="C96" s="26"/>
      <c r="D96" s="392"/>
      <c r="E96" s="88">
        <v>10</v>
      </c>
      <c r="F96" s="27"/>
      <c r="G96" s="27"/>
      <c r="H96" s="146"/>
      <c r="I96" s="148"/>
      <c r="J96" s="148"/>
      <c r="K96" s="148"/>
      <c r="L96" s="148"/>
      <c r="M96" s="148"/>
      <c r="N96" s="148"/>
      <c r="O96" s="148"/>
      <c r="P96" s="148"/>
      <c r="Q96" s="147"/>
      <c r="R96" s="69"/>
      <c r="S96" s="103"/>
      <c r="T96" s="103"/>
      <c r="U96" s="103"/>
      <c r="V96" s="103"/>
      <c r="W96" s="103"/>
      <c r="X96" s="103"/>
      <c r="Y96" s="103"/>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s="198" customFormat="1" hidden="1" outlineLevel="1" collapsed="1">
      <c r="A97" s="9"/>
      <c r="B97" s="9"/>
      <c r="C97" s="271" t="str">
        <f>Asset2</f>
        <v>Switchgear</v>
      </c>
      <c r="D97" s="9"/>
      <c r="E97" s="9"/>
      <c r="F97" s="23"/>
      <c r="G97" s="23"/>
      <c r="H97" s="297">
        <f>-SUM(H85:H96)</f>
        <v>-11.090730558405346</v>
      </c>
      <c r="I97" s="161">
        <f>-SUM(I85:I96)</f>
        <v>-11.246487536153047</v>
      </c>
      <c r="J97" s="161">
        <f>-SUM(J85:J96)</f>
        <v>-11.900520066050547</v>
      </c>
      <c r="K97" s="161">
        <f>-SUM(K85:K96)</f>
        <v>-13.120764554300546</v>
      </c>
      <c r="L97" s="161">
        <f>-SUM(L85:L96)</f>
        <v>-13.942324939647774</v>
      </c>
      <c r="M97" s="161">
        <f>IF(COUNT($H97:L97)&gt;=Input!$Y$7,0, -SUM(M85:M96))</f>
        <v>-14.629915686897775</v>
      </c>
      <c r="N97" s="161">
        <f>IF(COUNT($H97:M97)&gt;=Input!$Y$7,0, -SUM(N85:N96))</f>
        <v>0</v>
      </c>
      <c r="O97" s="161">
        <f>IF(COUNT($H97:N97)&gt;=Input!$Y$7,0, -SUM(O85:O96))</f>
        <v>0</v>
      </c>
      <c r="P97" s="161">
        <f>IF(COUNT($H97:O97)&gt;=Input!$Y$7,0, -SUM(P85:P96))</f>
        <v>0</v>
      </c>
      <c r="Q97" s="161">
        <f>IF(COUNT($H97:P97)&gt;=Input!$Y$7,0, -SUM(Q85:Q96))</f>
        <v>0</v>
      </c>
      <c r="R97" s="161"/>
      <c r="S97" s="102"/>
      <c r="T97" s="102"/>
      <c r="U97" s="102"/>
      <c r="V97" s="102"/>
      <c r="W97" s="102"/>
      <c r="X97" s="102"/>
      <c r="Y97" s="102"/>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row>
    <row r="98" spans="1:60" s="198" customFormat="1" hidden="1" outlineLevel="2">
      <c r="A98" s="9"/>
      <c r="B98" s="272" t="str">
        <f>Asset3</f>
        <v>Transformers</v>
      </c>
      <c r="C98" s="31"/>
      <c r="D98" s="32" t="s">
        <v>66</v>
      </c>
      <c r="E98" s="31"/>
      <c r="F98" s="300"/>
      <c r="G98" s="300"/>
      <c r="H98" s="68">
        <f>IF(H$3&gt;A3taxremlife,A3taxvalue-SUM($F98:F98),IF(A3taxremlife="N/A","n/a",A3taxvalue/A3taxremlife))</f>
        <v>6.9379532665594326</v>
      </c>
      <c r="I98" s="68">
        <f>IF(I$3&gt;A3taxremlife,A3taxvalue-SUM($F98:H98),IF(A3taxremlife="N/A","n/a",A3taxvalue/A3taxremlife))</f>
        <v>6.9379532665594326</v>
      </c>
      <c r="J98" s="68">
        <f>IF(J$3&gt;A3taxremlife,A3taxvalue-SUM($F98:I98),IF(A3taxremlife="N/A","n/a",A3taxvalue/A3taxremlife))</f>
        <v>6.9379532665594326</v>
      </c>
      <c r="K98" s="68">
        <f>IF(K$3&gt;A3taxremlife,A3taxvalue-SUM($F98:J98),IF(A3taxremlife="N/A","n/a",A3taxvalue/A3taxremlife))</f>
        <v>6.9379532665594326</v>
      </c>
      <c r="L98" s="68">
        <f>IF(L$3&gt;A3taxremlife,A3taxvalue-SUM($F98:K98),IF(A3taxremlife="N/A","n/a",A3taxvalue/A3taxremlife))</f>
        <v>6.9379532665594326</v>
      </c>
      <c r="M98" s="68">
        <f>IF(M$3&gt;A3taxremlife,A3taxvalue-SUM($F98:L98),IF(A3taxremlife="N/A","n/a",A3taxvalue/A3taxremlife))</f>
        <v>6.9379532665594326</v>
      </c>
      <c r="N98" s="68">
        <f>IF(N$3&gt;A3taxremlife,A3taxvalue-SUM($F98:M98),IF(A3taxremlife="N/A","n/a",A3taxvalue/A3taxremlife))</f>
        <v>6.9379532665594326</v>
      </c>
      <c r="O98" s="68">
        <f>IF(O$3&gt;A3taxremlife,A3taxvalue-SUM($F98:N98),IF(A3taxremlife="N/A","n/a",A3taxvalue/A3taxremlife))</f>
        <v>6.9379532665594326</v>
      </c>
      <c r="P98" s="68">
        <f>IF(P$3&gt;A3taxremlife,A3taxvalue-SUM($F98:O98),IF(A3taxremlife="N/A","n/a",A3taxvalue/A3taxremlife))</f>
        <v>6.9379532665594326</v>
      </c>
      <c r="Q98" s="68">
        <f>IF(Q$3&gt;A3taxremlife,A3taxvalue-SUM($F98:P98),IF(A3taxremlife="N/A","n/a",A3taxvalue/A3taxremlife))</f>
        <v>6.9379532665594326</v>
      </c>
      <c r="R98" s="68"/>
      <c r="S98" s="103"/>
      <c r="T98" s="103"/>
      <c r="U98" s="103"/>
      <c r="V98" s="103"/>
      <c r="W98" s="103"/>
      <c r="X98" s="103"/>
      <c r="Y98" s="103"/>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s="198" customFormat="1" ht="12.75" hidden="1" customHeight="1" outlineLevel="2">
      <c r="A99" s="9"/>
      <c r="B99" s="9"/>
      <c r="C99" s="26"/>
      <c r="D99" s="391" t="s">
        <v>82</v>
      </c>
      <c r="E99" s="87"/>
      <c r="F99" s="27"/>
      <c r="G99" s="27"/>
      <c r="H99" s="103"/>
      <c r="I99" s="69"/>
      <c r="J99" s="69"/>
      <c r="K99" s="69"/>
      <c r="L99" s="69"/>
      <c r="M99" s="69"/>
      <c r="N99" s="69"/>
      <c r="O99" s="69"/>
      <c r="P99" s="69"/>
      <c r="Q99" s="69"/>
      <c r="R99" s="69"/>
      <c r="S99" s="103"/>
      <c r="T99" s="103"/>
      <c r="U99" s="103"/>
      <c r="V99" s="103"/>
      <c r="W99" s="103"/>
      <c r="X99" s="103"/>
      <c r="Y99" s="103"/>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s="198" customFormat="1" hidden="1" outlineLevel="2">
      <c r="A100" s="9"/>
      <c r="B100" s="9"/>
      <c r="C100" s="26"/>
      <c r="D100" s="392"/>
      <c r="E100" s="87">
        <v>1</v>
      </c>
      <c r="F100" s="27"/>
      <c r="G100" s="27"/>
      <c r="H100" s="145"/>
      <c r="I100" s="69">
        <f>IF(A3taxstdlife="n/a","n/a",IF(I$3&gt;(A3taxstdlife+$E100),(Input!$H$145-Input!$H$179)-SUM($H100:H100),(Input!$H$145-Input!$H$179)/A3taxstdlife))</f>
        <v>0.11912817317320532</v>
      </c>
      <c r="J100" s="69">
        <f>IF(A3taxstdlife="n/a","n/a",IF(J$3&gt;(A3taxstdlife+$E100),(Input!$H$145-Input!$H$179)-SUM($H100:I100),(Input!$H$145-Input!$H$179)/A3taxstdlife))</f>
        <v>0.11912817317320532</v>
      </c>
      <c r="K100" s="69">
        <f>IF(A3taxstdlife="n/a","n/a",IF(K$3&gt;(A3taxstdlife+$E100),(Input!$H$145-Input!$H$179)-SUM($H100:J100),(Input!$H$145-Input!$H$179)/A3taxstdlife))</f>
        <v>0.11912817317320532</v>
      </c>
      <c r="L100" s="69">
        <f>IF(A3taxstdlife="n/a","n/a",IF(L$3&gt;(A3taxstdlife+$E100),(Input!$H$145-Input!$H$179)-SUM($H100:K100),(Input!$H$145-Input!$H$179)/A3taxstdlife))</f>
        <v>0.11912817317320532</v>
      </c>
      <c r="M100" s="69">
        <f>IF(A3taxstdlife="n/a","n/a",IF(M$3&gt;(A3taxstdlife+$E100),(Input!$H$145-Input!$H$179)-SUM($H100:L100),(Input!$H$145-Input!$H$179)/A3taxstdlife))</f>
        <v>0.11912817317320532</v>
      </c>
      <c r="N100" s="69">
        <f>IF(A3taxstdlife="n/a","n/a",IF(N$3&gt;(A3taxstdlife+$E100),(Input!$H$145-Input!$H$179)-SUM($H100:M100),(Input!$H$145-Input!$H$179)/A3taxstdlife))</f>
        <v>0.11912817317320532</v>
      </c>
      <c r="O100" s="69">
        <f>IF(A3taxstdlife="n/a","n/a",IF(O$3&gt;(A3taxstdlife+$E100),(Input!$H$145-Input!$H$179)-SUM($H100:N100),(Input!$H$145-Input!$H$179)/A3taxstdlife))</f>
        <v>0.11912817317320532</v>
      </c>
      <c r="P100" s="69">
        <f>IF(A3taxstdlife="n/a","n/a",IF(P$3&gt;(A3taxstdlife+$E100),(Input!$H$145-Input!$H$179)-SUM($H100:O100),(Input!$H$145-Input!$H$179)/A3taxstdlife))</f>
        <v>0.11912817317320532</v>
      </c>
      <c r="Q100" s="69">
        <f>IF(A3taxstdlife="n/a","n/a",IF(Q$3&gt;(A3taxstdlife+$E100),(Input!$H$145-Input!$H$179)-SUM($H100:P100),(Input!$H$145-Input!$H$179)/A3taxstdlife))</f>
        <v>0.11912817317320532</v>
      </c>
      <c r="R100" s="69"/>
      <c r="S100" s="103"/>
      <c r="T100" s="103"/>
      <c r="U100" s="103"/>
      <c r="V100" s="103"/>
      <c r="W100" s="103"/>
      <c r="X100" s="103"/>
      <c r="Y100" s="103"/>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s="198" customFormat="1" hidden="1" outlineLevel="2">
      <c r="A101" s="9"/>
      <c r="B101" s="9"/>
      <c r="C101" s="26"/>
      <c r="D101" s="392"/>
      <c r="E101" s="87">
        <v>2</v>
      </c>
      <c r="F101" s="27"/>
      <c r="G101" s="27"/>
      <c r="H101" s="146"/>
      <c r="I101" s="147"/>
      <c r="J101" s="69">
        <f>IF(A3taxstdlife="n/a","n/a",IF(J$3&gt;(A3taxstdlife+$E101),(Input!$I$145-Input!$I$179)-SUM($I101:I101),(Input!$I$145-Input!$I$179)/A3taxstdlife))</f>
        <v>0.15198686554749996</v>
      </c>
      <c r="K101" s="69">
        <f>IF(A3taxstdlife="n/a","n/a",IF(K$3&gt;(A3taxstdlife+$E101),(Input!$I$145-Input!$I$179)-SUM($I101:J101),(Input!$I$145-Input!$I$179)/A3taxstdlife))</f>
        <v>0.15198686554749996</v>
      </c>
      <c r="L101" s="69">
        <f>IF(A3taxstdlife="n/a","n/a",IF(L$3&gt;(A3taxstdlife+$E101),(Input!$I$145-Input!$I$179)-SUM($I101:K101),(Input!$I$145-Input!$I$179)/A3taxstdlife))</f>
        <v>0.15198686554749996</v>
      </c>
      <c r="M101" s="69">
        <f>IF(A3taxstdlife="n/a","n/a",IF(M$3&gt;(A3taxstdlife+$E101),(Input!$I$145-Input!$I$179)-SUM($I101:L101),(Input!$I$145-Input!$I$179)/A3taxstdlife))</f>
        <v>0.15198686554749996</v>
      </c>
      <c r="N101" s="69">
        <f>IF(A3taxstdlife="n/a","n/a",IF(N$3&gt;(A3taxstdlife+$E101),(Input!$I$145-Input!$I$179)-SUM($I101:M101),(Input!$I$145-Input!$I$179)/A3taxstdlife))</f>
        <v>0.15198686554749996</v>
      </c>
      <c r="O101" s="69">
        <f>IF(A3taxstdlife="n/a","n/a",IF(O$3&gt;(A3taxstdlife+$E101),(Input!$I$145-Input!$I$179)-SUM($I101:N101),(Input!$I$145-Input!$I$179)/A3taxstdlife))</f>
        <v>0.15198686554749996</v>
      </c>
      <c r="P101" s="69">
        <f>IF(A3taxstdlife="n/a","n/a",IF(P$3&gt;(A3taxstdlife+$E101),(Input!$I$145-Input!$I$179)-SUM($I101:O101),(Input!$I$145-Input!$I$179)/A3taxstdlife))</f>
        <v>0.15198686554749996</v>
      </c>
      <c r="Q101" s="69">
        <f>IF(A3taxstdlife="n/a","n/a",IF(Q$3&gt;(A3taxstdlife+$E101),(Input!$I$145-Input!$I$179)-SUM($I101:P101),(Input!$I$145-Input!$I$179)/A3taxstdlife))</f>
        <v>0.15198686554749996</v>
      </c>
      <c r="R101" s="69"/>
      <c r="S101" s="103"/>
      <c r="T101" s="103"/>
      <c r="U101" s="103"/>
      <c r="V101" s="103"/>
      <c r="W101" s="103"/>
      <c r="X101" s="103"/>
      <c r="Y101" s="103"/>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s="198" customFormat="1" hidden="1" outlineLevel="2">
      <c r="A102" s="9"/>
      <c r="B102" s="9"/>
      <c r="C102" s="26"/>
      <c r="D102" s="392"/>
      <c r="E102" s="87">
        <v>3</v>
      </c>
      <c r="F102" s="27"/>
      <c r="G102" s="27"/>
      <c r="H102" s="146"/>
      <c r="I102" s="148"/>
      <c r="J102" s="147"/>
      <c r="K102" s="69">
        <f>IF(A3taxstdlife="n/a","n/a",IF(K$3&gt;(A3taxstdlife+$E102),(Input!$J$145-Input!$J$179)-SUM($J102:J102),(Input!$J$145-Input!$J$179)/A3taxstdlife))</f>
        <v>0.26920458150000032</v>
      </c>
      <c r="L102" s="69">
        <f>IF(A3taxstdlife="n/a","n/a",IF(L$3&gt;(A3taxstdlife+$E102),(Input!$J$145-Input!$J$179)-SUM($J102:K102),(Input!$J$145-Input!$J$179)/A3taxstdlife))</f>
        <v>0.26920458150000032</v>
      </c>
      <c r="M102" s="69">
        <f>IF(A3taxstdlife="n/a","n/a",IF(M$3&gt;(A3taxstdlife+$E102),(Input!$J$145-Input!$J$179)-SUM($J102:L102),(Input!$J$145-Input!$J$179)/A3taxstdlife))</f>
        <v>0.26920458150000032</v>
      </c>
      <c r="N102" s="69">
        <f>IF(A3taxstdlife="n/a","n/a",IF(N$3&gt;(A3taxstdlife+$E102),(Input!$J$145-Input!$J$179)-SUM($J102:M102),(Input!$J$145-Input!$J$179)/A3taxstdlife))</f>
        <v>0.26920458150000032</v>
      </c>
      <c r="O102" s="69">
        <f>IF(A3taxstdlife="n/a","n/a",IF(O$3&gt;(A3taxstdlife+$E102),(Input!$J$145-Input!$J$179)-SUM($J102:N102),(Input!$J$145-Input!$J$179)/A3taxstdlife))</f>
        <v>0.26920458150000032</v>
      </c>
      <c r="P102" s="69">
        <f>IF(A3taxstdlife="n/a","n/a",IF(P$3&gt;(A3taxstdlife+$E102),(Input!$J$145-Input!$J$179)-SUM($J102:O102),(Input!$J$145-Input!$J$179)/A3taxstdlife))</f>
        <v>0.26920458150000032</v>
      </c>
      <c r="Q102" s="69">
        <f>IF(A3taxstdlife="n/a","n/a",IF(Q$3&gt;(A3taxstdlife+$E102),(Input!$J$145-Input!$J$179)-SUM($J102:P102),(Input!$J$145-Input!$J$179)/A3taxstdlife))</f>
        <v>0.26920458150000032</v>
      </c>
      <c r="R102" s="69"/>
      <c r="S102" s="103"/>
      <c r="T102" s="103"/>
      <c r="U102" s="103"/>
      <c r="V102" s="103"/>
      <c r="W102" s="103"/>
      <c r="X102" s="103"/>
      <c r="Y102" s="103"/>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s="198" customFormat="1" hidden="1" outlineLevel="2">
      <c r="A103" s="9"/>
      <c r="B103" s="9"/>
      <c r="C103" s="26"/>
      <c r="D103" s="392"/>
      <c r="E103" s="87">
        <v>4</v>
      </c>
      <c r="F103" s="27"/>
      <c r="G103" s="27"/>
      <c r="H103" s="146"/>
      <c r="I103" s="148"/>
      <c r="J103" s="148"/>
      <c r="K103" s="147"/>
      <c r="L103" s="69">
        <f>IF(A3taxstdlife="n/a","n/a",IF(L$3&gt;(A3taxstdlife+$E103),(Input!$K$145-Input!$K$179)-SUM($K103:K103),(Input!$K$145-Input!$K$179)/A3taxstdlife))</f>
        <v>0.22447985997059972</v>
      </c>
      <c r="M103" s="69">
        <f>IF(A3taxstdlife="n/a","n/a",IF(M$3&gt;(A3taxstdlife+$E103),(Input!$K$145-Input!$K$179)-SUM($K103:L103),(Input!$K$145-Input!$K$179)/A3taxstdlife))</f>
        <v>0.22447985997059972</v>
      </c>
      <c r="N103" s="69">
        <f>IF(A3taxstdlife="n/a","n/a",IF(N$3&gt;(A3taxstdlife+$E103),(Input!$K$145-Input!$K$179)-SUM($K103:M103),(Input!$K$145-Input!$K$179)/A3taxstdlife))</f>
        <v>0.22447985997059972</v>
      </c>
      <c r="O103" s="69">
        <f>IF(A3taxstdlife="n/a","n/a",IF(O$3&gt;(A3taxstdlife+$E103),(Input!$K$145-Input!$K$179)-SUM($K103:N103),(Input!$K$145-Input!$K$179)/A3taxstdlife))</f>
        <v>0.22447985997059972</v>
      </c>
      <c r="P103" s="69">
        <f>IF(A3taxstdlife="n/a","n/a",IF(P$3&gt;(A3taxstdlife+$E103),(Input!$K$145-Input!$K$179)-SUM($K103:O103),(Input!$K$145-Input!$K$179)/A3taxstdlife))</f>
        <v>0.22447985997059972</v>
      </c>
      <c r="Q103" s="69">
        <f>IF(A3taxstdlife="n/a","n/a",IF(Q$3&gt;(A3taxstdlife+$E103),(Input!$K$145-Input!$K$179)-SUM($K103:P103),(Input!$K$145-Input!$K$179)/A3taxstdlife))</f>
        <v>0.22447985997059972</v>
      </c>
      <c r="R103" s="69"/>
      <c r="S103" s="103"/>
      <c r="T103" s="103"/>
      <c r="U103" s="103"/>
      <c r="V103" s="103"/>
      <c r="W103" s="103"/>
      <c r="X103" s="103"/>
      <c r="Y103" s="103"/>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s="198" customFormat="1" hidden="1" outlineLevel="2">
      <c r="A104" s="9"/>
      <c r="B104" s="9"/>
      <c r="C104" s="26"/>
      <c r="D104" s="392"/>
      <c r="E104" s="87">
        <v>5</v>
      </c>
      <c r="F104" s="27"/>
      <c r="G104" s="27"/>
      <c r="H104" s="146"/>
      <c r="I104" s="148"/>
      <c r="J104" s="148"/>
      <c r="K104" s="148"/>
      <c r="L104" s="147"/>
      <c r="M104" s="69">
        <f>IF(A3taxstdlife="n/a","n/a",IF(M$3&gt;(A3taxstdlife+$E104),(Input!$L$145-Input!$L$179)-SUM($L104:L104),(Input!$L$145-Input!$L$179)/A3taxstdlife))</f>
        <v>0.61676594925000017</v>
      </c>
      <c r="N104" s="69">
        <f>IF(A3taxstdlife="n/a","n/a",IF(N$3&gt;(A3taxstdlife+$E104),(Input!$L$145-Input!$L$179)-SUM($L104:M104),(Input!$L$145-Input!$L$179)/A3taxstdlife))</f>
        <v>0.61676594925000017</v>
      </c>
      <c r="O104" s="69">
        <f>IF(A3taxstdlife="n/a","n/a",IF(O$3&gt;(A3taxstdlife+$E104),(Input!$L$145-Input!$L$179)-SUM($L104:N104),(Input!$L$145-Input!$L$179)/A3taxstdlife))</f>
        <v>0.61676594925000017</v>
      </c>
      <c r="P104" s="69">
        <f>IF(A3taxstdlife="n/a","n/a",IF(P$3&gt;(A3taxstdlife+$E104),(Input!$L$145-Input!$L$179)-SUM($L104:O104),(Input!$L$145-Input!$L$179)/A3taxstdlife))</f>
        <v>0.61676594925000017</v>
      </c>
      <c r="Q104" s="69">
        <f>IF(A3taxstdlife="n/a","n/a",IF(Q$3&gt;(A3taxstdlife+$E104),(Input!$L$145-Input!$L$179)-SUM($L104:P104),(Input!$L$145-Input!$L$179)/A3taxstdlife))</f>
        <v>0.61676594925000017</v>
      </c>
      <c r="R104" s="69"/>
      <c r="S104" s="103"/>
      <c r="T104" s="103"/>
      <c r="U104" s="103"/>
      <c r="V104" s="103"/>
      <c r="W104" s="103"/>
      <c r="X104" s="103"/>
      <c r="Y104" s="103"/>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s="198" customFormat="1" hidden="1" outlineLevel="2">
      <c r="A105" s="9"/>
      <c r="B105" s="9"/>
      <c r="C105" s="26"/>
      <c r="D105" s="392"/>
      <c r="E105" s="87">
        <v>6</v>
      </c>
      <c r="F105" s="27"/>
      <c r="G105" s="27"/>
      <c r="H105" s="146"/>
      <c r="I105" s="148"/>
      <c r="J105" s="148"/>
      <c r="K105" s="148"/>
      <c r="L105" s="148"/>
      <c r="M105" s="147"/>
      <c r="N105" s="69">
        <f>IF(A3taxstdlife="n/a","n/a",IF(N$3&gt;(A3taxstdlife+$E105),(Input!$M$145-Input!$M$179)-SUM($M105:M105),(Input!$M$145-Input!$M$179)/A3taxstdlife))</f>
        <v>0.84499100688998152</v>
      </c>
      <c r="O105" s="69">
        <f>IF(A3taxstdlife="n/a","n/a",IF(O$3&gt;(A3taxstdlife+$E105),(Input!$M$145-Input!$M$179)-SUM($M105:N105),(Input!$M$145-Input!$M$179)/A3taxstdlife))</f>
        <v>0.84499100688998152</v>
      </c>
      <c r="P105" s="69">
        <f>IF(A3taxstdlife="n/a","n/a",IF(P$3&gt;(A3taxstdlife+$E105),(Input!$M$145-Input!$M$179)-SUM($M105:O105),(Input!$M$145-Input!$M$179)/A3taxstdlife))</f>
        <v>0.84499100688998152</v>
      </c>
      <c r="Q105" s="69">
        <f>IF(A3taxstdlife="n/a","n/a",IF(Q$3&gt;(A3taxstdlife+$E105),(Input!$M$145-Input!$M$179)-SUM($M105:P105),(Input!$M$145-Input!$M$179)/A3taxstdlife))</f>
        <v>0.84499100688998152</v>
      </c>
      <c r="R105" s="69"/>
      <c r="S105" s="103"/>
      <c r="T105" s="103"/>
      <c r="U105" s="103"/>
      <c r="V105" s="103"/>
      <c r="W105" s="103"/>
      <c r="X105" s="103"/>
      <c r="Y105" s="103"/>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s="198" customFormat="1" hidden="1" outlineLevel="2">
      <c r="A106" s="9"/>
      <c r="B106" s="9"/>
      <c r="C106" s="26"/>
      <c r="D106" s="392"/>
      <c r="E106" s="87">
        <v>7</v>
      </c>
      <c r="F106" s="27"/>
      <c r="G106" s="27"/>
      <c r="H106" s="146"/>
      <c r="I106" s="148"/>
      <c r="J106" s="148"/>
      <c r="K106" s="148"/>
      <c r="L106" s="148"/>
      <c r="M106" s="148"/>
      <c r="N106" s="147"/>
      <c r="O106" s="69">
        <f>IF(A3taxstdlife="n/a","n/a",IF(O$3&gt;(A3taxstdlife+$E106),(Input!$N$145-Input!$N$179)-SUM($N106:N106),(Input!$N$145-Input!$N$179)/A3taxstdlife))</f>
        <v>0</v>
      </c>
      <c r="P106" s="69">
        <f>IF(A3taxstdlife="n/a","n/a",IF(P$3&gt;(A3taxstdlife+$E106),(Input!$N$145-Input!$N$179)-SUM($N106:O106),(Input!$N$145-Input!$N$179)/A3taxstdlife))</f>
        <v>0</v>
      </c>
      <c r="Q106" s="69">
        <f>IF(A3taxstdlife="n/a","n/a",IF(Q$3&gt;(A3taxstdlife+$E106),(Input!$N$145-Input!$N$179)-SUM($N106:P106),(Input!$N$145-Input!$N$179)/A3taxstdlife))</f>
        <v>0</v>
      </c>
      <c r="R106" s="69"/>
      <c r="S106" s="103"/>
      <c r="T106" s="103"/>
      <c r="U106" s="103"/>
      <c r="V106" s="103"/>
      <c r="W106" s="103"/>
      <c r="X106" s="103"/>
      <c r="Y106" s="103"/>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s="198" customFormat="1" hidden="1" outlineLevel="2">
      <c r="A107" s="9"/>
      <c r="B107" s="9"/>
      <c r="C107" s="26"/>
      <c r="D107" s="392"/>
      <c r="E107" s="87">
        <v>8</v>
      </c>
      <c r="F107" s="27"/>
      <c r="G107" s="27"/>
      <c r="H107" s="146"/>
      <c r="I107" s="148"/>
      <c r="J107" s="148"/>
      <c r="K107" s="148"/>
      <c r="L107" s="148"/>
      <c r="M107" s="148"/>
      <c r="N107" s="148"/>
      <c r="O107" s="147"/>
      <c r="P107" s="69">
        <f>IF(A3taxstdlife="n/a","n/a",IF(P$3&gt;(A3taxstdlife+$E107),(Input!$O$145-Input!$O$179)-SUM($O107:O107),(Input!$O$145-Input!$O$179)/A3taxstdlife))</f>
        <v>0</v>
      </c>
      <c r="Q107" s="69">
        <f>IF(A3taxstdlife="n/a","n/a",IF(Q$3&gt;(A3taxstdlife+$E107),(Input!$O$145-Input!$O$179)-SUM($O107:P107),(Input!$O$145-Input!$O$179)/A3taxstdlife))</f>
        <v>0</v>
      </c>
      <c r="R107" s="69"/>
      <c r="S107" s="103"/>
      <c r="T107" s="103"/>
      <c r="U107" s="103"/>
      <c r="V107" s="103"/>
      <c r="W107" s="103"/>
      <c r="X107" s="103"/>
      <c r="Y107" s="103"/>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s="198" customFormat="1" hidden="1" outlineLevel="2">
      <c r="A108" s="9"/>
      <c r="B108" s="9"/>
      <c r="C108" s="26"/>
      <c r="D108" s="392"/>
      <c r="E108" s="87">
        <v>9</v>
      </c>
      <c r="F108" s="27"/>
      <c r="G108" s="27"/>
      <c r="H108" s="146"/>
      <c r="I108" s="148"/>
      <c r="J108" s="148"/>
      <c r="K108" s="148"/>
      <c r="L108" s="148"/>
      <c r="M108" s="148"/>
      <c r="N108" s="148"/>
      <c r="O108" s="148"/>
      <c r="P108" s="147"/>
      <c r="Q108" s="69">
        <f>IF(A3taxstdlife="n/a","n/a",IF(Q$3&gt;(A3taxstdlife+$E108),(Input!$P$145-Input!$P$179)-SUM($P108:P108),(Input!$P$145-Input!$P$179)/A3taxstdlife))</f>
        <v>0</v>
      </c>
      <c r="R108" s="69"/>
      <c r="S108" s="103"/>
      <c r="T108" s="103"/>
      <c r="U108" s="103"/>
      <c r="V108" s="103"/>
      <c r="W108" s="103"/>
      <c r="X108" s="103"/>
      <c r="Y108" s="103"/>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s="198" customFormat="1" hidden="1" outlineLevel="2">
      <c r="A109" s="9"/>
      <c r="B109" s="9"/>
      <c r="C109" s="26"/>
      <c r="D109" s="392"/>
      <c r="E109" s="88">
        <v>10</v>
      </c>
      <c r="F109" s="27"/>
      <c r="G109" s="27"/>
      <c r="H109" s="146"/>
      <c r="I109" s="148"/>
      <c r="J109" s="148"/>
      <c r="K109" s="148"/>
      <c r="L109" s="148"/>
      <c r="M109" s="148"/>
      <c r="N109" s="148"/>
      <c r="O109" s="148"/>
      <c r="P109" s="148"/>
      <c r="Q109" s="147"/>
      <c r="R109" s="69"/>
      <c r="S109" s="103"/>
      <c r="T109" s="103"/>
      <c r="U109" s="103"/>
      <c r="V109" s="103"/>
      <c r="W109" s="103"/>
      <c r="X109" s="103"/>
      <c r="Y109" s="103"/>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s="198" customFormat="1" hidden="1" outlineLevel="1" collapsed="1">
      <c r="A110" s="9"/>
      <c r="B110" s="9"/>
      <c r="C110" s="271" t="str">
        <f>Asset3</f>
        <v>Transformers</v>
      </c>
      <c r="D110" s="9"/>
      <c r="E110" s="9"/>
      <c r="F110" s="23"/>
      <c r="G110" s="23"/>
      <c r="H110" s="297">
        <f>-SUM(H98:H109)</f>
        <v>-6.9379532665594326</v>
      </c>
      <c r="I110" s="161">
        <f>-SUM(I98:I109)</f>
        <v>-7.057081439732638</v>
      </c>
      <c r="J110" s="161">
        <f>-SUM(J98:J109)</f>
        <v>-7.2090683052801383</v>
      </c>
      <c r="K110" s="161">
        <f>-SUM(K98:K109)</f>
        <v>-7.4782728867801387</v>
      </c>
      <c r="L110" s="161">
        <f>-SUM(L98:L109)</f>
        <v>-7.702752746750738</v>
      </c>
      <c r="M110" s="161">
        <f>IF(COUNT($H110:L110)&gt;=Input!$Y$7,0, -SUM(M98:M109))</f>
        <v>-8.3195186960007383</v>
      </c>
      <c r="N110" s="161">
        <f>IF(COUNT($H110:M110)&gt;=Input!$Y$7,0, -SUM(N98:N109))</f>
        <v>0</v>
      </c>
      <c r="O110" s="161">
        <f>IF(COUNT($H110:N110)&gt;=Input!$Y$7,0, -SUM(O98:O109))</f>
        <v>0</v>
      </c>
      <c r="P110" s="161">
        <f>IF(COUNT($H110:O110)&gt;=Input!$Y$7,0, -SUM(P98:P109))</f>
        <v>0</v>
      </c>
      <c r="Q110" s="161">
        <f>IF(COUNT($H110:P110)&gt;=Input!$Y$7,0, -SUM(Q98:Q109))</f>
        <v>0</v>
      </c>
      <c r="R110" s="161"/>
      <c r="S110" s="102"/>
      <c r="T110" s="102"/>
      <c r="U110" s="102"/>
      <c r="V110" s="102"/>
      <c r="W110" s="102"/>
      <c r="X110" s="102"/>
      <c r="Y110" s="102"/>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row>
    <row r="111" spans="1:60" s="198" customFormat="1" ht="12.75" hidden="1" customHeight="1" outlineLevel="2">
      <c r="A111" s="9"/>
      <c r="B111" s="272" t="str">
        <f>Asset4</f>
        <v>Reactive</v>
      </c>
      <c r="C111" s="31"/>
      <c r="D111" s="32" t="s">
        <v>66</v>
      </c>
      <c r="E111" s="31"/>
      <c r="F111" s="300"/>
      <c r="G111" s="300"/>
      <c r="H111" s="68">
        <f>IF(H$3&gt;A4taxremlife,A4taxvalue-SUM($F111:F111),IF(A4taxremlife="N/A","n/a",A4taxvalue/A4taxremlife))</f>
        <v>3.4545937586694033</v>
      </c>
      <c r="I111" s="68">
        <f>IF(I$3&gt;A4taxremlife,A4taxvalue-SUM($F111:H111),IF(A4taxremlife="N/A","n/a",A4taxvalue/A4taxremlife))</f>
        <v>3.4545937586694033</v>
      </c>
      <c r="J111" s="68">
        <f>IF(J$3&gt;A4taxremlife,A4taxvalue-SUM($F111:I111),IF(A4taxremlife="N/A","n/a",A4taxvalue/A4taxremlife))</f>
        <v>3.4545937586694033</v>
      </c>
      <c r="K111" s="68">
        <f>IF(K$3&gt;A4taxremlife,A4taxvalue-SUM($F111:J111),IF(A4taxremlife="N/A","n/a",A4taxvalue/A4taxremlife))</f>
        <v>3.4545937586694033</v>
      </c>
      <c r="L111" s="68">
        <f>IF(L$3&gt;A4taxremlife,A4taxvalue-SUM($F111:K111),IF(A4taxremlife="N/A","n/a",A4taxvalue/A4taxremlife))</f>
        <v>3.4545937586694033</v>
      </c>
      <c r="M111" s="68">
        <f>IF(M$3&gt;A4taxremlife,A4taxvalue-SUM($F111:L111),IF(A4taxremlife="N/A","n/a",A4taxvalue/A4taxremlife))</f>
        <v>3.4545937586694033</v>
      </c>
      <c r="N111" s="68">
        <f>IF(N$3&gt;A4taxremlife,A4taxvalue-SUM($F111:M111),IF(A4taxremlife="N/A","n/a",A4taxvalue/A4taxremlife))</f>
        <v>3.4545937586694033</v>
      </c>
      <c r="O111" s="68">
        <f>IF(O$3&gt;A4taxremlife,A4taxvalue-SUM($F111:N111),IF(A4taxremlife="N/A","n/a",A4taxvalue/A4taxremlife))</f>
        <v>3.4545937586694033</v>
      </c>
      <c r="P111" s="68">
        <f>IF(P$3&gt;A4taxremlife,A4taxvalue-SUM($F111:O111),IF(A4taxremlife="N/A","n/a",A4taxvalue/A4taxremlife))</f>
        <v>3.4545937586694033</v>
      </c>
      <c r="Q111" s="68">
        <f>IF(Q$3&gt;A4taxremlife,A4taxvalue-SUM($F111:P111),IF(A4taxremlife="N/A","n/a",A4taxvalue/A4taxremlife))</f>
        <v>3.4545937586694033</v>
      </c>
      <c r="R111" s="68"/>
      <c r="S111" s="103"/>
      <c r="T111" s="103"/>
      <c r="U111" s="103"/>
      <c r="V111" s="103"/>
      <c r="W111" s="103"/>
      <c r="X111" s="103"/>
      <c r="Y111" s="103"/>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s="198" customFormat="1" ht="12.75" hidden="1" customHeight="1" outlineLevel="2">
      <c r="A112" s="9"/>
      <c r="B112" s="9"/>
      <c r="C112" s="26"/>
      <c r="D112" s="391" t="s">
        <v>82</v>
      </c>
      <c r="E112" s="87"/>
      <c r="F112" s="27"/>
      <c r="G112" s="27"/>
      <c r="H112" s="103"/>
      <c r="I112" s="69"/>
      <c r="J112" s="69"/>
      <c r="K112" s="69"/>
      <c r="L112" s="69"/>
      <c r="M112" s="69"/>
      <c r="N112" s="69"/>
      <c r="O112" s="69"/>
      <c r="P112" s="69"/>
      <c r="Q112" s="69"/>
      <c r="R112" s="69"/>
      <c r="S112" s="103"/>
      <c r="T112" s="103"/>
      <c r="U112" s="103"/>
      <c r="V112" s="103"/>
      <c r="W112" s="103"/>
      <c r="X112" s="103"/>
      <c r="Y112" s="103"/>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s="198" customFormat="1" ht="12.75" hidden="1" customHeight="1" outlineLevel="2">
      <c r="A113" s="9"/>
      <c r="B113" s="9"/>
      <c r="C113" s="26"/>
      <c r="D113" s="392"/>
      <c r="E113" s="87">
        <v>1</v>
      </c>
      <c r="F113" s="27"/>
      <c r="G113" s="27"/>
      <c r="H113" s="145"/>
      <c r="I113" s="69">
        <f>IF(A4taxstdlife="n/a","n/a",IF(I$3&gt;(A4taxstdlife+$E113),(Input!$H$146-Input!$H$180)-SUM($H113:H113),(Input!$H$146-Input!$H$180)/A4taxstdlife))</f>
        <v>1.5073499999999999E-4</v>
      </c>
      <c r="J113" s="69">
        <f>IF(A4taxstdlife="n/a","n/a",IF(J$3&gt;(A4taxstdlife+$E113),(Input!$H$146-Input!$H$180)-SUM($H113:I113),(Input!$H$146-Input!$H$180)/A4taxstdlife))</f>
        <v>1.5073499999999999E-4</v>
      </c>
      <c r="K113" s="69">
        <f>IF(A4taxstdlife="n/a","n/a",IF(K$3&gt;(A4taxstdlife+$E113),(Input!$H$146-Input!$H$180)-SUM($H113:J113),(Input!$H$146-Input!$H$180)/A4taxstdlife))</f>
        <v>1.5073499999999999E-4</v>
      </c>
      <c r="L113" s="69">
        <f>IF(A4taxstdlife="n/a","n/a",IF(L$3&gt;(A4taxstdlife+$E113),(Input!$H$146-Input!$H$180)-SUM($H113:K113),(Input!$H$146-Input!$H$180)/A4taxstdlife))</f>
        <v>1.5073499999999999E-4</v>
      </c>
      <c r="M113" s="69">
        <f>IF(A4taxstdlife="n/a","n/a",IF(M$3&gt;(A4taxstdlife+$E113),(Input!$H$146-Input!$H$180)-SUM($H113:L113),(Input!$H$146-Input!$H$180)/A4taxstdlife))</f>
        <v>1.5073499999999999E-4</v>
      </c>
      <c r="N113" s="69">
        <f>IF(A4taxstdlife="n/a","n/a",IF(N$3&gt;(A4taxstdlife+$E113),(Input!$H$146-Input!$H$180)-SUM($H113:M113),(Input!$H$146-Input!$H$180)/A4taxstdlife))</f>
        <v>1.5073499999999999E-4</v>
      </c>
      <c r="O113" s="69">
        <f>IF(A4taxstdlife="n/a","n/a",IF(O$3&gt;(A4taxstdlife+$E113),(Input!$H$146-Input!$H$180)-SUM($H113:N113),(Input!$H$146-Input!$H$180)/A4taxstdlife))</f>
        <v>1.5073499999999999E-4</v>
      </c>
      <c r="P113" s="69">
        <f>IF(A4taxstdlife="n/a","n/a",IF(P$3&gt;(A4taxstdlife+$E113),(Input!$H$146-Input!$H$180)-SUM($H113:O113),(Input!$H$146-Input!$H$180)/A4taxstdlife))</f>
        <v>1.5073499999999999E-4</v>
      </c>
      <c r="Q113" s="69">
        <f>IF(A4taxstdlife="n/a","n/a",IF(Q$3&gt;(A4taxstdlife+$E113),(Input!$H$146-Input!$H$180)-SUM($H113:P113),(Input!$H$146-Input!$H$180)/A4taxstdlife))</f>
        <v>1.5073499999999999E-4</v>
      </c>
      <c r="R113" s="69"/>
      <c r="S113" s="103"/>
      <c r="T113" s="103"/>
      <c r="U113" s="103"/>
      <c r="V113" s="103"/>
      <c r="W113" s="103"/>
      <c r="X113" s="103"/>
      <c r="Y113" s="103"/>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s="198" customFormat="1" ht="12.75" hidden="1" customHeight="1" outlineLevel="2">
      <c r="A114" s="9"/>
      <c r="B114" s="9"/>
      <c r="C114" s="26"/>
      <c r="D114" s="392"/>
      <c r="E114" s="87">
        <v>2</v>
      </c>
      <c r="F114" s="27"/>
      <c r="G114" s="27"/>
      <c r="H114" s="146"/>
      <c r="I114" s="147"/>
      <c r="J114" s="69">
        <f>IF(A4taxstdlife="n/a","n/a",IF(J$3&gt;(A4taxstdlife+$E114),(Input!$I$146-Input!$I$180)-SUM($I114:I114),(Input!$I$146-Input!$I$180)/A4taxstdlife))</f>
        <v>2.4574659500000002E-2</v>
      </c>
      <c r="K114" s="69">
        <f>IF(A4taxstdlife="n/a","n/a",IF(K$3&gt;(A4taxstdlife+$E114),(Input!$I$146-Input!$I$180)-SUM($I114:J114),(Input!$I$146-Input!$I$180)/A4taxstdlife))</f>
        <v>2.4574659500000002E-2</v>
      </c>
      <c r="L114" s="69">
        <f>IF(A4taxstdlife="n/a","n/a",IF(L$3&gt;(A4taxstdlife+$E114),(Input!$I$146-Input!$I$180)-SUM($I114:K114),(Input!$I$146-Input!$I$180)/A4taxstdlife))</f>
        <v>2.4574659500000002E-2</v>
      </c>
      <c r="M114" s="69">
        <f>IF(A4taxstdlife="n/a","n/a",IF(M$3&gt;(A4taxstdlife+$E114),(Input!$I$146-Input!$I$180)-SUM($I114:L114),(Input!$I$146-Input!$I$180)/A4taxstdlife))</f>
        <v>2.4574659500000002E-2</v>
      </c>
      <c r="N114" s="69">
        <f>IF(A4taxstdlife="n/a","n/a",IF(N$3&gt;(A4taxstdlife+$E114),(Input!$I$146-Input!$I$180)-SUM($I114:M114),(Input!$I$146-Input!$I$180)/A4taxstdlife))</f>
        <v>2.4574659500000002E-2</v>
      </c>
      <c r="O114" s="69">
        <f>IF(A4taxstdlife="n/a","n/a",IF(O$3&gt;(A4taxstdlife+$E114),(Input!$I$146-Input!$I$180)-SUM($I114:N114),(Input!$I$146-Input!$I$180)/A4taxstdlife))</f>
        <v>2.4574659500000002E-2</v>
      </c>
      <c r="P114" s="69">
        <f>IF(A4taxstdlife="n/a","n/a",IF(P$3&gt;(A4taxstdlife+$E114),(Input!$I$146-Input!$I$180)-SUM($I114:O114),(Input!$I$146-Input!$I$180)/A4taxstdlife))</f>
        <v>2.4574659500000002E-2</v>
      </c>
      <c r="Q114" s="69">
        <f>IF(A4taxstdlife="n/a","n/a",IF(Q$3&gt;(A4taxstdlife+$E114),(Input!$I$146-Input!$I$180)-SUM($I114:P114),(Input!$I$146-Input!$I$180)/A4taxstdlife))</f>
        <v>2.4574659500000002E-2</v>
      </c>
      <c r="R114" s="69"/>
      <c r="S114" s="103"/>
      <c r="T114" s="103"/>
      <c r="U114" s="103"/>
      <c r="V114" s="103"/>
      <c r="W114" s="103"/>
      <c r="X114" s="103"/>
      <c r="Y114" s="103"/>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s="198" customFormat="1" ht="12.75" hidden="1" customHeight="1" outlineLevel="2">
      <c r="A115" s="9"/>
      <c r="B115" s="9"/>
      <c r="C115" s="26"/>
      <c r="D115" s="392"/>
      <c r="E115" s="87">
        <v>3</v>
      </c>
      <c r="F115" s="27"/>
      <c r="G115" s="27"/>
      <c r="H115" s="146"/>
      <c r="I115" s="148"/>
      <c r="J115" s="147"/>
      <c r="K115" s="69">
        <f>IF(A4taxstdlife="n/a","n/a",IF(K$3&gt;(A4taxstdlife+$E115),(Input!$J$146-Input!$J$180)-SUM($J115:J115),(Input!$J$146-Input!$J$180)/A4taxstdlife))</f>
        <v>1.1793337500000001E-3</v>
      </c>
      <c r="L115" s="69">
        <f>IF(A4taxstdlife="n/a","n/a",IF(L$3&gt;(A4taxstdlife+$E115),(Input!$J$146-Input!$J$180)-SUM($J115:K115),(Input!$J$146-Input!$J$180)/A4taxstdlife))</f>
        <v>1.1793337500000001E-3</v>
      </c>
      <c r="M115" s="69">
        <f>IF(A4taxstdlife="n/a","n/a",IF(M$3&gt;(A4taxstdlife+$E115),(Input!$J$146-Input!$J$180)-SUM($J115:L115),(Input!$J$146-Input!$J$180)/A4taxstdlife))</f>
        <v>1.1793337500000001E-3</v>
      </c>
      <c r="N115" s="69">
        <f>IF(A4taxstdlife="n/a","n/a",IF(N$3&gt;(A4taxstdlife+$E115),(Input!$J$146-Input!$J$180)-SUM($J115:M115),(Input!$J$146-Input!$J$180)/A4taxstdlife))</f>
        <v>1.1793337500000001E-3</v>
      </c>
      <c r="O115" s="69">
        <f>IF(A4taxstdlife="n/a","n/a",IF(O$3&gt;(A4taxstdlife+$E115),(Input!$J$146-Input!$J$180)-SUM($J115:N115),(Input!$J$146-Input!$J$180)/A4taxstdlife))</f>
        <v>1.1793337500000001E-3</v>
      </c>
      <c r="P115" s="69">
        <f>IF(A4taxstdlife="n/a","n/a",IF(P$3&gt;(A4taxstdlife+$E115),(Input!$J$146-Input!$J$180)-SUM($J115:O115),(Input!$J$146-Input!$J$180)/A4taxstdlife))</f>
        <v>1.1793337500000001E-3</v>
      </c>
      <c r="Q115" s="69">
        <f>IF(A4taxstdlife="n/a","n/a",IF(Q$3&gt;(A4taxstdlife+$E115),(Input!$J$146-Input!$J$180)-SUM($J115:P115),(Input!$J$146-Input!$J$180)/A4taxstdlife))</f>
        <v>1.1793337500000001E-3</v>
      </c>
      <c r="R115" s="69"/>
      <c r="S115" s="103"/>
      <c r="T115" s="103"/>
      <c r="U115" s="103"/>
      <c r="V115" s="103"/>
      <c r="W115" s="103"/>
      <c r="X115" s="103"/>
      <c r="Y115" s="103"/>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s="198" customFormat="1" ht="12.75" hidden="1" customHeight="1" outlineLevel="2">
      <c r="A116" s="9"/>
      <c r="B116" s="9"/>
      <c r="C116" s="26"/>
      <c r="D116" s="392"/>
      <c r="E116" s="87">
        <v>4</v>
      </c>
      <c r="F116" s="27"/>
      <c r="G116" s="27"/>
      <c r="H116" s="146"/>
      <c r="I116" s="148"/>
      <c r="J116" s="148"/>
      <c r="K116" s="147"/>
      <c r="L116" s="69">
        <f>IF(A4taxstdlife="n/a","n/a",IF(L$3&gt;(A4taxstdlife+$E116),(Input!$K$146-Input!$K$180)-SUM($K116:K116),(Input!$K$146-Input!$K$180)/A4taxstdlife))</f>
        <v>1.3109742046652398E-2</v>
      </c>
      <c r="M116" s="69">
        <f>IF(A4taxstdlife="n/a","n/a",IF(M$3&gt;(A4taxstdlife+$E116),(Input!$K$146-Input!$K$180)-SUM($K116:L116),(Input!$K$146-Input!$K$180)/A4taxstdlife))</f>
        <v>1.3109742046652398E-2</v>
      </c>
      <c r="N116" s="69">
        <f>IF(A4taxstdlife="n/a","n/a",IF(N$3&gt;(A4taxstdlife+$E116),(Input!$K$146-Input!$K$180)-SUM($K116:M116),(Input!$K$146-Input!$K$180)/A4taxstdlife))</f>
        <v>1.3109742046652398E-2</v>
      </c>
      <c r="O116" s="69">
        <f>IF(A4taxstdlife="n/a","n/a",IF(O$3&gt;(A4taxstdlife+$E116),(Input!$K$146-Input!$K$180)-SUM($K116:N116),(Input!$K$146-Input!$K$180)/A4taxstdlife))</f>
        <v>1.3109742046652398E-2</v>
      </c>
      <c r="P116" s="69">
        <f>IF(A4taxstdlife="n/a","n/a",IF(P$3&gt;(A4taxstdlife+$E116),(Input!$K$146-Input!$K$180)-SUM($K116:O116),(Input!$K$146-Input!$K$180)/A4taxstdlife))</f>
        <v>1.3109742046652398E-2</v>
      </c>
      <c r="Q116" s="69">
        <f>IF(A4taxstdlife="n/a","n/a",IF(Q$3&gt;(A4taxstdlife+$E116),(Input!$K$146-Input!$K$180)-SUM($K116:P116),(Input!$K$146-Input!$K$180)/A4taxstdlife))</f>
        <v>1.3109742046652398E-2</v>
      </c>
      <c r="R116" s="69"/>
      <c r="S116" s="103"/>
      <c r="T116" s="103"/>
      <c r="U116" s="103"/>
      <c r="V116" s="103"/>
      <c r="W116" s="103"/>
      <c r="X116" s="103"/>
      <c r="Y116" s="103"/>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s="198" customFormat="1" ht="12.75" hidden="1" customHeight="1" outlineLevel="2">
      <c r="A117" s="9"/>
      <c r="B117" s="9"/>
      <c r="C117" s="26"/>
      <c r="D117" s="392"/>
      <c r="E117" s="87">
        <v>5</v>
      </c>
      <c r="F117" s="27"/>
      <c r="G117" s="27"/>
      <c r="H117" s="146"/>
      <c r="I117" s="148"/>
      <c r="J117" s="148"/>
      <c r="K117" s="148"/>
      <c r="L117" s="147"/>
      <c r="M117" s="69">
        <f>IF(A4taxstdlife="n/a","n/a",IF(M$3&gt;(A4taxstdlife+$E117),(Input!$L$146-Input!$L$180)-SUM($L117:L117),(Input!$L$146-Input!$L$180)/A4taxstdlife))</f>
        <v>2.3608266000000003E-2</v>
      </c>
      <c r="N117" s="69">
        <f>IF(A4taxstdlife="n/a","n/a",IF(N$3&gt;(A4taxstdlife+$E117),(Input!$L$146-Input!$L$180)-SUM($L117:M117),(Input!$L$146-Input!$L$180)/A4taxstdlife))</f>
        <v>2.3608266000000003E-2</v>
      </c>
      <c r="O117" s="69">
        <f>IF(A4taxstdlife="n/a","n/a",IF(O$3&gt;(A4taxstdlife+$E117),(Input!$L$146-Input!$L$180)-SUM($L117:N117),(Input!$L$146-Input!$L$180)/A4taxstdlife))</f>
        <v>2.3608266000000003E-2</v>
      </c>
      <c r="P117" s="69">
        <f>IF(A4taxstdlife="n/a","n/a",IF(P$3&gt;(A4taxstdlife+$E117),(Input!$L$146-Input!$L$180)-SUM($L117:O117),(Input!$L$146-Input!$L$180)/A4taxstdlife))</f>
        <v>2.3608266000000003E-2</v>
      </c>
      <c r="Q117" s="69">
        <f>IF(A4taxstdlife="n/a","n/a",IF(Q$3&gt;(A4taxstdlife+$E117),(Input!$L$146-Input!$L$180)-SUM($L117:P117),(Input!$L$146-Input!$L$180)/A4taxstdlife))</f>
        <v>2.3608266000000003E-2</v>
      </c>
      <c r="R117" s="69"/>
      <c r="S117" s="103"/>
      <c r="T117" s="103"/>
      <c r="U117" s="103"/>
      <c r="V117" s="103"/>
      <c r="W117" s="103"/>
      <c r="X117" s="103"/>
      <c r="Y117" s="103"/>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s="198" customFormat="1" ht="12.75" hidden="1" customHeight="1" outlineLevel="2">
      <c r="A118" s="9"/>
      <c r="B118" s="9"/>
      <c r="C118" s="26"/>
      <c r="D118" s="392"/>
      <c r="E118" s="87">
        <v>6</v>
      </c>
      <c r="F118" s="27"/>
      <c r="G118" s="27"/>
      <c r="H118" s="146"/>
      <c r="I118" s="148"/>
      <c r="J118" s="148"/>
      <c r="K118" s="148"/>
      <c r="L118" s="148"/>
      <c r="M118" s="147"/>
      <c r="N118" s="69">
        <f>IF(A4taxstdlife="n/a","n/a",IF(N$3&gt;(A4taxstdlife+$E118),(Input!$M$146-Input!$M$180)-SUM($M118:M118),(Input!$M$146-Input!$M$180)/A4taxstdlife))</f>
        <v>2.1241081222509318E-2</v>
      </c>
      <c r="O118" s="69">
        <f>IF(A4taxstdlife="n/a","n/a",IF(O$3&gt;(A4taxstdlife+$E118),(Input!$M$146-Input!$M$180)-SUM($M118:N118),(Input!$M$146-Input!$M$180)/A4taxstdlife))</f>
        <v>2.1241081222509318E-2</v>
      </c>
      <c r="P118" s="69">
        <f>IF(A4taxstdlife="n/a","n/a",IF(P$3&gt;(A4taxstdlife+$E118),(Input!$M$146-Input!$M$180)-SUM($M118:O118),(Input!$M$146-Input!$M$180)/A4taxstdlife))</f>
        <v>2.1241081222509318E-2</v>
      </c>
      <c r="Q118" s="69">
        <f>IF(A4taxstdlife="n/a","n/a",IF(Q$3&gt;(A4taxstdlife+$E118),(Input!$M$146-Input!$M$180)-SUM($M118:P118),(Input!$M$146-Input!$M$180)/A4taxstdlife))</f>
        <v>2.1241081222509318E-2</v>
      </c>
      <c r="R118" s="69"/>
      <c r="S118" s="103"/>
      <c r="T118" s="103"/>
      <c r="U118" s="103"/>
      <c r="V118" s="103"/>
      <c r="W118" s="103"/>
      <c r="X118" s="103"/>
      <c r="Y118" s="103"/>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s="198" customFormat="1" ht="12.75" hidden="1" customHeight="1" outlineLevel="2">
      <c r="A119" s="9"/>
      <c r="B119" s="9"/>
      <c r="C119" s="26"/>
      <c r="D119" s="392"/>
      <c r="E119" s="87">
        <v>7</v>
      </c>
      <c r="F119" s="27"/>
      <c r="G119" s="27"/>
      <c r="H119" s="146"/>
      <c r="I119" s="148"/>
      <c r="J119" s="148"/>
      <c r="K119" s="148"/>
      <c r="L119" s="148"/>
      <c r="M119" s="148"/>
      <c r="N119" s="147"/>
      <c r="O119" s="69">
        <f>IF(A4taxstdlife="n/a","n/a",IF(O$3&gt;(A4taxstdlife+$E119),(Input!$N$146-Input!$N$180)-SUM($N119:N119),(Input!$N$146-Input!$N$180)/A4taxstdlife))</f>
        <v>0</v>
      </c>
      <c r="P119" s="69">
        <f>IF(A4taxstdlife="n/a","n/a",IF(P$3&gt;(A4taxstdlife+$E119),(Input!$N$146-Input!$N$180)-SUM($N119:O119),(Input!$N$146-Input!$N$180)/A4taxstdlife))</f>
        <v>0</v>
      </c>
      <c r="Q119" s="69">
        <f>IF(A4taxstdlife="n/a","n/a",IF(Q$3&gt;(A4taxstdlife+$E119),(Input!$N$146-Input!$N$180)-SUM($N119:P119),(Input!$N$146-Input!$N$180)/A4taxstdlife))</f>
        <v>0</v>
      </c>
      <c r="R119" s="69"/>
      <c r="S119" s="103"/>
      <c r="T119" s="103"/>
      <c r="U119" s="103"/>
      <c r="V119" s="103"/>
      <c r="W119" s="103"/>
      <c r="X119" s="103"/>
      <c r="Y119" s="103"/>
      <c r="Z119" s="217"/>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s="198" customFormat="1" ht="12.75" hidden="1" customHeight="1" outlineLevel="2">
      <c r="A120" s="9"/>
      <c r="B120" s="9"/>
      <c r="C120" s="26"/>
      <c r="D120" s="392"/>
      <c r="E120" s="87">
        <v>8</v>
      </c>
      <c r="F120" s="27"/>
      <c r="G120" s="27"/>
      <c r="H120" s="146"/>
      <c r="I120" s="148"/>
      <c r="J120" s="148"/>
      <c r="K120" s="148"/>
      <c r="L120" s="148"/>
      <c r="M120" s="148"/>
      <c r="N120" s="148"/>
      <c r="O120" s="147"/>
      <c r="P120" s="69">
        <f>IF(A4taxstdlife="n/a","n/a",IF(P$3&gt;(A4taxstdlife+$E120),(Input!$O$146-Input!$O$180)-SUM($O120:O120),(Input!$O$146-Input!$O$180)/A4taxstdlife))</f>
        <v>0</v>
      </c>
      <c r="Q120" s="69">
        <f>IF(A4taxstdlife="n/a","n/a",IF(Q$3&gt;(A4taxstdlife+$E120),(Input!$O$146-Input!$O$180)-SUM($O120:P120),(Input!$O$146-Input!$O$180)/A4taxstdlife))</f>
        <v>0</v>
      </c>
      <c r="R120" s="69"/>
      <c r="S120" s="103"/>
      <c r="T120" s="103"/>
      <c r="U120" s="103"/>
      <c r="V120" s="103"/>
      <c r="W120" s="103"/>
      <c r="X120" s="103"/>
      <c r="Y120" s="103"/>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s="198" customFormat="1" ht="12.75" hidden="1" customHeight="1" outlineLevel="2">
      <c r="A121" s="9"/>
      <c r="B121" s="9"/>
      <c r="C121" s="26"/>
      <c r="D121" s="392"/>
      <c r="E121" s="87">
        <v>9</v>
      </c>
      <c r="F121" s="27"/>
      <c r="G121" s="27"/>
      <c r="H121" s="146"/>
      <c r="I121" s="148"/>
      <c r="J121" s="148"/>
      <c r="K121" s="148"/>
      <c r="L121" s="148"/>
      <c r="M121" s="148"/>
      <c r="N121" s="148"/>
      <c r="O121" s="148"/>
      <c r="P121" s="147"/>
      <c r="Q121" s="69">
        <f>IF(A4taxstdlife="n/a","n/a",IF(Q$3&gt;(A4taxstdlife+$E121),(Input!$P$146-Input!$P$180)-SUM($P121:P121),(Input!$P$146-Input!$P$180)/A4taxstdlife))</f>
        <v>0</v>
      </c>
      <c r="R121" s="69"/>
      <c r="S121" s="103"/>
      <c r="T121" s="103"/>
      <c r="U121" s="103"/>
      <c r="V121" s="103"/>
      <c r="W121" s="103"/>
      <c r="X121" s="103"/>
      <c r="Y121" s="103"/>
      <c r="Z121" s="217"/>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s="198" customFormat="1" ht="12.75" hidden="1" customHeight="1" outlineLevel="2">
      <c r="A122" s="9"/>
      <c r="B122" s="9"/>
      <c r="C122" s="26"/>
      <c r="D122" s="392"/>
      <c r="E122" s="88">
        <v>10</v>
      </c>
      <c r="F122" s="27"/>
      <c r="G122" s="27"/>
      <c r="H122" s="146"/>
      <c r="I122" s="148"/>
      <c r="J122" s="148"/>
      <c r="K122" s="148"/>
      <c r="L122" s="148"/>
      <c r="M122" s="148"/>
      <c r="N122" s="148"/>
      <c r="O122" s="148"/>
      <c r="P122" s="148"/>
      <c r="Q122" s="147"/>
      <c r="R122" s="69"/>
      <c r="S122" s="103"/>
      <c r="T122" s="103"/>
      <c r="U122" s="103"/>
      <c r="V122" s="103"/>
      <c r="W122" s="103"/>
      <c r="X122" s="103"/>
      <c r="Y122" s="103"/>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s="198" customFormat="1" hidden="1" outlineLevel="1" collapsed="1">
      <c r="A123" s="9"/>
      <c r="B123" s="9"/>
      <c r="C123" s="271" t="str">
        <f>Asset4</f>
        <v>Reactive</v>
      </c>
      <c r="D123" s="9"/>
      <c r="E123" s="9"/>
      <c r="F123" s="23"/>
      <c r="G123" s="23"/>
      <c r="H123" s="297">
        <f>-SUM(H111:H122)</f>
        <v>-3.4545937586694033</v>
      </c>
      <c r="I123" s="161">
        <f>-SUM(I111:I122)</f>
        <v>-3.4547444936694034</v>
      </c>
      <c r="J123" s="161">
        <f>-SUM(J111:J122)</f>
        <v>-3.4793191531694032</v>
      </c>
      <c r="K123" s="161">
        <f>-SUM(K111:K122)</f>
        <v>-3.4804984869194033</v>
      </c>
      <c r="L123" s="161">
        <f>-SUM(L111:L122)</f>
        <v>-3.4936082289660559</v>
      </c>
      <c r="M123" s="161">
        <f>IF(COUNT($H123:L123)&gt;=Input!$Y$7,0, -SUM(M111:M122))</f>
        <v>-3.517216494966056</v>
      </c>
      <c r="N123" s="161">
        <f>IF(COUNT($H123:M123)&gt;=Input!$Y$7,0, -SUM(N111:N122))</f>
        <v>0</v>
      </c>
      <c r="O123" s="161">
        <f>IF(COUNT($H123:N123)&gt;=Input!$Y$7,0, -SUM(O111:O122))</f>
        <v>0</v>
      </c>
      <c r="P123" s="161">
        <f>IF(COUNT($H123:O123)&gt;=Input!$Y$7,0, -SUM(P111:P122))</f>
        <v>0</v>
      </c>
      <c r="Q123" s="161">
        <f>IF(COUNT($H123:P123)&gt;=Input!$Y$7,0, -SUM(Q111:Q122))</f>
        <v>0</v>
      </c>
      <c r="R123" s="161"/>
      <c r="S123" s="102"/>
      <c r="T123" s="102"/>
      <c r="U123" s="102"/>
      <c r="V123" s="102"/>
      <c r="W123" s="102"/>
      <c r="X123" s="102"/>
      <c r="Y123" s="102"/>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row>
    <row r="124" spans="1:60" s="198" customFormat="1" hidden="1" outlineLevel="2">
      <c r="A124" s="9"/>
      <c r="B124" s="272" t="str">
        <f>Asset5</f>
        <v>Towers and Conductor</v>
      </c>
      <c r="C124" s="31"/>
      <c r="D124" s="32" t="s">
        <v>66</v>
      </c>
      <c r="E124" s="31"/>
      <c r="F124" s="300"/>
      <c r="G124" s="300"/>
      <c r="H124" s="68">
        <f>IF(H$3&gt;A5taxremlife,A5taxvalue-SUM($F124:F124),IF(A5taxremlife="N/A","n/a",A5taxvalue/A5taxremlife))</f>
        <v>30.067873751805831</v>
      </c>
      <c r="I124" s="68">
        <f>IF(I$3&gt;A5taxremlife,A5taxvalue-SUM($F124:H124),IF(A5taxremlife="N/A","n/a",A5taxvalue/A5taxremlife))</f>
        <v>30.067873751805831</v>
      </c>
      <c r="J124" s="68">
        <f>IF(J$3&gt;A5taxremlife,A5taxvalue-SUM($F124:I124),IF(A5taxremlife="N/A","n/a",A5taxvalue/A5taxremlife))</f>
        <v>30.067873751805831</v>
      </c>
      <c r="K124" s="68">
        <f>IF(K$3&gt;A5taxremlife,A5taxvalue-SUM($F124:J124),IF(A5taxremlife="N/A","n/a",A5taxvalue/A5taxremlife))</f>
        <v>30.067873751805831</v>
      </c>
      <c r="L124" s="68">
        <f>IF(L$3&gt;A5taxremlife,A5taxvalue-SUM($F124:K124),IF(A5taxremlife="N/A","n/a",A5taxvalue/A5taxremlife))</f>
        <v>30.067873751805831</v>
      </c>
      <c r="M124" s="68">
        <f>IF(M$3&gt;A5taxremlife,A5taxvalue-SUM($F124:L124),IF(A5taxremlife="N/A","n/a",A5taxvalue/A5taxremlife))</f>
        <v>30.067873751805831</v>
      </c>
      <c r="N124" s="68">
        <f>IF(N$3&gt;A5taxremlife,A5taxvalue-SUM($F124:M124),IF(A5taxremlife="N/A","n/a",A5taxvalue/A5taxremlife))</f>
        <v>30.067873751805831</v>
      </c>
      <c r="O124" s="68">
        <f>IF(O$3&gt;A5taxremlife,A5taxvalue-SUM($F124:N124),IF(A5taxremlife="N/A","n/a",A5taxvalue/A5taxremlife))</f>
        <v>30.067873751805831</v>
      </c>
      <c r="P124" s="68">
        <f>IF(P$3&gt;A5taxremlife,A5taxvalue-SUM($F124:O124),IF(A5taxremlife="N/A","n/a",A5taxvalue/A5taxremlife))</f>
        <v>30.067873751805831</v>
      </c>
      <c r="Q124" s="68">
        <f>IF(Q$3&gt;A5taxremlife,A5taxvalue-SUM($F124:P124),IF(A5taxremlife="N/A","n/a",A5taxvalue/A5taxremlife))</f>
        <v>30.067873751805831</v>
      </c>
      <c r="R124" s="68"/>
      <c r="S124" s="103"/>
      <c r="T124" s="103"/>
      <c r="U124" s="103"/>
      <c r="V124" s="103"/>
      <c r="W124" s="103"/>
      <c r="X124" s="103"/>
      <c r="Y124" s="103"/>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s="198" customFormat="1" ht="12.75" hidden="1" customHeight="1" outlineLevel="2">
      <c r="A125" s="9"/>
      <c r="B125" s="9"/>
      <c r="C125" s="26"/>
      <c r="D125" s="391" t="s">
        <v>82</v>
      </c>
      <c r="E125" s="87"/>
      <c r="F125" s="27"/>
      <c r="G125" s="27"/>
      <c r="H125" s="103"/>
      <c r="I125" s="69"/>
      <c r="J125" s="69"/>
      <c r="K125" s="69"/>
      <c r="L125" s="69"/>
      <c r="M125" s="69"/>
      <c r="N125" s="69"/>
      <c r="O125" s="69"/>
      <c r="P125" s="69"/>
      <c r="Q125" s="69"/>
      <c r="R125" s="69"/>
      <c r="S125" s="103"/>
      <c r="T125" s="103"/>
      <c r="U125" s="103"/>
      <c r="V125" s="103"/>
      <c r="W125" s="103"/>
      <c r="X125" s="103"/>
      <c r="Y125" s="103"/>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s="198" customFormat="1" hidden="1" outlineLevel="2">
      <c r="A126" s="9"/>
      <c r="B126" s="9"/>
      <c r="C126" s="26"/>
      <c r="D126" s="392"/>
      <c r="E126" s="87">
        <v>1</v>
      </c>
      <c r="F126" s="27"/>
      <c r="G126" s="27"/>
      <c r="H126" s="145"/>
      <c r="I126" s="69">
        <f>IF(A5taxstdlife="n/a","n/a",IF(I$3&gt;(A5taxstdlife+$E126),(Input!$H$147-Input!$H$181)-SUM($H126:H126),(Input!$H$147-Input!$H$181)/A5taxstdlife))</f>
        <v>0.11337565514725317</v>
      </c>
      <c r="J126" s="69">
        <f>IF(A5taxstdlife="n/a","n/a",IF(J$3&gt;(A5taxstdlife+$E126),(Input!$H$147-Input!$H$181)-SUM($H126:I126),(Input!$H$147-Input!$H$181)/A5taxstdlife))</f>
        <v>0.11337565514725317</v>
      </c>
      <c r="K126" s="69">
        <f>IF(A5taxstdlife="n/a","n/a",IF(K$3&gt;(A5taxstdlife+$E126),(Input!$H$147-Input!$H$181)-SUM($H126:J126),(Input!$H$147-Input!$H$181)/A5taxstdlife))</f>
        <v>0.11337565514725317</v>
      </c>
      <c r="L126" s="69">
        <f>IF(A5taxstdlife="n/a","n/a",IF(L$3&gt;(A5taxstdlife+$E126),(Input!$H$147-Input!$H$181)-SUM($H126:K126),(Input!$H$147-Input!$H$181)/A5taxstdlife))</f>
        <v>0.11337565514725317</v>
      </c>
      <c r="M126" s="69">
        <f>IF(A5taxstdlife="n/a","n/a",IF(M$3&gt;(A5taxstdlife+$E126),(Input!$H$147-Input!$H$181)-SUM($H126:L126),(Input!$H$147-Input!$H$181)/A5taxstdlife))</f>
        <v>0.11337565514725317</v>
      </c>
      <c r="N126" s="69">
        <f>IF(A5taxstdlife="n/a","n/a",IF(N$3&gt;(A5taxstdlife+$E126),(Input!$H$147-Input!$H$181)-SUM($H126:M126),(Input!$H$147-Input!$H$181)/A5taxstdlife))</f>
        <v>0.11337565514725317</v>
      </c>
      <c r="O126" s="69">
        <f>IF(A5taxstdlife="n/a","n/a",IF(O$3&gt;(A5taxstdlife+$E126),(Input!$H$147-Input!$H$181)-SUM($H126:N126),(Input!$H$147-Input!$H$181)/A5taxstdlife))</f>
        <v>0.11337565514725317</v>
      </c>
      <c r="P126" s="69">
        <f>IF(A5taxstdlife="n/a","n/a",IF(P$3&gt;(A5taxstdlife+$E126),(Input!$H$147-Input!$H$181)-SUM($H126:O126),(Input!$H$147-Input!$H$181)/A5taxstdlife))</f>
        <v>0.11337565514725317</v>
      </c>
      <c r="Q126" s="69">
        <f>IF(A5taxstdlife="n/a","n/a",IF(Q$3&gt;(A5taxstdlife+$E126),(Input!$H$147-Input!$H$181)-SUM($H126:P126),(Input!$H$147-Input!$H$181)/A5taxstdlife))</f>
        <v>0.11337565514725317</v>
      </c>
      <c r="R126" s="69"/>
      <c r="S126" s="103"/>
      <c r="T126" s="103"/>
      <c r="U126" s="103"/>
      <c r="V126" s="103"/>
      <c r="W126" s="103"/>
      <c r="X126" s="103"/>
      <c r="Y126" s="103"/>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s="198" customFormat="1" hidden="1" outlineLevel="2">
      <c r="A127" s="9"/>
      <c r="B127" s="9"/>
      <c r="C127" s="26"/>
      <c r="D127" s="392"/>
      <c r="E127" s="87">
        <v>2</v>
      </c>
      <c r="F127" s="27"/>
      <c r="G127" s="27"/>
      <c r="H127" s="146"/>
      <c r="I127" s="147"/>
      <c r="J127" s="69">
        <f>IF(A5taxstdlife="n/a","n/a",IF(J$3&gt;(A5taxstdlife+$E127),(Input!$I$147-Input!$I$181)-SUM($I127:I127),(Input!$I$147-Input!$I$181)/A5taxstdlife))</f>
        <v>0.39781399768421055</v>
      </c>
      <c r="K127" s="69">
        <f>IF(A5taxstdlife="n/a","n/a",IF(K$3&gt;(A5taxstdlife+$E127),(Input!$I$147-Input!$I$181)-SUM($I127:J127),(Input!$I$147-Input!$I$181)/A5taxstdlife))</f>
        <v>0.39781399768421055</v>
      </c>
      <c r="L127" s="69">
        <f>IF(A5taxstdlife="n/a","n/a",IF(L$3&gt;(A5taxstdlife+$E127),(Input!$I$147-Input!$I$181)-SUM($I127:K127),(Input!$I$147-Input!$I$181)/A5taxstdlife))</f>
        <v>0.39781399768421055</v>
      </c>
      <c r="M127" s="69">
        <f>IF(A5taxstdlife="n/a","n/a",IF(M$3&gt;(A5taxstdlife+$E127),(Input!$I$147-Input!$I$181)-SUM($I127:L127),(Input!$I$147-Input!$I$181)/A5taxstdlife))</f>
        <v>0.39781399768421055</v>
      </c>
      <c r="N127" s="69">
        <f>IF(A5taxstdlife="n/a","n/a",IF(N$3&gt;(A5taxstdlife+$E127),(Input!$I$147-Input!$I$181)-SUM($I127:M127),(Input!$I$147-Input!$I$181)/A5taxstdlife))</f>
        <v>0.39781399768421055</v>
      </c>
      <c r="O127" s="69">
        <f>IF(A5taxstdlife="n/a","n/a",IF(O$3&gt;(A5taxstdlife+$E127),(Input!$I$147-Input!$I$181)-SUM($I127:N127),(Input!$I$147-Input!$I$181)/A5taxstdlife))</f>
        <v>0.39781399768421055</v>
      </c>
      <c r="P127" s="69">
        <f>IF(A5taxstdlife="n/a","n/a",IF(P$3&gt;(A5taxstdlife+$E127),(Input!$I$147-Input!$I$181)-SUM($I127:O127),(Input!$I$147-Input!$I$181)/A5taxstdlife))</f>
        <v>0.39781399768421055</v>
      </c>
      <c r="Q127" s="69">
        <f>IF(A5taxstdlife="n/a","n/a",IF(Q$3&gt;(A5taxstdlife+$E127),(Input!$I$147-Input!$I$181)-SUM($I127:P127),(Input!$I$147-Input!$I$181)/A5taxstdlife))</f>
        <v>0.39781399768421055</v>
      </c>
      <c r="R127" s="69"/>
      <c r="S127" s="103"/>
      <c r="T127" s="103"/>
      <c r="U127" s="103"/>
      <c r="V127" s="103"/>
      <c r="W127" s="103"/>
      <c r="X127" s="103"/>
      <c r="Y127" s="103"/>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s="198" customFormat="1" hidden="1" outlineLevel="2">
      <c r="A128" s="9"/>
      <c r="B128" s="9"/>
      <c r="C128" s="26"/>
      <c r="D128" s="392"/>
      <c r="E128" s="87">
        <v>3</v>
      </c>
      <c r="F128" s="27"/>
      <c r="G128" s="27"/>
      <c r="H128" s="146"/>
      <c r="I128" s="148"/>
      <c r="J128" s="147"/>
      <c r="K128" s="69">
        <f>IF(A5taxstdlife="n/a","n/a",IF(K$3&gt;(A5taxstdlife+$E128),(Input!$J$147-Input!$J$181)-SUM($J128:J128),(Input!$J$147-Input!$J$181)/A5taxstdlife))</f>
        <v>0.19121328463157872</v>
      </c>
      <c r="L128" s="69">
        <f>IF(A5taxstdlife="n/a","n/a",IF(L$3&gt;(A5taxstdlife+$E128),(Input!$J$147-Input!$J$181)-SUM($J128:K128),(Input!$J$147-Input!$J$181)/A5taxstdlife))</f>
        <v>0.19121328463157872</v>
      </c>
      <c r="M128" s="69">
        <f>IF(A5taxstdlife="n/a","n/a",IF(M$3&gt;(A5taxstdlife+$E128),(Input!$J$147-Input!$J$181)-SUM($J128:L128),(Input!$J$147-Input!$J$181)/A5taxstdlife))</f>
        <v>0.19121328463157872</v>
      </c>
      <c r="N128" s="69">
        <f>IF(A5taxstdlife="n/a","n/a",IF(N$3&gt;(A5taxstdlife+$E128),(Input!$J$147-Input!$J$181)-SUM($J128:M128),(Input!$J$147-Input!$J$181)/A5taxstdlife))</f>
        <v>0.19121328463157872</v>
      </c>
      <c r="O128" s="69">
        <f>IF(A5taxstdlife="n/a","n/a",IF(O$3&gt;(A5taxstdlife+$E128),(Input!$J$147-Input!$J$181)-SUM($J128:N128),(Input!$J$147-Input!$J$181)/A5taxstdlife))</f>
        <v>0.19121328463157872</v>
      </c>
      <c r="P128" s="69">
        <f>IF(A5taxstdlife="n/a","n/a",IF(P$3&gt;(A5taxstdlife+$E128),(Input!$J$147-Input!$J$181)-SUM($J128:O128),(Input!$J$147-Input!$J$181)/A5taxstdlife))</f>
        <v>0.19121328463157872</v>
      </c>
      <c r="Q128" s="69">
        <f>IF(A5taxstdlife="n/a","n/a",IF(Q$3&gt;(A5taxstdlife+$E128),(Input!$J$147-Input!$J$181)-SUM($J128:P128),(Input!$J$147-Input!$J$181)/A5taxstdlife))</f>
        <v>0.19121328463157872</v>
      </c>
      <c r="R128" s="69"/>
      <c r="S128" s="103"/>
      <c r="T128" s="103"/>
      <c r="U128" s="103"/>
      <c r="V128" s="103"/>
      <c r="W128" s="103"/>
      <c r="X128" s="103"/>
      <c r="Y128" s="103"/>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255" s="198" customFormat="1" hidden="1" outlineLevel="2">
      <c r="A129" s="9"/>
      <c r="B129" s="9"/>
      <c r="C129" s="26"/>
      <c r="D129" s="392"/>
      <c r="E129" s="87">
        <v>4</v>
      </c>
      <c r="F129" s="27"/>
      <c r="G129" s="27"/>
      <c r="H129" s="146"/>
      <c r="I129" s="148"/>
      <c r="J129" s="148"/>
      <c r="K129" s="147"/>
      <c r="L129" s="69">
        <f>IF(A5taxstdlife="n/a","n/a",IF(L$3&gt;(A5taxstdlife+$E129),(Input!$K$147-Input!$K$181)-SUM($K129:K129),(Input!$K$147-Input!$K$181)/A5taxstdlife))</f>
        <v>0.85369235560312884</v>
      </c>
      <c r="M129" s="69">
        <f>IF(A5taxstdlife="n/a","n/a",IF(M$3&gt;(A5taxstdlife+$E129),(Input!$K$147-Input!$K$181)-SUM($K129:L129),(Input!$K$147-Input!$K$181)/A5taxstdlife))</f>
        <v>0.85369235560312884</v>
      </c>
      <c r="N129" s="69">
        <f>IF(A5taxstdlife="n/a","n/a",IF(N$3&gt;(A5taxstdlife+$E129),(Input!$K$147-Input!$K$181)-SUM($K129:M129),(Input!$K$147-Input!$K$181)/A5taxstdlife))</f>
        <v>0.85369235560312884</v>
      </c>
      <c r="O129" s="69">
        <f>IF(A5taxstdlife="n/a","n/a",IF(O$3&gt;(A5taxstdlife+$E129),(Input!$K$147-Input!$K$181)-SUM($K129:N129),(Input!$K$147-Input!$K$181)/A5taxstdlife))</f>
        <v>0.85369235560312884</v>
      </c>
      <c r="P129" s="69">
        <f>IF(A5taxstdlife="n/a","n/a",IF(P$3&gt;(A5taxstdlife+$E129),(Input!$K$147-Input!$K$181)-SUM($K129:O129),(Input!$K$147-Input!$K$181)/A5taxstdlife))</f>
        <v>0.85369235560312884</v>
      </c>
      <c r="Q129" s="69">
        <f>IF(A5taxstdlife="n/a","n/a",IF(Q$3&gt;(A5taxstdlife+$E129),(Input!$K$147-Input!$K$181)-SUM($K129:P129),(Input!$K$147-Input!$K$181)/A5taxstdlife))</f>
        <v>0.85369235560312884</v>
      </c>
      <c r="R129" s="69"/>
      <c r="S129" s="103"/>
      <c r="T129" s="103"/>
      <c r="U129" s="103"/>
      <c r="V129" s="103"/>
      <c r="W129" s="103"/>
      <c r="X129" s="103"/>
      <c r="Y129" s="103"/>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255" s="198" customFormat="1" hidden="1" outlineLevel="2">
      <c r="A130" s="9"/>
      <c r="B130" s="9"/>
      <c r="C130" s="26"/>
      <c r="D130" s="392"/>
      <c r="E130" s="87">
        <v>5</v>
      </c>
      <c r="F130" s="27"/>
      <c r="G130" s="27"/>
      <c r="H130" s="146"/>
      <c r="I130" s="148"/>
      <c r="J130" s="148"/>
      <c r="K130" s="148"/>
      <c r="L130" s="147"/>
      <c r="M130" s="69">
        <f>IF(A5taxstdlife="n/a","n/a",IF(M$3&gt;(A5taxstdlife+$E130),(Input!$L$147-Input!$L$181)-SUM($L130:L130),(Input!$L$147-Input!$L$181)/A5taxstdlife))</f>
        <v>0.49950120694736844</v>
      </c>
      <c r="N130" s="69">
        <f>IF(A5taxstdlife="n/a","n/a",IF(N$3&gt;(A5taxstdlife+$E130),(Input!$L$147-Input!$L$181)-SUM($L130:M130),(Input!$L$147-Input!$L$181)/A5taxstdlife))</f>
        <v>0.49950120694736844</v>
      </c>
      <c r="O130" s="69">
        <f>IF(A5taxstdlife="n/a","n/a",IF(O$3&gt;(A5taxstdlife+$E130),(Input!$L$147-Input!$L$181)-SUM($L130:N130),(Input!$L$147-Input!$L$181)/A5taxstdlife))</f>
        <v>0.49950120694736844</v>
      </c>
      <c r="P130" s="69">
        <f>IF(A5taxstdlife="n/a","n/a",IF(P$3&gt;(A5taxstdlife+$E130),(Input!$L$147-Input!$L$181)-SUM($L130:O130),(Input!$L$147-Input!$L$181)/A5taxstdlife))</f>
        <v>0.49950120694736844</v>
      </c>
      <c r="Q130" s="69">
        <f>IF(A5taxstdlife="n/a","n/a",IF(Q$3&gt;(A5taxstdlife+$E130),(Input!$L$147-Input!$L$181)-SUM($L130:P130),(Input!$L$147-Input!$L$181)/A5taxstdlife))</f>
        <v>0.49950120694736844</v>
      </c>
      <c r="R130" s="69"/>
      <c r="S130" s="103"/>
      <c r="T130" s="103"/>
      <c r="U130" s="103"/>
      <c r="V130" s="103"/>
      <c r="W130" s="103"/>
      <c r="X130" s="103"/>
      <c r="Y130" s="103"/>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255" s="198" customFormat="1" hidden="1" outlineLevel="2">
      <c r="A131" s="9"/>
      <c r="B131" s="9"/>
      <c r="C131" s="26"/>
      <c r="D131" s="392"/>
      <c r="E131" s="87">
        <v>6</v>
      </c>
      <c r="F131" s="27"/>
      <c r="G131" s="27"/>
      <c r="H131" s="146"/>
      <c r="I131" s="148"/>
      <c r="J131" s="148"/>
      <c r="K131" s="148"/>
      <c r="L131" s="148"/>
      <c r="M131" s="147"/>
      <c r="N131" s="69">
        <f>IF(A5taxstdlife="n/a","n/a",IF(N$3&gt;(A5taxstdlife+$E131),(Input!$M$147-Input!$M$181)-SUM($M131:M131),(Input!$M$147-Input!$M$181)/A5taxstdlife))</f>
        <v>0.10222422285104298</v>
      </c>
      <c r="O131" s="69">
        <f>IF(A5taxstdlife="n/a","n/a",IF(O$3&gt;(A5taxstdlife+$E131),(Input!$M$147-Input!$M$181)-SUM($M131:N131),(Input!$M$147-Input!$M$181)/A5taxstdlife))</f>
        <v>0.10222422285104298</v>
      </c>
      <c r="P131" s="69">
        <f>IF(A5taxstdlife="n/a","n/a",IF(P$3&gt;(A5taxstdlife+$E131),(Input!$M$147-Input!$M$181)-SUM($M131:O131),(Input!$M$147-Input!$M$181)/A5taxstdlife))</f>
        <v>0.10222422285104298</v>
      </c>
      <c r="Q131" s="69">
        <f>IF(A5taxstdlife="n/a","n/a",IF(Q$3&gt;(A5taxstdlife+$E131),(Input!$M$147-Input!$M$181)-SUM($M131:P131),(Input!$M$147-Input!$M$181)/A5taxstdlife))</f>
        <v>0.10222422285104298</v>
      </c>
      <c r="R131" s="69"/>
      <c r="S131" s="103"/>
      <c r="T131" s="103"/>
      <c r="U131" s="103"/>
      <c r="V131" s="103"/>
      <c r="W131" s="103"/>
      <c r="X131" s="103"/>
      <c r="Y131" s="103"/>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255" s="198" customFormat="1" hidden="1" outlineLevel="2">
      <c r="A132" s="9"/>
      <c r="B132" s="9"/>
      <c r="C132" s="26"/>
      <c r="D132" s="392"/>
      <c r="E132" s="87">
        <v>7</v>
      </c>
      <c r="F132" s="27"/>
      <c r="G132" s="27"/>
      <c r="H132" s="146"/>
      <c r="I132" s="148"/>
      <c r="J132" s="148"/>
      <c r="K132" s="148"/>
      <c r="L132" s="148"/>
      <c r="M132" s="148"/>
      <c r="N132" s="147"/>
      <c r="O132" s="69">
        <f>IF(A5taxstdlife="n/a","n/a",IF(O$3&gt;(A5taxstdlife+$E132),(Input!$N$147-Input!$N$181)-SUM($N132:N132),(Input!$N$147-Input!$N$181)/A5taxstdlife))</f>
        <v>0</v>
      </c>
      <c r="P132" s="69">
        <f>IF(A5taxstdlife="n/a","n/a",IF(P$3&gt;(A5taxstdlife+$E132),(Input!$N$147-Input!$N$181)-SUM($N132:O132),(Input!$N$147-Input!$N$181)/A5taxstdlife))</f>
        <v>0</v>
      </c>
      <c r="Q132" s="69">
        <f>IF(A5taxstdlife="n/a","n/a",IF(Q$3&gt;(A5taxstdlife+$E132),(Input!$N$147-Input!$N$181)-SUM($N132:P132),(Input!$N$147-Input!$N$181)/A5taxstdlife))</f>
        <v>0</v>
      </c>
      <c r="R132" s="69"/>
      <c r="S132" s="103"/>
      <c r="T132" s="103"/>
      <c r="U132" s="103"/>
      <c r="V132" s="103"/>
      <c r="W132" s="103"/>
      <c r="X132" s="103"/>
      <c r="Y132" s="103"/>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255" s="198" customFormat="1" hidden="1" outlineLevel="2">
      <c r="A133" s="9"/>
      <c r="B133" s="9"/>
      <c r="C133" s="26"/>
      <c r="D133" s="392"/>
      <c r="E133" s="87">
        <v>8</v>
      </c>
      <c r="F133" s="27"/>
      <c r="G133" s="27"/>
      <c r="H133" s="146"/>
      <c r="I133" s="148"/>
      <c r="J133" s="148"/>
      <c r="K133" s="148"/>
      <c r="L133" s="148"/>
      <c r="M133" s="148"/>
      <c r="N133" s="148"/>
      <c r="O133" s="147"/>
      <c r="P133" s="69">
        <f>IF(A5taxstdlife="n/a","n/a",IF(P$3&gt;(A5taxstdlife+$E133),(Input!$O$147-Input!$O$181)-SUM($O133:O133),(Input!$O$147-Input!$O$181)/A5taxstdlife))</f>
        <v>0</v>
      </c>
      <c r="Q133" s="69">
        <f>IF(A5taxstdlife="n/a","n/a",IF(Q$3&gt;(A5taxstdlife+$E133),(Input!$O$147-Input!$O$181)-SUM($O133:P133),(Input!$O$147-Input!$O$181)/A5taxstdlife))</f>
        <v>0</v>
      </c>
      <c r="R133" s="69"/>
      <c r="S133" s="103"/>
      <c r="T133" s="103"/>
      <c r="U133" s="103"/>
      <c r="V133" s="103"/>
      <c r="W133" s="103"/>
      <c r="X133" s="103"/>
      <c r="Y133" s="103"/>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255" s="198" customFormat="1" hidden="1" outlineLevel="2">
      <c r="A134" s="9"/>
      <c r="B134" s="9"/>
      <c r="C134" s="26"/>
      <c r="D134" s="392"/>
      <c r="E134" s="87">
        <v>9</v>
      </c>
      <c r="F134" s="27"/>
      <c r="G134" s="27"/>
      <c r="H134" s="146"/>
      <c r="I134" s="148"/>
      <c r="J134" s="148"/>
      <c r="K134" s="148"/>
      <c r="L134" s="148"/>
      <c r="M134" s="148"/>
      <c r="N134" s="148"/>
      <c r="O134" s="148"/>
      <c r="P134" s="147"/>
      <c r="Q134" s="69">
        <f>IF(A5taxstdlife="n/a","n/a",IF(Q$3&gt;(A5taxstdlife+$E134),(Input!$P$147-Input!$P$181)-SUM($P134:P134),(Input!$P$147-Input!$P$181)/A5taxstdlife))</f>
        <v>0</v>
      </c>
      <c r="R134" s="69"/>
      <c r="S134" s="103"/>
      <c r="T134" s="103"/>
      <c r="U134" s="103"/>
      <c r="V134" s="103"/>
      <c r="W134" s="103"/>
      <c r="X134" s="103"/>
      <c r="Y134" s="103"/>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255" s="198" customFormat="1" hidden="1" outlineLevel="2">
      <c r="A135" s="9"/>
      <c r="B135" s="9"/>
      <c r="C135" s="26"/>
      <c r="D135" s="392"/>
      <c r="E135" s="88">
        <v>10</v>
      </c>
      <c r="F135" s="27"/>
      <c r="G135" s="27"/>
      <c r="H135" s="146"/>
      <c r="I135" s="148"/>
      <c r="J135" s="148"/>
      <c r="K135" s="148"/>
      <c r="L135" s="148"/>
      <c r="M135" s="148"/>
      <c r="N135" s="148"/>
      <c r="O135" s="148"/>
      <c r="P135" s="148"/>
      <c r="Q135" s="147"/>
      <c r="R135" s="69"/>
      <c r="S135" s="103"/>
      <c r="T135" s="103"/>
      <c r="U135" s="103"/>
      <c r="V135" s="103"/>
      <c r="W135" s="103"/>
      <c r="X135" s="103"/>
      <c r="Y135" s="103"/>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255" s="198" customFormat="1" hidden="1" outlineLevel="1" collapsed="1">
      <c r="A136" s="9"/>
      <c r="B136" s="9"/>
      <c r="C136" s="271" t="str">
        <f>Asset5</f>
        <v>Towers and Conductor</v>
      </c>
      <c r="D136" s="9"/>
      <c r="E136" s="9"/>
      <c r="F136" s="23"/>
      <c r="G136" s="23"/>
      <c r="H136" s="297">
        <f>-SUM(H124:H135)</f>
        <v>-30.067873751805831</v>
      </c>
      <c r="I136" s="161">
        <f>-SUM(I124:I135)</f>
        <v>-30.181249406953082</v>
      </c>
      <c r="J136" s="161">
        <f>-SUM(J124:J135)</f>
        <v>-30.579063404637292</v>
      </c>
      <c r="K136" s="161">
        <f>-SUM(K124:K135)</f>
        <v>-30.770276689268872</v>
      </c>
      <c r="L136" s="161">
        <f>-SUM(L124:L135)</f>
        <v>-31.623969044872002</v>
      </c>
      <c r="M136" s="161">
        <f>IF(COUNT($H136:L136)&gt;=Input!$Y$7,0, -SUM(M124:M135))</f>
        <v>-32.12347025181937</v>
      </c>
      <c r="N136" s="161">
        <f>IF(COUNT($H136:M136)&gt;=Input!$Y$7,0, -SUM(N124:N135))</f>
        <v>0</v>
      </c>
      <c r="O136" s="161">
        <f>IF(COUNT($H136:N136)&gt;=Input!$Y$7,0, -SUM(O124:O135))</f>
        <v>0</v>
      </c>
      <c r="P136" s="161">
        <f>IF(COUNT($H136:O136)&gt;=Input!$Y$7,0, -SUM(P124:P135))</f>
        <v>0</v>
      </c>
      <c r="Q136" s="161">
        <f>IF(COUNT($H136:P136)&gt;=Input!$Y$7,0, -SUM(Q124:Q135))</f>
        <v>0</v>
      </c>
      <c r="R136" s="161"/>
      <c r="S136" s="102"/>
      <c r="T136" s="102"/>
      <c r="U136" s="102"/>
      <c r="V136" s="102"/>
      <c r="W136" s="102"/>
      <c r="X136" s="102"/>
      <c r="Y136" s="102"/>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row>
    <row r="137" spans="1:255" s="5" customFormat="1" hidden="1" outlineLevel="2">
      <c r="A137" s="9"/>
      <c r="B137" s="272" t="str">
        <f>Asset6</f>
        <v>Establishment</v>
      </c>
      <c r="C137" s="31"/>
      <c r="D137" s="32" t="s">
        <v>66</v>
      </c>
      <c r="E137" s="31"/>
      <c r="F137" s="300"/>
      <c r="G137" s="300"/>
      <c r="H137" s="68">
        <f>IF(H$3&gt;A6taxremlife,A6taxvalue-SUM($F137:F137),IF(A6taxremlife="N/A","n/a",A6taxvalue/A6taxremlife))</f>
        <v>2.5651297640895749</v>
      </c>
      <c r="I137" s="68">
        <f>IF(I$3&gt;A6taxremlife,A6taxvalue-SUM($F137:H137),IF(A6taxremlife="N/A","n/a",A6taxvalue/A6taxremlife))</f>
        <v>2.5651297640895749</v>
      </c>
      <c r="J137" s="68">
        <f>IF(J$3&gt;A6taxremlife,A6taxvalue-SUM($F137:I137),IF(A6taxremlife="N/A","n/a",A6taxvalue/A6taxremlife))</f>
        <v>2.5651297640895749</v>
      </c>
      <c r="K137" s="68">
        <f>IF(K$3&gt;A6taxremlife,A6taxvalue-SUM($F137:J137),IF(A6taxremlife="N/A","n/a",A6taxvalue/A6taxremlife))</f>
        <v>2.5651297640895749</v>
      </c>
      <c r="L137" s="68">
        <f>IF(L$3&gt;A6taxremlife,A6taxvalue-SUM($F137:K137),IF(A6taxremlife="N/A","n/a",A6taxvalue/A6taxremlife))</f>
        <v>2.5651297640895749</v>
      </c>
      <c r="M137" s="68">
        <f>IF(M$3&gt;A6taxremlife,A6taxvalue-SUM($F137:L137),IF(A6taxremlife="N/A","n/a",A6taxvalue/A6taxremlife))</f>
        <v>2.5651297640895749</v>
      </c>
      <c r="N137" s="68">
        <f>IF(N$3&gt;A6taxremlife,A6taxvalue-SUM($F137:M137),IF(A6taxremlife="N/A","n/a",A6taxvalue/A6taxremlife))</f>
        <v>2.5651297640895749</v>
      </c>
      <c r="O137" s="68">
        <f>IF(O$3&gt;A6taxremlife,A6taxvalue-SUM($F137:N137),IF(A6taxremlife="N/A","n/a",A6taxvalue/A6taxremlife))</f>
        <v>2.5651297640895749</v>
      </c>
      <c r="P137" s="68">
        <f>IF(P$3&gt;A6taxremlife,A6taxvalue-SUM($F137:O137),IF(A6taxremlife="N/A","n/a",A6taxvalue/A6taxremlife))</f>
        <v>2.5651297640895749</v>
      </c>
      <c r="Q137" s="68">
        <f>IF(Q$3&gt;A6taxremlife,A6taxvalue-SUM($F137:P137),IF(A6taxremlife="N/A","n/a",A6taxvalue/A6taxremlife))</f>
        <v>2.5651297640895749</v>
      </c>
      <c r="R137" s="68"/>
      <c r="S137" s="103"/>
      <c r="T137" s="103"/>
      <c r="U137" s="103"/>
      <c r="V137" s="103"/>
      <c r="W137" s="103"/>
      <c r="X137" s="103"/>
      <c r="Y137" s="103"/>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198"/>
      <c r="BJ137" s="198"/>
      <c r="BK137" s="198"/>
      <c r="BL137" s="198"/>
      <c r="BM137" s="198"/>
      <c r="BN137" s="198"/>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6"/>
      <c r="D138" s="391" t="s">
        <v>82</v>
      </c>
      <c r="E138" s="87"/>
      <c r="F138" s="27"/>
      <c r="G138" s="27"/>
      <c r="H138" s="103"/>
      <c r="I138" s="69"/>
      <c r="J138" s="69"/>
      <c r="K138" s="69"/>
      <c r="L138" s="69"/>
      <c r="M138" s="69"/>
      <c r="N138" s="69"/>
      <c r="O138" s="69"/>
      <c r="P138" s="69"/>
      <c r="Q138" s="69"/>
      <c r="R138" s="69"/>
      <c r="S138" s="103"/>
      <c r="T138" s="103"/>
      <c r="U138" s="103"/>
      <c r="V138" s="103"/>
      <c r="W138" s="103"/>
      <c r="X138" s="103"/>
      <c r="Y138" s="103"/>
      <c r="Z138" s="217"/>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198"/>
      <c r="BJ138" s="198"/>
      <c r="BK138" s="198"/>
      <c r="BL138" s="198"/>
      <c r="BM138" s="198"/>
      <c r="BN138" s="19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idden="1" outlineLevel="2">
      <c r="A139" s="9"/>
      <c r="B139" s="9"/>
      <c r="C139" s="26"/>
      <c r="D139" s="392"/>
      <c r="E139" s="87">
        <v>1</v>
      </c>
      <c r="F139" s="27"/>
      <c r="G139" s="27"/>
      <c r="H139" s="145"/>
      <c r="I139" s="69">
        <f>IF(A6taxstdlife="n/a","n/a",IF(I$3&gt;(A6taxstdlife+$E139),(Input!$H$148-Input!$H$182)-SUM($H139:H139),(Input!$H$148-Input!$H$182)/A6taxstdlife))</f>
        <v>0.30598089262214778</v>
      </c>
      <c r="J139" s="69">
        <f>IF(A6taxstdlife="n/a","n/a",IF(J$3&gt;(A6taxstdlife+$E139),(Input!$H$148-Input!$H$182)-SUM($H139:I139),(Input!$H$148-Input!$H$182)/A6taxstdlife))</f>
        <v>0.30598089262214778</v>
      </c>
      <c r="K139" s="69">
        <f>IF(A6taxstdlife="n/a","n/a",IF(K$3&gt;(A6taxstdlife+$E139),(Input!$H$148-Input!$H$182)-SUM($H139:J139),(Input!$H$148-Input!$H$182)/A6taxstdlife))</f>
        <v>0.30598089262214778</v>
      </c>
      <c r="L139" s="69">
        <f>IF(A6taxstdlife="n/a","n/a",IF(L$3&gt;(A6taxstdlife+$E139),(Input!$H$148-Input!$H$182)-SUM($H139:K139),(Input!$H$148-Input!$H$182)/A6taxstdlife))</f>
        <v>0.30598089262214778</v>
      </c>
      <c r="M139" s="69">
        <f>IF(A6taxstdlife="n/a","n/a",IF(M$3&gt;(A6taxstdlife+$E139),(Input!$H$148-Input!$H$182)-SUM($H139:L139),(Input!$H$148-Input!$H$182)/A6taxstdlife))</f>
        <v>0.30598089262214778</v>
      </c>
      <c r="N139" s="69">
        <f>IF(A6taxstdlife="n/a","n/a",IF(N$3&gt;(A6taxstdlife+$E139),(Input!$H$148-Input!$H$182)-SUM($H139:M139),(Input!$H$148-Input!$H$182)/A6taxstdlife))</f>
        <v>0.30598089262214778</v>
      </c>
      <c r="O139" s="69">
        <f>IF(A6taxstdlife="n/a","n/a",IF(O$3&gt;(A6taxstdlife+$E139),(Input!$H$148-Input!$H$182)-SUM($H139:N139),(Input!$H$148-Input!$H$182)/A6taxstdlife))</f>
        <v>0.30598089262214778</v>
      </c>
      <c r="P139" s="69">
        <f>IF(A6taxstdlife="n/a","n/a",IF(P$3&gt;(A6taxstdlife+$E139),(Input!$H$148-Input!$H$182)-SUM($H139:O139),(Input!$H$148-Input!$H$182)/A6taxstdlife))</f>
        <v>0.30598089262214778</v>
      </c>
      <c r="Q139" s="69">
        <f>IF(A6taxstdlife="n/a","n/a",IF(Q$3&gt;(A6taxstdlife+$E139),(Input!$H$148-Input!$H$182)-SUM($H139:P139),(Input!$H$148-Input!$H$182)/A6taxstdlife))</f>
        <v>0.30598089262214778</v>
      </c>
      <c r="R139" s="69"/>
      <c r="S139" s="103"/>
      <c r="T139" s="103"/>
      <c r="U139" s="103"/>
      <c r="V139" s="103"/>
      <c r="W139" s="103"/>
      <c r="X139" s="103"/>
      <c r="Y139" s="103"/>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198"/>
      <c r="BJ139" s="198"/>
      <c r="BK139" s="198"/>
      <c r="BL139" s="198"/>
      <c r="BM139" s="198"/>
      <c r="BN139" s="198"/>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idden="1" outlineLevel="2">
      <c r="A140" s="9"/>
      <c r="B140" s="9"/>
      <c r="C140" s="26"/>
      <c r="D140" s="392"/>
      <c r="E140" s="87">
        <v>2</v>
      </c>
      <c r="F140" s="27"/>
      <c r="G140" s="27"/>
      <c r="H140" s="146"/>
      <c r="I140" s="147"/>
      <c r="J140" s="69">
        <f>IF(A6taxstdlife="n/a","n/a",IF(J$3&gt;(A6taxstdlife+$E140),(Input!$I$148-Input!$I$182)-SUM($I140:I140),(Input!$I$148-Input!$I$182)/A6taxstdlife))</f>
        <v>0.27718344821999985</v>
      </c>
      <c r="K140" s="69">
        <f>IF(A6taxstdlife="n/a","n/a",IF(K$3&gt;(A6taxstdlife+$E140),(Input!$I$148-Input!$I$182)-SUM($I140:J140),(Input!$I$148-Input!$I$182)/A6taxstdlife))</f>
        <v>0.27718344821999985</v>
      </c>
      <c r="L140" s="69">
        <f>IF(A6taxstdlife="n/a","n/a",IF(L$3&gt;(A6taxstdlife+$E140),(Input!$I$148-Input!$I$182)-SUM($I140:K140),(Input!$I$148-Input!$I$182)/A6taxstdlife))</f>
        <v>0.27718344821999985</v>
      </c>
      <c r="M140" s="69">
        <f>IF(A6taxstdlife="n/a","n/a",IF(M$3&gt;(A6taxstdlife+$E140),(Input!$I$148-Input!$I$182)-SUM($I140:L140),(Input!$I$148-Input!$I$182)/A6taxstdlife))</f>
        <v>0.27718344821999985</v>
      </c>
      <c r="N140" s="69">
        <f>IF(A6taxstdlife="n/a","n/a",IF(N$3&gt;(A6taxstdlife+$E140),(Input!$I$148-Input!$I$182)-SUM($I140:M140),(Input!$I$148-Input!$I$182)/A6taxstdlife))</f>
        <v>0.27718344821999985</v>
      </c>
      <c r="O140" s="69">
        <f>IF(A6taxstdlife="n/a","n/a",IF(O$3&gt;(A6taxstdlife+$E140),(Input!$I$148-Input!$I$182)-SUM($I140:N140),(Input!$I$148-Input!$I$182)/A6taxstdlife))</f>
        <v>0.27718344821999985</v>
      </c>
      <c r="P140" s="69">
        <f>IF(A6taxstdlife="n/a","n/a",IF(P$3&gt;(A6taxstdlife+$E140),(Input!$I$148-Input!$I$182)-SUM($I140:O140),(Input!$I$148-Input!$I$182)/A6taxstdlife))</f>
        <v>0.27718344821999985</v>
      </c>
      <c r="Q140" s="69">
        <f>IF(A6taxstdlife="n/a","n/a",IF(Q$3&gt;(A6taxstdlife+$E140),(Input!$I$148-Input!$I$182)-SUM($I140:P140),(Input!$I$148-Input!$I$182)/A6taxstdlife))</f>
        <v>0.27718344821999985</v>
      </c>
      <c r="R140" s="69"/>
      <c r="S140" s="103"/>
      <c r="T140" s="103"/>
      <c r="U140" s="103"/>
      <c r="V140" s="103"/>
      <c r="W140" s="103"/>
      <c r="X140" s="103"/>
      <c r="Y140" s="103"/>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198"/>
      <c r="BJ140" s="198"/>
      <c r="BK140" s="198"/>
      <c r="BL140" s="198"/>
      <c r="BM140" s="198"/>
      <c r="BN140" s="198"/>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idden="1" outlineLevel="2">
      <c r="A141" s="9"/>
      <c r="B141" s="9"/>
      <c r="C141" s="26"/>
      <c r="D141" s="392"/>
      <c r="E141" s="87">
        <v>3</v>
      </c>
      <c r="F141" s="27"/>
      <c r="G141" s="27"/>
      <c r="H141" s="146"/>
      <c r="I141" s="148"/>
      <c r="J141" s="147"/>
      <c r="K141" s="69">
        <f>IF(A6taxstdlife="n/a","n/a",IF(K$3&gt;(A6taxstdlife+$E141),(Input!$J$148-Input!$J$182)-SUM($J141:J141),(Input!$J$148-Input!$J$182)/A6taxstdlife))</f>
        <v>0.16288271425</v>
      </c>
      <c r="L141" s="69">
        <f>IF(A6taxstdlife="n/a","n/a",IF(L$3&gt;(A6taxstdlife+$E141),(Input!$J$148-Input!$J$182)-SUM($J141:K141),(Input!$J$148-Input!$J$182)/A6taxstdlife))</f>
        <v>0.16288271425</v>
      </c>
      <c r="M141" s="69">
        <f>IF(A6taxstdlife="n/a","n/a",IF(M$3&gt;(A6taxstdlife+$E141),(Input!$J$148-Input!$J$182)-SUM($J141:L141),(Input!$J$148-Input!$J$182)/A6taxstdlife))</f>
        <v>0.16288271425</v>
      </c>
      <c r="N141" s="69">
        <f>IF(A6taxstdlife="n/a","n/a",IF(N$3&gt;(A6taxstdlife+$E141),(Input!$J$148-Input!$J$182)-SUM($J141:M141),(Input!$J$148-Input!$J$182)/A6taxstdlife))</f>
        <v>0.16288271425</v>
      </c>
      <c r="O141" s="69">
        <f>IF(A6taxstdlife="n/a","n/a",IF(O$3&gt;(A6taxstdlife+$E141),(Input!$J$148-Input!$J$182)-SUM($J141:N141),(Input!$J$148-Input!$J$182)/A6taxstdlife))</f>
        <v>0.16288271425</v>
      </c>
      <c r="P141" s="69">
        <f>IF(A6taxstdlife="n/a","n/a",IF(P$3&gt;(A6taxstdlife+$E141),(Input!$J$148-Input!$J$182)-SUM($J141:O141),(Input!$J$148-Input!$J$182)/A6taxstdlife))</f>
        <v>0.16288271425</v>
      </c>
      <c r="Q141" s="69">
        <f>IF(A6taxstdlife="n/a","n/a",IF(Q$3&gt;(A6taxstdlife+$E141),(Input!$J$148-Input!$J$182)-SUM($J141:P141),(Input!$J$148-Input!$J$182)/A6taxstdlife))</f>
        <v>0.16288271425</v>
      </c>
      <c r="R141" s="69"/>
      <c r="S141" s="103"/>
      <c r="T141" s="103"/>
      <c r="U141" s="103"/>
      <c r="V141" s="103"/>
      <c r="W141" s="103"/>
      <c r="X141" s="103"/>
      <c r="Y141" s="103"/>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198"/>
      <c r="BJ141" s="198"/>
      <c r="BK141" s="198"/>
      <c r="BL141" s="198"/>
      <c r="BM141" s="198"/>
      <c r="BN141" s="198"/>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idden="1" outlineLevel="2">
      <c r="A142" s="9"/>
      <c r="B142" s="9"/>
      <c r="C142" s="26"/>
      <c r="D142" s="392"/>
      <c r="E142" s="87">
        <v>4</v>
      </c>
      <c r="F142" s="27"/>
      <c r="G142" s="27"/>
      <c r="H142" s="146"/>
      <c r="I142" s="148"/>
      <c r="J142" s="148"/>
      <c r="K142" s="147"/>
      <c r="L142" s="69">
        <f>IF(A6taxstdlife="n/a","n/a",IF(L$3&gt;(A6taxstdlife+$E142),(Input!$K$148-Input!$K$182)-SUM($K142:K142),(Input!$K$148-Input!$K$182)/A6taxstdlife))</f>
        <v>0.13008823166740396</v>
      </c>
      <c r="M142" s="69">
        <f>IF(A6taxstdlife="n/a","n/a",IF(M$3&gt;(A6taxstdlife+$E142),(Input!$K$148-Input!$K$182)-SUM($K142:L142),(Input!$K$148-Input!$K$182)/A6taxstdlife))</f>
        <v>0.13008823166740396</v>
      </c>
      <c r="N142" s="69">
        <f>IF(A6taxstdlife="n/a","n/a",IF(N$3&gt;(A6taxstdlife+$E142),(Input!$K$148-Input!$K$182)-SUM($K142:M142),(Input!$K$148-Input!$K$182)/A6taxstdlife))</f>
        <v>0.13008823166740396</v>
      </c>
      <c r="O142" s="69">
        <f>IF(A6taxstdlife="n/a","n/a",IF(O$3&gt;(A6taxstdlife+$E142),(Input!$K$148-Input!$K$182)-SUM($K142:N142),(Input!$K$148-Input!$K$182)/A6taxstdlife))</f>
        <v>0.13008823166740396</v>
      </c>
      <c r="P142" s="69">
        <f>IF(A6taxstdlife="n/a","n/a",IF(P$3&gt;(A6taxstdlife+$E142),(Input!$K$148-Input!$K$182)-SUM($K142:O142),(Input!$K$148-Input!$K$182)/A6taxstdlife))</f>
        <v>0.13008823166740396</v>
      </c>
      <c r="Q142" s="69">
        <f>IF(A6taxstdlife="n/a","n/a",IF(Q$3&gt;(A6taxstdlife+$E142),(Input!$K$148-Input!$K$182)-SUM($K142:P142),(Input!$K$148-Input!$K$182)/A6taxstdlife))</f>
        <v>0.13008823166740396</v>
      </c>
      <c r="R142" s="69"/>
      <c r="S142" s="103"/>
      <c r="T142" s="103"/>
      <c r="U142" s="103"/>
      <c r="V142" s="103"/>
      <c r="W142" s="103"/>
      <c r="X142" s="103"/>
      <c r="Y142" s="103"/>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198"/>
      <c r="BJ142" s="198"/>
      <c r="BK142" s="198"/>
      <c r="BL142" s="198"/>
      <c r="BM142" s="198"/>
      <c r="BN142" s="198"/>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idden="1" outlineLevel="2">
      <c r="A143" s="9"/>
      <c r="B143" s="9"/>
      <c r="C143" s="26"/>
      <c r="D143" s="392"/>
      <c r="E143" s="87">
        <v>5</v>
      </c>
      <c r="F143" s="27"/>
      <c r="G143" s="27"/>
      <c r="H143" s="146"/>
      <c r="I143" s="148"/>
      <c r="J143" s="148"/>
      <c r="K143" s="148"/>
      <c r="L143" s="147"/>
      <c r="M143" s="69">
        <f>IF(A6taxstdlife="n/a","n/a",IF(M$3&gt;(A6taxstdlife+$E143),(Input!$L$148-Input!$L$182)-SUM($L143:L143),(Input!$L$148-Input!$L$182)/A6taxstdlife))</f>
        <v>0.18886612800000002</v>
      </c>
      <c r="N143" s="69">
        <f>IF(A6taxstdlife="n/a","n/a",IF(N$3&gt;(A6taxstdlife+$E143),(Input!$L$148-Input!$L$182)-SUM($L143:M143),(Input!$L$148-Input!$L$182)/A6taxstdlife))</f>
        <v>0.18886612800000002</v>
      </c>
      <c r="O143" s="69">
        <f>IF(A6taxstdlife="n/a","n/a",IF(O$3&gt;(A6taxstdlife+$E143),(Input!$L$148-Input!$L$182)-SUM($L143:N143),(Input!$L$148-Input!$L$182)/A6taxstdlife))</f>
        <v>0.18886612800000002</v>
      </c>
      <c r="P143" s="69">
        <f>IF(A6taxstdlife="n/a","n/a",IF(P$3&gt;(A6taxstdlife+$E143),(Input!$L$148-Input!$L$182)-SUM($L143:O143),(Input!$L$148-Input!$L$182)/A6taxstdlife))</f>
        <v>0.18886612800000002</v>
      </c>
      <c r="Q143" s="69">
        <f>IF(A6taxstdlife="n/a","n/a",IF(Q$3&gt;(A6taxstdlife+$E143),(Input!$L$148-Input!$L$182)-SUM($L143:P143),(Input!$L$148-Input!$L$182)/A6taxstdlife))</f>
        <v>0.18886612800000002</v>
      </c>
      <c r="R143" s="69"/>
      <c r="S143" s="103"/>
      <c r="T143" s="103"/>
      <c r="U143" s="103"/>
      <c r="V143" s="103"/>
      <c r="W143" s="103"/>
      <c r="X143" s="103"/>
      <c r="Y143" s="103"/>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198"/>
      <c r="BJ143" s="198"/>
      <c r="BK143" s="198"/>
      <c r="BL143" s="198"/>
      <c r="BM143" s="198"/>
      <c r="BN143" s="198"/>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idden="1" outlineLevel="2">
      <c r="A144" s="9"/>
      <c r="B144" s="9"/>
      <c r="C144" s="26"/>
      <c r="D144" s="392"/>
      <c r="E144" s="87">
        <v>6</v>
      </c>
      <c r="F144" s="27"/>
      <c r="G144" s="27"/>
      <c r="H144" s="146"/>
      <c r="I144" s="148"/>
      <c r="J144" s="148"/>
      <c r="K144" s="148"/>
      <c r="L144" s="148"/>
      <c r="M144" s="147"/>
      <c r="N144" s="69">
        <f>IF(A6taxstdlife="n/a","n/a",IF(N$3&gt;(A6taxstdlife+$E144),(Input!$M$148-Input!$M$182)-SUM($M144:M144),(Input!$M$148-Input!$M$182)/A6taxstdlife))</f>
        <v>0.23114814209580664</v>
      </c>
      <c r="O144" s="69">
        <f>IF(A6taxstdlife="n/a","n/a",IF(O$3&gt;(A6taxstdlife+$E144),(Input!$M$148-Input!$M$182)-SUM($M144:N144),(Input!$M$148-Input!$M$182)/A6taxstdlife))</f>
        <v>0.23114814209580664</v>
      </c>
      <c r="P144" s="69">
        <f>IF(A6taxstdlife="n/a","n/a",IF(P$3&gt;(A6taxstdlife+$E144),(Input!$M$148-Input!$M$182)-SUM($M144:O144),(Input!$M$148-Input!$M$182)/A6taxstdlife))</f>
        <v>0.23114814209580664</v>
      </c>
      <c r="Q144" s="69">
        <f>IF(A6taxstdlife="n/a","n/a",IF(Q$3&gt;(A6taxstdlife+$E144),(Input!$M$148-Input!$M$182)-SUM($M144:P144),(Input!$M$148-Input!$M$182)/A6taxstdlife))</f>
        <v>0.23114814209580664</v>
      </c>
      <c r="R144" s="69"/>
      <c r="S144" s="103"/>
      <c r="T144" s="103"/>
      <c r="U144" s="103"/>
      <c r="V144" s="103"/>
      <c r="W144" s="103"/>
      <c r="X144" s="103"/>
      <c r="Y144" s="103"/>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198"/>
      <c r="BJ144" s="198"/>
      <c r="BK144" s="198"/>
      <c r="BL144" s="198"/>
      <c r="BM144" s="198"/>
      <c r="BN144" s="198"/>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idden="1" outlineLevel="2">
      <c r="A145" s="9"/>
      <c r="B145" s="9"/>
      <c r="C145" s="26"/>
      <c r="D145" s="392"/>
      <c r="E145" s="87">
        <v>7</v>
      </c>
      <c r="F145" s="27"/>
      <c r="G145" s="27"/>
      <c r="H145" s="146"/>
      <c r="I145" s="148"/>
      <c r="J145" s="148"/>
      <c r="K145" s="148"/>
      <c r="L145" s="148"/>
      <c r="M145" s="148"/>
      <c r="N145" s="147"/>
      <c r="O145" s="69">
        <f>IF(A6taxstdlife="n/a","n/a",IF(O$3&gt;(A6taxstdlife+$E145),(Input!$N$148-Input!$N$182)-SUM($N145:N145),(Input!$N$148-Input!$N$182)/A6taxstdlife))</f>
        <v>0</v>
      </c>
      <c r="P145" s="69">
        <f>IF(A6taxstdlife="n/a","n/a",IF(P$3&gt;(A6taxstdlife+$E145),(Input!$N$148-Input!$N$182)-SUM($N145:O145),(Input!$N$148-Input!$N$182)/A6taxstdlife))</f>
        <v>0</v>
      </c>
      <c r="Q145" s="69">
        <f>IF(A6taxstdlife="n/a","n/a",IF(Q$3&gt;(A6taxstdlife+$E145),(Input!$N$148-Input!$N$182)-SUM($N145:P145),(Input!$N$148-Input!$N$182)/A6taxstdlife))</f>
        <v>0</v>
      </c>
      <c r="R145" s="69"/>
      <c r="S145" s="103"/>
      <c r="T145" s="103"/>
      <c r="U145" s="103"/>
      <c r="V145" s="103"/>
      <c r="W145" s="103"/>
      <c r="X145" s="103"/>
      <c r="Y145" s="103"/>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198"/>
      <c r="BJ145" s="198"/>
      <c r="BK145" s="198"/>
      <c r="BL145" s="198"/>
      <c r="BM145" s="198"/>
      <c r="BN145" s="198"/>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idden="1" outlineLevel="2">
      <c r="A146" s="9"/>
      <c r="B146" s="9"/>
      <c r="C146" s="26"/>
      <c r="D146" s="392"/>
      <c r="E146" s="87">
        <v>8</v>
      </c>
      <c r="F146" s="27"/>
      <c r="G146" s="27"/>
      <c r="H146" s="146"/>
      <c r="I146" s="148"/>
      <c r="J146" s="148"/>
      <c r="K146" s="148"/>
      <c r="L146" s="148"/>
      <c r="M146" s="148"/>
      <c r="N146" s="148"/>
      <c r="O146" s="147"/>
      <c r="P146" s="69">
        <f>IF(A6taxstdlife="n/a","n/a",IF(P$3&gt;(A6taxstdlife+$E146),(Input!$O$148-Input!$O$182)-SUM($O146:O146),(Input!$O$148-Input!$O$182)/A6taxstdlife))</f>
        <v>0</v>
      </c>
      <c r="Q146" s="69">
        <f>IF(A6taxstdlife="n/a","n/a",IF(Q$3&gt;(A6taxstdlife+$E146),(Input!$O$148-Input!$O$182)-SUM($O146:P146),(Input!$O$148-Input!$O$182)/A6taxstdlife))</f>
        <v>0</v>
      </c>
      <c r="R146" s="69"/>
      <c r="S146" s="103"/>
      <c r="T146" s="103"/>
      <c r="U146" s="103"/>
      <c r="V146" s="103"/>
      <c r="W146" s="103"/>
      <c r="X146" s="103"/>
      <c r="Y146" s="103"/>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198"/>
      <c r="BJ146" s="198"/>
      <c r="BK146" s="198"/>
      <c r="BL146" s="198"/>
      <c r="BM146" s="198"/>
      <c r="BN146" s="198"/>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idden="1" outlineLevel="2">
      <c r="A147" s="9"/>
      <c r="B147" s="9"/>
      <c r="C147" s="26"/>
      <c r="D147" s="392"/>
      <c r="E147" s="87">
        <v>9</v>
      </c>
      <c r="F147" s="27"/>
      <c r="G147" s="27"/>
      <c r="H147" s="146"/>
      <c r="I147" s="148"/>
      <c r="J147" s="148"/>
      <c r="K147" s="148"/>
      <c r="L147" s="148"/>
      <c r="M147" s="148"/>
      <c r="N147" s="148"/>
      <c r="O147" s="148"/>
      <c r="P147" s="147"/>
      <c r="Q147" s="69">
        <f>IF(A6taxstdlife="n/a","n/a",IF(Q$3&gt;(A6taxstdlife+$E147),(Input!$P$148-Input!$P$182)-SUM($P147:P147),(Input!$P$148-Input!$P$182)/A6taxstdlife))</f>
        <v>0</v>
      </c>
      <c r="R147" s="69"/>
      <c r="S147" s="103"/>
      <c r="T147" s="103"/>
      <c r="U147" s="103"/>
      <c r="V147" s="103"/>
      <c r="W147" s="103"/>
      <c r="X147" s="103"/>
      <c r="Y147" s="103"/>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198"/>
      <c r="BJ147" s="198"/>
      <c r="BK147" s="198"/>
      <c r="BL147" s="198"/>
      <c r="BM147" s="198"/>
      <c r="BN147" s="198"/>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idden="1" outlineLevel="2">
      <c r="A148" s="9"/>
      <c r="B148" s="9"/>
      <c r="C148" s="26"/>
      <c r="D148" s="392"/>
      <c r="E148" s="88">
        <v>10</v>
      </c>
      <c r="F148" s="27"/>
      <c r="G148" s="27"/>
      <c r="H148" s="146"/>
      <c r="I148" s="148"/>
      <c r="J148" s="148"/>
      <c r="K148" s="148"/>
      <c r="L148" s="148"/>
      <c r="M148" s="148"/>
      <c r="N148" s="148"/>
      <c r="O148" s="148"/>
      <c r="P148" s="148"/>
      <c r="Q148" s="147"/>
      <c r="R148" s="69"/>
      <c r="S148" s="103"/>
      <c r="T148" s="103"/>
      <c r="U148" s="103"/>
      <c r="V148" s="103"/>
      <c r="W148" s="103"/>
      <c r="X148" s="103"/>
      <c r="Y148" s="103"/>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198"/>
      <c r="BJ148" s="198"/>
      <c r="BK148" s="198"/>
      <c r="BL148" s="198"/>
      <c r="BM148" s="198"/>
      <c r="BN148" s="19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71" t="str">
        <f>Asset6</f>
        <v>Establishment</v>
      </c>
      <c r="D149" s="9"/>
      <c r="E149" s="9"/>
      <c r="F149" s="23"/>
      <c r="G149" s="23"/>
      <c r="H149" s="297">
        <f>-SUM(H137:H148)</f>
        <v>-2.5651297640895749</v>
      </c>
      <c r="I149" s="161">
        <f>-SUM(I137:I148)</f>
        <v>-2.8711106567117226</v>
      </c>
      <c r="J149" s="161">
        <f>-SUM(J137:J148)</f>
        <v>-3.1482941049317223</v>
      </c>
      <c r="K149" s="161">
        <f>-SUM(K137:K148)</f>
        <v>-3.3111768191817221</v>
      </c>
      <c r="L149" s="161">
        <f>-SUM(L137:L148)</f>
        <v>-3.4412650508491263</v>
      </c>
      <c r="M149" s="161">
        <f>IF(COUNT($H149:L149)&gt;=Input!$Y$7,0, -SUM(M137:M148))</f>
        <v>-3.6301311788491262</v>
      </c>
      <c r="N149" s="161">
        <f>IF(COUNT($H149:M149)&gt;=Input!$Y$7,0, -SUM(N137:N148))</f>
        <v>0</v>
      </c>
      <c r="O149" s="161">
        <f>IF(COUNT($H149:N149)&gt;=Input!$Y$7,0, -SUM(O137:O148))</f>
        <v>0</v>
      </c>
      <c r="P149" s="161">
        <f>IF(COUNT($H149:O149)&gt;=Input!$Y$7,0, -SUM(P137:P148))</f>
        <v>0</v>
      </c>
      <c r="Q149" s="161">
        <f>IF(COUNT($H149:P149)&gt;=Input!$Y$7,0, -SUM(Q137:Q148))</f>
        <v>0</v>
      </c>
      <c r="R149" s="161"/>
      <c r="S149" s="102"/>
      <c r="T149" s="102"/>
      <c r="U149" s="102"/>
      <c r="V149" s="102"/>
      <c r="W149" s="102"/>
      <c r="X149" s="102"/>
      <c r="Y149" s="102"/>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198"/>
      <c r="BJ149" s="198"/>
      <c r="BK149" s="198"/>
      <c r="BL149" s="198"/>
      <c r="BM149" s="198"/>
      <c r="BN149" s="198"/>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idden="1" outlineLevel="2">
      <c r="A150" s="9"/>
      <c r="B150" s="272" t="str">
        <f>Asset7</f>
        <v>Communications</v>
      </c>
      <c r="C150" s="31"/>
      <c r="D150" s="32" t="s">
        <v>66</v>
      </c>
      <c r="E150" s="31"/>
      <c r="F150" s="300"/>
      <c r="G150" s="300"/>
      <c r="H150" s="68">
        <f>IF(H$3&gt;A7taxremlife,A7taxvalue-SUM($F150:F150),IF(A7taxremlife="N/A","n/a",A7taxvalue/A7taxremlife))</f>
        <v>1.189561568201694</v>
      </c>
      <c r="I150" s="68">
        <f>IF(I$3&gt;A7taxremlife,A7taxvalue-SUM($F150:H150),IF(A7taxremlife="N/A","n/a",A7taxvalue/A7taxremlife))</f>
        <v>1.189561568201694</v>
      </c>
      <c r="J150" s="68">
        <f>IF(J$3&gt;A7taxremlife,A7taxvalue-SUM($F150:I150),IF(A7taxremlife="N/A","n/a",A7taxvalue/A7taxremlife))</f>
        <v>1.189561568201694</v>
      </c>
      <c r="K150" s="68">
        <f>IF(K$3&gt;A7taxremlife,A7taxvalue-SUM($F150:J150),IF(A7taxremlife="N/A","n/a",A7taxvalue/A7taxremlife))</f>
        <v>1.189561568201694</v>
      </c>
      <c r="L150" s="68">
        <f>IF(L$3&gt;A7taxremlife,A7taxvalue-SUM($F150:K150),IF(A7taxremlife="N/A","n/a",A7taxvalue/A7taxremlife))</f>
        <v>1.189561568201694</v>
      </c>
      <c r="M150" s="68">
        <f>IF(M$3&gt;A7taxremlife,A7taxvalue-SUM($F150:L150),IF(A7taxremlife="N/A","n/a",A7taxvalue/A7taxremlife))</f>
        <v>1.189561568201694</v>
      </c>
      <c r="N150" s="68">
        <f>IF(N$3&gt;A7taxremlife,A7taxvalue-SUM($F150:M150),IF(A7taxremlife="N/A","n/a",A7taxvalue/A7taxremlife))</f>
        <v>1.189561568201694</v>
      </c>
      <c r="O150" s="68">
        <f>IF(O$3&gt;A7taxremlife,A7taxvalue-SUM($F150:N150),IF(A7taxremlife="N/A","n/a",A7taxvalue/A7taxremlife))</f>
        <v>1.189561568201694</v>
      </c>
      <c r="P150" s="68">
        <f>IF(P$3&gt;A7taxremlife,A7taxvalue-SUM($F150:O150),IF(A7taxremlife="N/A","n/a",A7taxvalue/A7taxremlife))</f>
        <v>1.189561568201694</v>
      </c>
      <c r="Q150" s="68">
        <f>IF(Q$3&gt;A7taxremlife,A7taxvalue-SUM($F150:P150),IF(A7taxremlife="N/A","n/a",A7taxvalue/A7taxremlife))</f>
        <v>1.189561568201694</v>
      </c>
      <c r="R150" s="68"/>
      <c r="S150" s="103"/>
      <c r="T150" s="103"/>
      <c r="U150" s="103"/>
      <c r="V150" s="103"/>
      <c r="W150" s="103"/>
      <c r="X150" s="103"/>
      <c r="Y150" s="103"/>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198"/>
      <c r="BJ150" s="198"/>
      <c r="BK150" s="198"/>
      <c r="BL150" s="198"/>
      <c r="BM150" s="198"/>
      <c r="BN150" s="198"/>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6"/>
      <c r="D151" s="391" t="s">
        <v>82</v>
      </c>
      <c r="E151" s="87"/>
      <c r="F151" s="27"/>
      <c r="G151" s="27"/>
      <c r="H151" s="103"/>
      <c r="I151" s="69"/>
      <c r="J151" s="69"/>
      <c r="K151" s="69"/>
      <c r="L151" s="69"/>
      <c r="M151" s="69"/>
      <c r="N151" s="69"/>
      <c r="O151" s="69"/>
      <c r="P151" s="69"/>
      <c r="Q151" s="69"/>
      <c r="R151" s="69"/>
      <c r="S151" s="103"/>
      <c r="T151" s="103"/>
      <c r="U151" s="103"/>
      <c r="V151" s="103"/>
      <c r="W151" s="103"/>
      <c r="X151" s="103"/>
      <c r="Y151" s="103"/>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198"/>
      <c r="BJ151" s="198"/>
      <c r="BK151" s="198"/>
      <c r="BL151" s="198"/>
      <c r="BM151" s="198"/>
      <c r="BN151" s="198"/>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idden="1" outlineLevel="2">
      <c r="A152" s="9"/>
      <c r="B152" s="9"/>
      <c r="C152" s="26"/>
      <c r="D152" s="392"/>
      <c r="E152" s="87">
        <v>1</v>
      </c>
      <c r="F152" s="27"/>
      <c r="G152" s="27"/>
      <c r="H152" s="145"/>
      <c r="I152" s="69">
        <f>IF(A7taxstdlife="n/a","n/a",IF(I$3&gt;(A7taxstdlife+$E152),(Input!$H$149-Input!$H$183)-SUM($H152:H152),(Input!$H$149-Input!$H$183)/A7taxstdlife))</f>
        <v>2.7099598399999997E-2</v>
      </c>
      <c r="J152" s="69">
        <f>IF(A7taxstdlife="n/a","n/a",IF(J$3&gt;(A7taxstdlife+$E152),(Input!$H$149-Input!$H$183)-SUM($H152:I152),(Input!$H$149-Input!$H$183)/A7taxstdlife))</f>
        <v>2.7099598399999997E-2</v>
      </c>
      <c r="K152" s="69">
        <f>IF(A7taxstdlife="n/a","n/a",IF(K$3&gt;(A7taxstdlife+$E152),(Input!$H$149-Input!$H$183)-SUM($H152:J152),(Input!$H$149-Input!$H$183)/A7taxstdlife))</f>
        <v>2.7099598399999997E-2</v>
      </c>
      <c r="L152" s="69">
        <f>IF(A7taxstdlife="n/a","n/a",IF(L$3&gt;(A7taxstdlife+$E152),(Input!$H$149-Input!$H$183)-SUM($H152:K152),(Input!$H$149-Input!$H$183)/A7taxstdlife))</f>
        <v>2.7099598399999997E-2</v>
      </c>
      <c r="M152" s="69">
        <f>IF(A7taxstdlife="n/a","n/a",IF(M$3&gt;(A7taxstdlife+$E152),(Input!$H$149-Input!$H$183)-SUM($H152:L152),(Input!$H$149-Input!$H$183)/A7taxstdlife))</f>
        <v>2.7099598399999997E-2</v>
      </c>
      <c r="N152" s="69">
        <f>IF(A7taxstdlife="n/a","n/a",IF(N$3&gt;(A7taxstdlife+$E152),(Input!$H$149-Input!$H$183)-SUM($H152:M152),(Input!$H$149-Input!$H$183)/A7taxstdlife))</f>
        <v>2.7099598399999997E-2</v>
      </c>
      <c r="O152" s="69">
        <f>IF(A7taxstdlife="n/a","n/a",IF(O$3&gt;(A7taxstdlife+$E152),(Input!$H$149-Input!$H$183)-SUM($H152:N152),(Input!$H$149-Input!$H$183)/A7taxstdlife))</f>
        <v>2.7099598399999997E-2</v>
      </c>
      <c r="P152" s="69">
        <f>IF(A7taxstdlife="n/a","n/a",IF(P$3&gt;(A7taxstdlife+$E152),(Input!$H$149-Input!$H$183)-SUM($H152:O152),(Input!$H$149-Input!$H$183)/A7taxstdlife))</f>
        <v>2.7099598399999997E-2</v>
      </c>
      <c r="Q152" s="69">
        <f>IF(A7taxstdlife="n/a","n/a",IF(Q$3&gt;(A7taxstdlife+$E152),(Input!$H$149-Input!$H$183)-SUM($H152:P152),(Input!$H$149-Input!$H$183)/A7taxstdlife))</f>
        <v>2.7099598399999997E-2</v>
      </c>
      <c r="R152" s="69"/>
      <c r="S152" s="103"/>
      <c r="T152" s="103"/>
      <c r="U152" s="103"/>
      <c r="V152" s="103"/>
      <c r="W152" s="103"/>
      <c r="X152" s="103"/>
      <c r="Y152" s="103"/>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198"/>
      <c r="BJ152" s="198"/>
      <c r="BK152" s="198"/>
      <c r="BL152" s="198"/>
      <c r="BM152" s="198"/>
      <c r="BN152" s="198"/>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idden="1" outlineLevel="2">
      <c r="A153" s="9"/>
      <c r="B153" s="9"/>
      <c r="C153" s="26"/>
      <c r="D153" s="392"/>
      <c r="E153" s="87">
        <v>2</v>
      </c>
      <c r="F153" s="27"/>
      <c r="G153" s="27"/>
      <c r="H153" s="146"/>
      <c r="I153" s="147"/>
      <c r="J153" s="69">
        <f>IF(A7taxstdlife="n/a","n/a",IF(J$3&gt;(A7taxstdlife+$E153),(Input!$I$149-Input!$I$183)-SUM($I153:I153),(Input!$I$149-Input!$I$183)/A7taxstdlife))</f>
        <v>0.16451631991999999</v>
      </c>
      <c r="K153" s="69">
        <f>IF(A7taxstdlife="n/a","n/a",IF(K$3&gt;(A7taxstdlife+$E153),(Input!$I$149-Input!$I$183)-SUM($I153:J153),(Input!$I$149-Input!$I$183)/A7taxstdlife))</f>
        <v>0.16451631991999999</v>
      </c>
      <c r="L153" s="69">
        <f>IF(A7taxstdlife="n/a","n/a",IF(L$3&gt;(A7taxstdlife+$E153),(Input!$I$149-Input!$I$183)-SUM($I153:K153),(Input!$I$149-Input!$I$183)/A7taxstdlife))</f>
        <v>0.16451631991999999</v>
      </c>
      <c r="M153" s="69">
        <f>IF(A7taxstdlife="n/a","n/a",IF(M$3&gt;(A7taxstdlife+$E153),(Input!$I$149-Input!$I$183)-SUM($I153:L153),(Input!$I$149-Input!$I$183)/A7taxstdlife))</f>
        <v>0.16451631991999999</v>
      </c>
      <c r="N153" s="69">
        <f>IF(A7taxstdlife="n/a","n/a",IF(N$3&gt;(A7taxstdlife+$E153),(Input!$I$149-Input!$I$183)-SUM($I153:M153),(Input!$I$149-Input!$I$183)/A7taxstdlife))</f>
        <v>0.16451631991999999</v>
      </c>
      <c r="O153" s="69">
        <f>IF(A7taxstdlife="n/a","n/a",IF(O$3&gt;(A7taxstdlife+$E153),(Input!$I$149-Input!$I$183)-SUM($I153:N153),(Input!$I$149-Input!$I$183)/A7taxstdlife))</f>
        <v>0.16451631991999999</v>
      </c>
      <c r="P153" s="69">
        <f>IF(A7taxstdlife="n/a","n/a",IF(P$3&gt;(A7taxstdlife+$E153),(Input!$I$149-Input!$I$183)-SUM($I153:O153),(Input!$I$149-Input!$I$183)/A7taxstdlife))</f>
        <v>0.16451631991999999</v>
      </c>
      <c r="Q153" s="69">
        <f>IF(A7taxstdlife="n/a","n/a",IF(Q$3&gt;(A7taxstdlife+$E153),(Input!$I$149-Input!$I$183)-SUM($I153:P153),(Input!$I$149-Input!$I$183)/A7taxstdlife))</f>
        <v>0.16451631991999999</v>
      </c>
      <c r="R153" s="69"/>
      <c r="S153" s="103"/>
      <c r="T153" s="103"/>
      <c r="U153" s="103"/>
      <c r="V153" s="103"/>
      <c r="W153" s="103"/>
      <c r="X153" s="103"/>
      <c r="Y153" s="103"/>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198"/>
      <c r="BJ153" s="198"/>
      <c r="BK153" s="198"/>
      <c r="BL153" s="198"/>
      <c r="BM153" s="198"/>
      <c r="BN153" s="198"/>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idden="1" outlineLevel="2">
      <c r="A154" s="9"/>
      <c r="B154" s="9"/>
      <c r="C154" s="26"/>
      <c r="D154" s="392"/>
      <c r="E154" s="87">
        <v>3</v>
      </c>
      <c r="F154" s="27"/>
      <c r="G154" s="27"/>
      <c r="H154" s="146"/>
      <c r="I154" s="148"/>
      <c r="J154" s="147"/>
      <c r="K154" s="69">
        <f>IF(A7taxstdlife="n/a","n/a",IF(K$3&gt;(A7taxstdlife+$E154),(Input!$J$149-Input!$J$183)-SUM($J154:J154),(Input!$J$149-Input!$J$183)/A7taxstdlife))</f>
        <v>0.94366275439999991</v>
      </c>
      <c r="L154" s="69">
        <f>IF(A7taxstdlife="n/a","n/a",IF(L$3&gt;(A7taxstdlife+$E154),(Input!$J$149-Input!$J$183)-SUM($J154:K154),(Input!$J$149-Input!$J$183)/A7taxstdlife))</f>
        <v>0.94366275439999991</v>
      </c>
      <c r="M154" s="69">
        <f>IF(A7taxstdlife="n/a","n/a",IF(M$3&gt;(A7taxstdlife+$E154),(Input!$J$149-Input!$J$183)-SUM($J154:L154),(Input!$J$149-Input!$J$183)/A7taxstdlife))</f>
        <v>0.94366275439999991</v>
      </c>
      <c r="N154" s="69">
        <f>IF(A7taxstdlife="n/a","n/a",IF(N$3&gt;(A7taxstdlife+$E154),(Input!$J$149-Input!$J$183)-SUM($J154:M154),(Input!$J$149-Input!$J$183)/A7taxstdlife))</f>
        <v>0.94366275439999991</v>
      </c>
      <c r="O154" s="69">
        <f>IF(A7taxstdlife="n/a","n/a",IF(O$3&gt;(A7taxstdlife+$E154),(Input!$J$149-Input!$J$183)-SUM($J154:N154),(Input!$J$149-Input!$J$183)/A7taxstdlife))</f>
        <v>0.94366275439999991</v>
      </c>
      <c r="P154" s="69">
        <f>IF(A7taxstdlife="n/a","n/a",IF(P$3&gt;(A7taxstdlife+$E154),(Input!$J$149-Input!$J$183)-SUM($J154:O154),(Input!$J$149-Input!$J$183)/A7taxstdlife))</f>
        <v>0.94366275439999991</v>
      </c>
      <c r="Q154" s="69">
        <f>IF(A7taxstdlife="n/a","n/a",IF(Q$3&gt;(A7taxstdlife+$E154),(Input!$J$149-Input!$J$183)-SUM($J154:P154),(Input!$J$149-Input!$J$183)/A7taxstdlife))</f>
        <v>0.94366275439999991</v>
      </c>
      <c r="R154" s="69"/>
      <c r="S154" s="103"/>
      <c r="T154" s="103"/>
      <c r="U154" s="103"/>
      <c r="V154" s="103"/>
      <c r="W154" s="103"/>
      <c r="X154" s="103"/>
      <c r="Y154" s="103"/>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198"/>
      <c r="BJ154" s="198"/>
      <c r="BK154" s="198"/>
      <c r="BL154" s="198"/>
      <c r="BM154" s="198"/>
      <c r="BN154" s="198"/>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idden="1" outlineLevel="2">
      <c r="A155" s="9"/>
      <c r="B155" s="9"/>
      <c r="C155" s="26"/>
      <c r="D155" s="392"/>
      <c r="E155" s="87">
        <v>4</v>
      </c>
      <c r="F155" s="27"/>
      <c r="G155" s="27"/>
      <c r="H155" s="146"/>
      <c r="I155" s="148"/>
      <c r="J155" s="148"/>
      <c r="K155" s="147"/>
      <c r="L155" s="69">
        <f>IF(A7taxstdlife="n/a","n/a",IF(L$3&gt;(A7taxstdlife+$E155),(Input!$K$149-Input!$K$183)-SUM($K155:K155),(Input!$K$149-Input!$K$183)/A7taxstdlife))</f>
        <v>0.52964527280000018</v>
      </c>
      <c r="M155" s="69">
        <f>IF(A7taxstdlife="n/a","n/a",IF(M$3&gt;(A7taxstdlife+$E155),(Input!$K$149-Input!$K$183)-SUM($K155:L155),(Input!$K$149-Input!$K$183)/A7taxstdlife))</f>
        <v>0.52964527280000018</v>
      </c>
      <c r="N155" s="69">
        <f>IF(A7taxstdlife="n/a","n/a",IF(N$3&gt;(A7taxstdlife+$E155),(Input!$K$149-Input!$K$183)-SUM($K155:M155),(Input!$K$149-Input!$K$183)/A7taxstdlife))</f>
        <v>0.52964527280000018</v>
      </c>
      <c r="O155" s="69">
        <f>IF(A7taxstdlife="n/a","n/a",IF(O$3&gt;(A7taxstdlife+$E155),(Input!$K$149-Input!$K$183)-SUM($K155:N155),(Input!$K$149-Input!$K$183)/A7taxstdlife))</f>
        <v>0.52964527280000018</v>
      </c>
      <c r="P155" s="69">
        <f>IF(A7taxstdlife="n/a","n/a",IF(P$3&gt;(A7taxstdlife+$E155),(Input!$K$149-Input!$K$183)-SUM($K155:O155),(Input!$K$149-Input!$K$183)/A7taxstdlife))</f>
        <v>0.52964527280000018</v>
      </c>
      <c r="Q155" s="69">
        <f>IF(A7taxstdlife="n/a","n/a",IF(Q$3&gt;(A7taxstdlife+$E155),(Input!$K$149-Input!$K$183)-SUM($K155:P155),(Input!$K$149-Input!$K$183)/A7taxstdlife))</f>
        <v>0.52964527280000018</v>
      </c>
      <c r="R155" s="69"/>
      <c r="S155" s="103"/>
      <c r="T155" s="103"/>
      <c r="U155" s="103"/>
      <c r="V155" s="103"/>
      <c r="W155" s="103"/>
      <c r="X155" s="103"/>
      <c r="Y155" s="103"/>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198"/>
      <c r="BJ155" s="198"/>
      <c r="BK155" s="198"/>
      <c r="BL155" s="198"/>
      <c r="BM155" s="198"/>
      <c r="BN155" s="198"/>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idden="1" outlineLevel="2">
      <c r="A156" s="9"/>
      <c r="B156" s="9"/>
      <c r="C156" s="26"/>
      <c r="D156" s="392"/>
      <c r="E156" s="87">
        <v>5</v>
      </c>
      <c r="F156" s="27"/>
      <c r="G156" s="27"/>
      <c r="H156" s="146"/>
      <c r="I156" s="148"/>
      <c r="J156" s="148"/>
      <c r="K156" s="148"/>
      <c r="L156" s="147"/>
      <c r="M156" s="69">
        <f>IF(A7taxstdlife="n/a","n/a",IF(M$3&gt;(A7taxstdlife+$E156),(Input!$L$149-Input!$L$183)-SUM($L156:L156),(Input!$L$149-Input!$L$183)/A7taxstdlife))</f>
        <v>0.35884564320000001</v>
      </c>
      <c r="N156" s="69">
        <f>IF(A7taxstdlife="n/a","n/a",IF(N$3&gt;(A7taxstdlife+$E156),(Input!$L$149-Input!$L$183)-SUM($L156:M156),(Input!$L$149-Input!$L$183)/A7taxstdlife))</f>
        <v>0.35884564320000001</v>
      </c>
      <c r="O156" s="69">
        <f>IF(A7taxstdlife="n/a","n/a",IF(O$3&gt;(A7taxstdlife+$E156),(Input!$L$149-Input!$L$183)-SUM($L156:N156),(Input!$L$149-Input!$L$183)/A7taxstdlife))</f>
        <v>0.35884564320000001</v>
      </c>
      <c r="P156" s="69">
        <f>IF(A7taxstdlife="n/a","n/a",IF(P$3&gt;(A7taxstdlife+$E156),(Input!$L$149-Input!$L$183)-SUM($L156:O156),(Input!$L$149-Input!$L$183)/A7taxstdlife))</f>
        <v>0.35884564320000001</v>
      </c>
      <c r="Q156" s="69">
        <f>IF(A7taxstdlife="n/a","n/a",IF(Q$3&gt;(A7taxstdlife+$E156),(Input!$L$149-Input!$L$183)-SUM($L156:P156),(Input!$L$149-Input!$L$183)/A7taxstdlife))</f>
        <v>0.35884564320000001</v>
      </c>
      <c r="R156" s="69"/>
      <c r="S156" s="103"/>
      <c r="T156" s="103"/>
      <c r="U156" s="103"/>
      <c r="V156" s="103"/>
      <c r="W156" s="103"/>
      <c r="X156" s="103"/>
      <c r="Y156" s="103"/>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198"/>
      <c r="BJ156" s="198"/>
      <c r="BK156" s="198"/>
      <c r="BL156" s="198"/>
      <c r="BM156" s="198"/>
      <c r="BN156" s="198"/>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idden="1" outlineLevel="2">
      <c r="A157" s="9"/>
      <c r="B157" s="9"/>
      <c r="C157" s="26"/>
      <c r="D157" s="392"/>
      <c r="E157" s="87">
        <v>6</v>
      </c>
      <c r="F157" s="27"/>
      <c r="G157" s="27"/>
      <c r="H157" s="146"/>
      <c r="I157" s="148"/>
      <c r="J157" s="148"/>
      <c r="K157" s="148"/>
      <c r="L157" s="148"/>
      <c r="M157" s="147"/>
      <c r="N157" s="69">
        <f>IF(A7taxstdlife="n/a","n/a",IF(N$3&gt;(A7taxstdlife+$E157),(Input!$M$149-Input!$M$183)-SUM($M157:M157),(Input!$M$149-Input!$M$183)/A7taxstdlife))</f>
        <v>0.43371906166786184</v>
      </c>
      <c r="O157" s="69">
        <f>IF(A7taxstdlife="n/a","n/a",IF(O$3&gt;(A7taxstdlife+$E157),(Input!$M$149-Input!$M$183)-SUM($M157:N157),(Input!$M$149-Input!$M$183)/A7taxstdlife))</f>
        <v>0.43371906166786184</v>
      </c>
      <c r="P157" s="69">
        <f>IF(A7taxstdlife="n/a","n/a",IF(P$3&gt;(A7taxstdlife+$E157),(Input!$M$149-Input!$M$183)-SUM($M157:O157),(Input!$M$149-Input!$M$183)/A7taxstdlife))</f>
        <v>0.43371906166786184</v>
      </c>
      <c r="Q157" s="69">
        <f>IF(A7taxstdlife="n/a","n/a",IF(Q$3&gt;(A7taxstdlife+$E157),(Input!$M$149-Input!$M$183)-SUM($M157:P157),(Input!$M$149-Input!$M$183)/A7taxstdlife))</f>
        <v>0.43371906166786184</v>
      </c>
      <c r="R157" s="69"/>
      <c r="S157" s="103"/>
      <c r="T157" s="103"/>
      <c r="U157" s="103"/>
      <c r="V157" s="103"/>
      <c r="W157" s="103"/>
      <c r="X157" s="103"/>
      <c r="Y157" s="103"/>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198"/>
      <c r="BJ157" s="198"/>
      <c r="BK157" s="198"/>
      <c r="BL157" s="198"/>
      <c r="BM157" s="198"/>
      <c r="BN157" s="198"/>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idden="1" outlineLevel="2">
      <c r="A158" s="9"/>
      <c r="B158" s="9"/>
      <c r="C158" s="26"/>
      <c r="D158" s="392"/>
      <c r="E158" s="87">
        <v>7</v>
      </c>
      <c r="F158" s="27"/>
      <c r="G158" s="27"/>
      <c r="H158" s="146"/>
      <c r="I158" s="148"/>
      <c r="J158" s="148"/>
      <c r="K158" s="148"/>
      <c r="L158" s="148"/>
      <c r="M158" s="148"/>
      <c r="N158" s="147"/>
      <c r="O158" s="69">
        <f>IF(A7taxstdlife="n/a","n/a",IF(O$3&gt;(A7taxstdlife+$E158),(Input!$N$149-Input!$N$183)-SUM($N158:N158),(Input!$N$149-Input!$N$183)/A7taxstdlife))</f>
        <v>0</v>
      </c>
      <c r="P158" s="69">
        <f>IF(A7taxstdlife="n/a","n/a",IF(P$3&gt;(A7taxstdlife+$E158),(Input!$N$149-Input!$N$183)-SUM($N158:O158),(Input!$N$149-Input!$N$183)/A7taxstdlife))</f>
        <v>0</v>
      </c>
      <c r="Q158" s="69">
        <f>IF(A7taxstdlife="n/a","n/a",IF(Q$3&gt;(A7taxstdlife+$E158),(Input!$N$149-Input!$N$183)-SUM($N158:P158),(Input!$N$149-Input!$N$183)/A7taxstdlife))</f>
        <v>0</v>
      </c>
      <c r="R158" s="69"/>
      <c r="S158" s="103"/>
      <c r="T158" s="103"/>
      <c r="U158" s="103"/>
      <c r="V158" s="103"/>
      <c r="W158" s="103"/>
      <c r="X158" s="103"/>
      <c r="Y158" s="103"/>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198"/>
      <c r="BJ158" s="198"/>
      <c r="BK158" s="198"/>
      <c r="BL158" s="198"/>
      <c r="BM158" s="198"/>
      <c r="BN158" s="19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idden="1" outlineLevel="2">
      <c r="A159" s="9"/>
      <c r="B159" s="9"/>
      <c r="C159" s="26"/>
      <c r="D159" s="392"/>
      <c r="E159" s="87">
        <v>8</v>
      </c>
      <c r="F159" s="27"/>
      <c r="G159" s="27"/>
      <c r="H159" s="146"/>
      <c r="I159" s="148"/>
      <c r="J159" s="148"/>
      <c r="K159" s="148"/>
      <c r="L159" s="148"/>
      <c r="M159" s="148"/>
      <c r="N159" s="148"/>
      <c r="O159" s="147"/>
      <c r="P159" s="69">
        <f>IF(A7taxstdlife="n/a","n/a",IF(P$3&gt;(A7taxstdlife+$E159),(Input!$O$149-Input!$O$183)-SUM($O159:O159),(Input!$O$149-Input!$O$183)/A7taxstdlife))</f>
        <v>0</v>
      </c>
      <c r="Q159" s="69">
        <f>IF(A7taxstdlife="n/a","n/a",IF(Q$3&gt;(A7taxstdlife+$E159),(Input!$O$149-Input!$O$183)-SUM($O159:P159),(Input!$O$149-Input!$O$183)/A7taxstdlife))</f>
        <v>0</v>
      </c>
      <c r="R159" s="69"/>
      <c r="S159" s="103"/>
      <c r="T159" s="103"/>
      <c r="U159" s="103"/>
      <c r="V159" s="103"/>
      <c r="W159" s="103"/>
      <c r="X159" s="103"/>
      <c r="Y159" s="103"/>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198"/>
      <c r="BJ159" s="198"/>
      <c r="BK159" s="198"/>
      <c r="BL159" s="198"/>
      <c r="BM159" s="198"/>
      <c r="BN159" s="198"/>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idden="1" outlineLevel="2">
      <c r="A160" s="9"/>
      <c r="B160" s="9"/>
      <c r="C160" s="26"/>
      <c r="D160" s="392"/>
      <c r="E160" s="87">
        <v>9</v>
      </c>
      <c r="F160" s="27"/>
      <c r="G160" s="27"/>
      <c r="H160" s="146"/>
      <c r="I160" s="148"/>
      <c r="J160" s="148"/>
      <c r="K160" s="148"/>
      <c r="L160" s="148"/>
      <c r="M160" s="148"/>
      <c r="N160" s="148"/>
      <c r="O160" s="148"/>
      <c r="P160" s="147"/>
      <c r="Q160" s="69">
        <f>IF(A7taxstdlife="n/a","n/a",IF(Q$3&gt;(A7taxstdlife+$E160),(Input!$P$149-Input!$P$183)-SUM($P160:P160),(Input!$P$149-Input!$P$183)/A7taxstdlife))</f>
        <v>0</v>
      </c>
      <c r="R160" s="69"/>
      <c r="S160" s="103"/>
      <c r="T160" s="103"/>
      <c r="U160" s="103"/>
      <c r="V160" s="103"/>
      <c r="W160" s="103"/>
      <c r="X160" s="103"/>
      <c r="Y160" s="103"/>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198"/>
      <c r="BJ160" s="198"/>
      <c r="BK160" s="198"/>
      <c r="BL160" s="198"/>
      <c r="BM160" s="198"/>
      <c r="BN160" s="198"/>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idden="1" outlineLevel="2">
      <c r="A161" s="9"/>
      <c r="B161" s="9"/>
      <c r="C161" s="26"/>
      <c r="D161" s="392"/>
      <c r="E161" s="88">
        <v>10</v>
      </c>
      <c r="F161" s="27"/>
      <c r="G161" s="27"/>
      <c r="H161" s="146"/>
      <c r="I161" s="148"/>
      <c r="J161" s="148"/>
      <c r="K161" s="148"/>
      <c r="L161" s="148"/>
      <c r="M161" s="148"/>
      <c r="N161" s="148"/>
      <c r="O161" s="148"/>
      <c r="P161" s="148"/>
      <c r="Q161" s="147"/>
      <c r="R161" s="69"/>
      <c r="S161" s="103"/>
      <c r="T161" s="103"/>
      <c r="U161" s="103"/>
      <c r="V161" s="103"/>
      <c r="W161" s="103"/>
      <c r="X161" s="103"/>
      <c r="Y161" s="103"/>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198"/>
      <c r="BJ161" s="198"/>
      <c r="BK161" s="198"/>
      <c r="BL161" s="198"/>
      <c r="BM161" s="198"/>
      <c r="BN161" s="198"/>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71" t="str">
        <f>Asset7</f>
        <v>Communications</v>
      </c>
      <c r="D162" s="9"/>
      <c r="E162" s="9"/>
      <c r="F162" s="23"/>
      <c r="G162" s="23"/>
      <c r="H162" s="297">
        <f>-SUM(H150:H161)</f>
        <v>-1.189561568201694</v>
      </c>
      <c r="I162" s="161">
        <f>-SUM(I150:I161)</f>
        <v>-1.216661166601694</v>
      </c>
      <c r="J162" s="161">
        <f>-SUM(J150:J161)</f>
        <v>-1.3811774865216939</v>
      </c>
      <c r="K162" s="161">
        <f>-SUM(K150:K161)</f>
        <v>-2.3248402409216937</v>
      </c>
      <c r="L162" s="161">
        <f>-SUM(L150:L161)</f>
        <v>-2.854485513721694</v>
      </c>
      <c r="M162" s="161">
        <f>IF(COUNT($H162:L162)&gt;=Input!$Y$7,0, -SUM(M150:M161))</f>
        <v>-3.213331156921694</v>
      </c>
      <c r="N162" s="161">
        <f>IF(COUNT($H162:M162)&gt;=Input!$Y$7,0, -SUM(N150:N161))</f>
        <v>0</v>
      </c>
      <c r="O162" s="161">
        <f>IF(COUNT($H162:N162)&gt;=Input!$Y$7,0, -SUM(O150:O161))</f>
        <v>0</v>
      </c>
      <c r="P162" s="161">
        <f>IF(COUNT($H162:O162)&gt;=Input!$Y$7,0, -SUM(P150:P161))</f>
        <v>0</v>
      </c>
      <c r="Q162" s="161">
        <f>IF(COUNT($H162:P162)&gt;=Input!$Y$7,0, -SUM(Q150:Q161))</f>
        <v>0</v>
      </c>
      <c r="R162" s="161"/>
      <c r="S162" s="102"/>
      <c r="T162" s="102"/>
      <c r="U162" s="102"/>
      <c r="V162" s="102"/>
      <c r="W162" s="102"/>
      <c r="X162" s="102"/>
      <c r="Y162" s="102"/>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198"/>
      <c r="BJ162" s="198"/>
      <c r="BK162" s="198"/>
      <c r="BL162" s="198"/>
      <c r="BM162" s="198"/>
      <c r="BN162" s="198"/>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idden="1" outlineLevel="2">
      <c r="A163" s="9"/>
      <c r="B163" s="272" t="str">
        <f>Asset8</f>
        <v>Inventory</v>
      </c>
      <c r="C163" s="31"/>
      <c r="D163" s="32" t="s">
        <v>66</v>
      </c>
      <c r="E163" s="31"/>
      <c r="F163" s="300"/>
      <c r="G163" s="300"/>
      <c r="H163" s="68" t="str">
        <f>IF(H$3&gt;A8taxremlife,A8taxvalue-SUM($F163:F163),IF(A8taxremlife="N/A","n/a",A8taxvalue/A8taxremlife))</f>
        <v>n/a</v>
      </c>
      <c r="I163" s="68" t="str">
        <f>IF(I$3&gt;A8taxremlife,A8taxvalue-SUM($F163:H163),IF(A8taxremlife="N/A","n/a",A8taxvalue/A8taxremlife))</f>
        <v>n/a</v>
      </c>
      <c r="J163" s="68" t="str">
        <f>IF(J$3&gt;A8taxremlife,A8taxvalue-SUM($F163:I163),IF(A8taxremlife="N/A","n/a",A8taxvalue/A8taxremlife))</f>
        <v>n/a</v>
      </c>
      <c r="K163" s="68" t="str">
        <f>IF(K$3&gt;A8taxremlife,A8taxvalue-SUM($F163:J163),IF(A8taxremlife="N/A","n/a",A8taxvalue/A8taxremlife))</f>
        <v>n/a</v>
      </c>
      <c r="L163" s="68" t="str">
        <f>IF(L$3&gt;A8taxremlife,A8taxvalue-SUM($F163:K163),IF(A8taxremlife="N/A","n/a",A8taxvalue/A8taxremlife))</f>
        <v>n/a</v>
      </c>
      <c r="M163" s="68" t="str">
        <f>IF(M$3&gt;A8taxremlife,A8taxvalue-SUM($F163:L163),IF(A8taxremlife="N/A","n/a",A8taxvalue/A8taxremlife))</f>
        <v>n/a</v>
      </c>
      <c r="N163" s="68" t="str">
        <f>IF(N$3&gt;A8taxremlife,A8taxvalue-SUM($F163:M163),IF(A8taxremlife="N/A","n/a",A8taxvalue/A8taxremlife))</f>
        <v>n/a</v>
      </c>
      <c r="O163" s="68" t="str">
        <f>IF(O$3&gt;A8taxremlife,A8taxvalue-SUM($F163:N163),IF(A8taxremlife="N/A","n/a",A8taxvalue/A8taxremlife))</f>
        <v>n/a</v>
      </c>
      <c r="P163" s="68" t="str">
        <f>IF(P$3&gt;A8taxremlife,A8taxvalue-SUM($F163:O163),IF(A8taxremlife="N/A","n/a",A8taxvalue/A8taxremlife))</f>
        <v>n/a</v>
      </c>
      <c r="Q163" s="68" t="str">
        <f>IF(Q$3&gt;A8taxremlife,A8taxvalue-SUM($F163:P163),IF(A8taxremlife="N/A","n/a",A8taxvalue/A8taxremlife))</f>
        <v>n/a</v>
      </c>
      <c r="R163" s="68"/>
      <c r="S163" s="103"/>
      <c r="T163" s="103"/>
      <c r="U163" s="103"/>
      <c r="V163" s="103"/>
      <c r="W163" s="103"/>
      <c r="X163" s="103"/>
      <c r="Y163" s="103"/>
      <c r="Z163" s="217"/>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198"/>
      <c r="BJ163" s="198"/>
      <c r="BK163" s="198"/>
      <c r="BL163" s="198"/>
      <c r="BM163" s="198"/>
      <c r="BN163" s="198"/>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6"/>
      <c r="D164" s="391" t="s">
        <v>82</v>
      </c>
      <c r="E164" s="87"/>
      <c r="F164" s="27"/>
      <c r="G164" s="27"/>
      <c r="H164" s="103"/>
      <c r="I164" s="69"/>
      <c r="J164" s="69"/>
      <c r="K164" s="69"/>
      <c r="L164" s="69"/>
      <c r="M164" s="69"/>
      <c r="N164" s="69"/>
      <c r="O164" s="69"/>
      <c r="P164" s="69"/>
      <c r="Q164" s="69"/>
      <c r="R164" s="69"/>
      <c r="S164" s="103"/>
      <c r="T164" s="103"/>
      <c r="U164" s="103"/>
      <c r="V164" s="103"/>
      <c r="W164" s="103"/>
      <c r="X164" s="103"/>
      <c r="Y164" s="103"/>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198"/>
      <c r="BJ164" s="198"/>
      <c r="BK164" s="198"/>
      <c r="BL164" s="198"/>
      <c r="BM164" s="198"/>
      <c r="BN164" s="198"/>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idden="1" outlineLevel="2">
      <c r="A165" s="9"/>
      <c r="B165" s="9"/>
      <c r="C165" s="26"/>
      <c r="D165" s="392"/>
      <c r="E165" s="87">
        <v>1</v>
      </c>
      <c r="F165" s="27"/>
      <c r="G165" s="27"/>
      <c r="H165" s="145"/>
      <c r="I165" s="69" t="str">
        <f>IF(A8taxstdlife="n/a","n/a",IF(I$3&gt;(A8taxstdlife+$E165),(Input!$H$150-Input!$H$184)-SUM($H165:H165),(Input!$H$150-Input!$H$184)/A8taxstdlife))</f>
        <v>n/a</v>
      </c>
      <c r="J165" s="69" t="str">
        <f>IF(A8taxstdlife="n/a","n/a",IF(J$3&gt;(A8taxstdlife+$E165),(Input!$H$150-Input!$H$184)-SUM($H165:I165),(Input!$H$150-Input!$H$184)/A8taxstdlife))</f>
        <v>n/a</v>
      </c>
      <c r="K165" s="69" t="str">
        <f>IF(A8taxstdlife="n/a","n/a",IF(K$3&gt;(A8taxstdlife+$E165),(Input!$H$150-Input!$H$184)-SUM($H165:J165),(Input!$H$150-Input!$H$184)/A8taxstdlife))</f>
        <v>n/a</v>
      </c>
      <c r="L165" s="69" t="str">
        <f>IF(A8taxstdlife="n/a","n/a",IF(L$3&gt;(A8taxstdlife+$E165),(Input!$H$150-Input!$H$184)-SUM($H165:K165),(Input!$H$150-Input!$H$184)/A8taxstdlife))</f>
        <v>n/a</v>
      </c>
      <c r="M165" s="69" t="str">
        <f>IF(A8taxstdlife="n/a","n/a",IF(M$3&gt;(A8taxstdlife+$E165),(Input!$H$150-Input!$H$184)-SUM($H165:L165),(Input!$H$150-Input!$H$184)/A8taxstdlife))</f>
        <v>n/a</v>
      </c>
      <c r="N165" s="69" t="str">
        <f>IF(A8taxstdlife="n/a","n/a",IF(N$3&gt;(A8taxstdlife+$E165),(Input!$H$150-Input!$H$184)-SUM($H165:M165),(Input!$H$150-Input!$H$184)/A8taxstdlife))</f>
        <v>n/a</v>
      </c>
      <c r="O165" s="69" t="str">
        <f>IF(A8taxstdlife="n/a","n/a",IF(O$3&gt;(A8taxstdlife+$E165),(Input!$H$150-Input!$H$184)-SUM($H165:N165),(Input!$H$150-Input!$H$184)/A8taxstdlife))</f>
        <v>n/a</v>
      </c>
      <c r="P165" s="69" t="str">
        <f>IF(A8taxstdlife="n/a","n/a",IF(P$3&gt;(A8taxstdlife+$E165),(Input!$H$150-Input!$H$184)-SUM($H165:O165),(Input!$H$150-Input!$H$184)/A8taxstdlife))</f>
        <v>n/a</v>
      </c>
      <c r="Q165" s="69" t="str">
        <f>IF(A8taxstdlife="n/a","n/a",IF(Q$3&gt;(A8taxstdlife+$E165),(Input!$H$150-Input!$H$184)-SUM($H165:P165),(Input!$H$150-Input!$H$184)/A8taxstdlife))</f>
        <v>n/a</v>
      </c>
      <c r="R165" s="69"/>
      <c r="S165" s="103"/>
      <c r="T165" s="103"/>
      <c r="U165" s="103"/>
      <c r="V165" s="103"/>
      <c r="W165" s="103"/>
      <c r="X165" s="103"/>
      <c r="Y165" s="103"/>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198"/>
      <c r="BJ165" s="198"/>
      <c r="BK165" s="198"/>
      <c r="BL165" s="198"/>
      <c r="BM165" s="198"/>
      <c r="BN165" s="198"/>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idden="1" outlineLevel="2">
      <c r="A166" s="9"/>
      <c r="B166" s="9"/>
      <c r="C166" s="26"/>
      <c r="D166" s="392"/>
      <c r="E166" s="87">
        <v>2</v>
      </c>
      <c r="F166" s="27"/>
      <c r="G166" s="27"/>
      <c r="H166" s="146"/>
      <c r="I166" s="147"/>
      <c r="J166" s="69" t="str">
        <f>IF(A8taxstdlife="n/a","n/a",IF(J$3&gt;(A8taxstdlife+$E166),(Input!$I$150-Input!$I$184)-SUM($I166:I166),(Input!$I$150-Input!$I$184)/A8taxstdlife))</f>
        <v>n/a</v>
      </c>
      <c r="K166" s="69" t="str">
        <f>IF(A8taxstdlife="n/a","n/a",IF(K$3&gt;(A8taxstdlife+$E166),(Input!$I$150-Input!$I$184)-SUM($I166:J166),(Input!$I$150-Input!$I$184)/A8taxstdlife))</f>
        <v>n/a</v>
      </c>
      <c r="L166" s="69" t="str">
        <f>IF(A8taxstdlife="n/a","n/a",IF(L$3&gt;(A8taxstdlife+$E166),(Input!$I$150-Input!$I$184)-SUM($I166:K166),(Input!$I$150-Input!$I$184)/A8taxstdlife))</f>
        <v>n/a</v>
      </c>
      <c r="M166" s="69" t="str">
        <f>IF(A8taxstdlife="n/a","n/a",IF(M$3&gt;(A8taxstdlife+$E166),(Input!$I$150-Input!$I$184)-SUM($I166:L166),(Input!$I$150-Input!$I$184)/A8taxstdlife))</f>
        <v>n/a</v>
      </c>
      <c r="N166" s="69" t="str">
        <f>IF(A8taxstdlife="n/a","n/a",IF(N$3&gt;(A8taxstdlife+$E166),(Input!$I$150-Input!$I$184)-SUM($I166:M166),(Input!$I$150-Input!$I$184)/A8taxstdlife))</f>
        <v>n/a</v>
      </c>
      <c r="O166" s="69" t="str">
        <f>IF(A8taxstdlife="n/a","n/a",IF(O$3&gt;(A8taxstdlife+$E166),(Input!$I$150-Input!$I$184)-SUM($I166:N166),(Input!$I$150-Input!$I$184)/A8taxstdlife))</f>
        <v>n/a</v>
      </c>
      <c r="P166" s="69" t="str">
        <f>IF(A8taxstdlife="n/a","n/a",IF(P$3&gt;(A8taxstdlife+$E166),(Input!$I$150-Input!$I$184)-SUM($I166:O166),(Input!$I$150-Input!$I$184)/A8taxstdlife))</f>
        <v>n/a</v>
      </c>
      <c r="Q166" s="69" t="str">
        <f>IF(A8taxstdlife="n/a","n/a",IF(Q$3&gt;(A8taxstdlife+$E166),(Input!$I$150-Input!$I$184)-SUM($I166:P166),(Input!$I$150-Input!$I$184)/A8taxstdlife))</f>
        <v>n/a</v>
      </c>
      <c r="R166" s="69"/>
      <c r="S166" s="103"/>
      <c r="T166" s="103"/>
      <c r="U166" s="103"/>
      <c r="V166" s="103"/>
      <c r="W166" s="103"/>
      <c r="X166" s="103"/>
      <c r="Y166" s="103"/>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198"/>
      <c r="BJ166" s="198"/>
      <c r="BK166" s="198"/>
      <c r="BL166" s="198"/>
      <c r="BM166" s="198"/>
      <c r="BN166" s="198"/>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idden="1" outlineLevel="2">
      <c r="A167" s="9"/>
      <c r="B167" s="9"/>
      <c r="C167" s="26"/>
      <c r="D167" s="392"/>
      <c r="E167" s="87">
        <v>3</v>
      </c>
      <c r="F167" s="27"/>
      <c r="G167" s="27"/>
      <c r="H167" s="146"/>
      <c r="I167" s="148"/>
      <c r="J167" s="147"/>
      <c r="K167" s="69" t="str">
        <f>IF(A8taxstdlife="n/a","n/a",IF(K$3&gt;(A8taxstdlife+$E167),(Input!$J$150-Input!$J$184)-SUM($J167:J167),(Input!$J$150-Input!$J$184)/A8taxstdlife))</f>
        <v>n/a</v>
      </c>
      <c r="L167" s="69" t="str">
        <f>IF(A8taxstdlife="n/a","n/a",IF(L$3&gt;(A8taxstdlife+$E167),(Input!$J$150-Input!$J$184)-SUM($J167:K167),(Input!$J$150-Input!$J$184)/A8taxstdlife))</f>
        <v>n/a</v>
      </c>
      <c r="M167" s="69" t="str">
        <f>IF(A8taxstdlife="n/a","n/a",IF(M$3&gt;(A8taxstdlife+$E167),(Input!$J$150-Input!$J$184)-SUM($J167:L167),(Input!$J$150-Input!$J$184)/A8taxstdlife))</f>
        <v>n/a</v>
      </c>
      <c r="N167" s="69" t="str">
        <f>IF(A8taxstdlife="n/a","n/a",IF(N$3&gt;(A8taxstdlife+$E167),(Input!$J$150-Input!$J$184)-SUM($J167:M167),(Input!$J$150-Input!$J$184)/A8taxstdlife))</f>
        <v>n/a</v>
      </c>
      <c r="O167" s="69" t="str">
        <f>IF(A8taxstdlife="n/a","n/a",IF(O$3&gt;(A8taxstdlife+$E167),(Input!$J$150-Input!$J$184)-SUM($J167:N167),(Input!$J$150-Input!$J$184)/A8taxstdlife))</f>
        <v>n/a</v>
      </c>
      <c r="P167" s="69" t="str">
        <f>IF(A8taxstdlife="n/a","n/a",IF(P$3&gt;(A8taxstdlife+$E167),(Input!$J$150-Input!$J$184)-SUM($J167:O167),(Input!$J$150-Input!$J$184)/A8taxstdlife))</f>
        <v>n/a</v>
      </c>
      <c r="Q167" s="69" t="str">
        <f>IF(A8taxstdlife="n/a","n/a",IF(Q$3&gt;(A8taxstdlife+$E167),(Input!$J$150-Input!$J$184)-SUM($J167:P167),(Input!$J$150-Input!$J$184)/A8taxstdlife))</f>
        <v>n/a</v>
      </c>
      <c r="R167" s="69"/>
      <c r="S167" s="103"/>
      <c r="T167" s="103"/>
      <c r="U167" s="103"/>
      <c r="V167" s="103"/>
      <c r="W167" s="103"/>
      <c r="X167" s="103"/>
      <c r="Y167" s="103"/>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198"/>
      <c r="BJ167" s="198"/>
      <c r="BK167" s="198"/>
      <c r="BL167" s="198"/>
      <c r="BM167" s="198"/>
      <c r="BN167" s="198"/>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idden="1" outlineLevel="2">
      <c r="A168" s="9"/>
      <c r="B168" s="9"/>
      <c r="C168" s="26"/>
      <c r="D168" s="392"/>
      <c r="E168" s="87">
        <v>4</v>
      </c>
      <c r="F168" s="27"/>
      <c r="G168" s="27"/>
      <c r="H168" s="146"/>
      <c r="I168" s="148"/>
      <c r="J168" s="148"/>
      <c r="K168" s="147"/>
      <c r="L168" s="69" t="str">
        <f>IF(A8taxstdlife="n/a","n/a",IF(L$3&gt;(A8taxstdlife+$E168),(Input!$K$150-Input!$K$184)-SUM($K168:K168),(Input!$K$150-Input!$K$184)/A8taxstdlife))</f>
        <v>n/a</v>
      </c>
      <c r="M168" s="69" t="str">
        <f>IF(A8taxstdlife="n/a","n/a",IF(M$3&gt;(A8taxstdlife+$E168),(Input!$K$150-Input!$K$184)-SUM($K168:L168),(Input!$K$150-Input!$K$184)/A8taxstdlife))</f>
        <v>n/a</v>
      </c>
      <c r="N168" s="69" t="str">
        <f>IF(A8taxstdlife="n/a","n/a",IF(N$3&gt;(A8taxstdlife+$E168),(Input!$K$150-Input!$K$184)-SUM($K168:M168),(Input!$K$150-Input!$K$184)/A8taxstdlife))</f>
        <v>n/a</v>
      </c>
      <c r="O168" s="69" t="str">
        <f>IF(A8taxstdlife="n/a","n/a",IF(O$3&gt;(A8taxstdlife+$E168),(Input!$K$150-Input!$K$184)-SUM($K168:N168),(Input!$K$150-Input!$K$184)/A8taxstdlife))</f>
        <v>n/a</v>
      </c>
      <c r="P168" s="69" t="str">
        <f>IF(A8taxstdlife="n/a","n/a",IF(P$3&gt;(A8taxstdlife+$E168),(Input!$K$150-Input!$K$184)-SUM($K168:O168),(Input!$K$150-Input!$K$184)/A8taxstdlife))</f>
        <v>n/a</v>
      </c>
      <c r="Q168" s="69" t="str">
        <f>IF(A8taxstdlife="n/a","n/a",IF(Q$3&gt;(A8taxstdlife+$E168),(Input!$K$150-Input!$K$184)-SUM($K168:P168),(Input!$K$150-Input!$K$184)/A8taxstdlife))</f>
        <v>n/a</v>
      </c>
      <c r="R168" s="69"/>
      <c r="S168" s="103"/>
      <c r="T168" s="103"/>
      <c r="U168" s="103"/>
      <c r="V168" s="103"/>
      <c r="W168" s="103"/>
      <c r="X168" s="103"/>
      <c r="Y168" s="103"/>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198"/>
      <c r="BJ168" s="198"/>
      <c r="BK168" s="198"/>
      <c r="BL168" s="198"/>
      <c r="BM168" s="198"/>
      <c r="BN168" s="19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idden="1" outlineLevel="2">
      <c r="A169" s="9"/>
      <c r="B169" s="9"/>
      <c r="C169" s="26"/>
      <c r="D169" s="392"/>
      <c r="E169" s="87">
        <v>5</v>
      </c>
      <c r="F169" s="27"/>
      <c r="G169" s="27"/>
      <c r="H169" s="146"/>
      <c r="I169" s="148"/>
      <c r="J169" s="148"/>
      <c r="K169" s="148"/>
      <c r="L169" s="147"/>
      <c r="M169" s="69" t="str">
        <f>IF(A8taxstdlife="n/a","n/a",IF(M$3&gt;(A8taxstdlife+$E169),(Input!$L$150-Input!$L$184)-SUM($L169:L169),(Input!$L$150-Input!$L$184)/A8taxstdlife))</f>
        <v>n/a</v>
      </c>
      <c r="N169" s="69" t="str">
        <f>IF(A8taxstdlife="n/a","n/a",IF(N$3&gt;(A8taxstdlife+$E169),(Input!$L$150-Input!$L$184)-SUM($L169:M169),(Input!$L$150-Input!$L$184)/A8taxstdlife))</f>
        <v>n/a</v>
      </c>
      <c r="O169" s="69" t="str">
        <f>IF(A8taxstdlife="n/a","n/a",IF(O$3&gt;(A8taxstdlife+$E169),(Input!$L$150-Input!$L$184)-SUM($L169:N169),(Input!$L$150-Input!$L$184)/A8taxstdlife))</f>
        <v>n/a</v>
      </c>
      <c r="P169" s="69" t="str">
        <f>IF(A8taxstdlife="n/a","n/a",IF(P$3&gt;(A8taxstdlife+$E169),(Input!$L$150-Input!$L$184)-SUM($L169:O169),(Input!$L$150-Input!$L$184)/A8taxstdlife))</f>
        <v>n/a</v>
      </c>
      <c r="Q169" s="69" t="str">
        <f>IF(A8taxstdlife="n/a","n/a",IF(Q$3&gt;(A8taxstdlife+$E169),(Input!$L$150-Input!$L$184)-SUM($L169:P169),(Input!$L$150-Input!$L$184)/A8taxstdlife))</f>
        <v>n/a</v>
      </c>
      <c r="R169" s="69"/>
      <c r="S169" s="103"/>
      <c r="T169" s="103"/>
      <c r="U169" s="103"/>
      <c r="V169" s="103"/>
      <c r="W169" s="103"/>
      <c r="X169" s="103"/>
      <c r="Y169" s="103"/>
      <c r="Z169" s="217"/>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198"/>
      <c r="BJ169" s="198"/>
      <c r="BK169" s="198"/>
      <c r="BL169" s="198"/>
      <c r="BM169" s="198"/>
      <c r="BN169" s="198"/>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idden="1" outlineLevel="2">
      <c r="A170" s="9"/>
      <c r="B170" s="9"/>
      <c r="C170" s="26"/>
      <c r="D170" s="392"/>
      <c r="E170" s="87">
        <v>6</v>
      </c>
      <c r="F170" s="27"/>
      <c r="G170" s="27"/>
      <c r="H170" s="146"/>
      <c r="I170" s="148"/>
      <c r="J170" s="148"/>
      <c r="K170" s="148"/>
      <c r="L170" s="148"/>
      <c r="M170" s="147"/>
      <c r="N170" s="69" t="str">
        <f>IF(A8taxstdlife="n/a","n/a",IF(N$3&gt;(A8taxstdlife+$E170),(Input!$M$150-Input!$M$184)-SUM($M170:M170),(Input!$M$150-Input!$M$184)/A8taxstdlife))</f>
        <v>n/a</v>
      </c>
      <c r="O170" s="69" t="str">
        <f>IF(A8taxstdlife="n/a","n/a",IF(O$3&gt;(A8taxstdlife+$E170),(Input!$M$150-Input!$M$184)-SUM($M170:N170),(Input!$M$150-Input!$M$184)/A8taxstdlife))</f>
        <v>n/a</v>
      </c>
      <c r="P170" s="69" t="str">
        <f>IF(A8taxstdlife="n/a","n/a",IF(P$3&gt;(A8taxstdlife+$E170),(Input!$M$150-Input!$M$184)-SUM($M170:O170),(Input!$M$150-Input!$M$184)/A8taxstdlife))</f>
        <v>n/a</v>
      </c>
      <c r="Q170" s="69" t="str">
        <f>IF(A8taxstdlife="n/a","n/a",IF(Q$3&gt;(A8taxstdlife+$E170),(Input!$M$150-Input!$M$184)-SUM($M170:P170),(Input!$M$150-Input!$M$184)/A8taxstdlife))</f>
        <v>n/a</v>
      </c>
      <c r="R170" s="69"/>
      <c r="S170" s="103"/>
      <c r="T170" s="103"/>
      <c r="U170" s="103"/>
      <c r="V170" s="103"/>
      <c r="W170" s="103"/>
      <c r="X170" s="103"/>
      <c r="Y170" s="103"/>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198"/>
      <c r="BJ170" s="198"/>
      <c r="BK170" s="198"/>
      <c r="BL170" s="198"/>
      <c r="BM170" s="198"/>
      <c r="BN170" s="198"/>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idden="1" outlineLevel="2">
      <c r="A171" s="9"/>
      <c r="B171" s="9"/>
      <c r="C171" s="26"/>
      <c r="D171" s="392"/>
      <c r="E171" s="87">
        <v>7</v>
      </c>
      <c r="F171" s="27"/>
      <c r="G171" s="27"/>
      <c r="H171" s="146"/>
      <c r="I171" s="148"/>
      <c r="J171" s="148"/>
      <c r="K171" s="148"/>
      <c r="L171" s="148"/>
      <c r="M171" s="148"/>
      <c r="N171" s="147"/>
      <c r="O171" s="69" t="str">
        <f>IF(A8taxstdlife="n/a","n/a",IF(O$3&gt;(A8taxstdlife+$E171),(Input!$N$150-Input!$N$184)-SUM($N171:N171),(Input!$N$150-Input!$N$184)/A8taxstdlife))</f>
        <v>n/a</v>
      </c>
      <c r="P171" s="69" t="str">
        <f>IF(A8taxstdlife="n/a","n/a",IF(P$3&gt;(A8taxstdlife+$E171),(Input!$N$150-Input!$N$184)-SUM($N171:O171),(Input!$N$150-Input!$N$184)/A8taxstdlife))</f>
        <v>n/a</v>
      </c>
      <c r="Q171" s="69" t="str">
        <f>IF(A8taxstdlife="n/a","n/a",IF(Q$3&gt;(A8taxstdlife+$E171),(Input!$N$150-Input!$N$184)-SUM($N171:P171),(Input!$N$150-Input!$N$184)/A8taxstdlife))</f>
        <v>n/a</v>
      </c>
      <c r="R171" s="69"/>
      <c r="S171" s="103"/>
      <c r="T171" s="103"/>
      <c r="U171" s="103"/>
      <c r="V171" s="103"/>
      <c r="W171" s="103"/>
      <c r="X171" s="103"/>
      <c r="Y171" s="103"/>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198"/>
      <c r="BJ171" s="198"/>
      <c r="BK171" s="198"/>
      <c r="BL171" s="198"/>
      <c r="BM171" s="198"/>
      <c r="BN171" s="198"/>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idden="1" outlineLevel="2">
      <c r="A172" s="9"/>
      <c r="B172" s="9"/>
      <c r="C172" s="26"/>
      <c r="D172" s="392"/>
      <c r="E172" s="87">
        <v>8</v>
      </c>
      <c r="F172" s="27"/>
      <c r="G172" s="27"/>
      <c r="H172" s="146"/>
      <c r="I172" s="148"/>
      <c r="J172" s="148"/>
      <c r="K172" s="148"/>
      <c r="L172" s="148"/>
      <c r="M172" s="148"/>
      <c r="N172" s="148"/>
      <c r="O172" s="147"/>
      <c r="P172" s="69" t="str">
        <f>IF(A8taxstdlife="n/a","n/a",IF(P$3&gt;(A8taxstdlife+$E172),(Input!$O$150-Input!$O$184)-SUM($O172:O172),(Input!$O$150-Input!$O$184)/A8taxstdlife))</f>
        <v>n/a</v>
      </c>
      <c r="Q172" s="69" t="str">
        <f>IF(A8taxstdlife="n/a","n/a",IF(Q$3&gt;(A8taxstdlife+$E172),(Input!$O$150-Input!$O$184)-SUM($O172:P172),(Input!$O$150-Input!$O$184)/A8taxstdlife))</f>
        <v>n/a</v>
      </c>
      <c r="R172" s="69"/>
      <c r="S172" s="103"/>
      <c r="T172" s="103"/>
      <c r="U172" s="103"/>
      <c r="V172" s="103"/>
      <c r="W172" s="103"/>
      <c r="X172" s="103"/>
      <c r="Y172" s="103"/>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198"/>
      <c r="BJ172" s="198"/>
      <c r="BK172" s="198"/>
      <c r="BL172" s="198"/>
      <c r="BM172" s="198"/>
      <c r="BN172" s="198"/>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idden="1" outlineLevel="2">
      <c r="A173" s="9"/>
      <c r="B173" s="9"/>
      <c r="C173" s="26"/>
      <c r="D173" s="392"/>
      <c r="E173" s="87">
        <v>9</v>
      </c>
      <c r="F173" s="27"/>
      <c r="G173" s="27"/>
      <c r="H173" s="146"/>
      <c r="I173" s="148"/>
      <c r="J173" s="148"/>
      <c r="K173" s="148"/>
      <c r="L173" s="148"/>
      <c r="M173" s="148"/>
      <c r="N173" s="148"/>
      <c r="O173" s="148"/>
      <c r="P173" s="147"/>
      <c r="Q173" s="69" t="str">
        <f>IF(A8taxstdlife="n/a","n/a",IF(Q$3&gt;(A8taxstdlife+$E173),(Input!$P$150-Input!$P$184)-SUM($P173:P173),(Input!$P$150-Input!$P$184)/A8taxstdlife))</f>
        <v>n/a</v>
      </c>
      <c r="R173" s="69"/>
      <c r="S173" s="103"/>
      <c r="T173" s="103"/>
      <c r="U173" s="103"/>
      <c r="V173" s="103"/>
      <c r="W173" s="103"/>
      <c r="X173" s="103"/>
      <c r="Y173" s="103"/>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198"/>
      <c r="BJ173" s="198"/>
      <c r="BK173" s="198"/>
      <c r="BL173" s="198"/>
      <c r="BM173" s="198"/>
      <c r="BN173" s="198"/>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idden="1" outlineLevel="2">
      <c r="A174" s="9"/>
      <c r="B174" s="9"/>
      <c r="C174" s="26"/>
      <c r="D174" s="392"/>
      <c r="E174" s="88">
        <v>10</v>
      </c>
      <c r="F174" s="27"/>
      <c r="G174" s="27"/>
      <c r="H174" s="146"/>
      <c r="I174" s="148"/>
      <c r="J174" s="148"/>
      <c r="K174" s="148"/>
      <c r="L174" s="148"/>
      <c r="M174" s="148"/>
      <c r="N174" s="148"/>
      <c r="O174" s="148"/>
      <c r="P174" s="148"/>
      <c r="Q174" s="147"/>
      <c r="R174" s="69"/>
      <c r="S174" s="103"/>
      <c r="T174" s="103"/>
      <c r="U174" s="103"/>
      <c r="V174" s="103"/>
      <c r="W174" s="103"/>
      <c r="X174" s="103"/>
      <c r="Y174" s="103"/>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198"/>
      <c r="BJ174" s="198"/>
      <c r="BK174" s="198"/>
      <c r="BL174" s="198"/>
      <c r="BM174" s="198"/>
      <c r="BN174" s="198"/>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71" t="str">
        <f>Asset8</f>
        <v>Inventory</v>
      </c>
      <c r="D175" s="9"/>
      <c r="E175" s="9"/>
      <c r="F175" s="23"/>
      <c r="G175" s="23"/>
      <c r="H175" s="297">
        <f>-SUM(H163:H174)</f>
        <v>0</v>
      </c>
      <c r="I175" s="161">
        <f>-SUM(I163:I174)</f>
        <v>0</v>
      </c>
      <c r="J175" s="161">
        <f>-SUM(J163:J174)</f>
        <v>0</v>
      </c>
      <c r="K175" s="161">
        <f>-SUM(K163:K174)</f>
        <v>0</v>
      </c>
      <c r="L175" s="161">
        <f>-SUM(L163:L174)</f>
        <v>0</v>
      </c>
      <c r="M175" s="161">
        <f>IF(COUNT($H175:L175)&gt;=Input!$Y$7,0, -SUM(M163:M174))</f>
        <v>0</v>
      </c>
      <c r="N175" s="161">
        <f>IF(COUNT($H175:M175)&gt;=Input!$Y$7,0, -SUM(N163:N174))</f>
        <v>0</v>
      </c>
      <c r="O175" s="161">
        <f>IF(COUNT($H175:N175)&gt;=Input!$Y$7,0, -SUM(O163:O174))</f>
        <v>0</v>
      </c>
      <c r="P175" s="161">
        <f>IF(COUNT($H175:O175)&gt;=Input!$Y$7,0, -SUM(P163:P174))</f>
        <v>0</v>
      </c>
      <c r="Q175" s="161">
        <f>IF(COUNT($H175:P175)&gt;=Input!$Y$7,0, -SUM(Q163:Q174))</f>
        <v>0</v>
      </c>
      <c r="R175" s="161"/>
      <c r="S175" s="102"/>
      <c r="T175" s="102"/>
      <c r="U175" s="102"/>
      <c r="V175" s="102"/>
      <c r="W175" s="102"/>
      <c r="X175" s="102"/>
      <c r="Y175" s="102"/>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198"/>
      <c r="BJ175" s="198"/>
      <c r="BK175" s="198"/>
      <c r="BL175" s="198"/>
      <c r="BM175" s="198"/>
      <c r="BN175" s="198"/>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idden="1" outlineLevel="2">
      <c r="A176" s="9"/>
      <c r="B176" s="272" t="str">
        <f>Asset9</f>
        <v>IT</v>
      </c>
      <c r="C176" s="31"/>
      <c r="D176" s="32" t="s">
        <v>66</v>
      </c>
      <c r="E176" s="31"/>
      <c r="F176" s="300"/>
      <c r="G176" s="300"/>
      <c r="H176" s="68">
        <f>IF(H$3&gt;A9taxremlife,A9taxvalue-SUM($F176:F176),IF(A9taxremlife="N/A","n/a",A9taxvalue/A9taxremlife))</f>
        <v>4.5692391189931678</v>
      </c>
      <c r="I176" s="68">
        <f>IF(I$3&gt;A9taxremlife,A9taxvalue-SUM($F176:H176),IF(A9taxremlife="N/A","n/a",A9taxvalue/A9taxremlife))</f>
        <v>4.5692391189931678</v>
      </c>
      <c r="J176" s="68">
        <f>IF(J$3&gt;A9taxremlife,A9taxvalue-SUM($F176:I176),IF(A9taxremlife="N/A","n/a",A9taxvalue/A9taxremlife))</f>
        <v>4.5692391189931678</v>
      </c>
      <c r="K176" s="68">
        <f>IF(K$3&gt;A9taxremlife,A9taxvalue-SUM($F176:J176),IF(A9taxremlife="N/A","n/a",A9taxvalue/A9taxremlife))</f>
        <v>4.5692391189931678</v>
      </c>
      <c r="L176" s="68">
        <f>IF(L$3&gt;A9taxremlife,A9taxvalue-SUM($F176:K176),IF(A9taxremlife="N/A","n/a",A9taxvalue/A9taxremlife))</f>
        <v>4.5692391189931678</v>
      </c>
      <c r="M176" s="68">
        <f>IF(M$3&gt;A9taxremlife,A9taxvalue-SUM($F176:L176),IF(A9taxremlife="N/A","n/a",A9taxvalue/A9taxremlife))</f>
        <v>4.5692391189931678</v>
      </c>
      <c r="N176" s="68">
        <f>IF(N$3&gt;A9taxremlife,A9taxvalue-SUM($F176:M176),IF(A9taxremlife="N/A","n/a",A9taxvalue/A9taxremlife))</f>
        <v>4.5692391189931678</v>
      </c>
      <c r="O176" s="68">
        <f>IF(O$3&gt;A9taxremlife,A9taxvalue-SUM($F176:N176),IF(A9taxremlife="N/A","n/a",A9taxvalue/A9taxremlife))</f>
        <v>2.7315613105488872</v>
      </c>
      <c r="P176" s="68">
        <f>IF(P$3&gt;A9taxremlife,A9taxvalue-SUM($F176:O176),IF(A9taxremlife="N/A","n/a",A9taxvalue/A9taxremlife))</f>
        <v>0</v>
      </c>
      <c r="Q176" s="68">
        <f>IF(Q$3&gt;A9taxremlife,A9taxvalue-SUM($F176:P176),IF(A9taxremlife="N/A","n/a",A9taxvalue/A9taxremlife))</f>
        <v>0</v>
      </c>
      <c r="R176" s="68"/>
      <c r="S176" s="103"/>
      <c r="T176" s="103"/>
      <c r="U176" s="103"/>
      <c r="V176" s="103"/>
      <c r="W176" s="103"/>
      <c r="X176" s="103"/>
      <c r="Y176" s="103"/>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198"/>
      <c r="BJ176" s="198"/>
      <c r="BK176" s="198"/>
      <c r="BL176" s="198"/>
      <c r="BM176" s="198"/>
      <c r="BN176" s="198"/>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6"/>
      <c r="D177" s="391" t="s">
        <v>82</v>
      </c>
      <c r="E177" s="87"/>
      <c r="F177" s="27"/>
      <c r="G177" s="27"/>
      <c r="H177" s="103"/>
      <c r="I177" s="69"/>
      <c r="J177" s="69"/>
      <c r="K177" s="69"/>
      <c r="L177" s="69"/>
      <c r="M177" s="69"/>
      <c r="N177" s="69"/>
      <c r="O177" s="69"/>
      <c r="P177" s="69"/>
      <c r="Q177" s="69"/>
      <c r="R177" s="69"/>
      <c r="S177" s="103"/>
      <c r="T177" s="103"/>
      <c r="U177" s="103"/>
      <c r="V177" s="103"/>
      <c r="W177" s="103"/>
      <c r="X177" s="103"/>
      <c r="Y177" s="103"/>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198"/>
      <c r="BJ177" s="198"/>
      <c r="BK177" s="198"/>
      <c r="BL177" s="198"/>
      <c r="BM177" s="198"/>
      <c r="BN177" s="198"/>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idden="1" outlineLevel="2">
      <c r="A178" s="9"/>
      <c r="B178" s="9"/>
      <c r="C178" s="26"/>
      <c r="D178" s="392"/>
      <c r="E178" s="87">
        <v>1</v>
      </c>
      <c r="F178" s="27"/>
      <c r="G178" s="27"/>
      <c r="H178" s="145"/>
      <c r="I178" s="69">
        <f>IF(A9taxstdlife="n/a","n/a",IF(I$3&gt;(A9taxstdlife+$E178),(Input!$H$151-Input!$H$185)-SUM($H178:H178),(Input!$H$151-Input!$H$185)/A9taxstdlife))</f>
        <v>0.74120701428571412</v>
      </c>
      <c r="J178" s="69">
        <f>IF(A9taxstdlife="n/a","n/a",IF(J$3&gt;(A9taxstdlife+$E178),(Input!$H$151-Input!$H$185)-SUM($H178:I178),(Input!$H$151-Input!$H$185)/A9taxstdlife))</f>
        <v>0.74120701428571412</v>
      </c>
      <c r="K178" s="69">
        <f>IF(A9taxstdlife="n/a","n/a",IF(K$3&gt;(A9taxstdlife+$E178),(Input!$H$151-Input!$H$185)-SUM($H178:J178),(Input!$H$151-Input!$H$185)/A9taxstdlife))</f>
        <v>0.74120701428571412</v>
      </c>
      <c r="L178" s="69">
        <f>IF(A9taxstdlife="n/a","n/a",IF(L$3&gt;(A9taxstdlife+$E178),(Input!$H$151-Input!$H$185)-SUM($H178:K178),(Input!$H$151-Input!$H$185)/A9taxstdlife))</f>
        <v>0.37060350714285706</v>
      </c>
      <c r="M178" s="69">
        <f>IF(A9taxstdlife="n/a","n/a",IF(M$3&gt;(A9taxstdlife+$E178),(Input!$H$151-Input!$H$185)-SUM($H178:L178),(Input!$H$151-Input!$H$185)/A9taxstdlife))</f>
        <v>0</v>
      </c>
      <c r="N178" s="69">
        <f>IF(A9taxstdlife="n/a","n/a",IF(N$3&gt;(A9taxstdlife+$E178),(Input!$H$151-Input!$H$185)-SUM($H178:M178),(Input!$H$151-Input!$H$185)/A9taxstdlife))</f>
        <v>0</v>
      </c>
      <c r="O178" s="69">
        <f>IF(A9taxstdlife="n/a","n/a",IF(O$3&gt;(A9taxstdlife+$E178),(Input!$H$151-Input!$H$185)-SUM($H178:N178),(Input!$H$151-Input!$H$185)/A9taxstdlife))</f>
        <v>0</v>
      </c>
      <c r="P178" s="69">
        <f>IF(A9taxstdlife="n/a","n/a",IF(P$3&gt;(A9taxstdlife+$E178),(Input!$H$151-Input!$H$185)-SUM($H178:O178),(Input!$H$151-Input!$H$185)/A9taxstdlife))</f>
        <v>0</v>
      </c>
      <c r="Q178" s="69">
        <f>IF(A9taxstdlife="n/a","n/a",IF(Q$3&gt;(A9taxstdlife+$E178),(Input!$H$151-Input!$H$185)-SUM($H178:P178),(Input!$H$151-Input!$H$185)/A9taxstdlife))</f>
        <v>0</v>
      </c>
      <c r="R178" s="69"/>
      <c r="S178" s="103"/>
      <c r="T178" s="103"/>
      <c r="U178" s="103"/>
      <c r="V178" s="103"/>
      <c r="W178" s="103"/>
      <c r="X178" s="103"/>
      <c r="Y178" s="103"/>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198"/>
      <c r="BJ178" s="198"/>
      <c r="BK178" s="198"/>
      <c r="BL178" s="198"/>
      <c r="BM178" s="198"/>
      <c r="BN178" s="19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idden="1" outlineLevel="2">
      <c r="A179" s="9"/>
      <c r="B179" s="9"/>
      <c r="C179" s="26"/>
      <c r="D179" s="392"/>
      <c r="E179" s="87">
        <v>2</v>
      </c>
      <c r="F179" s="27"/>
      <c r="G179" s="27"/>
      <c r="H179" s="146"/>
      <c r="I179" s="147"/>
      <c r="J179" s="69">
        <f>IF(A9taxstdlife="n/a","n/a",IF(J$3&gt;(A9taxstdlife+$E179),(Input!$I$151-Input!$I$185)-SUM($I179:I179),(Input!$I$151-Input!$I$185)/A9taxstdlife))</f>
        <v>3.4626902943142741</v>
      </c>
      <c r="K179" s="69">
        <f>IF(A9taxstdlife="n/a","n/a",IF(K$3&gt;(A9taxstdlife+$E179),(Input!$I$151-Input!$I$185)-SUM($I179:J179),(Input!$I$151-Input!$I$185)/A9taxstdlife))</f>
        <v>3.4626902943142741</v>
      </c>
      <c r="L179" s="69">
        <f>IF(A9taxstdlife="n/a","n/a",IF(L$3&gt;(A9taxstdlife+$E179),(Input!$I$151-Input!$I$185)-SUM($I179:K179),(Input!$I$151-Input!$I$185)/A9taxstdlife))</f>
        <v>3.4626902943142741</v>
      </c>
      <c r="M179" s="69">
        <f>IF(A9taxstdlife="n/a","n/a",IF(M$3&gt;(A9taxstdlife+$E179),(Input!$I$151-Input!$I$185)-SUM($I179:L179),(Input!$I$151-Input!$I$185)/A9taxstdlife))</f>
        <v>1.7313451471571373</v>
      </c>
      <c r="N179" s="69">
        <f>IF(A9taxstdlife="n/a","n/a",IF(N$3&gt;(A9taxstdlife+$E179),(Input!$I$151-Input!$I$185)-SUM($I179:M179),(Input!$I$151-Input!$I$185)/A9taxstdlife))</f>
        <v>0</v>
      </c>
      <c r="O179" s="69">
        <f>IF(A9taxstdlife="n/a","n/a",IF(O$3&gt;(A9taxstdlife+$E179),(Input!$I$151-Input!$I$185)-SUM($I179:N179),(Input!$I$151-Input!$I$185)/A9taxstdlife))</f>
        <v>0</v>
      </c>
      <c r="P179" s="69">
        <f>IF(A9taxstdlife="n/a","n/a",IF(P$3&gt;(A9taxstdlife+$E179),(Input!$I$151-Input!$I$185)-SUM($I179:O179),(Input!$I$151-Input!$I$185)/A9taxstdlife))</f>
        <v>0</v>
      </c>
      <c r="Q179" s="69">
        <f>IF(A9taxstdlife="n/a","n/a",IF(Q$3&gt;(A9taxstdlife+$E179),(Input!$I$151-Input!$I$185)-SUM($I179:P179),(Input!$I$151-Input!$I$185)/A9taxstdlife))</f>
        <v>0</v>
      </c>
      <c r="R179" s="69"/>
      <c r="S179" s="103"/>
      <c r="T179" s="103"/>
      <c r="U179" s="103"/>
      <c r="V179" s="103"/>
      <c r="W179" s="103"/>
      <c r="X179" s="103"/>
      <c r="Y179" s="103"/>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198"/>
      <c r="BJ179" s="198"/>
      <c r="BK179" s="198"/>
      <c r="BL179" s="198"/>
      <c r="BM179" s="198"/>
      <c r="BN179" s="198"/>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idden="1" outlineLevel="2">
      <c r="A180" s="9"/>
      <c r="B180" s="9"/>
      <c r="C180" s="26"/>
      <c r="D180" s="392"/>
      <c r="E180" s="87">
        <v>3</v>
      </c>
      <c r="F180" s="27"/>
      <c r="G180" s="27"/>
      <c r="H180" s="146"/>
      <c r="I180" s="148"/>
      <c r="J180" s="147"/>
      <c r="K180" s="69">
        <f>IF(A9taxstdlife="n/a","n/a",IF(K$3&gt;(A9taxstdlife+$E180),(Input!$J$151-Input!$J$185)-SUM($J180:J180),(Input!$J$151-Input!$J$185)/A9taxstdlife))</f>
        <v>1.4176543628571372</v>
      </c>
      <c r="L180" s="69">
        <f>IF(A9taxstdlife="n/a","n/a",IF(L$3&gt;(A9taxstdlife+$E180),(Input!$J$151-Input!$J$185)-SUM($J180:K180),(Input!$J$151-Input!$J$185)/A9taxstdlife))</f>
        <v>1.4176543628571372</v>
      </c>
      <c r="M180" s="69">
        <f>IF(A9taxstdlife="n/a","n/a",IF(M$3&gt;(A9taxstdlife+$E180),(Input!$J$151-Input!$J$185)-SUM($J180:L180),(Input!$J$151-Input!$J$185)/A9taxstdlife))</f>
        <v>1.4176543628571372</v>
      </c>
      <c r="N180" s="69">
        <f>IF(A9taxstdlife="n/a","n/a",IF(N$3&gt;(A9taxstdlife+$E180),(Input!$J$151-Input!$J$185)-SUM($J180:M180),(Input!$J$151-Input!$J$185)/A9taxstdlife))</f>
        <v>0.70882718142856849</v>
      </c>
      <c r="O180" s="69">
        <f>IF(A9taxstdlife="n/a","n/a",IF(O$3&gt;(A9taxstdlife+$E180),(Input!$J$151-Input!$J$185)-SUM($J180:N180),(Input!$J$151-Input!$J$185)/A9taxstdlife))</f>
        <v>0</v>
      </c>
      <c r="P180" s="69">
        <f>IF(A9taxstdlife="n/a","n/a",IF(P$3&gt;(A9taxstdlife+$E180),(Input!$J$151-Input!$J$185)-SUM($J180:O180),(Input!$J$151-Input!$J$185)/A9taxstdlife))</f>
        <v>0</v>
      </c>
      <c r="Q180" s="69">
        <f>IF(A9taxstdlife="n/a","n/a",IF(Q$3&gt;(A9taxstdlife+$E180),(Input!$J$151-Input!$J$185)-SUM($J180:P180),(Input!$J$151-Input!$J$185)/A9taxstdlife))</f>
        <v>0</v>
      </c>
      <c r="R180" s="69"/>
      <c r="S180" s="103"/>
      <c r="T180" s="103"/>
      <c r="U180" s="103"/>
      <c r="V180" s="103"/>
      <c r="W180" s="103"/>
      <c r="X180" s="103"/>
      <c r="Y180" s="103"/>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198"/>
      <c r="BJ180" s="198"/>
      <c r="BK180" s="198"/>
      <c r="BL180" s="198"/>
      <c r="BM180" s="198"/>
      <c r="BN180" s="198"/>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idden="1" outlineLevel="2">
      <c r="A181" s="9"/>
      <c r="B181" s="9"/>
      <c r="C181" s="26"/>
      <c r="D181" s="392"/>
      <c r="E181" s="87">
        <v>4</v>
      </c>
      <c r="F181" s="27"/>
      <c r="G181" s="27"/>
      <c r="H181" s="146"/>
      <c r="I181" s="148"/>
      <c r="J181" s="148"/>
      <c r="K181" s="147"/>
      <c r="L181" s="69">
        <f>IF(A9taxstdlife="n/a","n/a",IF(L$3&gt;(A9taxstdlife+$E181),(Input!$K$151-Input!$K$185)-SUM($K181:K181),(Input!$K$151-Input!$K$185)/A9taxstdlife))</f>
        <v>2.2824629057142856</v>
      </c>
      <c r="M181" s="69">
        <f>IF(A9taxstdlife="n/a","n/a",IF(M$3&gt;(A9taxstdlife+$E181),(Input!$K$151-Input!$K$185)-SUM($K181:L181),(Input!$K$151-Input!$K$185)/A9taxstdlife))</f>
        <v>2.2824629057142856</v>
      </c>
      <c r="N181" s="69">
        <f>IF(A9taxstdlife="n/a","n/a",IF(N$3&gt;(A9taxstdlife+$E181),(Input!$K$151-Input!$K$185)-SUM($K181:M181),(Input!$K$151-Input!$K$185)/A9taxstdlife))</f>
        <v>2.2824629057142856</v>
      </c>
      <c r="O181" s="69">
        <f>IF(A9taxstdlife="n/a","n/a",IF(O$3&gt;(A9taxstdlife+$E181),(Input!$K$151-Input!$K$185)-SUM($K181:N181),(Input!$K$151-Input!$K$185)/A9taxstdlife))</f>
        <v>1.1412314528571432</v>
      </c>
      <c r="P181" s="69">
        <f>IF(A9taxstdlife="n/a","n/a",IF(P$3&gt;(A9taxstdlife+$E181),(Input!$K$151-Input!$K$185)-SUM($K181:O181),(Input!$K$151-Input!$K$185)/A9taxstdlife))</f>
        <v>0</v>
      </c>
      <c r="Q181" s="69">
        <f>IF(A9taxstdlife="n/a","n/a",IF(Q$3&gt;(A9taxstdlife+$E181),(Input!$K$151-Input!$K$185)-SUM($K181:P181),(Input!$K$151-Input!$K$185)/A9taxstdlife))</f>
        <v>0</v>
      </c>
      <c r="R181" s="69"/>
      <c r="S181" s="103"/>
      <c r="T181" s="103"/>
      <c r="U181" s="103"/>
      <c r="V181" s="103"/>
      <c r="W181" s="103"/>
      <c r="X181" s="103"/>
      <c r="Y181" s="103"/>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198"/>
      <c r="BJ181" s="198"/>
      <c r="BK181" s="198"/>
      <c r="BL181" s="198"/>
      <c r="BM181" s="198"/>
      <c r="BN181" s="198"/>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idden="1" outlineLevel="2">
      <c r="A182" s="9"/>
      <c r="B182" s="9"/>
      <c r="C182" s="26"/>
      <c r="D182" s="392"/>
      <c r="E182" s="87">
        <v>5</v>
      </c>
      <c r="F182" s="27"/>
      <c r="G182" s="27"/>
      <c r="H182" s="146"/>
      <c r="I182" s="148"/>
      <c r="J182" s="148"/>
      <c r="K182" s="148"/>
      <c r="L182" s="147"/>
      <c r="M182" s="69">
        <f>IF(A9taxstdlife="n/a","n/a",IF(M$3&gt;(A9taxstdlife+$E182),(Input!$L$151-Input!$L$185)-SUM($L182:L182),(Input!$L$151-Input!$L$185)/A9taxstdlife))</f>
        <v>4.8</v>
      </c>
      <c r="N182" s="69">
        <f>IF(A9taxstdlife="n/a","n/a",IF(N$3&gt;(A9taxstdlife+$E182),(Input!$L$151-Input!$L$185)-SUM($L182:M182),(Input!$L$151-Input!$L$185)/A9taxstdlife))</f>
        <v>4.8</v>
      </c>
      <c r="O182" s="69">
        <f>IF(A9taxstdlife="n/a","n/a",IF(O$3&gt;(A9taxstdlife+$E182),(Input!$L$151-Input!$L$185)-SUM($L182:N182),(Input!$L$151-Input!$L$185)/A9taxstdlife))</f>
        <v>4.8</v>
      </c>
      <c r="P182" s="69">
        <f>IF(A9taxstdlife="n/a","n/a",IF(P$3&gt;(A9taxstdlife+$E182),(Input!$L$151-Input!$L$185)-SUM($L182:O182),(Input!$L$151-Input!$L$185)/A9taxstdlife))</f>
        <v>2.4000000000000021</v>
      </c>
      <c r="Q182" s="69">
        <f>IF(A9taxstdlife="n/a","n/a",IF(Q$3&gt;(A9taxstdlife+$E182),(Input!$L$151-Input!$L$185)-SUM($L182:P182),(Input!$L$151-Input!$L$185)/A9taxstdlife))</f>
        <v>0</v>
      </c>
      <c r="R182" s="69"/>
      <c r="S182" s="103"/>
      <c r="T182" s="103"/>
      <c r="U182" s="103"/>
      <c r="V182" s="103"/>
      <c r="W182" s="103"/>
      <c r="X182" s="103"/>
      <c r="Y182" s="103"/>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9"/>
      <c r="BJ182" s="198"/>
      <c r="BK182" s="198"/>
      <c r="BL182" s="198"/>
      <c r="BM182" s="198"/>
      <c r="BN182" s="198"/>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idden="1" outlineLevel="2">
      <c r="A183" s="9"/>
      <c r="B183" s="9"/>
      <c r="C183" s="26"/>
      <c r="D183" s="392"/>
      <c r="E183" s="87">
        <v>6</v>
      </c>
      <c r="F183" s="27"/>
      <c r="G183" s="27"/>
      <c r="H183" s="146"/>
      <c r="I183" s="148"/>
      <c r="J183" s="148"/>
      <c r="K183" s="148"/>
      <c r="L183" s="148"/>
      <c r="M183" s="147"/>
      <c r="N183" s="69">
        <f>IF(A9taxstdlife="n/a","n/a",IF(N$3&gt;(A9taxstdlife+$E183),(Input!$M$151-Input!$M$185)-SUM($M183:M183),(Input!$M$151-Input!$M$185)/A9taxstdlife))</f>
        <v>5.0088336673346694</v>
      </c>
      <c r="O183" s="69">
        <f>IF(A9taxstdlife="n/a","n/a",IF(O$3&gt;(A9taxstdlife+$E183),(Input!$M$151-Input!$M$185)-SUM($M183:N183),(Input!$M$151-Input!$M$185)/A9taxstdlife))</f>
        <v>5.0088336673346694</v>
      </c>
      <c r="P183" s="69">
        <f>IF(A9taxstdlife="n/a","n/a",IF(P$3&gt;(A9taxstdlife+$E183),(Input!$M$151-Input!$M$185)-SUM($M183:O183),(Input!$M$151-Input!$M$185)/A9taxstdlife))</f>
        <v>5.0088336673346694</v>
      </c>
      <c r="Q183" s="69">
        <f>IF(A9taxstdlife="n/a","n/a",IF(Q$3&gt;(A9taxstdlife+$E183),(Input!$M$151-Input!$M$185)-SUM($M183:P183),(Input!$M$151-Input!$M$185)/A9taxstdlife))</f>
        <v>2.5044168336673351</v>
      </c>
      <c r="R183" s="69"/>
      <c r="S183" s="103"/>
      <c r="T183" s="103"/>
      <c r="U183" s="103"/>
      <c r="V183" s="103"/>
      <c r="W183" s="103"/>
      <c r="X183" s="103"/>
      <c r="Y183" s="103"/>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198"/>
      <c r="BJ183" s="198"/>
      <c r="BK183" s="198"/>
      <c r="BL183" s="198"/>
      <c r="BM183" s="198"/>
      <c r="BN183" s="198"/>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idden="1" outlineLevel="2">
      <c r="A184" s="9"/>
      <c r="B184" s="9"/>
      <c r="C184" s="26"/>
      <c r="D184" s="392"/>
      <c r="E184" s="87">
        <v>7</v>
      </c>
      <c r="F184" s="27"/>
      <c r="G184" s="27"/>
      <c r="H184" s="146"/>
      <c r="I184" s="148"/>
      <c r="J184" s="148"/>
      <c r="K184" s="148"/>
      <c r="L184" s="148"/>
      <c r="M184" s="148"/>
      <c r="N184" s="147"/>
      <c r="O184" s="69">
        <f>IF(A9taxstdlife="n/a","n/a",IF(O$3&gt;(A9taxstdlife+$E184),(Input!$N$151-Input!$N$185)-SUM($N184:N184),(Input!$N$151-Input!$N$185)/A9taxstdlife))</f>
        <v>0</v>
      </c>
      <c r="P184" s="69">
        <f>IF(A9taxstdlife="n/a","n/a",IF(P$3&gt;(A9taxstdlife+$E184),(Input!$N$151-Input!$N$185)-SUM($N184:O184),(Input!$N$151-Input!$N$185)/A9taxstdlife))</f>
        <v>0</v>
      </c>
      <c r="Q184" s="69">
        <f>IF(A9taxstdlife="n/a","n/a",IF(Q$3&gt;(A9taxstdlife+$E184),(Input!$N$151-Input!$N$185)-SUM($N184:P184),(Input!$N$151-Input!$N$185)/A9taxstdlife))</f>
        <v>0</v>
      </c>
      <c r="R184" s="69"/>
      <c r="S184" s="103"/>
      <c r="T184" s="103"/>
      <c r="U184" s="103"/>
      <c r="V184" s="103"/>
      <c r="W184" s="103"/>
      <c r="X184" s="103"/>
      <c r="Y184" s="103"/>
      <c r="Z184" s="217"/>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198"/>
      <c r="BJ184" s="198"/>
      <c r="BK184" s="198"/>
      <c r="BL184" s="198"/>
      <c r="BM184" s="198"/>
      <c r="BN184" s="198"/>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idden="1" outlineLevel="2">
      <c r="A185" s="9"/>
      <c r="B185" s="9"/>
      <c r="C185" s="26"/>
      <c r="D185" s="392"/>
      <c r="E185" s="87">
        <v>8</v>
      </c>
      <c r="F185" s="27"/>
      <c r="G185" s="27"/>
      <c r="H185" s="146"/>
      <c r="I185" s="148"/>
      <c r="J185" s="148"/>
      <c r="K185" s="148"/>
      <c r="L185" s="148"/>
      <c r="M185" s="148"/>
      <c r="N185" s="148"/>
      <c r="O185" s="147"/>
      <c r="P185" s="69">
        <f>IF(A9taxstdlife="n/a","n/a",IF(P$3&gt;(A9taxstdlife+$E185),(Input!$O$151-Input!$O$185)-SUM($O185:O185),(Input!$O$151-Input!$O$185)/A9taxstdlife))</f>
        <v>0</v>
      </c>
      <c r="Q185" s="69">
        <f>IF(A9taxstdlife="n/a","n/a",IF(Q$3&gt;(A9taxstdlife+$E185),(Input!$O$151-Input!$O$185)-SUM($O185:P185),(Input!$O$151-Input!$O$185)/A9taxstdlife))</f>
        <v>0</v>
      </c>
      <c r="R185" s="69"/>
      <c r="S185" s="103"/>
      <c r="T185" s="103"/>
      <c r="U185" s="103"/>
      <c r="V185" s="103"/>
      <c r="W185" s="103"/>
      <c r="X185" s="103"/>
      <c r="Y185" s="103"/>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198"/>
      <c r="BJ185" s="198"/>
      <c r="BK185" s="198"/>
      <c r="BL185" s="198"/>
      <c r="BM185" s="198"/>
      <c r="BN185" s="198"/>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idden="1" outlineLevel="2">
      <c r="A186" s="9"/>
      <c r="B186" s="9"/>
      <c r="C186" s="26"/>
      <c r="D186" s="392"/>
      <c r="E186" s="87">
        <v>9</v>
      </c>
      <c r="F186" s="27"/>
      <c r="G186" s="27"/>
      <c r="H186" s="146"/>
      <c r="I186" s="148"/>
      <c r="J186" s="148"/>
      <c r="K186" s="148"/>
      <c r="L186" s="148"/>
      <c r="M186" s="148"/>
      <c r="N186" s="148"/>
      <c r="O186" s="148"/>
      <c r="P186" s="147"/>
      <c r="Q186" s="69">
        <f>IF(A9taxstdlife="n/a","n/a",IF(Q$3&gt;(A9taxstdlife+$E186),(Input!$P$151-Input!$P$185)-SUM($P186:P186),(Input!$P$151-Input!$P$185)/A9taxstdlife))</f>
        <v>0</v>
      </c>
      <c r="R186" s="69"/>
      <c r="S186" s="103"/>
      <c r="T186" s="103"/>
      <c r="U186" s="103"/>
      <c r="V186" s="103"/>
      <c r="W186" s="103"/>
      <c r="X186" s="103"/>
      <c r="Y186" s="103"/>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198"/>
      <c r="BJ186" s="198"/>
      <c r="BK186" s="198"/>
      <c r="BL186" s="198"/>
      <c r="BM186" s="198"/>
      <c r="BN186" s="198"/>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idden="1" outlineLevel="2">
      <c r="A187" s="9"/>
      <c r="B187" s="9"/>
      <c r="C187" s="26"/>
      <c r="D187" s="392"/>
      <c r="E187" s="88">
        <v>10</v>
      </c>
      <c r="F187" s="27"/>
      <c r="G187" s="27"/>
      <c r="H187" s="146"/>
      <c r="I187" s="148"/>
      <c r="J187" s="148"/>
      <c r="K187" s="148"/>
      <c r="L187" s="148"/>
      <c r="M187" s="148"/>
      <c r="N187" s="148"/>
      <c r="O187" s="148"/>
      <c r="P187" s="148"/>
      <c r="Q187" s="147"/>
      <c r="R187" s="69"/>
      <c r="S187" s="103"/>
      <c r="T187" s="103"/>
      <c r="U187" s="103"/>
      <c r="V187" s="103"/>
      <c r="W187" s="103"/>
      <c r="X187" s="103"/>
      <c r="Y187" s="103"/>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198"/>
      <c r="BJ187" s="198"/>
      <c r="BK187" s="198"/>
      <c r="BL187" s="198"/>
      <c r="BM187" s="198"/>
      <c r="BN187" s="198"/>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idden="1" outlineLevel="1" collapsed="1">
      <c r="A188" s="9"/>
      <c r="B188" s="9"/>
      <c r="C188" s="271" t="str">
        <f>Asset9</f>
        <v>IT</v>
      </c>
      <c r="D188" s="9"/>
      <c r="E188" s="9"/>
      <c r="F188" s="23"/>
      <c r="G188" s="23"/>
      <c r="H188" s="297">
        <f>-SUM(H176:H187)</f>
        <v>-4.5692391189931678</v>
      </c>
      <c r="I188" s="161">
        <f>-SUM(I176:I187)</f>
        <v>-5.3104461332788819</v>
      </c>
      <c r="J188" s="161">
        <f>-SUM(J176:J187)</f>
        <v>-8.7731364275931565</v>
      </c>
      <c r="K188" s="161">
        <f>-SUM(K176:K187)</f>
        <v>-10.190790790450293</v>
      </c>
      <c r="L188" s="161">
        <f>-SUM(L176:L187)</f>
        <v>-12.102650189021723</v>
      </c>
      <c r="M188" s="161">
        <f>IF(COUNT($H188:L188)&gt;=Input!$Y$7,0, -SUM(M176:M187))</f>
        <v>-14.800701534721728</v>
      </c>
      <c r="N188" s="161">
        <f>IF(COUNT($H188:M188)&gt;=Input!$Y$7,0, -SUM(N176:N187))</f>
        <v>0</v>
      </c>
      <c r="O188" s="161">
        <f>IF(COUNT($H188:N188)&gt;=Input!$Y$7,0, -SUM(O176:O187))</f>
        <v>0</v>
      </c>
      <c r="P188" s="161">
        <f>IF(COUNT($H188:O188)&gt;=Input!$Y$7,0, -SUM(P176:P187))</f>
        <v>0</v>
      </c>
      <c r="Q188" s="161">
        <f>IF(COUNT($H188:P188)&gt;=Input!$Y$7,0, -SUM(Q176:Q187))</f>
        <v>0</v>
      </c>
      <c r="R188" s="161"/>
      <c r="S188" s="102"/>
      <c r="T188" s="102"/>
      <c r="U188" s="102"/>
      <c r="V188" s="102"/>
      <c r="W188" s="102"/>
      <c r="X188" s="102"/>
      <c r="Y188" s="102"/>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98"/>
      <c r="BJ188" s="198"/>
      <c r="BK188" s="198"/>
      <c r="BL188" s="198"/>
      <c r="BM188" s="198"/>
      <c r="BN188" s="19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idden="1" outlineLevel="2">
      <c r="A189" s="9"/>
      <c r="B189" s="272" t="str">
        <f>Asset10</f>
        <v>Vehicles</v>
      </c>
      <c r="C189" s="31"/>
      <c r="D189" s="32" t="s">
        <v>66</v>
      </c>
      <c r="E189" s="31"/>
      <c r="F189" s="300"/>
      <c r="G189" s="300"/>
      <c r="H189" s="68">
        <f>IF(H$3&gt;A10taxremlife,A10taxvalue-SUM($F189:F189),IF(A10taxremlife="N/A","n/a",A10taxvalue/A10taxremlife))</f>
        <v>0.5913261995599578</v>
      </c>
      <c r="I189" s="68">
        <f>IF(I$3&gt;A10taxremlife,A10taxvalue-SUM($F189:H189),IF(A10taxremlife="N/A","n/a",A10taxvalue/A10taxremlife))</f>
        <v>0.5913261995599578</v>
      </c>
      <c r="J189" s="68">
        <f>IF(J$3&gt;A10taxremlife,A10taxvalue-SUM($F189:I189),IF(A10taxremlife="N/A","n/a",A10taxvalue/A10taxremlife))</f>
        <v>0.5913261995599578</v>
      </c>
      <c r="K189" s="68">
        <f>IF(K$3&gt;A10taxremlife,A10taxvalue-SUM($F189:J189),IF(A10taxremlife="N/A","n/a",A10taxvalue/A10taxremlife))</f>
        <v>0.5913261995599578</v>
      </c>
      <c r="L189" s="68">
        <f>IF(L$3&gt;A10taxremlife,A10taxvalue-SUM($F189:K189),IF(A10taxremlife="N/A","n/a",A10taxvalue/A10taxremlife))</f>
        <v>0.5913261995599578</v>
      </c>
      <c r="M189" s="68">
        <f>IF(M$3&gt;A10taxremlife,A10taxvalue-SUM($F189:L189),IF(A10taxremlife="N/A","n/a",A10taxvalue/A10taxremlife))</f>
        <v>0.5913261995599578</v>
      </c>
      <c r="N189" s="68">
        <f>IF(N$3&gt;A10taxremlife,A10taxvalue-SUM($F189:M189),IF(A10taxremlife="N/A","n/a",A10taxvalue/A10taxremlife))</f>
        <v>0.38529635225527503</v>
      </c>
      <c r="O189" s="68">
        <f>IF(O$3&gt;A10taxremlife,A10taxvalue-SUM($F189:N189),IF(A10taxremlife="N/A","n/a",A10taxvalue/A10taxremlife))</f>
        <v>0</v>
      </c>
      <c r="P189" s="68">
        <f>IF(P$3&gt;A10taxremlife,A10taxvalue-SUM($F189:O189),IF(A10taxremlife="N/A","n/a",A10taxvalue/A10taxremlife))</f>
        <v>0</v>
      </c>
      <c r="Q189" s="68">
        <f>IF(Q$3&gt;A10taxremlife,A10taxvalue-SUM($F189:P189),IF(A10taxremlife="N/A","n/a",A10taxvalue/A10taxremlife))</f>
        <v>0</v>
      </c>
      <c r="R189" s="68"/>
      <c r="S189" s="103"/>
      <c r="T189" s="103"/>
      <c r="U189" s="103"/>
      <c r="V189" s="103"/>
      <c r="W189" s="103"/>
      <c r="X189" s="103"/>
      <c r="Y189" s="103"/>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198"/>
      <c r="BJ189" s="198"/>
      <c r="BK189" s="198"/>
      <c r="BL189" s="198"/>
      <c r="BM189" s="198"/>
      <c r="BN189" s="198"/>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6"/>
      <c r="D190" s="391" t="s">
        <v>82</v>
      </c>
      <c r="E190" s="87"/>
      <c r="F190" s="27"/>
      <c r="G190" s="27"/>
      <c r="H190" s="103"/>
      <c r="I190" s="69"/>
      <c r="J190" s="69"/>
      <c r="K190" s="69"/>
      <c r="L190" s="69"/>
      <c r="M190" s="69"/>
      <c r="N190" s="69"/>
      <c r="O190" s="69"/>
      <c r="P190" s="69"/>
      <c r="Q190" s="69"/>
      <c r="R190" s="69"/>
      <c r="S190" s="103"/>
      <c r="T190" s="103"/>
      <c r="U190" s="103"/>
      <c r="V190" s="103"/>
      <c r="W190" s="103"/>
      <c r="X190" s="103"/>
      <c r="Y190" s="103"/>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198"/>
      <c r="BJ190" s="198"/>
      <c r="BK190" s="198"/>
      <c r="BL190" s="198"/>
      <c r="BM190" s="198"/>
      <c r="BN190" s="198"/>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idden="1" outlineLevel="2">
      <c r="A191" s="9"/>
      <c r="B191" s="9"/>
      <c r="C191" s="26"/>
      <c r="D191" s="392"/>
      <c r="E191" s="87">
        <v>1</v>
      </c>
      <c r="F191" s="27"/>
      <c r="G191" s="27"/>
      <c r="H191" s="145"/>
      <c r="I191" s="69">
        <f>IF(A10taxstdlife="n/a","n/a",IF(I$3&gt;(A10taxstdlife+$E191),(Input!$H$152-Input!$H$186)-SUM($H191:H191),(Input!$H$152-Input!$H$186)/A10taxstdlife))</f>
        <v>-6.0167306394090028E-3</v>
      </c>
      <c r="J191" s="69">
        <f>IF(A10taxstdlife="n/a","n/a",IF(J$3&gt;(A10taxstdlife+$E191),(Input!$H$152-Input!$H$186)-SUM($H191:I191),(Input!$H$152-Input!$H$186)/A10taxstdlife))</f>
        <v>-6.0167306394090028E-3</v>
      </c>
      <c r="K191" s="69">
        <f>IF(A10taxstdlife="n/a","n/a",IF(K$3&gt;(A10taxstdlife+$E191),(Input!$H$152-Input!$H$186)-SUM($H191:J191),(Input!$H$152-Input!$H$186)/A10taxstdlife))</f>
        <v>-6.0167306394090028E-3</v>
      </c>
      <c r="L191" s="69">
        <f>IF(A10taxstdlife="n/a","n/a",IF(L$3&gt;(A10taxstdlife+$E191),(Input!$H$152-Input!$H$186)-SUM($H191:K191),(Input!$H$152-Input!$H$186)/A10taxstdlife))</f>
        <v>-6.0167306394090028E-3</v>
      </c>
      <c r="M191" s="69">
        <f>IF(A10taxstdlife="n/a","n/a",IF(M$3&gt;(A10taxstdlife+$E191),(Input!$H$152-Input!$H$186)-SUM($H191:L191),(Input!$H$152-Input!$H$186)/A10taxstdlife))</f>
        <v>-6.0167306394090028E-3</v>
      </c>
      <c r="N191" s="69">
        <f>IF(A10taxstdlife="n/a","n/a",IF(N$3&gt;(A10taxstdlife+$E191),(Input!$H$152-Input!$H$186)-SUM($H191:M191),(Input!$H$152-Input!$H$186)/A10taxstdlife))</f>
        <v>-6.0167306394090028E-3</v>
      </c>
      <c r="O191" s="69">
        <f>IF(A10taxstdlife="n/a","n/a",IF(O$3&gt;(A10taxstdlife+$E191),(Input!$H$152-Input!$H$186)-SUM($H191:N191),(Input!$H$152-Input!$H$186)/A10taxstdlife))</f>
        <v>-6.0167306394090028E-3</v>
      </c>
      <c r="P191" s="69">
        <f>IF(A10taxstdlife="n/a","n/a",IF(P$3&gt;(A10taxstdlife+$E191),(Input!$H$152-Input!$H$186)-SUM($H191:O191),(Input!$H$152-Input!$H$186)/A10taxstdlife))</f>
        <v>-6.0167306394090028E-3</v>
      </c>
      <c r="Q191" s="69">
        <f>IF(A10taxstdlife="n/a","n/a",IF(Q$3&gt;(A10taxstdlife+$E191),(Input!$H$152-Input!$H$186)-SUM($H191:P191),(Input!$H$152-Input!$H$186)/A10taxstdlife))</f>
        <v>0</v>
      </c>
      <c r="R191" s="69"/>
      <c r="S191" s="103"/>
      <c r="T191" s="103"/>
      <c r="U191" s="103"/>
      <c r="V191" s="103"/>
      <c r="W191" s="103"/>
      <c r="X191" s="103"/>
      <c r="Y191" s="103"/>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198"/>
      <c r="BJ191" s="198"/>
      <c r="BK191" s="198"/>
      <c r="BL191" s="198"/>
      <c r="BM191" s="198"/>
      <c r="BN191" s="198"/>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idden="1" outlineLevel="2">
      <c r="A192" s="9"/>
      <c r="B192" s="9"/>
      <c r="C192" s="26"/>
      <c r="D192" s="392"/>
      <c r="E192" s="87">
        <v>2</v>
      </c>
      <c r="F192" s="27"/>
      <c r="G192" s="27"/>
      <c r="H192" s="146"/>
      <c r="I192" s="147"/>
      <c r="J192" s="69">
        <f>IF(A10taxstdlife="n/a","n/a",IF(J$3&gt;(A10taxstdlife+$E192),(Input!$I$152-Input!$I$186)-SUM($I192:I192),(Input!$I$152-Input!$I$186)/A10taxstdlife))</f>
        <v>6.1579788514886394E-2</v>
      </c>
      <c r="K192" s="69">
        <f>IF(A10taxstdlife="n/a","n/a",IF(K$3&gt;(A10taxstdlife+$E192),(Input!$I$152-Input!$I$186)-SUM($I192:J192),(Input!$I$152-Input!$I$186)/A10taxstdlife))</f>
        <v>6.1579788514886394E-2</v>
      </c>
      <c r="L192" s="69">
        <f>IF(A10taxstdlife="n/a","n/a",IF(L$3&gt;(A10taxstdlife+$E192),(Input!$I$152-Input!$I$186)-SUM($I192:K192),(Input!$I$152-Input!$I$186)/A10taxstdlife))</f>
        <v>6.1579788514886394E-2</v>
      </c>
      <c r="M192" s="69">
        <f>IF(A10taxstdlife="n/a","n/a",IF(M$3&gt;(A10taxstdlife+$E192),(Input!$I$152-Input!$I$186)-SUM($I192:L192),(Input!$I$152-Input!$I$186)/A10taxstdlife))</f>
        <v>6.1579788514886394E-2</v>
      </c>
      <c r="N192" s="69">
        <f>IF(A10taxstdlife="n/a","n/a",IF(N$3&gt;(A10taxstdlife+$E192),(Input!$I$152-Input!$I$186)-SUM($I192:M192),(Input!$I$152-Input!$I$186)/A10taxstdlife))</f>
        <v>6.1579788514886394E-2</v>
      </c>
      <c r="O192" s="69">
        <f>IF(A10taxstdlife="n/a","n/a",IF(O$3&gt;(A10taxstdlife+$E192),(Input!$I$152-Input!$I$186)-SUM($I192:N192),(Input!$I$152-Input!$I$186)/A10taxstdlife))</f>
        <v>6.1579788514886394E-2</v>
      </c>
      <c r="P192" s="69">
        <f>IF(A10taxstdlife="n/a","n/a",IF(P$3&gt;(A10taxstdlife+$E192),(Input!$I$152-Input!$I$186)-SUM($I192:O192),(Input!$I$152-Input!$I$186)/A10taxstdlife))</f>
        <v>6.1579788514886394E-2</v>
      </c>
      <c r="Q192" s="69">
        <f>IF(A10taxstdlife="n/a","n/a",IF(Q$3&gt;(A10taxstdlife+$E192),(Input!$I$152-Input!$I$186)-SUM($I192:P192),(Input!$I$152-Input!$I$186)/A10taxstdlife))</f>
        <v>6.1579788514886394E-2</v>
      </c>
      <c r="R192" s="69"/>
      <c r="S192" s="103"/>
      <c r="T192" s="103"/>
      <c r="U192" s="103"/>
      <c r="V192" s="103"/>
      <c r="W192" s="103"/>
      <c r="X192" s="103"/>
      <c r="Y192" s="103"/>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198"/>
      <c r="BJ192" s="198"/>
      <c r="BK192" s="198"/>
      <c r="BL192" s="198"/>
      <c r="BM192" s="198"/>
      <c r="BN192" s="198"/>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idden="1" outlineLevel="2">
      <c r="A193" s="9"/>
      <c r="B193" s="9"/>
      <c r="C193" s="26"/>
      <c r="D193" s="392"/>
      <c r="E193" s="87">
        <v>3</v>
      </c>
      <c r="F193" s="27"/>
      <c r="G193" s="27"/>
      <c r="H193" s="146"/>
      <c r="I193" s="148"/>
      <c r="J193" s="147"/>
      <c r="K193" s="69">
        <f>IF(A10taxstdlife="n/a","n/a",IF(K$3&gt;(A10taxstdlife+$E193),(Input!$J$152-Input!$J$186)-SUM($J193:J193),(Input!$J$152-Input!$J$186)/A10taxstdlife))</f>
        <v>-1.8937337500000002E-2</v>
      </c>
      <c r="L193" s="69">
        <f>IF(A10taxstdlife="n/a","n/a",IF(L$3&gt;(A10taxstdlife+$E193),(Input!$J$152-Input!$J$186)-SUM($J193:K193),(Input!$J$152-Input!$J$186)/A10taxstdlife))</f>
        <v>-1.8937337500000002E-2</v>
      </c>
      <c r="M193" s="69">
        <f>IF(A10taxstdlife="n/a","n/a",IF(M$3&gt;(A10taxstdlife+$E193),(Input!$J$152-Input!$J$186)-SUM($J193:L193),(Input!$J$152-Input!$J$186)/A10taxstdlife))</f>
        <v>-1.8937337500000002E-2</v>
      </c>
      <c r="N193" s="69">
        <f>IF(A10taxstdlife="n/a","n/a",IF(N$3&gt;(A10taxstdlife+$E193),(Input!$J$152-Input!$J$186)-SUM($J193:M193),(Input!$J$152-Input!$J$186)/A10taxstdlife))</f>
        <v>-1.8937337500000002E-2</v>
      </c>
      <c r="O193" s="69">
        <f>IF(A10taxstdlife="n/a","n/a",IF(O$3&gt;(A10taxstdlife+$E193),(Input!$J$152-Input!$J$186)-SUM($J193:N193),(Input!$J$152-Input!$J$186)/A10taxstdlife))</f>
        <v>-1.8937337500000002E-2</v>
      </c>
      <c r="P193" s="69">
        <f>IF(A10taxstdlife="n/a","n/a",IF(P$3&gt;(A10taxstdlife+$E193),(Input!$J$152-Input!$J$186)-SUM($J193:O193),(Input!$J$152-Input!$J$186)/A10taxstdlife))</f>
        <v>-1.8937337500000002E-2</v>
      </c>
      <c r="Q193" s="69">
        <f>IF(A10taxstdlife="n/a","n/a",IF(Q$3&gt;(A10taxstdlife+$E193),(Input!$J$152-Input!$J$186)-SUM($J193:P193),(Input!$J$152-Input!$J$186)/A10taxstdlife))</f>
        <v>-1.8937337500000002E-2</v>
      </c>
      <c r="R193" s="69"/>
      <c r="S193" s="103"/>
      <c r="T193" s="103"/>
      <c r="U193" s="103"/>
      <c r="V193" s="103"/>
      <c r="W193" s="103"/>
      <c r="X193" s="103"/>
      <c r="Y193" s="103"/>
      <c r="Z193" s="217"/>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198"/>
      <c r="BJ193" s="198"/>
      <c r="BK193" s="198"/>
      <c r="BL193" s="198"/>
      <c r="BM193" s="198"/>
      <c r="BN193" s="198"/>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idden="1" outlineLevel="2">
      <c r="A194" s="9"/>
      <c r="B194" s="9"/>
      <c r="C194" s="26"/>
      <c r="D194" s="392"/>
      <c r="E194" s="87">
        <v>4</v>
      </c>
      <c r="F194" s="27"/>
      <c r="G194" s="27"/>
      <c r="H194" s="146"/>
      <c r="I194" s="148"/>
      <c r="J194" s="148"/>
      <c r="K194" s="147"/>
      <c r="L194" s="69">
        <f>IF(A10taxstdlife="n/a","n/a",IF(L$3&gt;(A10taxstdlife+$E194),(Input!$K$152-Input!$K$186)-SUM($K194:K194),(Input!$K$152-Input!$K$186)/A10taxstdlife))</f>
        <v>2.2210207499999999E-2</v>
      </c>
      <c r="M194" s="69">
        <f>IF(A10taxstdlife="n/a","n/a",IF(M$3&gt;(A10taxstdlife+$E194),(Input!$K$152-Input!$K$186)-SUM($K194:L194),(Input!$K$152-Input!$K$186)/A10taxstdlife))</f>
        <v>2.2210207499999999E-2</v>
      </c>
      <c r="N194" s="69">
        <f>IF(A10taxstdlife="n/a","n/a",IF(N$3&gt;(A10taxstdlife+$E194),(Input!$K$152-Input!$K$186)-SUM($K194:M194),(Input!$K$152-Input!$K$186)/A10taxstdlife))</f>
        <v>2.2210207499999999E-2</v>
      </c>
      <c r="O194" s="69">
        <f>IF(A10taxstdlife="n/a","n/a",IF(O$3&gt;(A10taxstdlife+$E194),(Input!$K$152-Input!$K$186)-SUM($K194:N194),(Input!$K$152-Input!$K$186)/A10taxstdlife))</f>
        <v>2.2210207499999999E-2</v>
      </c>
      <c r="P194" s="69">
        <f>IF(A10taxstdlife="n/a","n/a",IF(P$3&gt;(A10taxstdlife+$E194),(Input!$K$152-Input!$K$186)-SUM($K194:O194),(Input!$K$152-Input!$K$186)/A10taxstdlife))</f>
        <v>2.2210207499999999E-2</v>
      </c>
      <c r="Q194" s="69">
        <f>IF(A10taxstdlife="n/a","n/a",IF(Q$3&gt;(A10taxstdlife+$E194),(Input!$K$152-Input!$K$186)-SUM($K194:P194),(Input!$K$152-Input!$K$186)/A10taxstdlife))</f>
        <v>2.2210207499999999E-2</v>
      </c>
      <c r="R194" s="69"/>
      <c r="S194" s="103"/>
      <c r="T194" s="103"/>
      <c r="U194" s="103"/>
      <c r="V194" s="103"/>
      <c r="W194" s="103"/>
      <c r="X194" s="103"/>
      <c r="Y194" s="103"/>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198"/>
      <c r="BJ194" s="198"/>
      <c r="BK194" s="198"/>
      <c r="BL194" s="198"/>
      <c r="BM194" s="198"/>
      <c r="BN194" s="198"/>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idden="1" outlineLevel="2">
      <c r="A195" s="9"/>
      <c r="B195" s="9"/>
      <c r="C195" s="26"/>
      <c r="D195" s="392"/>
      <c r="E195" s="87">
        <v>5</v>
      </c>
      <c r="F195" s="27"/>
      <c r="G195" s="27"/>
      <c r="H195" s="146"/>
      <c r="I195" s="148"/>
      <c r="J195" s="148"/>
      <c r="K195" s="148"/>
      <c r="L195" s="147"/>
      <c r="M195" s="69">
        <f>IF(A10taxstdlife="n/a","n/a",IF(M$3&gt;(A10taxstdlife+$E195),(Input!$L$152-Input!$L$186)-SUM($L195:L195),(Input!$L$152-Input!$L$186)/A10taxstdlife))</f>
        <v>0.19687500000000002</v>
      </c>
      <c r="N195" s="69">
        <f>IF(A10taxstdlife="n/a","n/a",IF(N$3&gt;(A10taxstdlife+$E195),(Input!$L$152-Input!$L$186)-SUM($L195:M195),(Input!$L$152-Input!$L$186)/A10taxstdlife))</f>
        <v>0.19687500000000002</v>
      </c>
      <c r="O195" s="69">
        <f>IF(A10taxstdlife="n/a","n/a",IF(O$3&gt;(A10taxstdlife+$E195),(Input!$L$152-Input!$L$186)-SUM($L195:N195),(Input!$L$152-Input!$L$186)/A10taxstdlife))</f>
        <v>0.19687500000000002</v>
      </c>
      <c r="P195" s="69">
        <f>IF(A10taxstdlife="n/a","n/a",IF(P$3&gt;(A10taxstdlife+$E195),(Input!$L$152-Input!$L$186)-SUM($L195:O195),(Input!$L$152-Input!$L$186)/A10taxstdlife))</f>
        <v>0.19687500000000002</v>
      </c>
      <c r="Q195" s="69">
        <f>IF(A10taxstdlife="n/a","n/a",IF(Q$3&gt;(A10taxstdlife+$E195),(Input!$L$152-Input!$L$186)-SUM($L195:P195),(Input!$L$152-Input!$L$186)/A10taxstdlife))</f>
        <v>0.19687500000000002</v>
      </c>
      <c r="R195" s="69"/>
      <c r="S195" s="103"/>
      <c r="T195" s="103"/>
      <c r="U195" s="103"/>
      <c r="V195" s="103"/>
      <c r="W195" s="103"/>
      <c r="X195" s="103"/>
      <c r="Y195" s="103"/>
      <c r="Z195" s="217"/>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198"/>
      <c r="BJ195" s="198"/>
      <c r="BK195" s="198"/>
      <c r="BL195" s="198"/>
      <c r="BM195" s="198"/>
      <c r="BN195" s="198"/>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idden="1" outlineLevel="2">
      <c r="A196" s="9"/>
      <c r="B196" s="9"/>
      <c r="C196" s="26"/>
      <c r="D196" s="392"/>
      <c r="E196" s="87">
        <v>6</v>
      </c>
      <c r="F196" s="27"/>
      <c r="G196" s="27"/>
      <c r="H196" s="146"/>
      <c r="I196" s="148"/>
      <c r="J196" s="148"/>
      <c r="K196" s="148"/>
      <c r="L196" s="148"/>
      <c r="M196" s="147"/>
      <c r="N196" s="69">
        <f>IF(A10taxstdlife="n/a","n/a",IF(N$3&gt;(A10taxstdlife+$E196),(Input!$M$152-Input!$M$186)-SUM($M196:M196),(Input!$M$152-Input!$M$186)/A10taxstdlife))</f>
        <v>0.20302586422845692</v>
      </c>
      <c r="O196" s="69">
        <f>IF(A10taxstdlife="n/a","n/a",IF(O$3&gt;(A10taxstdlife+$E196),(Input!$M$152-Input!$M$186)-SUM($M196:N196),(Input!$M$152-Input!$M$186)/A10taxstdlife))</f>
        <v>0.20302586422845692</v>
      </c>
      <c r="P196" s="69">
        <f>IF(A10taxstdlife="n/a","n/a",IF(P$3&gt;(A10taxstdlife+$E196),(Input!$M$152-Input!$M$186)-SUM($M196:O196),(Input!$M$152-Input!$M$186)/A10taxstdlife))</f>
        <v>0.20302586422845692</v>
      </c>
      <c r="Q196" s="69">
        <f>IF(A10taxstdlife="n/a","n/a",IF(Q$3&gt;(A10taxstdlife+$E196),(Input!$M$152-Input!$M$186)-SUM($M196:P196),(Input!$M$152-Input!$M$186)/A10taxstdlife))</f>
        <v>0.20302586422845692</v>
      </c>
      <c r="R196" s="69"/>
      <c r="S196" s="103"/>
      <c r="T196" s="103"/>
      <c r="U196" s="103"/>
      <c r="V196" s="103"/>
      <c r="W196" s="103"/>
      <c r="X196" s="103"/>
      <c r="Y196" s="103"/>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198"/>
      <c r="BJ196" s="198"/>
      <c r="BK196" s="198"/>
      <c r="BL196" s="198"/>
      <c r="BM196" s="198"/>
      <c r="BN196" s="198"/>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idden="1" outlineLevel="2">
      <c r="A197" s="9"/>
      <c r="B197" s="9"/>
      <c r="C197" s="26"/>
      <c r="D197" s="392"/>
      <c r="E197" s="87">
        <v>7</v>
      </c>
      <c r="F197" s="27"/>
      <c r="G197" s="27"/>
      <c r="H197" s="146"/>
      <c r="I197" s="148"/>
      <c r="J197" s="148"/>
      <c r="K197" s="148"/>
      <c r="L197" s="148"/>
      <c r="M197" s="148"/>
      <c r="N197" s="147"/>
      <c r="O197" s="69">
        <f>IF(A10taxstdlife="n/a","n/a",IF(O$3&gt;(A10taxstdlife+$E197),(Input!$N$152-Input!$N$186)-SUM($N197:N197),(Input!$N$152-Input!$N$186)/A10taxstdlife))</f>
        <v>0</v>
      </c>
      <c r="P197" s="69">
        <f>IF(A10taxstdlife="n/a","n/a",IF(P$3&gt;(A10taxstdlife+$E197),(Input!$N$152-Input!$N$186)-SUM($N197:O197),(Input!$N$152-Input!$N$186)/A10taxstdlife))</f>
        <v>0</v>
      </c>
      <c r="Q197" s="69">
        <f>IF(A10taxstdlife="n/a","n/a",IF(Q$3&gt;(A10taxstdlife+$E197),(Input!$N$152-Input!$N$186)-SUM($N197:P197),(Input!$N$152-Input!$N$186)/A10taxstdlife))</f>
        <v>0</v>
      </c>
      <c r="R197" s="69"/>
      <c r="S197" s="103"/>
      <c r="T197" s="103"/>
      <c r="U197" s="103"/>
      <c r="V197" s="103"/>
      <c r="W197" s="103"/>
      <c r="X197" s="103"/>
      <c r="Y197" s="103"/>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198"/>
      <c r="BJ197" s="198"/>
      <c r="BK197" s="198"/>
      <c r="BL197" s="198"/>
      <c r="BM197" s="198"/>
      <c r="BN197" s="198"/>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idden="1" outlineLevel="2">
      <c r="A198" s="9"/>
      <c r="B198" s="9"/>
      <c r="C198" s="26"/>
      <c r="D198" s="392"/>
      <c r="E198" s="87">
        <v>8</v>
      </c>
      <c r="F198" s="27"/>
      <c r="G198" s="27"/>
      <c r="H198" s="146"/>
      <c r="I198" s="148"/>
      <c r="J198" s="148"/>
      <c r="K198" s="148"/>
      <c r="L198" s="148"/>
      <c r="M198" s="148"/>
      <c r="N198" s="148"/>
      <c r="O198" s="147"/>
      <c r="P198" s="69">
        <f>IF(A10taxstdlife="n/a","n/a",IF(P$3&gt;(A10taxstdlife+$E198),(Input!$O$152-Input!$O$186)-SUM($O198:O198),(Input!$O$152-Input!$O$186)/A10taxstdlife))</f>
        <v>0</v>
      </c>
      <c r="Q198" s="69">
        <f>IF(A10taxstdlife="n/a","n/a",IF(Q$3&gt;(A10taxstdlife+$E198),(Input!$O$152-Input!$O$186)-SUM($O198:P198),(Input!$O$152-Input!$O$186)/A10taxstdlife))</f>
        <v>0</v>
      </c>
      <c r="R198" s="69"/>
      <c r="S198" s="103"/>
      <c r="T198" s="103"/>
      <c r="U198" s="103"/>
      <c r="V198" s="103"/>
      <c r="W198" s="103"/>
      <c r="X198" s="103"/>
      <c r="Y198" s="103"/>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198"/>
      <c r="BJ198" s="198"/>
      <c r="BK198" s="198"/>
      <c r="BL198" s="198"/>
      <c r="BM198" s="198"/>
      <c r="BN198" s="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idden="1" outlineLevel="2">
      <c r="A199" s="9"/>
      <c r="B199" s="9"/>
      <c r="C199" s="26"/>
      <c r="D199" s="392"/>
      <c r="E199" s="87">
        <v>9</v>
      </c>
      <c r="F199" s="27"/>
      <c r="G199" s="27"/>
      <c r="H199" s="146"/>
      <c r="I199" s="148"/>
      <c r="J199" s="148"/>
      <c r="K199" s="148"/>
      <c r="L199" s="148"/>
      <c r="M199" s="148"/>
      <c r="N199" s="148"/>
      <c r="O199" s="148"/>
      <c r="P199" s="147"/>
      <c r="Q199" s="69">
        <f>IF(A10taxstdlife="n/a","n/a",IF(Q$3&gt;(A10taxstdlife+$E199),(Input!$P$152-Input!$P$186)-SUM($P199:P199),(Input!$P$152-Input!$P$186)/A10taxstdlife))</f>
        <v>0</v>
      </c>
      <c r="R199" s="69"/>
      <c r="S199" s="103"/>
      <c r="T199" s="103"/>
      <c r="U199" s="103"/>
      <c r="V199" s="103"/>
      <c r="W199" s="103"/>
      <c r="X199" s="103"/>
      <c r="Y199" s="103"/>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20"/>
      <c r="BJ199" s="198"/>
      <c r="BK199" s="198"/>
      <c r="BL199" s="198"/>
      <c r="BM199" s="198"/>
      <c r="BN199" s="198"/>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idden="1" outlineLevel="2">
      <c r="A200" s="9"/>
      <c r="B200" s="9"/>
      <c r="C200" s="26"/>
      <c r="D200" s="392"/>
      <c r="E200" s="88">
        <v>10</v>
      </c>
      <c r="F200" s="27"/>
      <c r="G200" s="27"/>
      <c r="H200" s="146"/>
      <c r="I200" s="148"/>
      <c r="J200" s="148"/>
      <c r="K200" s="148"/>
      <c r="L200" s="148"/>
      <c r="M200" s="148"/>
      <c r="N200" s="148"/>
      <c r="O200" s="148"/>
      <c r="P200" s="148"/>
      <c r="Q200" s="147"/>
      <c r="R200" s="69"/>
      <c r="S200" s="103"/>
      <c r="T200" s="103"/>
      <c r="U200" s="103"/>
      <c r="V200" s="103"/>
      <c r="W200" s="103"/>
      <c r="X200" s="103"/>
      <c r="Y200" s="103"/>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198"/>
      <c r="BJ200" s="198"/>
      <c r="BK200" s="198"/>
      <c r="BL200" s="198"/>
      <c r="BM200" s="198"/>
      <c r="BN200" s="198"/>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idden="1" outlineLevel="1" collapsed="1">
      <c r="A201" s="9"/>
      <c r="B201" s="9"/>
      <c r="C201" s="271" t="str">
        <f>Asset10</f>
        <v>Vehicles</v>
      </c>
      <c r="D201" s="9"/>
      <c r="E201" s="9"/>
      <c r="F201" s="23"/>
      <c r="G201" s="23"/>
      <c r="H201" s="297">
        <f>-SUM(H189:H200)</f>
        <v>-0.5913261995599578</v>
      </c>
      <c r="I201" s="161">
        <f>-SUM(I189:I200)</f>
        <v>-0.5853094689205488</v>
      </c>
      <c r="J201" s="161">
        <f>-SUM(J189:J200)</f>
        <v>-0.64688925743543524</v>
      </c>
      <c r="K201" s="161">
        <f>-SUM(K189:K200)</f>
        <v>-0.6279519199354352</v>
      </c>
      <c r="L201" s="161">
        <f>-SUM(L189:L200)</f>
        <v>-0.65016212743543522</v>
      </c>
      <c r="M201" s="161">
        <f>IF(COUNT($H201:L201)&gt;=Input!$Y$7,0, -SUM(M189:M200))</f>
        <v>-0.84703712743543524</v>
      </c>
      <c r="N201" s="161">
        <f>IF(COUNT($H201:M201)&gt;=Input!$Y$7,0, -SUM(N189:N200))</f>
        <v>0</v>
      </c>
      <c r="O201" s="161">
        <f>IF(COUNT($H201:N201)&gt;=Input!$Y$7,0, -SUM(O189:O200))</f>
        <v>0</v>
      </c>
      <c r="P201" s="161">
        <f>IF(COUNT($H201:O201)&gt;=Input!$Y$7,0, -SUM(P189:P200))</f>
        <v>0</v>
      </c>
      <c r="Q201" s="161">
        <f>IF(COUNT($H201:P201)&gt;=Input!$Y$7,0, -SUM(Q189:Q200))</f>
        <v>0</v>
      </c>
      <c r="R201" s="161"/>
      <c r="S201" s="102"/>
      <c r="T201" s="102"/>
      <c r="U201" s="102"/>
      <c r="V201" s="102"/>
      <c r="W201" s="102"/>
      <c r="X201" s="102"/>
      <c r="Y201" s="102"/>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198"/>
      <c r="BJ201" s="198"/>
      <c r="BK201" s="198"/>
      <c r="BL201" s="198"/>
      <c r="BM201" s="198"/>
      <c r="BN201" s="198"/>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idden="1" outlineLevel="2">
      <c r="A202" s="9"/>
      <c r="B202" s="272" t="str">
        <f>Asset11</f>
        <v>other</v>
      </c>
      <c r="C202" s="31"/>
      <c r="D202" s="32" t="s">
        <v>66</v>
      </c>
      <c r="E202" s="31"/>
      <c r="F202" s="300"/>
      <c r="G202" s="300"/>
      <c r="H202" s="68">
        <f>IF(H$3&gt;A11taxremlife,A11taxvalue-SUM($F202:F202),IF(A11taxremlife="N/A","n/a",A11taxvalue/A11taxremlife))</f>
        <v>1.3253206194912346</v>
      </c>
      <c r="I202" s="68">
        <f>IF(I$3&gt;A11taxremlife,A11taxvalue-SUM($F202:H202),IF(A11taxremlife="N/A","n/a",A11taxvalue/A11taxremlife))</f>
        <v>1.3253206194912346</v>
      </c>
      <c r="J202" s="68">
        <f>IF(J$3&gt;A11taxremlife,A11taxvalue-SUM($F202:I202),IF(A11taxremlife="N/A","n/a",A11taxvalue/A11taxremlife))</f>
        <v>1.3253206194912346</v>
      </c>
      <c r="K202" s="68">
        <f>IF(K$3&gt;A11taxremlife,A11taxvalue-SUM($F202:J202),IF(A11taxremlife="N/A","n/a",A11taxvalue/A11taxremlife))</f>
        <v>1.3253206194912346</v>
      </c>
      <c r="L202" s="68">
        <f>IF(L$3&gt;A11taxremlife,A11taxvalue-SUM($F202:K202),IF(A11taxremlife="N/A","n/a",A11taxvalue/A11taxremlife))</f>
        <v>1.3253206194912346</v>
      </c>
      <c r="M202" s="68">
        <f>IF(M$3&gt;A11taxremlife,A11taxvalue-SUM($F202:L202),IF(A11taxremlife="N/A","n/a",A11taxvalue/A11taxremlife))</f>
        <v>1.3253206194912346</v>
      </c>
      <c r="N202" s="68">
        <f>IF(N$3&gt;A11taxremlife,A11taxvalue-SUM($F202:M202),IF(A11taxremlife="N/A","n/a",A11taxvalue/A11taxremlife))</f>
        <v>1.3253206194912346</v>
      </c>
      <c r="O202" s="68">
        <f>IF(O$3&gt;A11taxremlife,A11taxvalue-SUM($F202:N202),IF(A11taxremlife="N/A","n/a",A11taxvalue/A11taxremlife))</f>
        <v>0.27544392892462355</v>
      </c>
      <c r="P202" s="68">
        <f>IF(P$3&gt;A11taxremlife,A11taxvalue-SUM($F202:O202),IF(A11taxremlife="N/A","n/a",A11taxvalue/A11taxremlife))</f>
        <v>0</v>
      </c>
      <c r="Q202" s="68">
        <f>IF(Q$3&gt;A11taxremlife,A11taxvalue-SUM($F202:P202),IF(A11taxremlife="N/A","n/a",A11taxvalue/A11taxremlife))</f>
        <v>0</v>
      </c>
      <c r="R202" s="68"/>
      <c r="S202" s="103"/>
      <c r="T202" s="103"/>
      <c r="U202" s="103"/>
      <c r="V202" s="103"/>
      <c r="W202" s="103"/>
      <c r="X202" s="103"/>
      <c r="Y202" s="103"/>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198"/>
      <c r="BJ202" s="198"/>
      <c r="BK202" s="198"/>
      <c r="BL202" s="198"/>
      <c r="BM202" s="198"/>
      <c r="BN202" s="198"/>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6"/>
      <c r="D203" s="391" t="s">
        <v>82</v>
      </c>
      <c r="E203" s="87"/>
      <c r="F203" s="27"/>
      <c r="G203" s="27"/>
      <c r="H203" s="103"/>
      <c r="I203" s="69"/>
      <c r="J203" s="69"/>
      <c r="K203" s="69"/>
      <c r="L203" s="69"/>
      <c r="M203" s="69"/>
      <c r="N203" s="69"/>
      <c r="O203" s="69"/>
      <c r="P203" s="69"/>
      <c r="Q203" s="69"/>
      <c r="R203" s="69"/>
      <c r="S203" s="103"/>
      <c r="T203" s="103"/>
      <c r="U203" s="103"/>
      <c r="V203" s="103"/>
      <c r="W203" s="103"/>
      <c r="X203" s="103"/>
      <c r="Y203" s="103"/>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198"/>
      <c r="BJ203" s="198"/>
      <c r="BK203" s="198"/>
      <c r="BL203" s="198"/>
      <c r="BM203" s="198"/>
      <c r="BN203" s="198"/>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idden="1" outlineLevel="2">
      <c r="A204" s="9"/>
      <c r="B204" s="9"/>
      <c r="C204" s="26"/>
      <c r="D204" s="392"/>
      <c r="E204" s="87">
        <v>1</v>
      </c>
      <c r="F204" s="27"/>
      <c r="G204" s="27"/>
      <c r="H204" s="145"/>
      <c r="I204" s="69">
        <f>IF(A11taxstdlife="n/a","n/a",IF(I$3&gt;(A11taxstdlife+$E204),(Input!$H$153-Input!$H$187)-SUM($H204:H204),(Input!$H$153-Input!$H$187)/A11taxstdlife))</f>
        <v>4.0945054157710756E-2</v>
      </c>
      <c r="J204" s="69">
        <f>IF(A11taxstdlife="n/a","n/a",IF(J$3&gt;(A11taxstdlife+$E204),(Input!$H$153-Input!$H$187)-SUM($H204:I204),(Input!$H$153-Input!$H$187)/A11taxstdlife))</f>
        <v>4.0945054157710756E-2</v>
      </c>
      <c r="K204" s="69">
        <f>IF(A11taxstdlife="n/a","n/a",IF(K$3&gt;(A11taxstdlife+$E204),(Input!$H$153-Input!$H$187)-SUM($H204:J204),(Input!$H$153-Input!$H$187)/A11taxstdlife))</f>
        <v>4.0945054157710756E-2</v>
      </c>
      <c r="L204" s="69">
        <f>IF(A11taxstdlife="n/a","n/a",IF(L$3&gt;(A11taxstdlife+$E204),(Input!$H$153-Input!$H$187)-SUM($H204:K204),(Input!$H$153-Input!$H$187)/A11taxstdlife))</f>
        <v>4.0945054157710756E-2</v>
      </c>
      <c r="M204" s="69">
        <f>IF(A11taxstdlife="n/a","n/a",IF(M$3&gt;(A11taxstdlife+$E204),(Input!$H$153-Input!$H$187)-SUM($H204:L204),(Input!$H$153-Input!$H$187)/A11taxstdlife))</f>
        <v>4.0945054157710756E-2</v>
      </c>
      <c r="N204" s="69">
        <f>IF(A11taxstdlife="n/a","n/a",IF(N$3&gt;(A11taxstdlife+$E204),(Input!$H$153-Input!$H$187)-SUM($H204:M204),(Input!$H$153-Input!$H$187)/A11taxstdlife))</f>
        <v>4.0945054157710756E-2</v>
      </c>
      <c r="O204" s="69">
        <f>IF(A11taxstdlife="n/a","n/a",IF(O$3&gt;(A11taxstdlife+$E204),(Input!$H$153-Input!$H$187)-SUM($H204:N204),(Input!$H$153-Input!$H$187)/A11taxstdlife))</f>
        <v>4.0945054157710756E-2</v>
      </c>
      <c r="P204" s="69">
        <f>IF(A11taxstdlife="n/a","n/a",IF(P$3&gt;(A11taxstdlife+$E204),(Input!$H$153-Input!$H$187)-SUM($H204:O204),(Input!$H$153-Input!$H$187)/A11taxstdlife))</f>
        <v>4.0945054157710756E-2</v>
      </c>
      <c r="Q204" s="69">
        <f>IF(A11taxstdlife="n/a","n/a",IF(Q$3&gt;(A11taxstdlife+$E204),(Input!$H$153-Input!$H$187)-SUM($H204:P204),(Input!$H$153-Input!$H$187)/A11taxstdlife))</f>
        <v>4.0945054157710756E-2</v>
      </c>
      <c r="R204" s="69"/>
      <c r="S204" s="103"/>
      <c r="T204" s="103"/>
      <c r="U204" s="103"/>
      <c r="V204" s="103"/>
      <c r="W204" s="103"/>
      <c r="X204" s="103"/>
      <c r="Y204" s="103"/>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198"/>
      <c r="BJ204" s="198"/>
      <c r="BK204" s="198"/>
      <c r="BL204" s="198"/>
      <c r="BM204" s="198"/>
      <c r="BN204" s="198"/>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idden="1" outlineLevel="2">
      <c r="A205" s="9"/>
      <c r="B205" s="9"/>
      <c r="C205" s="26"/>
      <c r="D205" s="392"/>
      <c r="E205" s="87">
        <v>2</v>
      </c>
      <c r="F205" s="27"/>
      <c r="G205" s="27"/>
      <c r="H205" s="146"/>
      <c r="I205" s="147"/>
      <c r="J205" s="69">
        <f>IF(A11taxstdlife="n/a","n/a",IF(J$3&gt;(A11taxstdlife+$E205),(Input!$I$153-Input!$I$187)-SUM($I205:I205),(Input!$I$153-Input!$I$187)/A11taxstdlife))</f>
        <v>0.17801254998999935</v>
      </c>
      <c r="K205" s="69">
        <f>IF(A11taxstdlife="n/a","n/a",IF(K$3&gt;(A11taxstdlife+$E205),(Input!$I$153-Input!$I$187)-SUM($I205:J205),(Input!$I$153-Input!$I$187)/A11taxstdlife))</f>
        <v>0.17801254998999935</v>
      </c>
      <c r="L205" s="69">
        <f>IF(A11taxstdlife="n/a","n/a",IF(L$3&gt;(A11taxstdlife+$E205),(Input!$I$153-Input!$I$187)-SUM($I205:K205),(Input!$I$153-Input!$I$187)/A11taxstdlife))</f>
        <v>0.17801254998999935</v>
      </c>
      <c r="M205" s="69">
        <f>IF(A11taxstdlife="n/a","n/a",IF(M$3&gt;(A11taxstdlife+$E205),(Input!$I$153-Input!$I$187)-SUM($I205:L205),(Input!$I$153-Input!$I$187)/A11taxstdlife))</f>
        <v>0.17801254998999935</v>
      </c>
      <c r="N205" s="69">
        <f>IF(A11taxstdlife="n/a","n/a",IF(N$3&gt;(A11taxstdlife+$E205),(Input!$I$153-Input!$I$187)-SUM($I205:M205),(Input!$I$153-Input!$I$187)/A11taxstdlife))</f>
        <v>0.17801254998999935</v>
      </c>
      <c r="O205" s="69">
        <f>IF(A11taxstdlife="n/a","n/a",IF(O$3&gt;(A11taxstdlife+$E205),(Input!$I$153-Input!$I$187)-SUM($I205:N205),(Input!$I$153-Input!$I$187)/A11taxstdlife))</f>
        <v>0.17801254998999935</v>
      </c>
      <c r="P205" s="69">
        <f>IF(A11taxstdlife="n/a","n/a",IF(P$3&gt;(A11taxstdlife+$E205),(Input!$I$153-Input!$I$187)-SUM($I205:O205),(Input!$I$153-Input!$I$187)/A11taxstdlife))</f>
        <v>0.17801254998999935</v>
      </c>
      <c r="Q205" s="69">
        <f>IF(A11taxstdlife="n/a","n/a",IF(Q$3&gt;(A11taxstdlife+$E205),(Input!$I$153-Input!$I$187)-SUM($I205:P205),(Input!$I$153-Input!$I$187)/A11taxstdlife))</f>
        <v>0.17801254998999935</v>
      </c>
      <c r="R205" s="69"/>
      <c r="S205" s="103"/>
      <c r="T205" s="103"/>
      <c r="U205" s="103"/>
      <c r="V205" s="103"/>
      <c r="W205" s="103"/>
      <c r="X205" s="103"/>
      <c r="Y205" s="103"/>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198"/>
      <c r="BJ205" s="198"/>
      <c r="BK205" s="198"/>
      <c r="BL205" s="198"/>
      <c r="BM205" s="198"/>
      <c r="BN205" s="198"/>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idden="1" outlineLevel="2">
      <c r="A206" s="9"/>
      <c r="B206" s="9"/>
      <c r="C206" s="26"/>
      <c r="D206" s="392"/>
      <c r="E206" s="87">
        <v>3</v>
      </c>
      <c r="F206" s="27"/>
      <c r="G206" s="27"/>
      <c r="H206" s="146"/>
      <c r="I206" s="148"/>
      <c r="J206" s="147"/>
      <c r="K206" s="69">
        <f>IF(A11taxstdlife="n/a","n/a",IF(K$3&gt;(A11taxstdlife+$E206),(Input!$J$153-Input!$J$187)-SUM($J206:J206),(Input!$J$153-Input!$J$187)/A11taxstdlife))</f>
        <v>0.31887555500000014</v>
      </c>
      <c r="L206" s="69">
        <f>IF(A11taxstdlife="n/a","n/a",IF(L$3&gt;(A11taxstdlife+$E206),(Input!$J$153-Input!$J$187)-SUM($J206:K206),(Input!$J$153-Input!$J$187)/A11taxstdlife))</f>
        <v>0.31887555500000014</v>
      </c>
      <c r="M206" s="69">
        <f>IF(A11taxstdlife="n/a","n/a",IF(M$3&gt;(A11taxstdlife+$E206),(Input!$J$153-Input!$J$187)-SUM($J206:L206),(Input!$J$153-Input!$J$187)/A11taxstdlife))</f>
        <v>0.31887555500000014</v>
      </c>
      <c r="N206" s="69">
        <f>IF(A11taxstdlife="n/a","n/a",IF(N$3&gt;(A11taxstdlife+$E206),(Input!$J$153-Input!$J$187)-SUM($J206:M206),(Input!$J$153-Input!$J$187)/A11taxstdlife))</f>
        <v>0.31887555500000014</v>
      </c>
      <c r="O206" s="69">
        <f>IF(A11taxstdlife="n/a","n/a",IF(O$3&gt;(A11taxstdlife+$E206),(Input!$J$153-Input!$J$187)-SUM($J206:N206),(Input!$J$153-Input!$J$187)/A11taxstdlife))</f>
        <v>0.31887555500000014</v>
      </c>
      <c r="P206" s="69">
        <f>IF(A11taxstdlife="n/a","n/a",IF(P$3&gt;(A11taxstdlife+$E206),(Input!$J$153-Input!$J$187)-SUM($J206:O206),(Input!$J$153-Input!$J$187)/A11taxstdlife))</f>
        <v>0.31887555500000014</v>
      </c>
      <c r="Q206" s="69">
        <f>IF(A11taxstdlife="n/a","n/a",IF(Q$3&gt;(A11taxstdlife+$E206),(Input!$J$153-Input!$J$187)-SUM($J206:P206),(Input!$J$153-Input!$J$187)/A11taxstdlife))</f>
        <v>0.31887555500000014</v>
      </c>
      <c r="R206" s="69"/>
      <c r="S206" s="103"/>
      <c r="T206" s="103"/>
      <c r="U206" s="103"/>
      <c r="V206" s="103"/>
      <c r="W206" s="103"/>
      <c r="X206" s="103"/>
      <c r="Y206" s="103"/>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198"/>
      <c r="BJ206" s="198"/>
      <c r="BK206" s="198"/>
      <c r="BL206" s="198"/>
      <c r="BM206" s="198"/>
      <c r="BN206" s="198"/>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idden="1" outlineLevel="2">
      <c r="A207" s="9"/>
      <c r="B207" s="9"/>
      <c r="C207" s="26"/>
      <c r="D207" s="392"/>
      <c r="E207" s="87">
        <v>4</v>
      </c>
      <c r="F207" s="27"/>
      <c r="G207" s="27"/>
      <c r="H207" s="146"/>
      <c r="I207" s="148"/>
      <c r="J207" s="148"/>
      <c r="K207" s="147"/>
      <c r="L207" s="69">
        <f>IF(A11taxstdlife="n/a","n/a",IF(L$3&gt;(A11taxstdlife+$E207),(Input!$K$153-Input!$K$187)-SUM($K207:K207),(Input!$K$153-Input!$K$187)/A11taxstdlife))</f>
        <v>0.33190745350652856</v>
      </c>
      <c r="M207" s="69">
        <f>IF(A11taxstdlife="n/a","n/a",IF(M$3&gt;(A11taxstdlife+$E207),(Input!$K$153-Input!$K$187)-SUM($K207:L207),(Input!$K$153-Input!$K$187)/A11taxstdlife))</f>
        <v>0.33190745350652856</v>
      </c>
      <c r="N207" s="69">
        <f>IF(A11taxstdlife="n/a","n/a",IF(N$3&gt;(A11taxstdlife+$E207),(Input!$K$153-Input!$K$187)-SUM($K207:M207),(Input!$K$153-Input!$K$187)/A11taxstdlife))</f>
        <v>0.33190745350652856</v>
      </c>
      <c r="O207" s="69">
        <f>IF(A11taxstdlife="n/a","n/a",IF(O$3&gt;(A11taxstdlife+$E207),(Input!$K$153-Input!$K$187)-SUM($K207:N207),(Input!$K$153-Input!$K$187)/A11taxstdlife))</f>
        <v>0.33190745350652856</v>
      </c>
      <c r="P207" s="69">
        <f>IF(A11taxstdlife="n/a","n/a",IF(P$3&gt;(A11taxstdlife+$E207),(Input!$K$153-Input!$K$187)-SUM($K207:O207),(Input!$K$153-Input!$K$187)/A11taxstdlife))</f>
        <v>0.33190745350652856</v>
      </c>
      <c r="Q207" s="69">
        <f>IF(A11taxstdlife="n/a","n/a",IF(Q$3&gt;(A11taxstdlife+$E207),(Input!$K$153-Input!$K$187)-SUM($K207:P207),(Input!$K$153-Input!$K$187)/A11taxstdlife))</f>
        <v>0.33190745350652856</v>
      </c>
      <c r="R207" s="69"/>
      <c r="S207" s="103"/>
      <c r="T207" s="103"/>
      <c r="U207" s="103"/>
      <c r="V207" s="103"/>
      <c r="W207" s="103"/>
      <c r="X207" s="103"/>
      <c r="Y207" s="103"/>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198"/>
      <c r="BJ207" s="198"/>
      <c r="BK207" s="198"/>
      <c r="BL207" s="198"/>
      <c r="BM207" s="198"/>
      <c r="BN207" s="198"/>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idden="1" outlineLevel="2">
      <c r="A208" s="9"/>
      <c r="B208" s="9"/>
      <c r="C208" s="26"/>
      <c r="D208" s="392"/>
      <c r="E208" s="87">
        <v>5</v>
      </c>
      <c r="F208" s="27"/>
      <c r="G208" s="27"/>
      <c r="H208" s="146"/>
      <c r="I208" s="148"/>
      <c r="J208" s="148"/>
      <c r="K208" s="148"/>
      <c r="L208" s="147"/>
      <c r="M208" s="69">
        <f>IF(A11taxstdlife="n/a","n/a",IF(M$3&gt;(A11taxstdlife+$E208),(Input!$L$153-Input!$L$187)-SUM($L208:L208),(Input!$L$153-Input!$L$187)/A11taxstdlife))</f>
        <v>0.21000000000000002</v>
      </c>
      <c r="N208" s="69">
        <f>IF(A11taxstdlife="n/a","n/a",IF(N$3&gt;(A11taxstdlife+$E208),(Input!$L$153-Input!$L$187)-SUM($L208:M208),(Input!$L$153-Input!$L$187)/A11taxstdlife))</f>
        <v>0.21000000000000002</v>
      </c>
      <c r="O208" s="69">
        <f>IF(A11taxstdlife="n/a","n/a",IF(O$3&gt;(A11taxstdlife+$E208),(Input!$L$153-Input!$L$187)-SUM($L208:N208),(Input!$L$153-Input!$L$187)/A11taxstdlife))</f>
        <v>0.21000000000000002</v>
      </c>
      <c r="P208" s="69">
        <f>IF(A11taxstdlife="n/a","n/a",IF(P$3&gt;(A11taxstdlife+$E208),(Input!$L$153-Input!$L$187)-SUM($L208:O208),(Input!$L$153-Input!$L$187)/A11taxstdlife))</f>
        <v>0.21000000000000002</v>
      </c>
      <c r="Q208" s="69">
        <f>IF(A11taxstdlife="n/a","n/a",IF(Q$3&gt;(A11taxstdlife+$E208),(Input!$L$153-Input!$L$187)-SUM($L208:P208),(Input!$L$153-Input!$L$187)/A11taxstdlife))</f>
        <v>0.21000000000000002</v>
      </c>
      <c r="R208" s="69"/>
      <c r="S208" s="103"/>
      <c r="T208" s="103"/>
      <c r="U208" s="103"/>
      <c r="V208" s="103"/>
      <c r="W208" s="103"/>
      <c r="X208" s="103"/>
      <c r="Y208" s="103"/>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198"/>
      <c r="BJ208" s="198"/>
      <c r="BK208" s="198"/>
      <c r="BL208" s="198"/>
      <c r="BM208" s="198"/>
      <c r="BN208" s="19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idden="1" outlineLevel="2">
      <c r="A209" s="9"/>
      <c r="B209" s="9"/>
      <c r="C209" s="26"/>
      <c r="D209" s="392"/>
      <c r="E209" s="87">
        <v>6</v>
      </c>
      <c r="F209" s="27"/>
      <c r="G209" s="27"/>
      <c r="H209" s="146"/>
      <c r="I209" s="148"/>
      <c r="J209" s="148"/>
      <c r="K209" s="148"/>
      <c r="L209" s="148"/>
      <c r="M209" s="147"/>
      <c r="N209" s="69">
        <f>IF(A11taxstdlife="n/a","n/a",IF(N$3&gt;(A11taxstdlife+$E209),(Input!$M$153-Input!$M$187)-SUM($M209:M209),(Input!$M$153-Input!$M$187)/A11taxstdlife))</f>
        <v>0.16435235470941884</v>
      </c>
      <c r="O209" s="69">
        <f>IF(A11taxstdlife="n/a","n/a",IF(O$3&gt;(A11taxstdlife+$E209),(Input!$M$153-Input!$M$187)-SUM($M209:N209),(Input!$M$153-Input!$M$187)/A11taxstdlife))</f>
        <v>0.16435235470941884</v>
      </c>
      <c r="P209" s="69">
        <f>IF(A11taxstdlife="n/a","n/a",IF(P$3&gt;(A11taxstdlife+$E209),(Input!$M$153-Input!$M$187)-SUM($M209:O209),(Input!$M$153-Input!$M$187)/A11taxstdlife))</f>
        <v>0.16435235470941884</v>
      </c>
      <c r="Q209" s="69">
        <f>IF(A11taxstdlife="n/a","n/a",IF(Q$3&gt;(A11taxstdlife+$E209),(Input!$M$153-Input!$M$187)-SUM($M209:P209),(Input!$M$153-Input!$M$187)/A11taxstdlife))</f>
        <v>0.16435235470941884</v>
      </c>
      <c r="R209" s="69"/>
      <c r="S209" s="103"/>
      <c r="T209" s="103"/>
      <c r="U209" s="103"/>
      <c r="V209" s="103"/>
      <c r="W209" s="103"/>
      <c r="X209" s="103"/>
      <c r="Y209" s="103"/>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198"/>
      <c r="BJ209" s="198"/>
      <c r="BK209" s="198"/>
      <c r="BL209" s="198"/>
      <c r="BM209" s="198"/>
      <c r="BN209" s="198"/>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idden="1" outlineLevel="2">
      <c r="A210" s="9"/>
      <c r="B210" s="9"/>
      <c r="C210" s="26"/>
      <c r="D210" s="392"/>
      <c r="E210" s="87">
        <v>7</v>
      </c>
      <c r="F210" s="27"/>
      <c r="G210" s="27"/>
      <c r="H210" s="146"/>
      <c r="I210" s="148"/>
      <c r="J210" s="148"/>
      <c r="K210" s="148"/>
      <c r="L210" s="148"/>
      <c r="M210" s="148"/>
      <c r="N210" s="147"/>
      <c r="O210" s="69">
        <f>IF(A11taxstdlife="n/a","n/a",IF(O$3&gt;(A11taxstdlife+$E210),(Input!$N$153-Input!$N$187)-SUM($N210:N210),(Input!$N$153-Input!$N$187)/A11taxstdlife))</f>
        <v>0</v>
      </c>
      <c r="P210" s="69">
        <f>IF(A11taxstdlife="n/a","n/a",IF(P$3&gt;(A11taxstdlife+$E210),(Input!$N$153-Input!$N$187)-SUM($N210:O210),(Input!$N$153-Input!$N$187)/A11taxstdlife))</f>
        <v>0</v>
      </c>
      <c r="Q210" s="69">
        <f>IF(A11taxstdlife="n/a","n/a",IF(Q$3&gt;(A11taxstdlife+$E210),(Input!$N$153-Input!$N$187)-SUM($N210:P210),(Input!$N$153-Input!$N$187)/A11taxstdlife))</f>
        <v>0</v>
      </c>
      <c r="R210" s="69"/>
      <c r="S210" s="103"/>
      <c r="T210" s="103"/>
      <c r="U210" s="103"/>
      <c r="V210" s="103"/>
      <c r="W210" s="103"/>
      <c r="X210" s="103"/>
      <c r="Y210" s="103"/>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198"/>
      <c r="BJ210" s="198"/>
      <c r="BK210" s="198"/>
      <c r="BL210" s="198"/>
      <c r="BM210" s="198"/>
      <c r="BN210" s="198"/>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idden="1" outlineLevel="2">
      <c r="A211" s="9"/>
      <c r="B211" s="9"/>
      <c r="C211" s="26"/>
      <c r="D211" s="392"/>
      <c r="E211" s="87">
        <v>8</v>
      </c>
      <c r="F211" s="27"/>
      <c r="G211" s="27"/>
      <c r="H211" s="146"/>
      <c r="I211" s="148"/>
      <c r="J211" s="148"/>
      <c r="K211" s="148"/>
      <c r="L211" s="148"/>
      <c r="M211" s="148"/>
      <c r="N211" s="148"/>
      <c r="O211" s="147"/>
      <c r="P211" s="69">
        <f>IF(A11taxstdlife="n/a","n/a",IF(P$3&gt;(A11taxstdlife+$E211),(Input!$O$153-Input!$O$187)-SUM($O211:O211),(Input!$O$153-Input!$O$187)/A11taxstdlife))</f>
        <v>0</v>
      </c>
      <c r="Q211" s="69">
        <f>IF(A11taxstdlife="n/a","n/a",IF(Q$3&gt;(A11taxstdlife+$E211),(Input!$O$153-Input!$O$187)-SUM($O211:P211),(Input!$O$153-Input!$O$187)/A11taxstdlife))</f>
        <v>0</v>
      </c>
      <c r="R211" s="69"/>
      <c r="S211" s="103"/>
      <c r="T211" s="103"/>
      <c r="U211" s="103"/>
      <c r="V211" s="103"/>
      <c r="W211" s="103"/>
      <c r="X211" s="103"/>
      <c r="Y211" s="103"/>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198"/>
      <c r="BJ211" s="198"/>
      <c r="BK211" s="198"/>
      <c r="BL211" s="198"/>
      <c r="BM211" s="198"/>
      <c r="BN211" s="198"/>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idden="1" outlineLevel="2">
      <c r="A212" s="9"/>
      <c r="B212" s="9"/>
      <c r="C212" s="26"/>
      <c r="D212" s="392"/>
      <c r="E212" s="87">
        <v>9</v>
      </c>
      <c r="F212" s="27"/>
      <c r="G212" s="27"/>
      <c r="H212" s="146"/>
      <c r="I212" s="148"/>
      <c r="J212" s="148"/>
      <c r="K212" s="148"/>
      <c r="L212" s="148"/>
      <c r="M212" s="148"/>
      <c r="N212" s="148"/>
      <c r="O212" s="148"/>
      <c r="P212" s="147"/>
      <c r="Q212" s="69">
        <f>IF(A11taxstdlife="n/a","n/a",IF(Q$3&gt;(A11taxstdlife+$E212),(Input!$P$153-Input!$P$187)-SUM($P212:P212),(Input!$P$153-Input!$P$187)/A11taxstdlife))</f>
        <v>0</v>
      </c>
      <c r="R212" s="69"/>
      <c r="S212" s="103"/>
      <c r="T212" s="103"/>
      <c r="U212" s="103"/>
      <c r="V212" s="103"/>
      <c r="W212" s="103"/>
      <c r="X212" s="103"/>
      <c r="Y212" s="103"/>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198"/>
      <c r="BJ212" s="198"/>
      <c r="BK212" s="198"/>
      <c r="BL212" s="198"/>
      <c r="BM212" s="198"/>
      <c r="BN212" s="198"/>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idden="1" outlineLevel="2">
      <c r="A213" s="9"/>
      <c r="B213" s="9"/>
      <c r="C213" s="26"/>
      <c r="D213" s="392"/>
      <c r="E213" s="88">
        <v>10</v>
      </c>
      <c r="F213" s="27"/>
      <c r="G213" s="27"/>
      <c r="H213" s="146"/>
      <c r="I213" s="148"/>
      <c r="J213" s="148"/>
      <c r="K213" s="148"/>
      <c r="L213" s="148"/>
      <c r="M213" s="148"/>
      <c r="N213" s="148"/>
      <c r="O213" s="148"/>
      <c r="P213" s="148"/>
      <c r="Q213" s="147"/>
      <c r="R213" s="69"/>
      <c r="S213" s="103"/>
      <c r="T213" s="103"/>
      <c r="U213" s="103"/>
      <c r="V213" s="103"/>
      <c r="W213" s="103"/>
      <c r="X213" s="103"/>
      <c r="Y213" s="103"/>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198"/>
      <c r="BJ213" s="198"/>
      <c r="BK213" s="198"/>
      <c r="BL213" s="198"/>
      <c r="BM213" s="198"/>
      <c r="BN213" s="198"/>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idden="1" outlineLevel="1" collapsed="1">
      <c r="A214" s="9"/>
      <c r="B214" s="9"/>
      <c r="C214" s="271" t="str">
        <f>Asset11</f>
        <v>other</v>
      </c>
      <c r="D214" s="9"/>
      <c r="E214" s="9"/>
      <c r="F214" s="23"/>
      <c r="G214" s="23"/>
      <c r="H214" s="297">
        <f>-SUM(H202:H213)</f>
        <v>-1.3253206194912346</v>
      </c>
      <c r="I214" s="161">
        <f>-SUM(I202:I213)</f>
        <v>-1.3662656736489454</v>
      </c>
      <c r="J214" s="161">
        <f>-SUM(J202:J213)</f>
        <v>-1.5442782236389447</v>
      </c>
      <c r="K214" s="161">
        <f>-SUM(K202:K213)</f>
        <v>-1.8631537786389449</v>
      </c>
      <c r="L214" s="161">
        <f>-SUM(L202:L213)</f>
        <v>-2.1950612321454734</v>
      </c>
      <c r="M214" s="161">
        <f>IF(COUNT($H214:L214)&gt;=Input!$Y$7,0, -SUM(M202:M213))</f>
        <v>-2.4050612321454734</v>
      </c>
      <c r="N214" s="161">
        <f>IF(COUNT($H214:M214)&gt;=Input!$Y$7,0, -SUM(N202:N213))</f>
        <v>0</v>
      </c>
      <c r="O214" s="161">
        <f>IF(COUNT($H214:N214)&gt;=Input!$Y$7,0, -SUM(O202:O213))</f>
        <v>0</v>
      </c>
      <c r="P214" s="161">
        <f>IF(COUNT($H214:O214)&gt;=Input!$Y$7,0, -SUM(P202:P213))</f>
        <v>0</v>
      </c>
      <c r="Q214" s="161">
        <f>IF(COUNT($H214:P214)&gt;=Input!$Y$7,0, -SUM(Q202:Q213))</f>
        <v>0</v>
      </c>
      <c r="R214" s="161"/>
      <c r="S214" s="102"/>
      <c r="T214" s="102"/>
      <c r="U214" s="102"/>
      <c r="V214" s="102"/>
      <c r="W214" s="102"/>
      <c r="X214" s="102"/>
      <c r="Y214" s="102"/>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198"/>
      <c r="BJ214" s="198"/>
      <c r="BK214" s="198"/>
      <c r="BL214" s="198"/>
      <c r="BM214" s="198"/>
      <c r="BN214" s="198"/>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idden="1" outlineLevel="2">
      <c r="A215" s="9"/>
      <c r="B215" s="272" t="str">
        <f>Asset12</f>
        <v>premises</v>
      </c>
      <c r="C215" s="31"/>
      <c r="D215" s="32" t="s">
        <v>66</v>
      </c>
      <c r="E215" s="31"/>
      <c r="F215" s="300"/>
      <c r="G215" s="300"/>
      <c r="H215" s="68">
        <f>IF(H$3&gt;A12taxremlife,A12taxvalue-SUM($F215:F215),IF(A12taxremlife="N/A","n/a",A12taxvalue/A12taxremlife))</f>
        <v>1.0008845958646593</v>
      </c>
      <c r="I215" s="68">
        <f>IF(I$3&gt;A12taxremlife,A12taxvalue-SUM($F215:H215),IF(A12taxremlife="N/A","n/a",A12taxvalue/A12taxremlife))</f>
        <v>1.0008845958646593</v>
      </c>
      <c r="J215" s="68">
        <f>IF(J$3&gt;A12taxremlife,A12taxvalue-SUM($F215:I215),IF(A12taxremlife="N/A","n/a",A12taxvalue/A12taxremlife))</f>
        <v>1.0008845958646593</v>
      </c>
      <c r="K215" s="68">
        <f>IF(K$3&gt;A12taxremlife,A12taxvalue-SUM($F215:J215),IF(A12taxremlife="N/A","n/a",A12taxvalue/A12taxremlife))</f>
        <v>1.0008845958646593</v>
      </c>
      <c r="L215" s="68">
        <f>IF(L$3&gt;A12taxremlife,A12taxvalue-SUM($F215:K215),IF(A12taxremlife="N/A","n/a",A12taxvalue/A12taxremlife))</f>
        <v>1.0008845958646593</v>
      </c>
      <c r="M215" s="68">
        <f>IF(M$3&gt;A12taxremlife,A12taxvalue-SUM($F215:L215),IF(A12taxremlife="N/A","n/a",A12taxvalue/A12taxremlife))</f>
        <v>1.0008845958646593</v>
      </c>
      <c r="N215" s="68">
        <f>IF(N$3&gt;A12taxremlife,A12taxvalue-SUM($F215:M215),IF(A12taxremlife="N/A","n/a",A12taxvalue/A12taxremlife))</f>
        <v>0.59180193909572321</v>
      </c>
      <c r="O215" s="68">
        <f>IF(O$3&gt;A12taxremlife,A12taxvalue-SUM($F215:N215),IF(A12taxremlife="N/A","n/a",A12taxvalue/A12taxremlife))</f>
        <v>0</v>
      </c>
      <c r="P215" s="68">
        <f>IF(P$3&gt;A12taxremlife,A12taxvalue-SUM($F215:O215),IF(A12taxremlife="N/A","n/a",A12taxvalue/A12taxremlife))</f>
        <v>0</v>
      </c>
      <c r="Q215" s="68">
        <f>IF(Q$3&gt;A12taxremlife,A12taxvalue-SUM($F215:P215),IF(A12taxremlife="N/A","n/a",A12taxvalue/A12taxremlife))</f>
        <v>0</v>
      </c>
      <c r="R215" s="68"/>
      <c r="S215" s="103"/>
      <c r="T215" s="103"/>
      <c r="U215" s="103"/>
      <c r="V215" s="103"/>
      <c r="W215" s="103"/>
      <c r="X215" s="103"/>
      <c r="Y215" s="103"/>
      <c r="Z215" s="217"/>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198"/>
      <c r="BJ215" s="198"/>
      <c r="BK215" s="198"/>
      <c r="BL215" s="198"/>
      <c r="BM215" s="198"/>
      <c r="BN215" s="198"/>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6"/>
      <c r="D216" s="391" t="s">
        <v>82</v>
      </c>
      <c r="E216" s="87"/>
      <c r="F216" s="27"/>
      <c r="G216" s="27"/>
      <c r="H216" s="103"/>
      <c r="I216" s="69"/>
      <c r="J216" s="69"/>
      <c r="K216" s="69"/>
      <c r="L216" s="69"/>
      <c r="M216" s="69"/>
      <c r="N216" s="69"/>
      <c r="O216" s="69"/>
      <c r="P216" s="69"/>
      <c r="Q216" s="69"/>
      <c r="R216" s="69"/>
      <c r="S216" s="103"/>
      <c r="T216" s="103"/>
      <c r="U216" s="103"/>
      <c r="V216" s="103"/>
      <c r="W216" s="103"/>
      <c r="X216" s="103"/>
      <c r="Y216" s="103"/>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198"/>
      <c r="BJ216" s="198"/>
      <c r="BK216" s="198"/>
      <c r="BL216" s="198"/>
      <c r="BM216" s="198"/>
      <c r="BN216" s="198"/>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idden="1" outlineLevel="2">
      <c r="A217" s="9"/>
      <c r="B217" s="9"/>
      <c r="C217" s="26"/>
      <c r="D217" s="392"/>
      <c r="E217" s="87">
        <v>1</v>
      </c>
      <c r="F217" s="27"/>
      <c r="G217" s="27"/>
      <c r="H217" s="145"/>
      <c r="I217" s="69">
        <f>IF(A12taxstdlife="n/a","n/a",IF(I$3&gt;(A12taxstdlife+$E217),(Input!$H$154-Input!$H$188)-SUM($H217:H217),(Input!$H$154-Input!$H$188)/A12taxstdlife))</f>
        <v>-9.843959999999998E-4</v>
      </c>
      <c r="J217" s="69">
        <f>IF(A12taxstdlife="n/a","n/a",IF(J$3&gt;(A12taxstdlife+$E217),(Input!$H$154-Input!$H$188)-SUM($H217:I217),(Input!$H$154-Input!$H$188)/A12taxstdlife))</f>
        <v>-9.843959999999998E-4</v>
      </c>
      <c r="K217" s="69">
        <f>IF(A12taxstdlife="n/a","n/a",IF(K$3&gt;(A12taxstdlife+$E217),(Input!$H$154-Input!$H$188)-SUM($H217:J217),(Input!$H$154-Input!$H$188)/A12taxstdlife))</f>
        <v>-9.843959999999998E-4</v>
      </c>
      <c r="L217" s="69">
        <f>IF(A12taxstdlife="n/a","n/a",IF(L$3&gt;(A12taxstdlife+$E217),(Input!$H$154-Input!$H$188)-SUM($H217:K217),(Input!$H$154-Input!$H$188)/A12taxstdlife))</f>
        <v>-9.843959999999998E-4</v>
      </c>
      <c r="M217" s="69">
        <f>IF(A12taxstdlife="n/a","n/a",IF(M$3&gt;(A12taxstdlife+$E217),(Input!$H$154-Input!$H$188)-SUM($H217:L217),(Input!$H$154-Input!$H$188)/A12taxstdlife))</f>
        <v>-9.843959999999998E-4</v>
      </c>
      <c r="N217" s="69">
        <f>IF(A12taxstdlife="n/a","n/a",IF(N$3&gt;(A12taxstdlife+$E217),(Input!$H$154-Input!$H$188)-SUM($H217:M217),(Input!$H$154-Input!$H$188)/A12taxstdlife))</f>
        <v>-9.843959999999998E-4</v>
      </c>
      <c r="O217" s="69">
        <f>IF(A12taxstdlife="n/a","n/a",IF(O$3&gt;(A12taxstdlife+$E217),(Input!$H$154-Input!$H$188)-SUM($H217:N217),(Input!$H$154-Input!$H$188)/A12taxstdlife))</f>
        <v>-9.843959999999998E-4</v>
      </c>
      <c r="P217" s="69">
        <f>IF(A12taxstdlife="n/a","n/a",IF(P$3&gt;(A12taxstdlife+$E217),(Input!$H$154-Input!$H$188)-SUM($H217:O217),(Input!$H$154-Input!$H$188)/A12taxstdlife))</f>
        <v>-9.843959999999998E-4</v>
      </c>
      <c r="Q217" s="69">
        <f>IF(A12taxstdlife="n/a","n/a",IF(Q$3&gt;(A12taxstdlife+$E217),(Input!$H$154-Input!$H$188)-SUM($H217:P217),(Input!$H$154-Input!$H$188)/A12taxstdlife))</f>
        <v>-9.843959999999998E-4</v>
      </c>
      <c r="R217" s="69"/>
      <c r="S217" s="103"/>
      <c r="T217" s="103"/>
      <c r="U217" s="103"/>
      <c r="V217" s="103"/>
      <c r="W217" s="103"/>
      <c r="X217" s="103"/>
      <c r="Y217" s="103"/>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198"/>
      <c r="BJ217" s="198"/>
      <c r="BK217" s="198"/>
      <c r="BL217" s="198"/>
      <c r="BM217" s="198"/>
      <c r="BN217" s="198"/>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idden="1" outlineLevel="2">
      <c r="A218" s="9"/>
      <c r="B218" s="9"/>
      <c r="C218" s="26"/>
      <c r="D218" s="392"/>
      <c r="E218" s="87">
        <v>2</v>
      </c>
      <c r="F218" s="27"/>
      <c r="G218" s="27"/>
      <c r="H218" s="146"/>
      <c r="I218" s="147"/>
      <c r="J218" s="69">
        <f>IF(A12taxstdlife="n/a","n/a",IF(J$3&gt;(A12taxstdlife+$E218),(Input!$I$154-Input!$I$188)-SUM($I218:I218),(Input!$I$154-Input!$I$188)/A12taxstdlife))</f>
        <v>1.75550095E-2</v>
      </c>
      <c r="K218" s="69">
        <f>IF(A12taxstdlife="n/a","n/a",IF(K$3&gt;(A12taxstdlife+$E218),(Input!$I$154-Input!$I$188)-SUM($I218:J218),(Input!$I$154-Input!$I$188)/A12taxstdlife))</f>
        <v>1.75550095E-2</v>
      </c>
      <c r="L218" s="69">
        <f>IF(A12taxstdlife="n/a","n/a",IF(L$3&gt;(A12taxstdlife+$E218),(Input!$I$154-Input!$I$188)-SUM($I218:K218),(Input!$I$154-Input!$I$188)/A12taxstdlife))</f>
        <v>1.75550095E-2</v>
      </c>
      <c r="M218" s="69">
        <f>IF(A12taxstdlife="n/a","n/a",IF(M$3&gt;(A12taxstdlife+$E218),(Input!$I$154-Input!$I$188)-SUM($I218:L218),(Input!$I$154-Input!$I$188)/A12taxstdlife))</f>
        <v>1.75550095E-2</v>
      </c>
      <c r="N218" s="69">
        <f>IF(A12taxstdlife="n/a","n/a",IF(N$3&gt;(A12taxstdlife+$E218),(Input!$I$154-Input!$I$188)-SUM($I218:M218),(Input!$I$154-Input!$I$188)/A12taxstdlife))</f>
        <v>1.75550095E-2</v>
      </c>
      <c r="O218" s="69">
        <f>IF(A12taxstdlife="n/a","n/a",IF(O$3&gt;(A12taxstdlife+$E218),(Input!$I$154-Input!$I$188)-SUM($I218:N218),(Input!$I$154-Input!$I$188)/A12taxstdlife))</f>
        <v>1.75550095E-2</v>
      </c>
      <c r="P218" s="69">
        <f>IF(A12taxstdlife="n/a","n/a",IF(P$3&gt;(A12taxstdlife+$E218),(Input!$I$154-Input!$I$188)-SUM($I218:O218),(Input!$I$154-Input!$I$188)/A12taxstdlife))</f>
        <v>1.75550095E-2</v>
      </c>
      <c r="Q218" s="69">
        <f>IF(A12taxstdlife="n/a","n/a",IF(Q$3&gt;(A12taxstdlife+$E218),(Input!$I$154-Input!$I$188)-SUM($I218:P218),(Input!$I$154-Input!$I$188)/A12taxstdlife))</f>
        <v>1.75550095E-2</v>
      </c>
      <c r="R218" s="69"/>
      <c r="S218" s="103"/>
      <c r="T218" s="103"/>
      <c r="U218" s="103"/>
      <c r="V218" s="103"/>
      <c r="W218" s="103"/>
      <c r="X218" s="103"/>
      <c r="Y218" s="103"/>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198"/>
      <c r="BJ218" s="198"/>
      <c r="BK218" s="198"/>
      <c r="BL218" s="198"/>
      <c r="BM218" s="198"/>
      <c r="BN218" s="19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idden="1" outlineLevel="2">
      <c r="A219" s="9"/>
      <c r="B219" s="9"/>
      <c r="C219" s="26"/>
      <c r="D219" s="392"/>
      <c r="E219" s="87">
        <v>3</v>
      </c>
      <c r="F219" s="27"/>
      <c r="G219" s="27"/>
      <c r="H219" s="146"/>
      <c r="I219" s="148"/>
      <c r="J219" s="147"/>
      <c r="K219" s="69">
        <f>IF(A12taxstdlife="n/a","n/a",IF(K$3&gt;(A12taxstdlife+$E219),(Input!$J$154-Input!$J$188)-SUM($J219:J219),(Input!$J$154-Input!$J$188)/A12taxstdlife))</f>
        <v>4.1634229999999994E-3</v>
      </c>
      <c r="L219" s="69">
        <f>IF(A12taxstdlife="n/a","n/a",IF(L$3&gt;(A12taxstdlife+$E219),(Input!$J$154-Input!$J$188)-SUM($J219:K219),(Input!$J$154-Input!$J$188)/A12taxstdlife))</f>
        <v>4.1634229999999994E-3</v>
      </c>
      <c r="M219" s="69">
        <f>IF(A12taxstdlife="n/a","n/a",IF(M$3&gt;(A12taxstdlife+$E219),(Input!$J$154-Input!$J$188)-SUM($J219:L219),(Input!$J$154-Input!$J$188)/A12taxstdlife))</f>
        <v>4.1634229999999994E-3</v>
      </c>
      <c r="N219" s="69">
        <f>IF(A12taxstdlife="n/a","n/a",IF(N$3&gt;(A12taxstdlife+$E219),(Input!$J$154-Input!$J$188)-SUM($J219:M219),(Input!$J$154-Input!$J$188)/A12taxstdlife))</f>
        <v>4.1634229999999994E-3</v>
      </c>
      <c r="O219" s="69">
        <f>IF(A12taxstdlife="n/a","n/a",IF(O$3&gt;(A12taxstdlife+$E219),(Input!$J$154-Input!$J$188)-SUM($J219:N219),(Input!$J$154-Input!$J$188)/A12taxstdlife))</f>
        <v>4.1634229999999994E-3</v>
      </c>
      <c r="P219" s="69">
        <f>IF(A12taxstdlife="n/a","n/a",IF(P$3&gt;(A12taxstdlife+$E219),(Input!$J$154-Input!$J$188)-SUM($J219:O219),(Input!$J$154-Input!$J$188)/A12taxstdlife))</f>
        <v>4.1634229999999994E-3</v>
      </c>
      <c r="Q219" s="69">
        <f>IF(A12taxstdlife="n/a","n/a",IF(Q$3&gt;(A12taxstdlife+$E219),(Input!$J$154-Input!$J$188)-SUM($J219:P219),(Input!$J$154-Input!$J$188)/A12taxstdlife))</f>
        <v>4.1634229999999994E-3</v>
      </c>
      <c r="R219" s="69"/>
      <c r="S219" s="103"/>
      <c r="T219" s="103"/>
      <c r="U219" s="103"/>
      <c r="V219" s="103"/>
      <c r="W219" s="103"/>
      <c r="X219" s="103"/>
      <c r="Y219" s="103"/>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198"/>
      <c r="BJ219" s="198"/>
      <c r="BK219" s="198"/>
      <c r="BL219" s="198"/>
      <c r="BM219" s="198"/>
      <c r="BN219" s="198"/>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idden="1" outlineLevel="2">
      <c r="A220" s="9"/>
      <c r="B220" s="9"/>
      <c r="C220" s="26"/>
      <c r="D220" s="392"/>
      <c r="E220" s="87">
        <v>4</v>
      </c>
      <c r="F220" s="27"/>
      <c r="G220" s="27"/>
      <c r="H220" s="146"/>
      <c r="I220" s="148"/>
      <c r="J220" s="148"/>
      <c r="K220" s="147"/>
      <c r="L220" s="69">
        <f>IF(A12taxstdlife="n/a","n/a",IF(L$3&gt;(A12taxstdlife+$E220),(Input!$K$154-Input!$K$188)-SUM($K220:K220),(Input!$K$154-Input!$K$188)/A12taxstdlife))</f>
        <v>5.3596603E-2</v>
      </c>
      <c r="M220" s="69">
        <f>IF(A12taxstdlife="n/a","n/a",IF(M$3&gt;(A12taxstdlife+$E220),(Input!$K$154-Input!$K$188)-SUM($K220:L220),(Input!$K$154-Input!$K$188)/A12taxstdlife))</f>
        <v>5.3596603E-2</v>
      </c>
      <c r="N220" s="69">
        <f>IF(A12taxstdlife="n/a","n/a",IF(N$3&gt;(A12taxstdlife+$E220),(Input!$K$154-Input!$K$188)-SUM($K220:M220),(Input!$K$154-Input!$K$188)/A12taxstdlife))</f>
        <v>5.3596603E-2</v>
      </c>
      <c r="O220" s="69">
        <f>IF(A12taxstdlife="n/a","n/a",IF(O$3&gt;(A12taxstdlife+$E220),(Input!$K$154-Input!$K$188)-SUM($K220:N220),(Input!$K$154-Input!$K$188)/A12taxstdlife))</f>
        <v>5.3596603E-2</v>
      </c>
      <c r="P220" s="69">
        <f>IF(A12taxstdlife="n/a","n/a",IF(P$3&gt;(A12taxstdlife+$E220),(Input!$K$154-Input!$K$188)-SUM($K220:O220),(Input!$K$154-Input!$K$188)/A12taxstdlife))</f>
        <v>5.3596603E-2</v>
      </c>
      <c r="Q220" s="69">
        <f>IF(A12taxstdlife="n/a","n/a",IF(Q$3&gt;(A12taxstdlife+$E220),(Input!$K$154-Input!$K$188)-SUM($K220:P220),(Input!$K$154-Input!$K$188)/A12taxstdlife))</f>
        <v>5.3596603E-2</v>
      </c>
      <c r="R220" s="69"/>
      <c r="S220" s="103"/>
      <c r="T220" s="103"/>
      <c r="U220" s="103"/>
      <c r="V220" s="103"/>
      <c r="W220" s="103"/>
      <c r="X220" s="103"/>
      <c r="Y220" s="103"/>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198"/>
      <c r="BJ220" s="198"/>
      <c r="BK220" s="198"/>
      <c r="BL220" s="198"/>
      <c r="BM220" s="198"/>
      <c r="BN220" s="198"/>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idden="1" outlineLevel="2">
      <c r="A221" s="9"/>
      <c r="B221" s="9"/>
      <c r="C221" s="26"/>
      <c r="D221" s="392"/>
      <c r="E221" s="87">
        <v>5</v>
      </c>
      <c r="F221" s="27"/>
      <c r="G221" s="27"/>
      <c r="H221" s="146"/>
      <c r="I221" s="148"/>
      <c r="J221" s="148"/>
      <c r="K221" s="148"/>
      <c r="L221" s="147"/>
      <c r="M221" s="69">
        <f>IF(A12taxstdlife="n/a","n/a",IF(M$3&gt;(A12taxstdlife+$E221),(Input!$L$154-Input!$L$188)-SUM($L221:L221),(Input!$L$154-Input!$L$188)/A12taxstdlife))</f>
        <v>1.0500000000000001E-2</v>
      </c>
      <c r="N221" s="69">
        <f>IF(A12taxstdlife="n/a","n/a",IF(N$3&gt;(A12taxstdlife+$E221),(Input!$L$154-Input!$L$188)-SUM($L221:M221),(Input!$L$154-Input!$L$188)/A12taxstdlife))</f>
        <v>1.0500000000000001E-2</v>
      </c>
      <c r="O221" s="69">
        <f>IF(A12taxstdlife="n/a","n/a",IF(O$3&gt;(A12taxstdlife+$E221),(Input!$L$154-Input!$L$188)-SUM($L221:N221),(Input!$L$154-Input!$L$188)/A12taxstdlife))</f>
        <v>1.0500000000000001E-2</v>
      </c>
      <c r="P221" s="69">
        <f>IF(A12taxstdlife="n/a","n/a",IF(P$3&gt;(A12taxstdlife+$E221),(Input!$L$154-Input!$L$188)-SUM($L221:O221),(Input!$L$154-Input!$L$188)/A12taxstdlife))</f>
        <v>1.0500000000000001E-2</v>
      </c>
      <c r="Q221" s="69">
        <f>IF(A12taxstdlife="n/a","n/a",IF(Q$3&gt;(A12taxstdlife+$E221),(Input!$L$154-Input!$L$188)-SUM($L221:P221),(Input!$L$154-Input!$L$188)/A12taxstdlife))</f>
        <v>1.0500000000000001E-2</v>
      </c>
      <c r="R221" s="69"/>
      <c r="S221" s="103"/>
      <c r="T221" s="103"/>
      <c r="U221" s="103"/>
      <c r="V221" s="103"/>
      <c r="W221" s="103"/>
      <c r="X221" s="103"/>
      <c r="Y221" s="103"/>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198"/>
      <c r="BJ221" s="198"/>
      <c r="BK221" s="198"/>
      <c r="BL221" s="198"/>
      <c r="BM221" s="198"/>
      <c r="BN221" s="198"/>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idden="1" outlineLevel="2">
      <c r="A222" s="9"/>
      <c r="B222" s="9"/>
      <c r="C222" s="26"/>
      <c r="D222" s="392"/>
      <c r="E222" s="87">
        <v>6</v>
      </c>
      <c r="F222" s="27"/>
      <c r="G222" s="27"/>
      <c r="H222" s="146"/>
      <c r="I222" s="148"/>
      <c r="J222" s="148"/>
      <c r="K222" s="148"/>
      <c r="L222" s="148"/>
      <c r="M222" s="147"/>
      <c r="N222" s="69">
        <f>IF(A12taxstdlife="n/a","n/a",IF(N$3&gt;(A12taxstdlife+$E222),(Input!$M$154-Input!$M$188)-SUM($M222:M222),(Input!$M$154-Input!$M$188)/A12taxstdlife))</f>
        <v>1.082804609218437E-2</v>
      </c>
      <c r="O222" s="69">
        <f>IF(A12taxstdlife="n/a","n/a",IF(O$3&gt;(A12taxstdlife+$E222),(Input!$M$154-Input!$M$188)-SUM($M222:N222),(Input!$M$154-Input!$M$188)/A12taxstdlife))</f>
        <v>1.082804609218437E-2</v>
      </c>
      <c r="P222" s="69">
        <f>IF(A12taxstdlife="n/a","n/a",IF(P$3&gt;(A12taxstdlife+$E222),(Input!$M$154-Input!$M$188)-SUM($M222:O222),(Input!$M$154-Input!$M$188)/A12taxstdlife))</f>
        <v>1.082804609218437E-2</v>
      </c>
      <c r="Q222" s="69">
        <f>IF(A12taxstdlife="n/a","n/a",IF(Q$3&gt;(A12taxstdlife+$E222),(Input!$M$154-Input!$M$188)-SUM($M222:P222),(Input!$M$154-Input!$M$188)/A12taxstdlife))</f>
        <v>1.082804609218437E-2</v>
      </c>
      <c r="R222" s="69"/>
      <c r="S222" s="103"/>
      <c r="T222" s="103"/>
      <c r="U222" s="103"/>
      <c r="V222" s="103"/>
      <c r="W222" s="103"/>
      <c r="X222" s="103"/>
      <c r="Y222" s="103"/>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198"/>
      <c r="BJ222" s="198"/>
      <c r="BK222" s="198"/>
      <c r="BL222" s="198"/>
      <c r="BM222" s="198"/>
      <c r="BN222" s="198"/>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idden="1" outlineLevel="2">
      <c r="A223" s="9"/>
      <c r="B223" s="9"/>
      <c r="C223" s="26"/>
      <c r="D223" s="392"/>
      <c r="E223" s="87">
        <v>7</v>
      </c>
      <c r="F223" s="27"/>
      <c r="G223" s="27"/>
      <c r="H223" s="146"/>
      <c r="I223" s="148"/>
      <c r="J223" s="148"/>
      <c r="K223" s="148"/>
      <c r="L223" s="148"/>
      <c r="M223" s="148"/>
      <c r="N223" s="147"/>
      <c r="O223" s="69">
        <f>IF(A12taxstdlife="n/a","n/a",IF(O$3&gt;(A12taxstdlife+$E223),(Input!$N$154-Input!$N$188)-SUM($N223:N223),(Input!$N$154-Input!$N$188)/A12taxstdlife))</f>
        <v>0</v>
      </c>
      <c r="P223" s="69">
        <f>IF(A12taxstdlife="n/a","n/a",IF(P$3&gt;(A12taxstdlife+$E223),(Input!$N$154-Input!$N$188)-SUM($N223:O223),(Input!$N$154-Input!$N$188)/A12taxstdlife))</f>
        <v>0</v>
      </c>
      <c r="Q223" s="69">
        <f>IF(A12taxstdlife="n/a","n/a",IF(Q$3&gt;(A12taxstdlife+$E223),(Input!$N$154-Input!$N$188)-SUM($N223:P223),(Input!$N$154-Input!$N$188)/A12taxstdlife))</f>
        <v>0</v>
      </c>
      <c r="R223" s="69"/>
      <c r="S223" s="103"/>
      <c r="T223" s="103"/>
      <c r="U223" s="103"/>
      <c r="V223" s="103"/>
      <c r="W223" s="103"/>
      <c r="X223" s="103"/>
      <c r="Y223" s="103"/>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198"/>
      <c r="BJ223" s="198"/>
      <c r="BK223" s="198"/>
      <c r="BL223" s="198"/>
      <c r="BM223" s="198"/>
      <c r="BN223" s="198"/>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idden="1" outlineLevel="2">
      <c r="A224" s="9"/>
      <c r="B224" s="9"/>
      <c r="C224" s="26"/>
      <c r="D224" s="392"/>
      <c r="E224" s="87">
        <v>8</v>
      </c>
      <c r="F224" s="27"/>
      <c r="G224" s="27"/>
      <c r="H224" s="146"/>
      <c r="I224" s="148"/>
      <c r="J224" s="148"/>
      <c r="K224" s="148"/>
      <c r="L224" s="148"/>
      <c r="M224" s="148"/>
      <c r="N224" s="148"/>
      <c r="O224" s="147"/>
      <c r="P224" s="69">
        <f>IF(A12taxstdlife="n/a","n/a",IF(P$3&gt;(A12taxstdlife+$E224),(Input!$O$154-Input!$O$188)-SUM($O224:O224),(Input!$O$154-Input!$O$188)/A12taxstdlife))</f>
        <v>0</v>
      </c>
      <c r="Q224" s="69">
        <f>IF(A12taxstdlife="n/a","n/a",IF(Q$3&gt;(A12taxstdlife+$E224),(Input!$O$154-Input!$O$188)-SUM($O224:P224),(Input!$O$154-Input!$O$188)/A12taxstdlife))</f>
        <v>0</v>
      </c>
      <c r="R224" s="69"/>
      <c r="S224" s="103"/>
      <c r="T224" s="103"/>
      <c r="U224" s="103"/>
      <c r="V224" s="103"/>
      <c r="W224" s="103"/>
      <c r="X224" s="103"/>
      <c r="Y224" s="103"/>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198"/>
      <c r="BJ224" s="198"/>
      <c r="BK224" s="198"/>
      <c r="BL224" s="198"/>
      <c r="BM224" s="198"/>
      <c r="BN224" s="198"/>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idden="1" outlineLevel="2">
      <c r="A225" s="9"/>
      <c r="B225" s="9"/>
      <c r="C225" s="26"/>
      <c r="D225" s="392"/>
      <c r="E225" s="87">
        <v>9</v>
      </c>
      <c r="F225" s="27"/>
      <c r="G225" s="27"/>
      <c r="H225" s="146"/>
      <c r="I225" s="148"/>
      <c r="J225" s="148"/>
      <c r="K225" s="148"/>
      <c r="L225" s="148"/>
      <c r="M225" s="148"/>
      <c r="N225" s="148"/>
      <c r="O225" s="148"/>
      <c r="P225" s="147"/>
      <c r="Q225" s="69">
        <f>IF(A12taxstdlife="n/a","n/a",IF(Q$3&gt;(A12taxstdlife+$E225),(Input!$P$154-Input!$P$188)-SUM($P225:P225),(Input!$P$154-Input!$P$188)/A12taxstdlife))</f>
        <v>0</v>
      </c>
      <c r="R225" s="69"/>
      <c r="S225" s="103"/>
      <c r="T225" s="103"/>
      <c r="U225" s="103"/>
      <c r="V225" s="103"/>
      <c r="W225" s="103"/>
      <c r="X225" s="103"/>
      <c r="Y225" s="103"/>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198"/>
      <c r="BJ225" s="198"/>
      <c r="BK225" s="198"/>
      <c r="BL225" s="198"/>
      <c r="BM225" s="198"/>
      <c r="BN225" s="198"/>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idden="1" outlineLevel="2">
      <c r="A226" s="9"/>
      <c r="B226" s="9"/>
      <c r="C226" s="26"/>
      <c r="D226" s="392"/>
      <c r="E226" s="88">
        <v>10</v>
      </c>
      <c r="F226" s="27"/>
      <c r="G226" s="27"/>
      <c r="H226" s="146"/>
      <c r="I226" s="148"/>
      <c r="J226" s="148"/>
      <c r="K226" s="148"/>
      <c r="L226" s="148"/>
      <c r="M226" s="148"/>
      <c r="N226" s="148"/>
      <c r="O226" s="148"/>
      <c r="P226" s="148"/>
      <c r="Q226" s="147"/>
      <c r="R226" s="69"/>
      <c r="S226" s="103"/>
      <c r="T226" s="103"/>
      <c r="U226" s="103"/>
      <c r="V226" s="103"/>
      <c r="W226" s="103"/>
      <c r="X226" s="103"/>
      <c r="Y226" s="103"/>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198"/>
      <c r="BJ226" s="198"/>
      <c r="BK226" s="198"/>
      <c r="BL226" s="198"/>
      <c r="BM226" s="198"/>
      <c r="BN226" s="198"/>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idden="1" outlineLevel="1" collapsed="1">
      <c r="A227" s="9"/>
      <c r="B227" s="9"/>
      <c r="C227" s="271" t="str">
        <f>Asset12</f>
        <v>premises</v>
      </c>
      <c r="D227" s="9"/>
      <c r="E227" s="9"/>
      <c r="F227" s="23"/>
      <c r="G227" s="23"/>
      <c r="H227" s="297">
        <f>-SUM(H215:H226)</f>
        <v>-1.0008845958646593</v>
      </c>
      <c r="I227" s="161">
        <f>-SUM(I215:I226)</f>
        <v>-0.99990019986465928</v>
      </c>
      <c r="J227" s="161">
        <f>-SUM(J215:J226)</f>
        <v>-1.0174552093646594</v>
      </c>
      <c r="K227" s="161">
        <f>-SUM(K215:K226)</f>
        <v>-1.0216186323646594</v>
      </c>
      <c r="L227" s="161">
        <f>-SUM(L215:L226)</f>
        <v>-1.0752152353646593</v>
      </c>
      <c r="M227" s="161">
        <f>IF(COUNT($H227:L227)&gt;=Input!$Y$7,0, -SUM(M215:M226))</f>
        <v>-1.0857152353646593</v>
      </c>
      <c r="N227" s="161">
        <f>IF(COUNT($H227:M227)&gt;=Input!$Y$7,0, -SUM(N215:N226))</f>
        <v>0</v>
      </c>
      <c r="O227" s="161">
        <f>IF(COUNT($H227:N227)&gt;=Input!$Y$7,0, -SUM(O215:O226))</f>
        <v>0</v>
      </c>
      <c r="P227" s="161">
        <f>IF(COUNT($H227:O227)&gt;=Input!$Y$7,0, -SUM(P215:P226))</f>
        <v>0</v>
      </c>
      <c r="Q227" s="161">
        <f>IF(COUNT($H227:P227)&gt;=Input!$Y$7,0, -SUM(Q215:Q226))</f>
        <v>0</v>
      </c>
      <c r="R227" s="161"/>
      <c r="S227" s="102"/>
      <c r="T227" s="102"/>
      <c r="U227" s="102"/>
      <c r="V227" s="102"/>
      <c r="W227" s="102"/>
      <c r="X227" s="102"/>
      <c r="Y227" s="102"/>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198"/>
      <c r="BJ227" s="198"/>
      <c r="BK227" s="198"/>
      <c r="BL227" s="198"/>
      <c r="BM227" s="198"/>
      <c r="BN227" s="198"/>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idden="1" outlineLevel="2">
      <c r="A228" s="9"/>
      <c r="B228" s="272" t="str">
        <f>Asset13</f>
        <v>Land</v>
      </c>
      <c r="C228" s="31"/>
      <c r="D228" s="32" t="s">
        <v>66</v>
      </c>
      <c r="E228" s="31"/>
      <c r="F228" s="300"/>
      <c r="G228" s="300"/>
      <c r="H228" s="68" t="str">
        <f>IF(H$3&gt;A13taxremlife,A13taxvalue-SUM($F228:F228),IF(A13taxremlife="N/A","n/a",A13taxvalue/A13taxremlife))</f>
        <v>n/a</v>
      </c>
      <c r="I228" s="68" t="str">
        <f>IF(I$3&gt;A13taxremlife,A13taxvalue-SUM($F228:H228),IF(A13taxremlife="N/A","n/a",A13taxvalue/A13taxremlife))</f>
        <v>n/a</v>
      </c>
      <c r="J228" s="68" t="str">
        <f>IF(J$3&gt;A13taxremlife,A13taxvalue-SUM($F228:I228),IF(A13taxremlife="N/A","n/a",A13taxvalue/A13taxremlife))</f>
        <v>n/a</v>
      </c>
      <c r="K228" s="68" t="str">
        <f>IF(K$3&gt;A13taxremlife,A13taxvalue-SUM($F228:J228),IF(A13taxremlife="N/A","n/a",A13taxvalue/A13taxremlife))</f>
        <v>n/a</v>
      </c>
      <c r="L228" s="68" t="str">
        <f>IF(L$3&gt;A13taxremlife,A13taxvalue-SUM($F228:K228),IF(A13taxremlife="N/A","n/a",A13taxvalue/A13taxremlife))</f>
        <v>n/a</v>
      </c>
      <c r="M228" s="68" t="str">
        <f>IF(M$3&gt;A13taxremlife,A13taxvalue-SUM($F228:L228),IF(A13taxremlife="N/A","n/a",A13taxvalue/A13taxremlife))</f>
        <v>n/a</v>
      </c>
      <c r="N228" s="68" t="str">
        <f>IF(N$3&gt;A13taxremlife,A13taxvalue-SUM($F228:M228),IF(A13taxremlife="N/A","n/a",A13taxvalue/A13taxremlife))</f>
        <v>n/a</v>
      </c>
      <c r="O228" s="68" t="str">
        <f>IF(O$3&gt;A13taxremlife,A13taxvalue-SUM($F228:N228),IF(A13taxremlife="N/A","n/a",A13taxvalue/A13taxremlife))</f>
        <v>n/a</v>
      </c>
      <c r="P228" s="68" t="str">
        <f>IF(P$3&gt;A13taxremlife,A13taxvalue-SUM($F228:O228),IF(A13taxremlife="N/A","n/a",A13taxvalue/A13taxremlife))</f>
        <v>n/a</v>
      </c>
      <c r="Q228" s="68" t="str">
        <f>IF(Q$3&gt;A13taxremlife,A13taxvalue-SUM($F228:P228),IF(A13taxremlife="N/A","n/a",A13taxvalue/A13taxremlife))</f>
        <v>n/a</v>
      </c>
      <c r="R228" s="68"/>
      <c r="S228" s="103"/>
      <c r="T228" s="103"/>
      <c r="U228" s="103"/>
      <c r="V228" s="103"/>
      <c r="W228" s="103"/>
      <c r="X228" s="103"/>
      <c r="Y228" s="103"/>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198"/>
      <c r="BJ228" s="198"/>
      <c r="BK228" s="198"/>
      <c r="BL228" s="198"/>
      <c r="BM228" s="198"/>
      <c r="BN228" s="19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6"/>
      <c r="D229" s="391" t="s">
        <v>82</v>
      </c>
      <c r="E229" s="87"/>
      <c r="F229" s="27"/>
      <c r="G229" s="27"/>
      <c r="H229" s="103"/>
      <c r="I229" s="69"/>
      <c r="J229" s="69"/>
      <c r="K229" s="69"/>
      <c r="L229" s="69"/>
      <c r="M229" s="69"/>
      <c r="N229" s="69"/>
      <c r="O229" s="69"/>
      <c r="P229" s="69"/>
      <c r="Q229" s="69"/>
      <c r="R229" s="69"/>
      <c r="S229" s="103"/>
      <c r="T229" s="103"/>
      <c r="U229" s="103"/>
      <c r="V229" s="103"/>
      <c r="W229" s="103"/>
      <c r="X229" s="103"/>
      <c r="Y229" s="103"/>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198"/>
      <c r="BJ229" s="198"/>
      <c r="BK229" s="198"/>
      <c r="BL229" s="198"/>
      <c r="BM229" s="198"/>
      <c r="BN229" s="198"/>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idden="1" outlineLevel="2">
      <c r="A230" s="9"/>
      <c r="B230" s="9"/>
      <c r="C230" s="26"/>
      <c r="D230" s="392"/>
      <c r="E230" s="87">
        <v>1</v>
      </c>
      <c r="F230" s="27"/>
      <c r="G230" s="27"/>
      <c r="H230" s="145"/>
      <c r="I230" s="69" t="str">
        <f>IF(A13taxstdlife="n/a","n/a",IF(I$3&gt;(A13taxstdlife+$E230),(Input!$H$155-Input!$H$189)-SUM($H230:H230),(Input!$H$155-Input!$H$189)/A13taxstdlife))</f>
        <v>n/a</v>
      </c>
      <c r="J230" s="69" t="str">
        <f>IF(A13taxstdlife="n/a","n/a",IF(J$3&gt;(A13taxstdlife+$E230),(Input!$H$155-Input!$H$189)-SUM($H230:I230),(Input!$H$155-Input!$H$189)/A13taxstdlife))</f>
        <v>n/a</v>
      </c>
      <c r="K230" s="69" t="str">
        <f>IF(A13taxstdlife="n/a","n/a",IF(K$3&gt;(A13taxstdlife+$E230),(Input!$H$155-Input!$H$189)-SUM($H230:J230),(Input!$H$155-Input!$H$189)/A13taxstdlife))</f>
        <v>n/a</v>
      </c>
      <c r="L230" s="69" t="str">
        <f>IF(A13taxstdlife="n/a","n/a",IF(L$3&gt;(A13taxstdlife+$E230),(Input!$H$155-Input!$H$189)-SUM($H230:K230),(Input!$H$155-Input!$H$189)/A13taxstdlife))</f>
        <v>n/a</v>
      </c>
      <c r="M230" s="69" t="str">
        <f>IF(A13taxstdlife="n/a","n/a",IF(M$3&gt;(A13taxstdlife+$E230),(Input!$H$155-Input!$H$189)-SUM($H230:L230),(Input!$H$155-Input!$H$189)/A13taxstdlife))</f>
        <v>n/a</v>
      </c>
      <c r="N230" s="69" t="str">
        <f>IF(A13taxstdlife="n/a","n/a",IF(N$3&gt;(A13taxstdlife+$E230),(Input!$H$155-Input!$H$189)-SUM($H230:M230),(Input!$H$155-Input!$H$189)/A13taxstdlife))</f>
        <v>n/a</v>
      </c>
      <c r="O230" s="69" t="str">
        <f>IF(A13taxstdlife="n/a","n/a",IF(O$3&gt;(A13taxstdlife+$E230),(Input!$H$155-Input!$H$189)-SUM($H230:N230),(Input!$H$155-Input!$H$189)/A13taxstdlife))</f>
        <v>n/a</v>
      </c>
      <c r="P230" s="69" t="str">
        <f>IF(A13taxstdlife="n/a","n/a",IF(P$3&gt;(A13taxstdlife+$E230),(Input!$H$155-Input!$H$189)-SUM($H230:O230),(Input!$H$155-Input!$H$189)/A13taxstdlife))</f>
        <v>n/a</v>
      </c>
      <c r="Q230" s="69" t="str">
        <f>IF(A13taxstdlife="n/a","n/a",IF(Q$3&gt;(A13taxstdlife+$E230),(Input!$H$155-Input!$H$189)-SUM($H230:P230),(Input!$H$155-Input!$H$189)/A13taxstdlife))</f>
        <v>n/a</v>
      </c>
      <c r="R230" s="69"/>
      <c r="S230" s="103"/>
      <c r="T230" s="103"/>
      <c r="U230" s="103"/>
      <c r="V230" s="103"/>
      <c r="W230" s="103"/>
      <c r="X230" s="103"/>
      <c r="Y230" s="103"/>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198"/>
      <c r="BJ230" s="198"/>
      <c r="BK230" s="198"/>
      <c r="BL230" s="198"/>
      <c r="BM230" s="198"/>
      <c r="BN230" s="198"/>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idden="1" outlineLevel="2">
      <c r="A231" s="9"/>
      <c r="B231" s="9"/>
      <c r="C231" s="26"/>
      <c r="D231" s="392"/>
      <c r="E231" s="87">
        <v>2</v>
      </c>
      <c r="F231" s="27"/>
      <c r="G231" s="27"/>
      <c r="H231" s="146"/>
      <c r="I231" s="147"/>
      <c r="J231" s="69" t="str">
        <f>IF(A13taxstdlife="n/a","n/a",IF(J$3&gt;(A13taxstdlife+$E231),(Input!$I$155-Input!$I$189)-SUM($I231:I231),(Input!$I$155-Input!$I$189)/A13taxstdlife))</f>
        <v>n/a</v>
      </c>
      <c r="K231" s="69" t="str">
        <f>IF(A13taxstdlife="n/a","n/a",IF(K$3&gt;(A13taxstdlife+$E231),(Input!$I$155-Input!$I$189)-SUM($I231:J231),(Input!$I$155-Input!$I$189)/A13taxstdlife))</f>
        <v>n/a</v>
      </c>
      <c r="L231" s="69" t="str">
        <f>IF(A13taxstdlife="n/a","n/a",IF(L$3&gt;(A13taxstdlife+$E231),(Input!$I$155-Input!$I$189)-SUM($I231:K231),(Input!$I$155-Input!$I$189)/A13taxstdlife))</f>
        <v>n/a</v>
      </c>
      <c r="M231" s="69" t="str">
        <f>IF(A13taxstdlife="n/a","n/a",IF(M$3&gt;(A13taxstdlife+$E231),(Input!$I$155-Input!$I$189)-SUM($I231:L231),(Input!$I$155-Input!$I$189)/A13taxstdlife))</f>
        <v>n/a</v>
      </c>
      <c r="N231" s="69" t="str">
        <f>IF(A13taxstdlife="n/a","n/a",IF(N$3&gt;(A13taxstdlife+$E231),(Input!$I$155-Input!$I$189)-SUM($I231:M231),(Input!$I$155-Input!$I$189)/A13taxstdlife))</f>
        <v>n/a</v>
      </c>
      <c r="O231" s="69" t="str">
        <f>IF(A13taxstdlife="n/a","n/a",IF(O$3&gt;(A13taxstdlife+$E231),(Input!$I$155-Input!$I$189)-SUM($I231:N231),(Input!$I$155-Input!$I$189)/A13taxstdlife))</f>
        <v>n/a</v>
      </c>
      <c r="P231" s="69" t="str">
        <f>IF(A13taxstdlife="n/a","n/a",IF(P$3&gt;(A13taxstdlife+$E231),(Input!$I$155-Input!$I$189)-SUM($I231:O231),(Input!$I$155-Input!$I$189)/A13taxstdlife))</f>
        <v>n/a</v>
      </c>
      <c r="Q231" s="69" t="str">
        <f>IF(A13taxstdlife="n/a","n/a",IF(Q$3&gt;(A13taxstdlife+$E231),(Input!$I$155-Input!$I$189)-SUM($I231:P231),(Input!$I$155-Input!$I$189)/A13taxstdlife))</f>
        <v>n/a</v>
      </c>
      <c r="R231" s="69"/>
      <c r="S231" s="103"/>
      <c r="T231" s="103"/>
      <c r="U231" s="103"/>
      <c r="V231" s="103"/>
      <c r="W231" s="103"/>
      <c r="X231" s="103"/>
      <c r="Y231" s="103"/>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198"/>
      <c r="BJ231" s="198"/>
      <c r="BK231" s="198"/>
      <c r="BL231" s="198"/>
      <c r="BM231" s="198"/>
      <c r="BN231" s="198"/>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idden="1" outlineLevel="2">
      <c r="A232" s="9"/>
      <c r="B232" s="9"/>
      <c r="C232" s="26"/>
      <c r="D232" s="392"/>
      <c r="E232" s="87">
        <v>3</v>
      </c>
      <c r="F232" s="27"/>
      <c r="G232" s="27"/>
      <c r="H232" s="146"/>
      <c r="I232" s="148"/>
      <c r="J232" s="147"/>
      <c r="K232" s="69" t="str">
        <f>IF(A13taxstdlife="n/a","n/a",IF(K$3&gt;(A13taxstdlife+$E232),(Input!$J$155-Input!$J$189)-SUM($J232:J232),(Input!$J$155-Input!$J$189)/A13taxstdlife))</f>
        <v>n/a</v>
      </c>
      <c r="L232" s="69" t="str">
        <f>IF(A13taxstdlife="n/a","n/a",IF(L$3&gt;(A13taxstdlife+$E232),(Input!$J$155-Input!$J$189)-SUM($J232:K232),(Input!$J$155-Input!$J$189)/A13taxstdlife))</f>
        <v>n/a</v>
      </c>
      <c r="M232" s="69" t="str">
        <f>IF(A13taxstdlife="n/a","n/a",IF(M$3&gt;(A13taxstdlife+$E232),(Input!$J$155-Input!$J$189)-SUM($J232:L232),(Input!$J$155-Input!$J$189)/A13taxstdlife))</f>
        <v>n/a</v>
      </c>
      <c r="N232" s="69" t="str">
        <f>IF(A13taxstdlife="n/a","n/a",IF(N$3&gt;(A13taxstdlife+$E232),(Input!$J$155-Input!$J$189)-SUM($J232:M232),(Input!$J$155-Input!$J$189)/A13taxstdlife))</f>
        <v>n/a</v>
      </c>
      <c r="O232" s="69" t="str">
        <f>IF(A13taxstdlife="n/a","n/a",IF(O$3&gt;(A13taxstdlife+$E232),(Input!$J$155-Input!$J$189)-SUM($J232:N232),(Input!$J$155-Input!$J$189)/A13taxstdlife))</f>
        <v>n/a</v>
      </c>
      <c r="P232" s="69" t="str">
        <f>IF(A13taxstdlife="n/a","n/a",IF(P$3&gt;(A13taxstdlife+$E232),(Input!$J$155-Input!$J$189)-SUM($J232:O232),(Input!$J$155-Input!$J$189)/A13taxstdlife))</f>
        <v>n/a</v>
      </c>
      <c r="Q232" s="69" t="str">
        <f>IF(A13taxstdlife="n/a","n/a",IF(Q$3&gt;(A13taxstdlife+$E232),(Input!$J$155-Input!$J$189)-SUM($J232:P232),(Input!$J$155-Input!$J$189)/A13taxstdlife))</f>
        <v>n/a</v>
      </c>
      <c r="R232" s="69"/>
      <c r="S232" s="103"/>
      <c r="T232" s="103"/>
      <c r="U232" s="103"/>
      <c r="V232" s="103"/>
      <c r="W232" s="103"/>
      <c r="X232" s="103"/>
      <c r="Y232" s="103"/>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198"/>
      <c r="BJ232" s="198"/>
      <c r="BK232" s="198"/>
      <c r="BL232" s="198"/>
      <c r="BM232" s="198"/>
      <c r="BN232" s="198"/>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idden="1" outlineLevel="2">
      <c r="A233" s="9"/>
      <c r="B233" s="9"/>
      <c r="C233" s="26"/>
      <c r="D233" s="392"/>
      <c r="E233" s="87">
        <v>4</v>
      </c>
      <c r="F233" s="27"/>
      <c r="G233" s="27"/>
      <c r="H233" s="146"/>
      <c r="I233" s="148"/>
      <c r="J233" s="148"/>
      <c r="K233" s="147"/>
      <c r="L233" s="69" t="str">
        <f>IF(A13taxstdlife="n/a","n/a",IF(L$3&gt;(A13taxstdlife+$E233),(Input!$K$155-Input!$K$189)-SUM($K233:K233),(Input!$K$155-Input!$K$189)/A13taxstdlife))</f>
        <v>n/a</v>
      </c>
      <c r="M233" s="69" t="str">
        <f>IF(A13taxstdlife="n/a","n/a",IF(M$3&gt;(A13taxstdlife+$E233),(Input!$K$155-Input!$K$189)-SUM($K233:L233),(Input!$K$155-Input!$K$189)/A13taxstdlife))</f>
        <v>n/a</v>
      </c>
      <c r="N233" s="69" t="str">
        <f>IF(A13taxstdlife="n/a","n/a",IF(N$3&gt;(A13taxstdlife+$E233),(Input!$K$155-Input!$K$189)-SUM($K233:M233),(Input!$K$155-Input!$K$189)/A13taxstdlife))</f>
        <v>n/a</v>
      </c>
      <c r="O233" s="69" t="str">
        <f>IF(A13taxstdlife="n/a","n/a",IF(O$3&gt;(A13taxstdlife+$E233),(Input!$K$155-Input!$K$189)-SUM($K233:N233),(Input!$K$155-Input!$K$189)/A13taxstdlife))</f>
        <v>n/a</v>
      </c>
      <c r="P233" s="69" t="str">
        <f>IF(A13taxstdlife="n/a","n/a",IF(P$3&gt;(A13taxstdlife+$E233),(Input!$K$155-Input!$K$189)-SUM($K233:O233),(Input!$K$155-Input!$K$189)/A13taxstdlife))</f>
        <v>n/a</v>
      </c>
      <c r="Q233" s="69" t="str">
        <f>IF(A13taxstdlife="n/a","n/a",IF(Q$3&gt;(A13taxstdlife+$E233),(Input!$K$155-Input!$K$189)-SUM($K233:P233),(Input!$K$155-Input!$K$189)/A13taxstdlife))</f>
        <v>n/a</v>
      </c>
      <c r="R233" s="69"/>
      <c r="S233" s="103"/>
      <c r="T233" s="103"/>
      <c r="U233" s="103"/>
      <c r="V233" s="103"/>
      <c r="W233" s="103"/>
      <c r="X233" s="103"/>
      <c r="Y233" s="103"/>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198"/>
      <c r="BJ233" s="198"/>
      <c r="BK233" s="198"/>
      <c r="BL233" s="198"/>
      <c r="BM233" s="198"/>
      <c r="BN233" s="198"/>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idden="1" outlineLevel="2">
      <c r="A234" s="9"/>
      <c r="B234" s="9"/>
      <c r="C234" s="26"/>
      <c r="D234" s="392"/>
      <c r="E234" s="87">
        <v>5</v>
      </c>
      <c r="F234" s="27"/>
      <c r="G234" s="27"/>
      <c r="H234" s="146"/>
      <c r="I234" s="148"/>
      <c r="J234" s="148"/>
      <c r="K234" s="148"/>
      <c r="L234" s="147"/>
      <c r="M234" s="69" t="str">
        <f>IF(A13taxstdlife="n/a","n/a",IF(M$3&gt;(A13taxstdlife+$E234),(Input!$L$155-Input!$L$189)-SUM($L234:L234),(Input!$L$155-Input!$L$189)/A13taxstdlife))</f>
        <v>n/a</v>
      </c>
      <c r="N234" s="69" t="str">
        <f>IF(A13taxstdlife="n/a","n/a",IF(N$3&gt;(A13taxstdlife+$E234),(Input!$L$155-Input!$L$189)-SUM($L234:M234),(Input!$L$155-Input!$L$189)/A13taxstdlife))</f>
        <v>n/a</v>
      </c>
      <c r="O234" s="69" t="str">
        <f>IF(A13taxstdlife="n/a","n/a",IF(O$3&gt;(A13taxstdlife+$E234),(Input!$L$155-Input!$L$189)-SUM($L234:N234),(Input!$L$155-Input!$L$189)/A13taxstdlife))</f>
        <v>n/a</v>
      </c>
      <c r="P234" s="69" t="str">
        <f>IF(A13taxstdlife="n/a","n/a",IF(P$3&gt;(A13taxstdlife+$E234),(Input!$L$155-Input!$L$189)-SUM($L234:O234),(Input!$L$155-Input!$L$189)/A13taxstdlife))</f>
        <v>n/a</v>
      </c>
      <c r="Q234" s="69" t="str">
        <f>IF(A13taxstdlife="n/a","n/a",IF(Q$3&gt;(A13taxstdlife+$E234),(Input!$L$155-Input!$L$189)-SUM($L234:P234),(Input!$L$155-Input!$L$189)/A13taxstdlife))</f>
        <v>n/a</v>
      </c>
      <c r="R234" s="69"/>
      <c r="S234" s="103"/>
      <c r="T234" s="103"/>
      <c r="U234" s="103"/>
      <c r="V234" s="103"/>
      <c r="W234" s="103"/>
      <c r="X234" s="103"/>
      <c r="Y234" s="103"/>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198"/>
      <c r="BJ234" s="198"/>
      <c r="BK234" s="198"/>
      <c r="BL234" s="198"/>
      <c r="BM234" s="198"/>
      <c r="BN234" s="198"/>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idden="1" outlineLevel="2">
      <c r="A235" s="9"/>
      <c r="B235" s="9"/>
      <c r="C235" s="26"/>
      <c r="D235" s="392"/>
      <c r="E235" s="87">
        <v>6</v>
      </c>
      <c r="F235" s="27"/>
      <c r="G235" s="27"/>
      <c r="H235" s="146"/>
      <c r="I235" s="148"/>
      <c r="J235" s="148"/>
      <c r="K235" s="148"/>
      <c r="L235" s="148"/>
      <c r="M235" s="147"/>
      <c r="N235" s="69" t="str">
        <f>IF(A13taxstdlife="n/a","n/a",IF(N$3&gt;(A13taxstdlife+$E235),(Input!$M$155-Input!$M$189)-SUM($M235:M235),(Input!$M$155-Input!$M$189)/A13taxstdlife))</f>
        <v>n/a</v>
      </c>
      <c r="O235" s="69" t="str">
        <f>IF(A13taxstdlife="n/a","n/a",IF(O$3&gt;(A13taxstdlife+$E235),(Input!$M$155-Input!$M$189)-SUM($M235:N235),(Input!$M$155-Input!$M$189)/A13taxstdlife))</f>
        <v>n/a</v>
      </c>
      <c r="P235" s="69" t="str">
        <f>IF(A13taxstdlife="n/a","n/a",IF(P$3&gt;(A13taxstdlife+$E235),(Input!$M$155-Input!$M$189)-SUM($M235:O235),(Input!$M$155-Input!$M$189)/A13taxstdlife))</f>
        <v>n/a</v>
      </c>
      <c r="Q235" s="69" t="str">
        <f>IF(A13taxstdlife="n/a","n/a",IF(Q$3&gt;(A13taxstdlife+$E235),(Input!$M$155-Input!$M$189)-SUM($M235:P235),(Input!$M$155-Input!$M$189)/A13taxstdlife))</f>
        <v>n/a</v>
      </c>
      <c r="R235" s="69"/>
      <c r="S235" s="103"/>
      <c r="T235" s="103"/>
      <c r="U235" s="103"/>
      <c r="V235" s="103"/>
      <c r="W235" s="103"/>
      <c r="X235" s="103"/>
      <c r="Y235" s="103"/>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198"/>
      <c r="BJ235" s="198"/>
      <c r="BK235" s="198"/>
      <c r="BL235" s="198"/>
      <c r="BM235" s="198"/>
      <c r="BN235" s="198"/>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idden="1" outlineLevel="2">
      <c r="A236" s="9"/>
      <c r="B236" s="9"/>
      <c r="C236" s="26"/>
      <c r="D236" s="392"/>
      <c r="E236" s="87">
        <v>7</v>
      </c>
      <c r="F236" s="27"/>
      <c r="G236" s="27"/>
      <c r="H236" s="146"/>
      <c r="I236" s="148"/>
      <c r="J236" s="148"/>
      <c r="K236" s="148"/>
      <c r="L236" s="148"/>
      <c r="M236" s="148"/>
      <c r="N236" s="147"/>
      <c r="O236" s="69" t="str">
        <f>IF(A13taxstdlife="n/a","n/a",IF(O$3&gt;(A13taxstdlife+$E236),(Input!$N$155-Input!$N$189)-SUM($N236:N236),(Input!$N$155-Input!$N$189)/A13taxstdlife))</f>
        <v>n/a</v>
      </c>
      <c r="P236" s="69" t="str">
        <f>IF(A13taxstdlife="n/a","n/a",IF(P$3&gt;(A13taxstdlife+$E236),(Input!$N$155-Input!$N$189)-SUM($N236:O236),(Input!$N$155-Input!$N$189)/A13taxstdlife))</f>
        <v>n/a</v>
      </c>
      <c r="Q236" s="69" t="str">
        <f>IF(A13taxstdlife="n/a","n/a",IF(Q$3&gt;(A13taxstdlife+$E236),(Input!$N$155-Input!$N$189)-SUM($N236:P236),(Input!$N$155-Input!$N$189)/A13taxstdlife))</f>
        <v>n/a</v>
      </c>
      <c r="R236" s="69"/>
      <c r="S236" s="103"/>
      <c r="T236" s="103"/>
      <c r="U236" s="103"/>
      <c r="V236" s="103"/>
      <c r="W236" s="103"/>
      <c r="X236" s="103"/>
      <c r="Y236" s="103"/>
      <c r="Z236" s="217"/>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198"/>
      <c r="BJ236" s="198"/>
      <c r="BK236" s="198"/>
      <c r="BL236" s="198"/>
      <c r="BM236" s="198"/>
      <c r="BN236" s="198"/>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idden="1" outlineLevel="2">
      <c r="A237" s="9"/>
      <c r="B237" s="9"/>
      <c r="C237" s="26"/>
      <c r="D237" s="392"/>
      <c r="E237" s="87">
        <v>8</v>
      </c>
      <c r="F237" s="27"/>
      <c r="G237" s="27"/>
      <c r="H237" s="146"/>
      <c r="I237" s="148"/>
      <c r="J237" s="148"/>
      <c r="K237" s="148"/>
      <c r="L237" s="148"/>
      <c r="M237" s="148"/>
      <c r="N237" s="148"/>
      <c r="O237" s="147"/>
      <c r="P237" s="69" t="str">
        <f>IF(A13taxstdlife="n/a","n/a",IF(P$3&gt;(A13taxstdlife+$E237),(Input!$O$155-Input!$O$189)-SUM($O237:O237),(Input!$O$155-Input!$O$189)/A13taxstdlife))</f>
        <v>n/a</v>
      </c>
      <c r="Q237" s="69" t="str">
        <f>IF(A13taxstdlife="n/a","n/a",IF(Q$3&gt;(A13taxstdlife+$E237),(Input!$O$155-Input!$O$189)-SUM($O237:P237),(Input!$O$155-Input!$O$189)/A13taxstdlife))</f>
        <v>n/a</v>
      </c>
      <c r="R237" s="69"/>
      <c r="S237" s="103"/>
      <c r="T237" s="103"/>
      <c r="U237" s="103"/>
      <c r="V237" s="103"/>
      <c r="W237" s="103"/>
      <c r="X237" s="103"/>
      <c r="Y237" s="103"/>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198"/>
      <c r="BJ237" s="198"/>
      <c r="BK237" s="198"/>
      <c r="BL237" s="198"/>
      <c r="BM237" s="198"/>
      <c r="BN237" s="198"/>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idden="1" outlineLevel="2">
      <c r="A238" s="9"/>
      <c r="B238" s="9"/>
      <c r="C238" s="26"/>
      <c r="D238" s="392"/>
      <c r="E238" s="87">
        <v>9</v>
      </c>
      <c r="F238" s="27"/>
      <c r="G238" s="27"/>
      <c r="H238" s="146"/>
      <c r="I238" s="148"/>
      <c r="J238" s="148"/>
      <c r="K238" s="148"/>
      <c r="L238" s="148"/>
      <c r="M238" s="148"/>
      <c r="N238" s="148"/>
      <c r="O238" s="148"/>
      <c r="P238" s="147"/>
      <c r="Q238" s="69" t="str">
        <f>IF(A13taxstdlife="n/a","n/a",IF(Q$3&gt;(A13taxstdlife+$E238),(Input!$P$155-Input!$P$189)-SUM($P238:P238),(Input!$P$155-Input!$P$189)/A13taxstdlife))</f>
        <v>n/a</v>
      </c>
      <c r="R238" s="69"/>
      <c r="S238" s="103"/>
      <c r="T238" s="103"/>
      <c r="U238" s="103"/>
      <c r="V238" s="103"/>
      <c r="W238" s="103"/>
      <c r="X238" s="103"/>
      <c r="Y238" s="103"/>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198"/>
      <c r="BJ238" s="198"/>
      <c r="BK238" s="198"/>
      <c r="BL238" s="198"/>
      <c r="BM238" s="198"/>
      <c r="BN238" s="19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idden="1" outlineLevel="2">
      <c r="A239" s="9"/>
      <c r="B239" s="9"/>
      <c r="C239" s="26"/>
      <c r="D239" s="392"/>
      <c r="E239" s="88">
        <v>10</v>
      </c>
      <c r="F239" s="27"/>
      <c r="G239" s="27"/>
      <c r="H239" s="146"/>
      <c r="I239" s="148"/>
      <c r="J239" s="148"/>
      <c r="K239" s="148"/>
      <c r="L239" s="148"/>
      <c r="M239" s="148"/>
      <c r="N239" s="148"/>
      <c r="O239" s="148"/>
      <c r="P239" s="148"/>
      <c r="Q239" s="147"/>
      <c r="R239" s="69"/>
      <c r="S239" s="103"/>
      <c r="T239" s="103"/>
      <c r="U239" s="103"/>
      <c r="V239" s="103"/>
      <c r="W239" s="103"/>
      <c r="X239" s="103"/>
      <c r="Y239" s="103"/>
      <c r="Z239" s="217"/>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c r="BI239" s="198"/>
      <c r="BJ239" s="198"/>
      <c r="BK239" s="198"/>
      <c r="BL239" s="198"/>
      <c r="BM239" s="198"/>
      <c r="BN239" s="198"/>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idden="1" outlineLevel="1" collapsed="1">
      <c r="A240" s="9"/>
      <c r="B240" s="9"/>
      <c r="C240" s="271" t="str">
        <f>Asset13</f>
        <v>Land</v>
      </c>
      <c r="D240" s="9"/>
      <c r="E240" s="9"/>
      <c r="F240" s="23"/>
      <c r="G240" s="23"/>
      <c r="H240" s="297">
        <f>-SUM(H228:H239)</f>
        <v>0</v>
      </c>
      <c r="I240" s="161">
        <f>-SUM(I228:I239)</f>
        <v>0</v>
      </c>
      <c r="J240" s="161">
        <f>-SUM(J228:J239)</f>
        <v>0</v>
      </c>
      <c r="K240" s="161">
        <f>-SUM(K228:K239)</f>
        <v>0</v>
      </c>
      <c r="L240" s="161">
        <f>-SUM(L228:L239)</f>
        <v>0</v>
      </c>
      <c r="M240" s="161">
        <f>IF(COUNT($H240:L240)&gt;=Input!$Y$7,0, -SUM(M228:M239))</f>
        <v>0</v>
      </c>
      <c r="N240" s="161">
        <f>IF(COUNT($H240:M240)&gt;=Input!$Y$7,0, -SUM(N228:N239))</f>
        <v>0</v>
      </c>
      <c r="O240" s="161">
        <f>IF(COUNT($H240:N240)&gt;=Input!$Y$7,0, -SUM(O228:O239))</f>
        <v>0</v>
      </c>
      <c r="P240" s="161">
        <f>IF(COUNT($H240:O240)&gt;=Input!$Y$7,0, -SUM(P228:P239))</f>
        <v>0</v>
      </c>
      <c r="Q240" s="161">
        <f>IF(COUNT($H240:P240)&gt;=Input!$Y$7,0, -SUM(Q228:Q239))</f>
        <v>0</v>
      </c>
      <c r="R240" s="161"/>
      <c r="S240" s="102"/>
      <c r="T240" s="102"/>
      <c r="U240" s="102"/>
      <c r="V240" s="102"/>
      <c r="W240" s="102"/>
      <c r="X240" s="102"/>
      <c r="Y240" s="102"/>
      <c r="Z240" s="218"/>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198"/>
      <c r="BJ240" s="198"/>
      <c r="BK240" s="198"/>
      <c r="BL240" s="198"/>
      <c r="BM240" s="198"/>
      <c r="BN240" s="198"/>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idden="1" outlineLevel="2">
      <c r="A241" s="9"/>
      <c r="B241" s="272" t="str">
        <f>Asset14</f>
        <v>Easements</v>
      </c>
      <c r="C241" s="31"/>
      <c r="D241" s="32" t="s">
        <v>66</v>
      </c>
      <c r="E241" s="31"/>
      <c r="F241" s="300"/>
      <c r="G241" s="300"/>
      <c r="H241" s="68" t="str">
        <f>IF(H$3&gt;A14taxremlife,A14taxvalue-SUM($F241:F241),IF(A14taxremlife="N/A","n/a",A14taxvalue/A14taxremlife))</f>
        <v>n/a</v>
      </c>
      <c r="I241" s="68" t="str">
        <f>IF(I$3&gt;A14taxremlife,A14taxvalue-SUM($F241:H241),IF(A14taxremlife="N/A","n/a",A14taxvalue/A14taxremlife))</f>
        <v>n/a</v>
      </c>
      <c r="J241" s="68" t="str">
        <f>IF(J$3&gt;A14taxremlife,A14taxvalue-SUM($F241:I241),IF(A14taxremlife="N/A","n/a",A14taxvalue/A14taxremlife))</f>
        <v>n/a</v>
      </c>
      <c r="K241" s="68" t="str">
        <f>IF(K$3&gt;A14taxremlife,A14taxvalue-SUM($F241:J241),IF(A14taxremlife="N/A","n/a",A14taxvalue/A14taxremlife))</f>
        <v>n/a</v>
      </c>
      <c r="L241" s="68" t="str">
        <f>IF(L$3&gt;A14taxremlife,A14taxvalue-SUM($F241:K241),IF(A14taxremlife="N/A","n/a",A14taxvalue/A14taxremlife))</f>
        <v>n/a</v>
      </c>
      <c r="M241" s="68" t="str">
        <f>IF(M$3&gt;A14taxremlife,A14taxvalue-SUM($F241:L241),IF(A14taxremlife="N/A","n/a",A14taxvalue/A14taxremlife))</f>
        <v>n/a</v>
      </c>
      <c r="N241" s="68" t="str">
        <f>IF(N$3&gt;A14taxremlife,A14taxvalue-SUM($F241:M241),IF(A14taxremlife="N/A","n/a",A14taxvalue/A14taxremlife))</f>
        <v>n/a</v>
      </c>
      <c r="O241" s="68" t="str">
        <f>IF(O$3&gt;A14taxremlife,A14taxvalue-SUM($F241:N241),IF(A14taxremlife="N/A","n/a",A14taxvalue/A14taxremlife))</f>
        <v>n/a</v>
      </c>
      <c r="P241" s="68" t="str">
        <f>IF(P$3&gt;A14taxremlife,A14taxvalue-SUM($F241:O241),IF(A14taxremlife="N/A","n/a",A14taxvalue/A14taxremlife))</f>
        <v>n/a</v>
      </c>
      <c r="Q241" s="68" t="str">
        <f>IF(Q$3&gt;A14taxremlife,A14taxvalue-SUM($F241:P241),IF(A14taxremlife="N/A","n/a",A14taxvalue/A14taxremlife))</f>
        <v>n/a</v>
      </c>
      <c r="R241" s="68"/>
      <c r="S241" s="103"/>
      <c r="T241" s="103"/>
      <c r="U241" s="103"/>
      <c r="V241" s="103"/>
      <c r="W241" s="103"/>
      <c r="X241" s="103"/>
      <c r="Y241" s="103"/>
      <c r="Z241" s="217"/>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198"/>
      <c r="BJ241" s="198"/>
      <c r="BK241" s="198"/>
      <c r="BL241" s="198"/>
      <c r="BM241" s="198"/>
      <c r="BN241" s="198"/>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6"/>
      <c r="D242" s="391" t="s">
        <v>82</v>
      </c>
      <c r="E242" s="87"/>
      <c r="F242" s="27"/>
      <c r="G242" s="27"/>
      <c r="H242" s="103"/>
      <c r="I242" s="69"/>
      <c r="J242" s="69"/>
      <c r="K242" s="69"/>
      <c r="L242" s="69"/>
      <c r="M242" s="69"/>
      <c r="N242" s="69"/>
      <c r="O242" s="69"/>
      <c r="P242" s="69"/>
      <c r="Q242" s="69"/>
      <c r="R242" s="69"/>
      <c r="S242" s="103"/>
      <c r="T242" s="103"/>
      <c r="U242" s="103"/>
      <c r="V242" s="103"/>
      <c r="W242" s="103"/>
      <c r="X242" s="103"/>
      <c r="Y242" s="103"/>
      <c r="Z242" s="217"/>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198"/>
      <c r="BJ242" s="198"/>
      <c r="BK242" s="198"/>
      <c r="BL242" s="198"/>
      <c r="BM242" s="198"/>
      <c r="BN242" s="198"/>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idden="1" outlineLevel="2">
      <c r="A243" s="9"/>
      <c r="B243" s="9"/>
      <c r="C243" s="26"/>
      <c r="D243" s="392"/>
      <c r="E243" s="87">
        <v>1</v>
      </c>
      <c r="F243" s="27"/>
      <c r="G243" s="27"/>
      <c r="H243" s="145"/>
      <c r="I243" s="69" t="str">
        <f>IF(A14taxstdlife="n/a","n/a",IF(I$3&gt;(A14taxstdlife+$E243),(Input!$H$156-Input!$H$190)-SUM($H243:H243),(Input!$H$156-Input!$H$190)/A14taxstdlife))</f>
        <v>n/a</v>
      </c>
      <c r="J243" s="69" t="str">
        <f>IF(A14taxstdlife="n/a","n/a",IF(J$3&gt;(A14taxstdlife+$E243),(Input!$H$156-Input!$H$190)-SUM($H243:I243),(Input!$H$156-Input!$H$190)/A14taxstdlife))</f>
        <v>n/a</v>
      </c>
      <c r="K243" s="69" t="str">
        <f>IF(A14taxstdlife="n/a","n/a",IF(K$3&gt;(A14taxstdlife+$E243),(Input!$H$156-Input!$H$190)-SUM($H243:J243),(Input!$H$156-Input!$H$190)/A14taxstdlife))</f>
        <v>n/a</v>
      </c>
      <c r="L243" s="69" t="str">
        <f>IF(A14taxstdlife="n/a","n/a",IF(L$3&gt;(A14taxstdlife+$E243),(Input!$H$156-Input!$H$190)-SUM($H243:K243),(Input!$H$156-Input!$H$190)/A14taxstdlife))</f>
        <v>n/a</v>
      </c>
      <c r="M243" s="69" t="str">
        <f>IF(A14taxstdlife="n/a","n/a",IF(M$3&gt;(A14taxstdlife+$E243),(Input!$H$156-Input!$H$190)-SUM($H243:L243),(Input!$H$156-Input!$H$190)/A14taxstdlife))</f>
        <v>n/a</v>
      </c>
      <c r="N243" s="69" t="str">
        <f>IF(A14taxstdlife="n/a","n/a",IF(N$3&gt;(A14taxstdlife+$E243),(Input!$H$156-Input!$H$190)-SUM($H243:M243),(Input!$H$156-Input!$H$190)/A14taxstdlife))</f>
        <v>n/a</v>
      </c>
      <c r="O243" s="69" t="str">
        <f>IF(A14taxstdlife="n/a","n/a",IF(O$3&gt;(A14taxstdlife+$E243),(Input!$H$156-Input!$H$190)-SUM($H243:N243),(Input!$H$156-Input!$H$190)/A14taxstdlife))</f>
        <v>n/a</v>
      </c>
      <c r="P243" s="69" t="str">
        <f>IF(A14taxstdlife="n/a","n/a",IF(P$3&gt;(A14taxstdlife+$E243),(Input!$H$156-Input!$H$190)-SUM($H243:O243),(Input!$H$156-Input!$H$190)/A14taxstdlife))</f>
        <v>n/a</v>
      </c>
      <c r="Q243" s="69" t="str">
        <f>IF(A14taxstdlife="n/a","n/a",IF(Q$3&gt;(A14taxstdlife+$E243),(Input!$H$156-Input!$H$190)-SUM($H243:P243),(Input!$H$156-Input!$H$190)/A14taxstdlife))</f>
        <v>n/a</v>
      </c>
      <c r="R243" s="69"/>
      <c r="S243" s="103"/>
      <c r="T243" s="103"/>
      <c r="U243" s="103"/>
      <c r="V243" s="103"/>
      <c r="W243" s="103"/>
      <c r="X243" s="103"/>
      <c r="Y243" s="103"/>
      <c r="Z243" s="217"/>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198"/>
      <c r="BJ243" s="198"/>
      <c r="BK243" s="198"/>
      <c r="BL243" s="198"/>
      <c r="BM243" s="198"/>
      <c r="BN243" s="198"/>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idden="1" outlineLevel="2">
      <c r="A244" s="9"/>
      <c r="B244" s="9"/>
      <c r="C244" s="26"/>
      <c r="D244" s="392"/>
      <c r="E244" s="87">
        <v>2</v>
      </c>
      <c r="F244" s="27"/>
      <c r="G244" s="27"/>
      <c r="H244" s="146"/>
      <c r="I244" s="147"/>
      <c r="J244" s="69" t="str">
        <f>IF(A14taxstdlife="n/a","n/a",IF(J$3&gt;(A14taxstdlife+$E244),(Input!$I$156-Input!$I$190)-SUM($I244:I244),(Input!$I$156-Input!$I$190)/A14taxstdlife))</f>
        <v>n/a</v>
      </c>
      <c r="K244" s="69" t="str">
        <f>IF(A14taxstdlife="n/a","n/a",IF(K$3&gt;(A14taxstdlife+$E244),(Input!$I$156-Input!$I$190)-SUM($I244:J244),(Input!$I$156-Input!$I$190)/A14taxstdlife))</f>
        <v>n/a</v>
      </c>
      <c r="L244" s="69" t="str">
        <f>IF(A14taxstdlife="n/a","n/a",IF(L$3&gt;(A14taxstdlife+$E244),(Input!$I$156-Input!$I$190)-SUM($I244:K244),(Input!$I$156-Input!$I$190)/A14taxstdlife))</f>
        <v>n/a</v>
      </c>
      <c r="M244" s="69" t="str">
        <f>IF(A14taxstdlife="n/a","n/a",IF(M$3&gt;(A14taxstdlife+$E244),(Input!$I$156-Input!$I$190)-SUM($I244:L244),(Input!$I$156-Input!$I$190)/A14taxstdlife))</f>
        <v>n/a</v>
      </c>
      <c r="N244" s="69" t="str">
        <f>IF(A14taxstdlife="n/a","n/a",IF(N$3&gt;(A14taxstdlife+$E244),(Input!$I$156-Input!$I$190)-SUM($I244:M244),(Input!$I$156-Input!$I$190)/A14taxstdlife))</f>
        <v>n/a</v>
      </c>
      <c r="O244" s="69" t="str">
        <f>IF(A14taxstdlife="n/a","n/a",IF(O$3&gt;(A14taxstdlife+$E244),(Input!$I$156-Input!$I$190)-SUM($I244:N244),(Input!$I$156-Input!$I$190)/A14taxstdlife))</f>
        <v>n/a</v>
      </c>
      <c r="P244" s="69" t="str">
        <f>IF(A14taxstdlife="n/a","n/a",IF(P$3&gt;(A14taxstdlife+$E244),(Input!$I$156-Input!$I$190)-SUM($I244:O244),(Input!$I$156-Input!$I$190)/A14taxstdlife))</f>
        <v>n/a</v>
      </c>
      <c r="Q244" s="69" t="str">
        <f>IF(A14taxstdlife="n/a","n/a",IF(Q$3&gt;(A14taxstdlife+$E244),(Input!$I$156-Input!$I$190)-SUM($I244:P244),(Input!$I$156-Input!$I$190)/A14taxstdlife))</f>
        <v>n/a</v>
      </c>
      <c r="R244" s="69"/>
      <c r="S244" s="103"/>
      <c r="T244" s="103"/>
      <c r="U244" s="103"/>
      <c r="V244" s="103"/>
      <c r="W244" s="103"/>
      <c r="X244" s="103"/>
      <c r="Y244" s="103"/>
      <c r="Z244" s="217"/>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198"/>
      <c r="BJ244" s="198"/>
      <c r="BK244" s="198"/>
      <c r="BL244" s="198"/>
      <c r="BM244" s="198"/>
      <c r="BN244" s="198"/>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idden="1" outlineLevel="2">
      <c r="A245" s="9"/>
      <c r="B245" s="9"/>
      <c r="C245" s="26"/>
      <c r="D245" s="392"/>
      <c r="E245" s="87">
        <v>3</v>
      </c>
      <c r="F245" s="27"/>
      <c r="G245" s="27"/>
      <c r="H245" s="146"/>
      <c r="I245" s="148"/>
      <c r="J245" s="147"/>
      <c r="K245" s="69" t="str">
        <f>IF(A14taxstdlife="n/a","n/a",IF(K$3&gt;(A14taxstdlife+$E245),(Input!$J$156-Input!$J$190)-SUM($J245:J245),(Input!$J$156-Input!$J$190)/A14taxstdlife))</f>
        <v>n/a</v>
      </c>
      <c r="L245" s="69" t="str">
        <f>IF(A14taxstdlife="n/a","n/a",IF(L$3&gt;(A14taxstdlife+$E245),(Input!$J$156-Input!$J$190)-SUM($J245:K245),(Input!$J$156-Input!$J$190)/A14taxstdlife))</f>
        <v>n/a</v>
      </c>
      <c r="M245" s="69" t="str">
        <f>IF(A14taxstdlife="n/a","n/a",IF(M$3&gt;(A14taxstdlife+$E245),(Input!$J$156-Input!$J$190)-SUM($J245:L245),(Input!$J$156-Input!$J$190)/A14taxstdlife))</f>
        <v>n/a</v>
      </c>
      <c r="N245" s="69" t="str">
        <f>IF(A14taxstdlife="n/a","n/a",IF(N$3&gt;(A14taxstdlife+$E245),(Input!$J$156-Input!$J$190)-SUM($J245:M245),(Input!$J$156-Input!$J$190)/A14taxstdlife))</f>
        <v>n/a</v>
      </c>
      <c r="O245" s="69" t="str">
        <f>IF(A14taxstdlife="n/a","n/a",IF(O$3&gt;(A14taxstdlife+$E245),(Input!$J$156-Input!$J$190)-SUM($J245:N245),(Input!$J$156-Input!$J$190)/A14taxstdlife))</f>
        <v>n/a</v>
      </c>
      <c r="P245" s="69" t="str">
        <f>IF(A14taxstdlife="n/a","n/a",IF(P$3&gt;(A14taxstdlife+$E245),(Input!$J$156-Input!$J$190)-SUM($J245:O245),(Input!$J$156-Input!$J$190)/A14taxstdlife))</f>
        <v>n/a</v>
      </c>
      <c r="Q245" s="69" t="str">
        <f>IF(A14taxstdlife="n/a","n/a",IF(Q$3&gt;(A14taxstdlife+$E245),(Input!$J$156-Input!$J$190)-SUM($J245:P245),(Input!$J$156-Input!$J$190)/A14taxstdlife))</f>
        <v>n/a</v>
      </c>
      <c r="R245" s="69"/>
      <c r="S245" s="103"/>
      <c r="T245" s="103"/>
      <c r="U245" s="103"/>
      <c r="V245" s="103"/>
      <c r="W245" s="103"/>
      <c r="X245" s="103"/>
      <c r="Y245" s="103"/>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198"/>
      <c r="BJ245" s="198"/>
      <c r="BK245" s="198"/>
      <c r="BL245" s="198"/>
      <c r="BM245" s="198"/>
      <c r="BN245" s="198"/>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idden="1" outlineLevel="2">
      <c r="A246" s="9"/>
      <c r="B246" s="9"/>
      <c r="C246" s="26"/>
      <c r="D246" s="392"/>
      <c r="E246" s="87">
        <v>4</v>
      </c>
      <c r="F246" s="27"/>
      <c r="G246" s="27"/>
      <c r="H246" s="146"/>
      <c r="I246" s="148"/>
      <c r="J246" s="148"/>
      <c r="K246" s="147"/>
      <c r="L246" s="69" t="str">
        <f>IF(A14taxstdlife="n/a","n/a",IF(L$3&gt;(A14taxstdlife+$E246),(Input!$K$156-Input!$K$190)-SUM($K246:K246),(Input!$K$156-Input!$K$190)/A14taxstdlife))</f>
        <v>n/a</v>
      </c>
      <c r="M246" s="69" t="str">
        <f>IF(A14taxstdlife="n/a","n/a",IF(M$3&gt;(A14taxstdlife+$E246),(Input!$K$156-Input!$K$190)-SUM($K246:L246),(Input!$K$156-Input!$K$190)/A14taxstdlife))</f>
        <v>n/a</v>
      </c>
      <c r="N246" s="69" t="str">
        <f>IF(A14taxstdlife="n/a","n/a",IF(N$3&gt;(A14taxstdlife+$E246),(Input!$K$156-Input!$K$190)-SUM($K246:M246),(Input!$K$156-Input!$K$190)/A14taxstdlife))</f>
        <v>n/a</v>
      </c>
      <c r="O246" s="69" t="str">
        <f>IF(A14taxstdlife="n/a","n/a",IF(O$3&gt;(A14taxstdlife+$E246),(Input!$K$156-Input!$K$190)-SUM($K246:N246),(Input!$K$156-Input!$K$190)/A14taxstdlife))</f>
        <v>n/a</v>
      </c>
      <c r="P246" s="69" t="str">
        <f>IF(A14taxstdlife="n/a","n/a",IF(P$3&gt;(A14taxstdlife+$E246),(Input!$K$156-Input!$K$190)-SUM($K246:O246),(Input!$K$156-Input!$K$190)/A14taxstdlife))</f>
        <v>n/a</v>
      </c>
      <c r="Q246" s="69" t="str">
        <f>IF(A14taxstdlife="n/a","n/a",IF(Q$3&gt;(A14taxstdlife+$E246),(Input!$K$156-Input!$K$190)-SUM($K246:P246),(Input!$K$156-Input!$K$190)/A14taxstdlife))</f>
        <v>n/a</v>
      </c>
      <c r="R246" s="69"/>
      <c r="S246" s="103"/>
      <c r="T246" s="103"/>
      <c r="U246" s="103"/>
      <c r="V246" s="103"/>
      <c r="W246" s="103"/>
      <c r="X246" s="103"/>
      <c r="Y246" s="103"/>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198"/>
      <c r="BJ246" s="198"/>
      <c r="BK246" s="198"/>
      <c r="BL246" s="198"/>
      <c r="BM246" s="198"/>
      <c r="BN246" s="198"/>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idden="1" outlineLevel="2">
      <c r="A247" s="9"/>
      <c r="B247" s="9"/>
      <c r="C247" s="26"/>
      <c r="D247" s="392"/>
      <c r="E247" s="87">
        <v>5</v>
      </c>
      <c r="F247" s="27"/>
      <c r="G247" s="27"/>
      <c r="H247" s="146"/>
      <c r="I247" s="148"/>
      <c r="J247" s="148"/>
      <c r="K247" s="148"/>
      <c r="L247" s="147"/>
      <c r="M247" s="69" t="str">
        <f>IF(A14taxstdlife="n/a","n/a",IF(M$3&gt;(A14taxstdlife+$E247),(Input!$L$156-Input!$L$190)-SUM($L247:L247),(Input!$L$156-Input!$L$190)/A14taxstdlife))</f>
        <v>n/a</v>
      </c>
      <c r="N247" s="69" t="str">
        <f>IF(A14taxstdlife="n/a","n/a",IF(N$3&gt;(A14taxstdlife+$E247),(Input!$L$156-Input!$L$190)-SUM($L247:M247),(Input!$L$156-Input!$L$190)/A14taxstdlife))</f>
        <v>n/a</v>
      </c>
      <c r="O247" s="69" t="str">
        <f>IF(A14taxstdlife="n/a","n/a",IF(O$3&gt;(A14taxstdlife+$E247),(Input!$L$156-Input!$L$190)-SUM($L247:N247),(Input!$L$156-Input!$L$190)/A14taxstdlife))</f>
        <v>n/a</v>
      </c>
      <c r="P247" s="69" t="str">
        <f>IF(A14taxstdlife="n/a","n/a",IF(P$3&gt;(A14taxstdlife+$E247),(Input!$L$156-Input!$L$190)-SUM($L247:O247),(Input!$L$156-Input!$L$190)/A14taxstdlife))</f>
        <v>n/a</v>
      </c>
      <c r="Q247" s="69" t="str">
        <f>IF(A14taxstdlife="n/a","n/a",IF(Q$3&gt;(A14taxstdlife+$E247),(Input!$L$156-Input!$L$190)-SUM($L247:P247),(Input!$L$156-Input!$L$190)/A14taxstdlife))</f>
        <v>n/a</v>
      </c>
      <c r="R247" s="69"/>
      <c r="S247" s="103"/>
      <c r="T247" s="103"/>
      <c r="U247" s="103"/>
      <c r="V247" s="103"/>
      <c r="W247" s="103"/>
      <c r="X247" s="103"/>
      <c r="Y247" s="103"/>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198"/>
      <c r="BJ247" s="198"/>
      <c r="BK247" s="198"/>
      <c r="BL247" s="198"/>
      <c r="BM247" s="198"/>
      <c r="BN247" s="198"/>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idden="1" outlineLevel="2">
      <c r="A248" s="9"/>
      <c r="B248" s="9"/>
      <c r="C248" s="26"/>
      <c r="D248" s="392"/>
      <c r="E248" s="87">
        <v>6</v>
      </c>
      <c r="F248" s="27"/>
      <c r="G248" s="27"/>
      <c r="H248" s="146"/>
      <c r="I248" s="148"/>
      <c r="J248" s="148"/>
      <c r="K248" s="148"/>
      <c r="L248" s="148"/>
      <c r="M248" s="147"/>
      <c r="N248" s="69" t="str">
        <f>IF(A14taxstdlife="n/a","n/a",IF(N$3&gt;(A14taxstdlife+$E248),(Input!$M$156-Input!$M$190)-SUM($M248:M248),(Input!$M$156-Input!$M$190)/A14taxstdlife))</f>
        <v>n/a</v>
      </c>
      <c r="O248" s="69" t="str">
        <f>IF(A14taxstdlife="n/a","n/a",IF(O$3&gt;(A14taxstdlife+$E248),(Input!$M$156-Input!$M$190)-SUM($M248:N248),(Input!$M$156-Input!$M$190)/A14taxstdlife))</f>
        <v>n/a</v>
      </c>
      <c r="P248" s="69" t="str">
        <f>IF(A14taxstdlife="n/a","n/a",IF(P$3&gt;(A14taxstdlife+$E248),(Input!$M$156-Input!$M$190)-SUM($M248:O248),(Input!$M$156-Input!$M$190)/A14taxstdlife))</f>
        <v>n/a</v>
      </c>
      <c r="Q248" s="69" t="str">
        <f>IF(A14taxstdlife="n/a","n/a",IF(Q$3&gt;(A14taxstdlife+$E248),(Input!$M$156-Input!$M$190)-SUM($M248:P248),(Input!$M$156-Input!$M$190)/A14taxstdlife))</f>
        <v>n/a</v>
      </c>
      <c r="R248" s="69"/>
      <c r="S248" s="103"/>
      <c r="T248" s="103"/>
      <c r="U248" s="103"/>
      <c r="V248" s="103"/>
      <c r="W248" s="103"/>
      <c r="X248" s="103"/>
      <c r="Y248" s="103"/>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198"/>
      <c r="BJ248" s="198"/>
      <c r="BK248" s="198"/>
      <c r="BL248" s="198"/>
      <c r="BM248" s="198"/>
      <c r="BN248" s="19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idden="1" outlineLevel="2">
      <c r="A249" s="9"/>
      <c r="B249" s="9"/>
      <c r="C249" s="26"/>
      <c r="D249" s="392"/>
      <c r="E249" s="87">
        <v>7</v>
      </c>
      <c r="F249" s="27"/>
      <c r="G249" s="27"/>
      <c r="H249" s="146"/>
      <c r="I249" s="148"/>
      <c r="J249" s="148"/>
      <c r="K249" s="148"/>
      <c r="L249" s="148"/>
      <c r="M249" s="148"/>
      <c r="N249" s="147"/>
      <c r="O249" s="69" t="str">
        <f>IF(A14taxstdlife="n/a","n/a",IF(O$3&gt;(A14taxstdlife+$E249),(Input!$N$156-Input!$N$190)-SUM($N249:N249),(Input!$N$156-Input!$N$190)/A14taxstdlife))</f>
        <v>n/a</v>
      </c>
      <c r="P249" s="69" t="str">
        <f>IF(A14taxstdlife="n/a","n/a",IF(P$3&gt;(A14taxstdlife+$E249),(Input!$N$156-Input!$N$190)-SUM($N249:O249),(Input!$N$156-Input!$N$190)/A14taxstdlife))</f>
        <v>n/a</v>
      </c>
      <c r="Q249" s="69" t="str">
        <f>IF(A14taxstdlife="n/a","n/a",IF(Q$3&gt;(A14taxstdlife+$E249),(Input!$N$156-Input!$N$190)-SUM($N249:P249),(Input!$N$156-Input!$N$190)/A14taxstdlife))</f>
        <v>n/a</v>
      </c>
      <c r="R249" s="69"/>
      <c r="S249" s="103"/>
      <c r="T249" s="103"/>
      <c r="U249" s="103"/>
      <c r="V249" s="103"/>
      <c r="W249" s="103"/>
      <c r="X249" s="103"/>
      <c r="Y249" s="103"/>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198"/>
      <c r="BJ249" s="198"/>
      <c r="BK249" s="198"/>
      <c r="BL249" s="198"/>
      <c r="BM249" s="198"/>
      <c r="BN249" s="198"/>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idden="1" outlineLevel="2">
      <c r="A250" s="9"/>
      <c r="B250" s="9"/>
      <c r="C250" s="26"/>
      <c r="D250" s="392"/>
      <c r="E250" s="87">
        <v>8</v>
      </c>
      <c r="F250" s="27"/>
      <c r="G250" s="27"/>
      <c r="H250" s="146"/>
      <c r="I250" s="148"/>
      <c r="J250" s="148"/>
      <c r="K250" s="148"/>
      <c r="L250" s="148"/>
      <c r="M250" s="148"/>
      <c r="N250" s="148"/>
      <c r="O250" s="147"/>
      <c r="P250" s="69" t="str">
        <f>IF(A14taxstdlife="n/a","n/a",IF(P$3&gt;(A14taxstdlife+$E250),(Input!$O$156-Input!$O$190)-SUM($O250:O250),(Input!$O$156-Input!$O$190)/A14taxstdlife))</f>
        <v>n/a</v>
      </c>
      <c r="Q250" s="69" t="str">
        <f>IF(A14taxstdlife="n/a","n/a",IF(Q$3&gt;(A14taxstdlife+$E250),(Input!$O$156-Input!$O$190)-SUM($O250:P250),(Input!$O$156-Input!$O$190)/A14taxstdlife))</f>
        <v>n/a</v>
      </c>
      <c r="R250" s="69"/>
      <c r="S250" s="103"/>
      <c r="T250" s="103"/>
      <c r="U250" s="103"/>
      <c r="V250" s="103"/>
      <c r="W250" s="103"/>
      <c r="X250" s="103"/>
      <c r="Y250" s="103"/>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198"/>
      <c r="BJ250" s="198"/>
      <c r="BK250" s="198"/>
      <c r="BL250" s="198"/>
      <c r="BM250" s="198"/>
      <c r="BN250" s="198"/>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idden="1" outlineLevel="2">
      <c r="A251" s="9"/>
      <c r="B251" s="9"/>
      <c r="C251" s="26"/>
      <c r="D251" s="392"/>
      <c r="E251" s="87">
        <v>9</v>
      </c>
      <c r="F251" s="27"/>
      <c r="G251" s="27"/>
      <c r="H251" s="146"/>
      <c r="I251" s="148"/>
      <c r="J251" s="148"/>
      <c r="K251" s="148"/>
      <c r="L251" s="148"/>
      <c r="M251" s="148"/>
      <c r="N251" s="148"/>
      <c r="O251" s="148"/>
      <c r="P251" s="147"/>
      <c r="Q251" s="69" t="str">
        <f>IF(A14taxstdlife="n/a","n/a",IF(Q$3&gt;(A14taxstdlife+$E251),(Input!$P$156-Input!$P$190)-SUM($P251:P251),(Input!$P$156-Input!$P$190)/A14taxstdlife))</f>
        <v>n/a</v>
      </c>
      <c r="R251" s="69"/>
      <c r="S251" s="103"/>
      <c r="T251" s="103"/>
      <c r="U251" s="103"/>
      <c r="V251" s="103"/>
      <c r="W251" s="103"/>
      <c r="X251" s="103"/>
      <c r="Y251" s="103"/>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198"/>
      <c r="BJ251" s="198"/>
      <c r="BK251" s="198"/>
      <c r="BL251" s="198"/>
      <c r="BM251" s="198"/>
      <c r="BN251" s="198"/>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idden="1" outlineLevel="2">
      <c r="A252" s="9"/>
      <c r="B252" s="9"/>
      <c r="C252" s="26"/>
      <c r="D252" s="392"/>
      <c r="E252" s="88">
        <v>10</v>
      </c>
      <c r="F252" s="27"/>
      <c r="G252" s="27"/>
      <c r="H252" s="146"/>
      <c r="I252" s="148"/>
      <c r="J252" s="148"/>
      <c r="K252" s="148"/>
      <c r="L252" s="148"/>
      <c r="M252" s="148"/>
      <c r="N252" s="148"/>
      <c r="O252" s="148"/>
      <c r="P252" s="148"/>
      <c r="Q252" s="147"/>
      <c r="R252" s="69"/>
      <c r="S252" s="103"/>
      <c r="T252" s="103"/>
      <c r="U252" s="103"/>
      <c r="V252" s="103"/>
      <c r="W252" s="103"/>
      <c r="X252" s="103"/>
      <c r="Y252" s="103"/>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198"/>
      <c r="BJ252" s="198"/>
      <c r="BK252" s="198"/>
      <c r="BL252" s="198"/>
      <c r="BM252" s="198"/>
      <c r="BN252" s="198"/>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idden="1" outlineLevel="1" collapsed="1">
      <c r="A253" s="9"/>
      <c r="B253" s="9"/>
      <c r="C253" s="271" t="str">
        <f>Asset14</f>
        <v>Easements</v>
      </c>
      <c r="D253" s="9"/>
      <c r="E253" s="9"/>
      <c r="F253" s="23"/>
      <c r="G253" s="23"/>
      <c r="H253" s="297">
        <f>-SUM(H241:H252)</f>
        <v>0</v>
      </c>
      <c r="I253" s="161">
        <f>-SUM(I241:I252)</f>
        <v>0</v>
      </c>
      <c r="J253" s="161">
        <f>-SUM(J241:J252)</f>
        <v>0</v>
      </c>
      <c r="K253" s="161">
        <f>-SUM(K241:K252)</f>
        <v>0</v>
      </c>
      <c r="L253" s="161">
        <f>-SUM(L241:L252)</f>
        <v>0</v>
      </c>
      <c r="M253" s="161">
        <f>IF(COUNT($H253:L253)&gt;=Input!$Y$7,0, -SUM(M241:M252))</f>
        <v>0</v>
      </c>
      <c r="N253" s="161">
        <f>IF(COUNT($H253:M253)&gt;=Input!$Y$7,0, -SUM(N241:N252))</f>
        <v>0</v>
      </c>
      <c r="O253" s="161">
        <f>IF(COUNT($H253:N253)&gt;=Input!$Y$7,0, -SUM(O241:O252))</f>
        <v>0</v>
      </c>
      <c r="P253" s="161">
        <f>IF(COUNT($H253:O253)&gt;=Input!$Y$7,0, -SUM(P241:P252))</f>
        <v>0</v>
      </c>
      <c r="Q253" s="161">
        <f>IF(COUNT($H253:P253)&gt;=Input!$Y$7,0, -SUM(Q241:Q252))</f>
        <v>0</v>
      </c>
      <c r="R253" s="161"/>
      <c r="S253" s="102"/>
      <c r="T253" s="102"/>
      <c r="U253" s="102"/>
      <c r="V253" s="102"/>
      <c r="W253" s="102"/>
      <c r="X253" s="102"/>
      <c r="Y253" s="102"/>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198"/>
      <c r="BJ253" s="198"/>
      <c r="BK253" s="198"/>
      <c r="BL253" s="198"/>
      <c r="BM253" s="198"/>
      <c r="BN253" s="198"/>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idden="1" outlineLevel="2">
      <c r="A254" s="9"/>
      <c r="B254" s="272">
        <f>Asset15</f>
        <v>0</v>
      </c>
      <c r="C254" s="31"/>
      <c r="D254" s="32" t="s">
        <v>66</v>
      </c>
      <c r="E254" s="31"/>
      <c r="F254" s="300"/>
      <c r="G254" s="300"/>
      <c r="H254" s="68" t="str">
        <f>IF(H$3&gt;A15taxremlife,A15taxvalue-SUM($F254:F254),IF(A15taxremlife="N/A","n/a",A15taxvalue/A15taxremlife))</f>
        <v>n/a</v>
      </c>
      <c r="I254" s="68" t="str">
        <f>IF(I$3&gt;A15taxremlife,A15taxvalue-SUM($F254:H254),IF(A15taxremlife="N/A","n/a",A15taxvalue/A15taxremlife))</f>
        <v>n/a</v>
      </c>
      <c r="J254" s="68" t="str">
        <f>IF(J$3&gt;A15taxremlife,A15taxvalue-SUM($F254:I254),IF(A15taxremlife="N/A","n/a",A15taxvalue/A15taxremlife))</f>
        <v>n/a</v>
      </c>
      <c r="K254" s="68" t="str">
        <f>IF(K$3&gt;A15taxremlife,A15taxvalue-SUM($F254:J254),IF(A15taxremlife="N/A","n/a",A15taxvalue/A15taxremlife))</f>
        <v>n/a</v>
      </c>
      <c r="L254" s="68" t="str">
        <f>IF(L$3&gt;A15taxremlife,A15taxvalue-SUM($F254:K254),IF(A15taxremlife="N/A","n/a",A15taxvalue/A15taxremlife))</f>
        <v>n/a</v>
      </c>
      <c r="M254" s="68" t="str">
        <f>IF(M$3&gt;A15taxremlife,A15taxvalue-SUM($F254:L254),IF(A15taxremlife="N/A","n/a",A15taxvalue/A15taxremlife))</f>
        <v>n/a</v>
      </c>
      <c r="N254" s="68" t="str">
        <f>IF(N$3&gt;A15taxremlife,A15taxvalue-SUM($F254:M254),IF(A15taxremlife="N/A","n/a",A15taxvalue/A15taxremlife))</f>
        <v>n/a</v>
      </c>
      <c r="O254" s="68" t="str">
        <f>IF(O$3&gt;A15taxremlife,A15taxvalue-SUM($F254:N254),IF(A15taxremlife="N/A","n/a",A15taxvalue/A15taxremlife))</f>
        <v>n/a</v>
      </c>
      <c r="P254" s="68" t="str">
        <f>IF(P$3&gt;A15taxremlife,A15taxvalue-SUM($F254:O254),IF(A15taxremlife="N/A","n/a",A15taxvalue/A15taxremlife))</f>
        <v>n/a</v>
      </c>
      <c r="Q254" s="68" t="str">
        <f>IF(Q$3&gt;A15taxremlife,A15taxvalue-SUM($F254:P254),IF(A15taxremlife="N/A","n/a",A15taxvalue/A15taxremlife))</f>
        <v>n/a</v>
      </c>
      <c r="R254" s="68"/>
      <c r="S254" s="103"/>
      <c r="T254" s="103"/>
      <c r="U254" s="103"/>
      <c r="V254" s="103"/>
      <c r="W254" s="103"/>
      <c r="X254" s="103"/>
      <c r="Y254" s="103"/>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198"/>
      <c r="BJ254" s="198"/>
      <c r="BK254" s="198"/>
      <c r="BL254" s="198"/>
      <c r="BM254" s="198"/>
      <c r="BN254" s="198"/>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6"/>
      <c r="D255" s="391" t="s">
        <v>82</v>
      </c>
      <c r="E255" s="87">
        <v>0</v>
      </c>
      <c r="F255" s="27"/>
      <c r="G255" s="27"/>
      <c r="H255" s="103"/>
      <c r="I255" s="69"/>
      <c r="J255" s="69"/>
      <c r="K255" s="69"/>
      <c r="L255" s="69"/>
      <c r="M255" s="69"/>
      <c r="N255" s="69"/>
      <c r="O255" s="69"/>
      <c r="P255" s="69"/>
      <c r="Q255" s="69"/>
      <c r="R255" s="69"/>
      <c r="S255" s="103"/>
      <c r="T255" s="103"/>
      <c r="U255" s="103"/>
      <c r="V255" s="103"/>
      <c r="W255" s="103"/>
      <c r="X255" s="103"/>
      <c r="Y255" s="103"/>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198"/>
      <c r="BJ255" s="198"/>
      <c r="BK255" s="198"/>
      <c r="BL255" s="198"/>
      <c r="BM255" s="198"/>
      <c r="BN255" s="198"/>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idden="1" outlineLevel="2">
      <c r="A256" s="9"/>
      <c r="B256" s="9"/>
      <c r="C256" s="26"/>
      <c r="D256" s="392"/>
      <c r="E256" s="87">
        <v>1</v>
      </c>
      <c r="F256" s="27"/>
      <c r="G256" s="27"/>
      <c r="H256" s="145"/>
      <c r="I256" s="69" t="str">
        <f>IF(A15taxstdlife="n/a","n/a",IF(I$3&gt;(A15taxstdlife+$E256),(Input!$H$157-Input!$H$191)-SUM($H256:H256),(Input!$H$157-Input!$H$191)/A15taxstdlife))</f>
        <v>n/a</v>
      </c>
      <c r="J256" s="69" t="str">
        <f>IF(A15taxstdlife="n/a","n/a",IF(J$3&gt;(A15taxstdlife+$E256),(Input!$H$157-Input!$H$191)-SUM($H256:I256),(Input!$H$157-Input!$H$191)/A15taxstdlife))</f>
        <v>n/a</v>
      </c>
      <c r="K256" s="69" t="str">
        <f>IF(A15taxstdlife="n/a","n/a",IF(K$3&gt;(A15taxstdlife+$E256),(Input!$H$157-Input!$H$191)-SUM($H256:J256),(Input!$H$157-Input!$H$191)/A15taxstdlife))</f>
        <v>n/a</v>
      </c>
      <c r="L256" s="69" t="str">
        <f>IF(A15taxstdlife="n/a","n/a",IF(L$3&gt;(A15taxstdlife+$E256),(Input!$H$157-Input!$H$191)-SUM($H256:K256),(Input!$H$157-Input!$H$191)/A15taxstdlife))</f>
        <v>n/a</v>
      </c>
      <c r="M256" s="69" t="str">
        <f>IF(A15taxstdlife="n/a","n/a",IF(M$3&gt;(A15taxstdlife+$E256),(Input!$H$157-Input!$H$191)-SUM($H256:L256),(Input!$H$157-Input!$H$191)/A15taxstdlife))</f>
        <v>n/a</v>
      </c>
      <c r="N256" s="69" t="str">
        <f>IF(A15taxstdlife="n/a","n/a",IF(N$3&gt;(A15taxstdlife+$E256),(Input!$H$157-Input!$H$191)-SUM($H256:M256),(Input!$H$157-Input!$H$191)/A15taxstdlife))</f>
        <v>n/a</v>
      </c>
      <c r="O256" s="69" t="str">
        <f>IF(A15taxstdlife="n/a","n/a",IF(O$3&gt;(A15taxstdlife+$E256),(Input!$H$157-Input!$H$191)-SUM($H256:N256),(Input!$H$157-Input!$H$191)/A15taxstdlife))</f>
        <v>n/a</v>
      </c>
      <c r="P256" s="69" t="str">
        <f>IF(A15taxstdlife="n/a","n/a",IF(P$3&gt;(A15taxstdlife+$E256),(Input!$H$157-Input!$H$191)-SUM($H256:O256),(Input!$H$157-Input!$H$191)/A15taxstdlife))</f>
        <v>n/a</v>
      </c>
      <c r="Q256" s="69" t="str">
        <f>IF(A15taxstdlife="n/a","n/a",IF(Q$3&gt;(A15taxstdlife+$E256),(Input!$H$157-Input!$H$191)-SUM($H256:P256),(Input!$H$157-Input!$H$191)/A15taxstdlife))</f>
        <v>n/a</v>
      </c>
      <c r="R256" s="69"/>
      <c r="S256" s="103"/>
      <c r="T256" s="103"/>
      <c r="U256" s="103"/>
      <c r="V256" s="103"/>
      <c r="W256" s="103"/>
      <c r="X256" s="103"/>
      <c r="Y256" s="103"/>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198"/>
      <c r="BJ256" s="198"/>
      <c r="BK256" s="198"/>
      <c r="BL256" s="198"/>
      <c r="BM256" s="198"/>
      <c r="BN256" s="198"/>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idden="1" outlineLevel="2">
      <c r="A257" s="9"/>
      <c r="B257" s="9"/>
      <c r="C257" s="26"/>
      <c r="D257" s="392"/>
      <c r="E257" s="87">
        <v>2</v>
      </c>
      <c r="F257" s="27"/>
      <c r="G257" s="27"/>
      <c r="H257" s="146"/>
      <c r="I257" s="147"/>
      <c r="J257" s="69" t="str">
        <f>IF(A15taxstdlife="n/a","n/a",IF(J$3&gt;(A15taxstdlife+$E257),(Input!$I$157-Input!$I$191)-SUM($I257:I257),(Input!$I$157-Input!$I$191)/A15taxstdlife))</f>
        <v>n/a</v>
      </c>
      <c r="K257" s="69" t="str">
        <f>IF(A15taxstdlife="n/a","n/a",IF(K$3&gt;(A15taxstdlife+$E257),(Input!$I$157-Input!$I$191)-SUM($I257:J257),(Input!$I$157-Input!$I$191)/A15taxstdlife))</f>
        <v>n/a</v>
      </c>
      <c r="L257" s="69" t="str">
        <f>IF(A15taxstdlife="n/a","n/a",IF(L$3&gt;(A15taxstdlife+$E257),(Input!$I$157-Input!$I$191)-SUM($I257:K257),(Input!$I$157-Input!$I$191)/A15taxstdlife))</f>
        <v>n/a</v>
      </c>
      <c r="M257" s="69" t="str">
        <f>IF(A15taxstdlife="n/a","n/a",IF(M$3&gt;(A15taxstdlife+$E257),(Input!$I$157-Input!$I$191)-SUM($I257:L257),(Input!$I$157-Input!$I$191)/A15taxstdlife))</f>
        <v>n/a</v>
      </c>
      <c r="N257" s="69" t="str">
        <f>IF(A15taxstdlife="n/a","n/a",IF(N$3&gt;(A15taxstdlife+$E257),(Input!$I$157-Input!$I$191)-SUM($I257:M257),(Input!$I$157-Input!$I$191)/A15taxstdlife))</f>
        <v>n/a</v>
      </c>
      <c r="O257" s="69" t="str">
        <f>IF(A15taxstdlife="n/a","n/a",IF(O$3&gt;(A15taxstdlife+$E257),(Input!$I$157-Input!$I$191)-SUM($I257:N257),(Input!$I$157-Input!$I$191)/A15taxstdlife))</f>
        <v>n/a</v>
      </c>
      <c r="P257" s="69" t="str">
        <f>IF(A15taxstdlife="n/a","n/a",IF(P$3&gt;(A15taxstdlife+$E257),(Input!$I$157-Input!$I$191)-SUM($I257:O257),(Input!$I$157-Input!$I$191)/A15taxstdlife))</f>
        <v>n/a</v>
      </c>
      <c r="Q257" s="69" t="str">
        <f>IF(A15taxstdlife="n/a","n/a",IF(Q$3&gt;(A15taxstdlife+$E257),(Input!$I$157-Input!$I$191)-SUM($I257:P257),(Input!$I$157-Input!$I$191)/A15taxstdlife))</f>
        <v>n/a</v>
      </c>
      <c r="R257" s="69"/>
      <c r="S257" s="103"/>
      <c r="T257" s="103"/>
      <c r="U257" s="103"/>
      <c r="V257" s="103"/>
      <c r="W257" s="103"/>
      <c r="X257" s="103"/>
      <c r="Y257" s="103"/>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198"/>
      <c r="BJ257" s="198"/>
      <c r="BK257" s="198"/>
      <c r="BL257" s="198"/>
      <c r="BM257" s="198"/>
      <c r="BN257" s="198"/>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idden="1" outlineLevel="2">
      <c r="A258" s="9"/>
      <c r="B258" s="9"/>
      <c r="C258" s="26"/>
      <c r="D258" s="392"/>
      <c r="E258" s="87">
        <v>3</v>
      </c>
      <c r="F258" s="27"/>
      <c r="G258" s="27"/>
      <c r="H258" s="146"/>
      <c r="I258" s="148"/>
      <c r="J258" s="147"/>
      <c r="K258" s="69" t="str">
        <f>IF(A15taxstdlife="n/a","n/a",IF(K$3&gt;(A15taxstdlife+$E258),(Input!$J$157-Input!$J$191)-SUM($J258:J258),(Input!$J$157-Input!$J$191)/A15taxstdlife))</f>
        <v>n/a</v>
      </c>
      <c r="L258" s="69" t="str">
        <f>IF(A15taxstdlife="n/a","n/a",IF(L$3&gt;(A15taxstdlife+$E258),(Input!$J$157-Input!$J$191)-SUM($J258:K258),(Input!$J$157-Input!$J$191)/A15taxstdlife))</f>
        <v>n/a</v>
      </c>
      <c r="M258" s="69" t="str">
        <f>IF(A15taxstdlife="n/a","n/a",IF(M$3&gt;(A15taxstdlife+$E258),(Input!$J$157-Input!$J$191)-SUM($J258:L258),(Input!$J$157-Input!$J$191)/A15taxstdlife))</f>
        <v>n/a</v>
      </c>
      <c r="N258" s="69" t="str">
        <f>IF(A15taxstdlife="n/a","n/a",IF(N$3&gt;(A15taxstdlife+$E258),(Input!$J$157-Input!$J$191)-SUM($J258:M258),(Input!$J$157-Input!$J$191)/A15taxstdlife))</f>
        <v>n/a</v>
      </c>
      <c r="O258" s="69" t="str">
        <f>IF(A15taxstdlife="n/a","n/a",IF(O$3&gt;(A15taxstdlife+$E258),(Input!$J$157-Input!$J$191)-SUM($J258:N258),(Input!$J$157-Input!$J$191)/A15taxstdlife))</f>
        <v>n/a</v>
      </c>
      <c r="P258" s="69" t="str">
        <f>IF(A15taxstdlife="n/a","n/a",IF(P$3&gt;(A15taxstdlife+$E258),(Input!$J$157-Input!$J$191)-SUM($J258:O258),(Input!$J$157-Input!$J$191)/A15taxstdlife))</f>
        <v>n/a</v>
      </c>
      <c r="Q258" s="69" t="str">
        <f>IF(A15taxstdlife="n/a","n/a",IF(Q$3&gt;(A15taxstdlife+$E258),(Input!$J$157-Input!$J$191)-SUM($J258:P258),(Input!$J$157-Input!$J$191)/A15taxstdlife))</f>
        <v>n/a</v>
      </c>
      <c r="R258" s="69"/>
      <c r="S258" s="103"/>
      <c r="T258" s="103"/>
      <c r="U258" s="103"/>
      <c r="V258" s="103"/>
      <c r="W258" s="103"/>
      <c r="X258" s="103"/>
      <c r="Y258" s="103"/>
      <c r="Z258" s="217"/>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198"/>
      <c r="BJ258" s="198"/>
      <c r="BK258" s="198"/>
      <c r="BL258" s="198"/>
      <c r="BM258" s="198"/>
      <c r="BN258" s="19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idden="1" outlineLevel="2">
      <c r="A259" s="9"/>
      <c r="B259" s="9"/>
      <c r="C259" s="26"/>
      <c r="D259" s="392"/>
      <c r="E259" s="87">
        <v>4</v>
      </c>
      <c r="F259" s="27"/>
      <c r="G259" s="27"/>
      <c r="H259" s="146"/>
      <c r="I259" s="148"/>
      <c r="J259" s="148"/>
      <c r="K259" s="147"/>
      <c r="L259" s="69" t="str">
        <f>IF(A15taxstdlife="n/a","n/a",IF(L$3&gt;(A15taxstdlife+$E259),(Input!$K$157-Input!$K$191)-SUM($K259:K259),(Input!$K$157-Input!$K$191)/A15taxstdlife))</f>
        <v>n/a</v>
      </c>
      <c r="M259" s="69" t="str">
        <f>IF(A15taxstdlife="n/a","n/a",IF(M$3&gt;(A15taxstdlife+$E259),(Input!$K$157-Input!$K$191)-SUM($K259:L259),(Input!$K$157-Input!$K$191)/A15taxstdlife))</f>
        <v>n/a</v>
      </c>
      <c r="N259" s="69" t="str">
        <f>IF(A15taxstdlife="n/a","n/a",IF(N$3&gt;(A15taxstdlife+$E259),(Input!$K$157-Input!$K$191)-SUM($K259:M259),(Input!$K$157-Input!$K$191)/A15taxstdlife))</f>
        <v>n/a</v>
      </c>
      <c r="O259" s="69" t="str">
        <f>IF(A15taxstdlife="n/a","n/a",IF(O$3&gt;(A15taxstdlife+$E259),(Input!$K$157-Input!$K$191)-SUM($K259:N259),(Input!$K$157-Input!$K$191)/A15taxstdlife))</f>
        <v>n/a</v>
      </c>
      <c r="P259" s="69" t="str">
        <f>IF(A15taxstdlife="n/a","n/a",IF(P$3&gt;(A15taxstdlife+$E259),(Input!$K$157-Input!$K$191)-SUM($K259:O259),(Input!$K$157-Input!$K$191)/A15taxstdlife))</f>
        <v>n/a</v>
      </c>
      <c r="Q259" s="69" t="str">
        <f>IF(A15taxstdlife="n/a","n/a",IF(Q$3&gt;(A15taxstdlife+$E259),(Input!$K$157-Input!$K$191)-SUM($K259:P259),(Input!$K$157-Input!$K$191)/A15taxstdlife))</f>
        <v>n/a</v>
      </c>
      <c r="R259" s="69"/>
      <c r="S259" s="103"/>
      <c r="T259" s="103"/>
      <c r="U259" s="103"/>
      <c r="V259" s="103"/>
      <c r="W259" s="103"/>
      <c r="X259" s="103"/>
      <c r="Y259" s="103"/>
      <c r="Z259" s="217"/>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198"/>
      <c r="BJ259" s="198"/>
      <c r="BK259" s="198"/>
      <c r="BL259" s="198"/>
      <c r="BM259" s="198"/>
      <c r="BN259" s="198"/>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idden="1" outlineLevel="2">
      <c r="A260" s="9"/>
      <c r="B260" s="9"/>
      <c r="C260" s="26"/>
      <c r="D260" s="392"/>
      <c r="E260" s="87">
        <v>5</v>
      </c>
      <c r="F260" s="27"/>
      <c r="G260" s="27"/>
      <c r="H260" s="146"/>
      <c r="I260" s="148"/>
      <c r="J260" s="148"/>
      <c r="K260" s="148"/>
      <c r="L260" s="147"/>
      <c r="M260" s="69" t="str">
        <f>IF(A15taxstdlife="n/a","n/a",IF(M$3&gt;(A15taxstdlife+$E260),(Input!$L$157-Input!$L$191)-SUM($L260:L260),(Input!$L$157-Input!$L$191)/A15taxstdlife))</f>
        <v>n/a</v>
      </c>
      <c r="N260" s="69" t="str">
        <f>IF(A15taxstdlife="n/a","n/a",IF(N$3&gt;(A15taxstdlife+$E260),(Input!$L$157-Input!$L$191)-SUM($L260:M260),(Input!$L$157-Input!$L$191)/A15taxstdlife))</f>
        <v>n/a</v>
      </c>
      <c r="O260" s="69" t="str">
        <f>IF(A15taxstdlife="n/a","n/a",IF(O$3&gt;(A15taxstdlife+$E260),(Input!$L$157-Input!$L$191)-SUM($L260:N260),(Input!$L$157-Input!$L$191)/A15taxstdlife))</f>
        <v>n/a</v>
      </c>
      <c r="P260" s="69" t="str">
        <f>IF(A15taxstdlife="n/a","n/a",IF(P$3&gt;(A15taxstdlife+$E260),(Input!$L$157-Input!$L$191)-SUM($L260:O260),(Input!$L$157-Input!$L$191)/A15taxstdlife))</f>
        <v>n/a</v>
      </c>
      <c r="Q260" s="69" t="str">
        <f>IF(A15taxstdlife="n/a","n/a",IF(Q$3&gt;(A15taxstdlife+$E260),(Input!$L$157-Input!$L$191)-SUM($L260:P260),(Input!$L$157-Input!$L$191)/A15taxstdlife))</f>
        <v>n/a</v>
      </c>
      <c r="R260" s="69"/>
      <c r="S260" s="103"/>
      <c r="T260" s="103"/>
      <c r="U260" s="103"/>
      <c r="V260" s="103"/>
      <c r="W260" s="103"/>
      <c r="X260" s="103"/>
      <c r="Y260" s="103"/>
      <c r="Z260" s="217"/>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198"/>
      <c r="BJ260" s="198"/>
      <c r="BK260" s="198"/>
      <c r="BL260" s="198"/>
      <c r="BM260" s="198"/>
      <c r="BN260" s="198"/>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idden="1" outlineLevel="2">
      <c r="A261" s="9"/>
      <c r="B261" s="9"/>
      <c r="C261" s="26"/>
      <c r="D261" s="392"/>
      <c r="E261" s="87">
        <v>6</v>
      </c>
      <c r="F261" s="27"/>
      <c r="G261" s="27"/>
      <c r="H261" s="146"/>
      <c r="I261" s="148"/>
      <c r="J261" s="148"/>
      <c r="K261" s="148"/>
      <c r="L261" s="148"/>
      <c r="M261" s="147"/>
      <c r="N261" s="69" t="str">
        <f>IF(A15taxstdlife="n/a","n/a",IF(N$3&gt;(A15taxstdlife+$E261),(Input!$M$157-Input!$M$191)-SUM($M261:M261),(Input!$M$157-Input!$M$191)/A15taxstdlife))</f>
        <v>n/a</v>
      </c>
      <c r="O261" s="69" t="str">
        <f>IF(A15taxstdlife="n/a","n/a",IF(O$3&gt;(A15taxstdlife+$E261),(Input!$M$157-Input!$M$191)-SUM($M261:N261),(Input!$M$157-Input!$M$191)/A15taxstdlife))</f>
        <v>n/a</v>
      </c>
      <c r="P261" s="69" t="str">
        <f>IF(A15taxstdlife="n/a","n/a",IF(P$3&gt;(A15taxstdlife+$E261),(Input!$M$157-Input!$M$191)-SUM($M261:O261),(Input!$M$157-Input!$M$191)/A15taxstdlife))</f>
        <v>n/a</v>
      </c>
      <c r="Q261" s="69" t="str">
        <f>IF(A15taxstdlife="n/a","n/a",IF(Q$3&gt;(A15taxstdlife+$E261),(Input!$M$157-Input!$M$191)-SUM($M261:P261),(Input!$M$157-Input!$M$191)/A15taxstdlife))</f>
        <v>n/a</v>
      </c>
      <c r="R261" s="69"/>
      <c r="S261" s="103"/>
      <c r="T261" s="103"/>
      <c r="U261" s="103"/>
      <c r="V261" s="103"/>
      <c r="W261" s="103"/>
      <c r="X261" s="103"/>
      <c r="Y261" s="103"/>
      <c r="Z261" s="217"/>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198"/>
      <c r="BJ261" s="198"/>
      <c r="BK261" s="198"/>
      <c r="BL261" s="198"/>
      <c r="BM261" s="198"/>
      <c r="BN261" s="198"/>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idden="1" outlineLevel="2">
      <c r="A262" s="9"/>
      <c r="B262" s="9"/>
      <c r="C262" s="26"/>
      <c r="D262" s="392"/>
      <c r="E262" s="87">
        <v>7</v>
      </c>
      <c r="F262" s="27"/>
      <c r="G262" s="27"/>
      <c r="H262" s="146"/>
      <c r="I262" s="148"/>
      <c r="J262" s="148"/>
      <c r="K262" s="148"/>
      <c r="L262" s="148"/>
      <c r="M262" s="148"/>
      <c r="N262" s="147"/>
      <c r="O262" s="69" t="str">
        <f>IF(A15taxstdlife="n/a","n/a",IF(O$3&gt;(A15taxstdlife+$E262),(Input!$N$157-Input!$N$191)-SUM($N262:N262),(Input!$N$157-Input!$N$191)/A15taxstdlife))</f>
        <v>n/a</v>
      </c>
      <c r="P262" s="69" t="str">
        <f>IF(A15taxstdlife="n/a","n/a",IF(P$3&gt;(A15taxstdlife+$E262),(Input!$N$157-Input!$N$191)-SUM($N262:O262),(Input!$N$157-Input!$N$191)/A15taxstdlife))</f>
        <v>n/a</v>
      </c>
      <c r="Q262" s="69" t="str">
        <f>IF(A15taxstdlife="n/a","n/a",IF(Q$3&gt;(A15taxstdlife+$E262),(Input!$N$157-Input!$N$191)-SUM($N262:P262),(Input!$N$157-Input!$N$191)/A15taxstdlife))</f>
        <v>n/a</v>
      </c>
      <c r="R262" s="69"/>
      <c r="S262" s="103"/>
      <c r="T262" s="103"/>
      <c r="U262" s="103"/>
      <c r="V262" s="103"/>
      <c r="W262" s="103"/>
      <c r="X262" s="103"/>
      <c r="Y262" s="103"/>
      <c r="Z262" s="217"/>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198"/>
      <c r="BJ262" s="198"/>
      <c r="BK262" s="198"/>
      <c r="BL262" s="198"/>
      <c r="BM262" s="198"/>
      <c r="BN262" s="198"/>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idden="1" outlineLevel="2">
      <c r="A263" s="9"/>
      <c r="B263" s="9"/>
      <c r="C263" s="26"/>
      <c r="D263" s="392"/>
      <c r="E263" s="87">
        <v>8</v>
      </c>
      <c r="F263" s="27"/>
      <c r="G263" s="27"/>
      <c r="H263" s="146"/>
      <c r="I263" s="148"/>
      <c r="J263" s="148"/>
      <c r="K263" s="148"/>
      <c r="L263" s="148"/>
      <c r="M263" s="148"/>
      <c r="N263" s="148"/>
      <c r="O263" s="147"/>
      <c r="P263" s="69" t="str">
        <f>IF(A15taxstdlife="n/a","n/a",IF(P$3&gt;(A15taxstdlife+$E263),(Input!$O$157-Input!$O$191)-SUM($O263:O263),(Input!$O$157-Input!$O$191)/A15taxstdlife))</f>
        <v>n/a</v>
      </c>
      <c r="Q263" s="69" t="str">
        <f>IF(A15taxstdlife="n/a","n/a",IF(Q$3&gt;(A15taxstdlife+$E263),(Input!$O$157-Input!$O$191)-SUM($O263:P263),(Input!$O$157-Input!$O$191)/A15taxstdlife))</f>
        <v>n/a</v>
      </c>
      <c r="R263" s="69"/>
      <c r="S263" s="103"/>
      <c r="T263" s="103"/>
      <c r="U263" s="103"/>
      <c r="V263" s="103"/>
      <c r="W263" s="103"/>
      <c r="X263" s="103"/>
      <c r="Y263" s="103"/>
      <c r="Z263" s="217"/>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198"/>
      <c r="BJ263" s="198"/>
      <c r="BK263" s="198"/>
      <c r="BL263" s="198"/>
      <c r="BM263" s="198"/>
      <c r="BN263" s="198"/>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idden="1" outlineLevel="2">
      <c r="A264" s="9"/>
      <c r="B264" s="9"/>
      <c r="C264" s="26"/>
      <c r="D264" s="392"/>
      <c r="E264" s="87">
        <v>9</v>
      </c>
      <c r="F264" s="27"/>
      <c r="G264" s="27"/>
      <c r="H264" s="146"/>
      <c r="I264" s="148"/>
      <c r="J264" s="148"/>
      <c r="K264" s="148"/>
      <c r="L264" s="148"/>
      <c r="M264" s="148"/>
      <c r="N264" s="148"/>
      <c r="O264" s="148"/>
      <c r="P264" s="147"/>
      <c r="Q264" s="69" t="str">
        <f>IF(A15taxstdlife="n/a","n/a",IF(Q$3&gt;(A15taxstdlife+$E264),(Input!$P$157-Input!$P$191)-SUM($P264:P264),(Input!$P$157-Input!$P$191)/A15taxstdlife))</f>
        <v>n/a</v>
      </c>
      <c r="R264" s="69"/>
      <c r="S264" s="103"/>
      <c r="T264" s="103"/>
      <c r="U264" s="103"/>
      <c r="V264" s="103"/>
      <c r="W264" s="103"/>
      <c r="X264" s="103"/>
      <c r="Y264" s="103"/>
      <c r="Z264" s="217"/>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198"/>
      <c r="BJ264" s="198"/>
      <c r="BK264" s="198"/>
      <c r="BL264" s="198"/>
      <c r="BM264" s="198"/>
      <c r="BN264" s="198"/>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idden="1" outlineLevel="2">
      <c r="A265" s="9"/>
      <c r="B265" s="9"/>
      <c r="C265" s="26"/>
      <c r="D265" s="392"/>
      <c r="E265" s="88">
        <v>10</v>
      </c>
      <c r="F265" s="27"/>
      <c r="G265" s="27"/>
      <c r="H265" s="146"/>
      <c r="I265" s="148"/>
      <c r="J265" s="148"/>
      <c r="K265" s="148"/>
      <c r="L265" s="148"/>
      <c r="M265" s="148"/>
      <c r="N265" s="148"/>
      <c r="O265" s="148"/>
      <c r="P265" s="148"/>
      <c r="Q265" s="147"/>
      <c r="R265" s="69"/>
      <c r="S265" s="103"/>
      <c r="T265" s="103"/>
      <c r="U265" s="103"/>
      <c r="V265" s="103"/>
      <c r="W265" s="103"/>
      <c r="X265" s="103"/>
      <c r="Y265" s="103"/>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198"/>
      <c r="BJ265" s="198"/>
      <c r="BK265" s="198"/>
      <c r="BL265" s="198"/>
      <c r="BM265" s="198"/>
      <c r="BN265" s="198"/>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idden="1" outlineLevel="1" collapsed="1">
      <c r="A266" s="9"/>
      <c r="B266" s="9"/>
      <c r="C266" s="271">
        <f>Asset15</f>
        <v>0</v>
      </c>
      <c r="D266" s="9"/>
      <c r="E266" s="9"/>
      <c r="F266" s="23"/>
      <c r="G266" s="23"/>
      <c r="H266" s="297">
        <f>-SUM(H254:H265)</f>
        <v>0</v>
      </c>
      <c r="I266" s="161">
        <f>-SUM(I254:I265)</f>
        <v>0</v>
      </c>
      <c r="J266" s="161">
        <f>-SUM(J254:J265)</f>
        <v>0</v>
      </c>
      <c r="K266" s="161">
        <f>-SUM(K254:K265)</f>
        <v>0</v>
      </c>
      <c r="L266" s="161">
        <f>-SUM(L254:L265)</f>
        <v>0</v>
      </c>
      <c r="M266" s="161">
        <f>IF(COUNT($H266:L266)&gt;=Input!$Y$7,0, -SUM(M254:M265))</f>
        <v>0</v>
      </c>
      <c r="N266" s="161">
        <f>IF(COUNT($H266:M266)&gt;=Input!$Y$7,0, -SUM(N254:N265))</f>
        <v>0</v>
      </c>
      <c r="O266" s="161">
        <f>IF(COUNT($H266:N266)&gt;=Input!$Y$7,0, -SUM(O254:O265))</f>
        <v>0</v>
      </c>
      <c r="P266" s="161">
        <f>IF(COUNT($H266:O266)&gt;=Input!$Y$7,0, -SUM(P254:P265))</f>
        <v>0</v>
      </c>
      <c r="Q266" s="161">
        <f>IF(COUNT($H266:P266)&gt;=Input!$Y$7,0, -SUM(Q254:Q265))</f>
        <v>0</v>
      </c>
      <c r="R266" s="161"/>
      <c r="S266" s="102"/>
      <c r="T266" s="102"/>
      <c r="U266" s="102"/>
      <c r="V266" s="102"/>
      <c r="W266" s="102"/>
      <c r="X266" s="102"/>
      <c r="Y266" s="102"/>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198"/>
      <c r="BJ266" s="198"/>
      <c r="BK266" s="198"/>
      <c r="BL266" s="198"/>
      <c r="BM266" s="198"/>
      <c r="BN266" s="198"/>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idden="1" outlineLevel="2">
      <c r="A267" s="9"/>
      <c r="B267" s="272">
        <f>Asset16</f>
        <v>0</v>
      </c>
      <c r="C267" s="31"/>
      <c r="D267" s="32" t="s">
        <v>66</v>
      </c>
      <c r="E267" s="31"/>
      <c r="F267" s="300"/>
      <c r="G267" s="300"/>
      <c r="H267" s="68" t="str">
        <f>IF(H$3&gt;A16taxremlife,A16taxvalue-SUM($F267:F267),IF(A16taxremlife="N/A","n/a",A16taxvalue/A16taxremlife))</f>
        <v>n/a</v>
      </c>
      <c r="I267" s="68" t="str">
        <f>IF(I$3&gt;A16taxremlife,A16taxvalue-SUM($F267:H267),IF(A16taxremlife="N/A","n/a",A16taxvalue/A16taxremlife))</f>
        <v>n/a</v>
      </c>
      <c r="J267" s="68" t="str">
        <f>IF(J$3&gt;A16taxremlife,A16taxvalue-SUM($F267:I267),IF(A16taxremlife="N/A","n/a",A16taxvalue/A16taxremlife))</f>
        <v>n/a</v>
      </c>
      <c r="K267" s="68" t="str">
        <f>IF(K$3&gt;A16taxremlife,A16taxvalue-SUM($F267:J267),IF(A16taxremlife="N/A","n/a",A16taxvalue/A16taxremlife))</f>
        <v>n/a</v>
      </c>
      <c r="L267" s="68" t="str">
        <f>IF(L$3&gt;A16taxremlife,A16taxvalue-SUM($F267:K267),IF(A16taxremlife="N/A","n/a",A16taxvalue/A16taxremlife))</f>
        <v>n/a</v>
      </c>
      <c r="M267" s="68" t="str">
        <f>IF(M$3&gt;A16taxremlife,A16taxvalue-SUM($F267:L267),IF(A16taxremlife="N/A","n/a",A16taxvalue/A16taxremlife))</f>
        <v>n/a</v>
      </c>
      <c r="N267" s="68" t="str">
        <f>IF(N$3&gt;A16taxremlife,A16taxvalue-SUM($F267:M267),IF(A16taxremlife="N/A","n/a",A16taxvalue/A16taxremlife))</f>
        <v>n/a</v>
      </c>
      <c r="O267" s="68" t="str">
        <f>IF(O$3&gt;A16taxremlife,A16taxvalue-SUM($F267:N267),IF(A16taxremlife="N/A","n/a",A16taxvalue/A16taxremlife))</f>
        <v>n/a</v>
      </c>
      <c r="P267" s="68" t="str">
        <f>IF(P$3&gt;A16taxremlife,A16taxvalue-SUM($F267:O267),IF(A16taxremlife="N/A","n/a",A16taxvalue/A16taxremlife))</f>
        <v>n/a</v>
      </c>
      <c r="Q267" s="68" t="str">
        <f>IF(Q$3&gt;A16taxremlife,A16taxvalue-SUM($F267:P267),IF(A16taxremlife="N/A","n/a",A16taxvalue/A16taxremlife))</f>
        <v>n/a</v>
      </c>
      <c r="R267" s="68"/>
      <c r="S267" s="103"/>
      <c r="T267" s="103"/>
      <c r="U267" s="103"/>
      <c r="V267" s="103"/>
      <c r="W267" s="103"/>
      <c r="X267" s="103"/>
      <c r="Y267" s="103"/>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198"/>
      <c r="BJ267" s="198"/>
      <c r="BK267" s="198"/>
      <c r="BL267" s="198"/>
      <c r="BM267" s="198"/>
      <c r="BN267" s="198"/>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6"/>
      <c r="D268" s="391" t="s">
        <v>82</v>
      </c>
      <c r="E268" s="87"/>
      <c r="F268" s="27"/>
      <c r="G268" s="27"/>
      <c r="H268" s="103"/>
      <c r="I268" s="69"/>
      <c r="J268" s="69"/>
      <c r="K268" s="69"/>
      <c r="L268" s="69"/>
      <c r="M268" s="69"/>
      <c r="N268" s="69"/>
      <c r="O268" s="69"/>
      <c r="P268" s="69"/>
      <c r="Q268" s="69"/>
      <c r="R268" s="69"/>
      <c r="S268" s="103"/>
      <c r="T268" s="103"/>
      <c r="U268" s="103"/>
      <c r="V268" s="103"/>
      <c r="W268" s="103"/>
      <c r="X268" s="103"/>
      <c r="Y268" s="103"/>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198"/>
      <c r="BJ268" s="198"/>
      <c r="BK268" s="198"/>
      <c r="BL268" s="198"/>
      <c r="BM268" s="198"/>
      <c r="BN268" s="19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idden="1" outlineLevel="2">
      <c r="A269" s="9"/>
      <c r="B269" s="9"/>
      <c r="C269" s="26"/>
      <c r="D269" s="392"/>
      <c r="E269" s="87">
        <v>1</v>
      </c>
      <c r="F269" s="27"/>
      <c r="G269" s="27"/>
      <c r="H269" s="145"/>
      <c r="I269" s="69" t="str">
        <f>IF(A16taxstdlife="n/a","n/a",IF(I$3&gt;(A16taxstdlife+$E269),(Input!$H$158-Input!$H$192)-SUM($H269:H269),(Input!$H$158-Input!$H$192)/A16taxstdlife))</f>
        <v>n/a</v>
      </c>
      <c r="J269" s="69" t="str">
        <f>IF(A16taxstdlife="n/a","n/a",IF(J$3&gt;(A16taxstdlife+$E269),(Input!$H$158-Input!$H$192)-SUM($H269:I269),(Input!$H$158-Input!$H$192)/A16taxstdlife))</f>
        <v>n/a</v>
      </c>
      <c r="K269" s="69" t="str">
        <f>IF(A16taxstdlife="n/a","n/a",IF(K$3&gt;(A16taxstdlife+$E269),(Input!$H$158-Input!$H$192)-SUM($H269:J269),(Input!$H$158-Input!$H$192)/A16taxstdlife))</f>
        <v>n/a</v>
      </c>
      <c r="L269" s="69" t="str">
        <f>IF(A16taxstdlife="n/a","n/a",IF(L$3&gt;(A16taxstdlife+$E269),(Input!$H$158-Input!$H$192)-SUM($H269:K269),(Input!$H$158-Input!$H$192)/A16taxstdlife))</f>
        <v>n/a</v>
      </c>
      <c r="M269" s="69" t="str">
        <f>IF(A16taxstdlife="n/a","n/a",IF(M$3&gt;(A16taxstdlife+$E269),(Input!$H$158-Input!$H$192)-SUM($H269:L269),(Input!$H$158-Input!$H$192)/A16taxstdlife))</f>
        <v>n/a</v>
      </c>
      <c r="N269" s="69" t="str">
        <f>IF(A16taxstdlife="n/a","n/a",IF(N$3&gt;(A16taxstdlife+$E269),(Input!$H$158-Input!$H$192)-SUM($H269:M269),(Input!$H$158-Input!$H$192)/A16taxstdlife))</f>
        <v>n/a</v>
      </c>
      <c r="O269" s="69" t="str">
        <f>IF(A16taxstdlife="n/a","n/a",IF(O$3&gt;(A16taxstdlife+$E269),(Input!$H$158-Input!$H$192)-SUM($H269:N269),(Input!$H$158-Input!$H$192)/A16taxstdlife))</f>
        <v>n/a</v>
      </c>
      <c r="P269" s="69" t="str">
        <f>IF(A16taxstdlife="n/a","n/a",IF(P$3&gt;(A16taxstdlife+$E269),(Input!$H$158-Input!$H$192)-SUM($H269:O269),(Input!$H$158-Input!$H$192)/A16taxstdlife))</f>
        <v>n/a</v>
      </c>
      <c r="Q269" s="69" t="str">
        <f>IF(A16taxstdlife="n/a","n/a",IF(Q$3&gt;(A16taxstdlife+$E269),(Input!$H$158-Input!$H$192)-SUM($H269:P269),(Input!$H$158-Input!$H$192)/A16taxstdlife))</f>
        <v>n/a</v>
      </c>
      <c r="R269" s="69"/>
      <c r="S269" s="103"/>
      <c r="T269" s="103"/>
      <c r="U269" s="103"/>
      <c r="V269" s="103"/>
      <c r="W269" s="103"/>
      <c r="X269" s="103"/>
      <c r="Y269" s="103"/>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198"/>
      <c r="BJ269" s="198"/>
      <c r="BK269" s="198"/>
      <c r="BL269" s="198"/>
      <c r="BM269" s="198"/>
      <c r="BN269" s="198"/>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idden="1" outlineLevel="2">
      <c r="A270" s="9"/>
      <c r="B270" s="9"/>
      <c r="C270" s="26"/>
      <c r="D270" s="392"/>
      <c r="E270" s="87">
        <v>2</v>
      </c>
      <c r="F270" s="27"/>
      <c r="G270" s="27"/>
      <c r="H270" s="146"/>
      <c r="I270" s="147"/>
      <c r="J270" s="69" t="str">
        <f>IF(A16taxstdlife="n/a","n/a",IF(J$3&gt;(A16taxstdlife+$E270),(Input!$I$158-Input!$I$192)-SUM($I270:I270),(Input!$I$158-Input!$I$192)/A16taxstdlife))</f>
        <v>n/a</v>
      </c>
      <c r="K270" s="69" t="str">
        <f>IF(A16taxstdlife="n/a","n/a",IF(K$3&gt;(A16taxstdlife+$E270),(Input!$I$158-Input!$I$192)-SUM($I270:J270),(Input!$I$158-Input!$I$192)/A16taxstdlife))</f>
        <v>n/a</v>
      </c>
      <c r="L270" s="69" t="str">
        <f>IF(A16taxstdlife="n/a","n/a",IF(L$3&gt;(A16taxstdlife+$E270),(Input!$I$158-Input!$I$192)-SUM($I270:K270),(Input!$I$158-Input!$I$192)/A16taxstdlife))</f>
        <v>n/a</v>
      </c>
      <c r="M270" s="69" t="str">
        <f>IF(A16taxstdlife="n/a","n/a",IF(M$3&gt;(A16taxstdlife+$E270),(Input!$I$158-Input!$I$192)-SUM($I270:L270),(Input!$I$158-Input!$I$192)/A16taxstdlife))</f>
        <v>n/a</v>
      </c>
      <c r="N270" s="69" t="str">
        <f>IF(A16taxstdlife="n/a","n/a",IF(N$3&gt;(A16taxstdlife+$E270),(Input!$I$158-Input!$I$192)-SUM($I270:M270),(Input!$I$158-Input!$I$192)/A16taxstdlife))</f>
        <v>n/a</v>
      </c>
      <c r="O270" s="69" t="str">
        <f>IF(A16taxstdlife="n/a","n/a",IF(O$3&gt;(A16taxstdlife+$E270),(Input!$I$158-Input!$I$192)-SUM($I270:N270),(Input!$I$158-Input!$I$192)/A16taxstdlife))</f>
        <v>n/a</v>
      </c>
      <c r="P270" s="69" t="str">
        <f>IF(A16taxstdlife="n/a","n/a",IF(P$3&gt;(A16taxstdlife+$E270),(Input!$I$158-Input!$I$192)-SUM($I270:O270),(Input!$I$158-Input!$I$192)/A16taxstdlife))</f>
        <v>n/a</v>
      </c>
      <c r="Q270" s="69" t="str">
        <f>IF(A16taxstdlife="n/a","n/a",IF(Q$3&gt;(A16taxstdlife+$E270),(Input!$I$158-Input!$I$192)-SUM($I270:P270),(Input!$I$158-Input!$I$192)/A16taxstdlife))</f>
        <v>n/a</v>
      </c>
      <c r="R270" s="69"/>
      <c r="S270" s="103"/>
      <c r="T270" s="103"/>
      <c r="U270" s="103"/>
      <c r="V270" s="103"/>
      <c r="W270" s="103"/>
      <c r="X270" s="103"/>
      <c r="Y270" s="103"/>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198"/>
      <c r="BJ270" s="198"/>
      <c r="BK270" s="198"/>
      <c r="BL270" s="198"/>
      <c r="BM270" s="198"/>
      <c r="BN270" s="198"/>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idden="1" outlineLevel="2">
      <c r="A271" s="9"/>
      <c r="B271" s="9"/>
      <c r="C271" s="26"/>
      <c r="D271" s="392"/>
      <c r="E271" s="87">
        <v>3</v>
      </c>
      <c r="F271" s="27"/>
      <c r="G271" s="27"/>
      <c r="H271" s="146"/>
      <c r="I271" s="148"/>
      <c r="J271" s="147"/>
      <c r="K271" s="69" t="str">
        <f>IF(A16taxstdlife="n/a","n/a",IF(K$3&gt;(A16taxstdlife+$E271),(Input!$J$158-Input!$J$192)-SUM($J271:J271),(Input!$J$158-Input!$J$192)/A16taxstdlife))</f>
        <v>n/a</v>
      </c>
      <c r="L271" s="69" t="str">
        <f>IF(A16taxstdlife="n/a","n/a",IF(L$3&gt;(A16taxstdlife+$E271),(Input!$J$158-Input!$J$192)-SUM($J271:K271),(Input!$J$158-Input!$J$192)/A16taxstdlife))</f>
        <v>n/a</v>
      </c>
      <c r="M271" s="69" t="str">
        <f>IF(A16taxstdlife="n/a","n/a",IF(M$3&gt;(A16taxstdlife+$E271),(Input!$J$158-Input!$J$192)-SUM($J271:L271),(Input!$J$158-Input!$J$192)/A16taxstdlife))</f>
        <v>n/a</v>
      </c>
      <c r="N271" s="69" t="str">
        <f>IF(A16taxstdlife="n/a","n/a",IF(N$3&gt;(A16taxstdlife+$E271),(Input!$J$158-Input!$J$192)-SUM($J271:M271),(Input!$J$158-Input!$J$192)/A16taxstdlife))</f>
        <v>n/a</v>
      </c>
      <c r="O271" s="69" t="str">
        <f>IF(A16taxstdlife="n/a","n/a",IF(O$3&gt;(A16taxstdlife+$E271),(Input!$J$158-Input!$J$192)-SUM($J271:N271),(Input!$J$158-Input!$J$192)/A16taxstdlife))</f>
        <v>n/a</v>
      </c>
      <c r="P271" s="69" t="str">
        <f>IF(A16taxstdlife="n/a","n/a",IF(P$3&gt;(A16taxstdlife+$E271),(Input!$J$158-Input!$J$192)-SUM($J271:O271),(Input!$J$158-Input!$J$192)/A16taxstdlife))</f>
        <v>n/a</v>
      </c>
      <c r="Q271" s="69" t="str">
        <f>IF(A16taxstdlife="n/a","n/a",IF(Q$3&gt;(A16taxstdlife+$E271),(Input!$J$158-Input!$J$192)-SUM($J271:P271),(Input!$J$158-Input!$J$192)/A16taxstdlife))</f>
        <v>n/a</v>
      </c>
      <c r="R271" s="69"/>
      <c r="S271" s="103"/>
      <c r="T271" s="103"/>
      <c r="U271" s="103"/>
      <c r="V271" s="103"/>
      <c r="W271" s="103"/>
      <c r="X271" s="103"/>
      <c r="Y271" s="103"/>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198"/>
      <c r="BJ271" s="198"/>
      <c r="BK271" s="198"/>
      <c r="BL271" s="198"/>
      <c r="BM271" s="198"/>
      <c r="BN271" s="198"/>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idden="1" outlineLevel="2">
      <c r="A272" s="9"/>
      <c r="B272" s="9"/>
      <c r="C272" s="26"/>
      <c r="D272" s="392"/>
      <c r="E272" s="87">
        <v>4</v>
      </c>
      <c r="F272" s="27"/>
      <c r="G272" s="27"/>
      <c r="H272" s="146"/>
      <c r="I272" s="148"/>
      <c r="J272" s="148"/>
      <c r="K272" s="147"/>
      <c r="L272" s="69" t="str">
        <f>IF(A16taxstdlife="n/a","n/a",IF(L$3&gt;(A16taxstdlife+$E272),(Input!$K$158-Input!$K$192)-SUM($K272:K272),(Input!$K$158-Input!$K$192)/A16taxstdlife))</f>
        <v>n/a</v>
      </c>
      <c r="M272" s="69" t="str">
        <f>IF(A16taxstdlife="n/a","n/a",IF(M$3&gt;(A16taxstdlife+$E272),(Input!$K$158-Input!$K$192)-SUM($K272:L272),(Input!$K$158-Input!$K$192)/A16taxstdlife))</f>
        <v>n/a</v>
      </c>
      <c r="N272" s="69" t="str">
        <f>IF(A16taxstdlife="n/a","n/a",IF(N$3&gt;(A16taxstdlife+$E272),(Input!$K$158-Input!$K$192)-SUM($K272:M272),(Input!$K$158-Input!$K$192)/A16taxstdlife))</f>
        <v>n/a</v>
      </c>
      <c r="O272" s="69" t="str">
        <f>IF(A16taxstdlife="n/a","n/a",IF(O$3&gt;(A16taxstdlife+$E272),(Input!$K$158-Input!$K$192)-SUM($K272:N272),(Input!$K$158-Input!$K$192)/A16taxstdlife))</f>
        <v>n/a</v>
      </c>
      <c r="P272" s="69" t="str">
        <f>IF(A16taxstdlife="n/a","n/a",IF(P$3&gt;(A16taxstdlife+$E272),(Input!$K$158-Input!$K$192)-SUM($K272:O272),(Input!$K$158-Input!$K$192)/A16taxstdlife))</f>
        <v>n/a</v>
      </c>
      <c r="Q272" s="69" t="str">
        <f>IF(A16taxstdlife="n/a","n/a",IF(Q$3&gt;(A16taxstdlife+$E272),(Input!$K$158-Input!$K$192)-SUM($K272:P272),(Input!$K$158-Input!$K$192)/A16taxstdlife))</f>
        <v>n/a</v>
      </c>
      <c r="R272" s="69"/>
      <c r="S272" s="103"/>
      <c r="T272" s="103"/>
      <c r="U272" s="103"/>
      <c r="V272" s="103"/>
      <c r="W272" s="103"/>
      <c r="X272" s="103"/>
      <c r="Y272" s="103"/>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198"/>
      <c r="BJ272" s="198"/>
      <c r="BK272" s="198"/>
      <c r="BL272" s="198"/>
      <c r="BM272" s="198"/>
      <c r="BN272" s="198"/>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idden="1" outlineLevel="2">
      <c r="A273" s="9"/>
      <c r="B273" s="9"/>
      <c r="C273" s="26"/>
      <c r="D273" s="392"/>
      <c r="E273" s="87">
        <v>5</v>
      </c>
      <c r="F273" s="27"/>
      <c r="G273" s="27"/>
      <c r="H273" s="146"/>
      <c r="I273" s="148"/>
      <c r="J273" s="148"/>
      <c r="K273" s="148"/>
      <c r="L273" s="147"/>
      <c r="M273" s="69" t="str">
        <f>IF(A16taxstdlife="n/a","n/a",IF(M$3&gt;(A16taxstdlife+$E273),(Input!$L$158-Input!$L$192)-SUM($L273:L273),(Input!$L$158-Input!$L$192)/A16taxstdlife))</f>
        <v>n/a</v>
      </c>
      <c r="N273" s="69" t="str">
        <f>IF(A16taxstdlife="n/a","n/a",IF(N$3&gt;(A16taxstdlife+$E273),(Input!$L$158-Input!$L$192)-SUM($L273:M273),(Input!$L$158-Input!$L$192)/A16taxstdlife))</f>
        <v>n/a</v>
      </c>
      <c r="O273" s="69" t="str">
        <f>IF(A16taxstdlife="n/a","n/a",IF(O$3&gt;(A16taxstdlife+$E273),(Input!$L$158-Input!$L$192)-SUM($L273:N273),(Input!$L$158-Input!$L$192)/A16taxstdlife))</f>
        <v>n/a</v>
      </c>
      <c r="P273" s="69" t="str">
        <f>IF(A16taxstdlife="n/a","n/a",IF(P$3&gt;(A16taxstdlife+$E273),(Input!$L$158-Input!$L$192)-SUM($L273:O273),(Input!$L$158-Input!$L$192)/A16taxstdlife))</f>
        <v>n/a</v>
      </c>
      <c r="Q273" s="69" t="str">
        <f>IF(A16taxstdlife="n/a","n/a",IF(Q$3&gt;(A16taxstdlife+$E273),(Input!$L$158-Input!$L$192)-SUM($L273:P273),(Input!$L$158-Input!$L$192)/A16taxstdlife))</f>
        <v>n/a</v>
      </c>
      <c r="R273" s="69"/>
      <c r="S273" s="103"/>
      <c r="T273" s="103"/>
      <c r="U273" s="103"/>
      <c r="V273" s="103"/>
      <c r="W273" s="103"/>
      <c r="X273" s="103"/>
      <c r="Y273" s="103"/>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198"/>
      <c r="BJ273" s="198"/>
      <c r="BK273" s="198"/>
      <c r="BL273" s="198"/>
      <c r="BM273" s="198"/>
      <c r="BN273" s="198"/>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idden="1" outlineLevel="2">
      <c r="A274" s="9"/>
      <c r="B274" s="9"/>
      <c r="C274" s="26"/>
      <c r="D274" s="392"/>
      <c r="E274" s="87">
        <v>6</v>
      </c>
      <c r="F274" s="27"/>
      <c r="G274" s="27"/>
      <c r="H274" s="146"/>
      <c r="I274" s="148"/>
      <c r="J274" s="148"/>
      <c r="K274" s="148"/>
      <c r="L274" s="148"/>
      <c r="M274" s="147"/>
      <c r="N274" s="69" t="str">
        <f>IF(A16taxstdlife="n/a","n/a",IF(N$3&gt;(A16taxstdlife+$E274),(Input!$M$158-Input!$M$192)-SUM($M274:M274),(Input!$M$158-Input!$M$192)/A16taxstdlife))</f>
        <v>n/a</v>
      </c>
      <c r="O274" s="69" t="str">
        <f>IF(A16taxstdlife="n/a","n/a",IF(O$3&gt;(A16taxstdlife+$E274),(Input!$M$158-Input!$M$192)-SUM($M274:N274),(Input!$M$158-Input!$M$192)/A16taxstdlife))</f>
        <v>n/a</v>
      </c>
      <c r="P274" s="69" t="str">
        <f>IF(A16taxstdlife="n/a","n/a",IF(P$3&gt;(A16taxstdlife+$E274),(Input!$M$158-Input!$M$192)-SUM($M274:O274),(Input!$M$158-Input!$M$192)/A16taxstdlife))</f>
        <v>n/a</v>
      </c>
      <c r="Q274" s="69" t="str">
        <f>IF(A16taxstdlife="n/a","n/a",IF(Q$3&gt;(A16taxstdlife+$E274),(Input!$M$158-Input!$M$192)-SUM($M274:P274),(Input!$M$158-Input!$M$192)/A16taxstdlife))</f>
        <v>n/a</v>
      </c>
      <c r="R274" s="69"/>
      <c r="S274" s="103"/>
      <c r="T274" s="103"/>
      <c r="U274" s="103"/>
      <c r="V274" s="103"/>
      <c r="W274" s="103"/>
      <c r="X274" s="103"/>
      <c r="Y274" s="103"/>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198"/>
      <c r="BJ274" s="198"/>
      <c r="BK274" s="198"/>
      <c r="BL274" s="198"/>
      <c r="BM274" s="198"/>
      <c r="BN274" s="198"/>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idden="1" outlineLevel="2">
      <c r="A275" s="9"/>
      <c r="B275" s="9"/>
      <c r="C275" s="26"/>
      <c r="D275" s="392"/>
      <c r="E275" s="87">
        <v>7</v>
      </c>
      <c r="F275" s="27"/>
      <c r="G275" s="27"/>
      <c r="H275" s="146"/>
      <c r="I275" s="148"/>
      <c r="J275" s="148"/>
      <c r="K275" s="148"/>
      <c r="L275" s="148"/>
      <c r="M275" s="148"/>
      <c r="N275" s="147"/>
      <c r="O275" s="69" t="str">
        <f>IF(A16taxstdlife="n/a","n/a",IF(O$3&gt;(A16taxstdlife+$E275),(Input!$N$158-Input!$N$192)-SUM($N275:N275),(Input!$N$158-Input!$N$192)/A16taxstdlife))</f>
        <v>n/a</v>
      </c>
      <c r="P275" s="69" t="str">
        <f>IF(A16taxstdlife="n/a","n/a",IF(P$3&gt;(A16taxstdlife+$E275),(Input!$N$158-Input!$N$192)-SUM($N275:O275),(Input!$N$158-Input!$N$192)/A16taxstdlife))</f>
        <v>n/a</v>
      </c>
      <c r="Q275" s="69" t="str">
        <f>IF(A16taxstdlife="n/a","n/a",IF(Q$3&gt;(A16taxstdlife+$E275),(Input!$N$158-Input!$N$192)-SUM($N275:P275),(Input!$N$158-Input!$N$192)/A16taxstdlife))</f>
        <v>n/a</v>
      </c>
      <c r="R275" s="69"/>
      <c r="S275" s="103"/>
      <c r="T275" s="103"/>
      <c r="U275" s="103"/>
      <c r="V275" s="103"/>
      <c r="W275" s="103"/>
      <c r="X275" s="103"/>
      <c r="Y275" s="103"/>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9"/>
      <c r="BJ275" s="198"/>
      <c r="BK275" s="198"/>
      <c r="BL275" s="198"/>
      <c r="BM275" s="198"/>
      <c r="BN275" s="198"/>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idden="1" outlineLevel="2">
      <c r="A276" s="9"/>
      <c r="B276" s="9"/>
      <c r="C276" s="26"/>
      <c r="D276" s="392"/>
      <c r="E276" s="87">
        <v>8</v>
      </c>
      <c r="F276" s="27"/>
      <c r="G276" s="27"/>
      <c r="H276" s="146"/>
      <c r="I276" s="148"/>
      <c r="J276" s="148"/>
      <c r="K276" s="148"/>
      <c r="L276" s="148"/>
      <c r="M276" s="148"/>
      <c r="N276" s="148"/>
      <c r="O276" s="147"/>
      <c r="P276" s="69" t="str">
        <f>IF(A16taxstdlife="n/a","n/a",IF(P$3&gt;(A16taxstdlife+$E276),(Input!$O$158-Input!$O$192)-SUM($O276:O276),(Input!$O$158-Input!$O$192)/A16taxstdlife))</f>
        <v>n/a</v>
      </c>
      <c r="Q276" s="69" t="str">
        <f>IF(A16taxstdlife="n/a","n/a",IF(Q$3&gt;(A16taxstdlife+$E276),(Input!$O$158-Input!$O$192)-SUM($O276:P276),(Input!$O$158-Input!$O$192)/A16taxstdlife))</f>
        <v>n/a</v>
      </c>
      <c r="R276" s="69"/>
      <c r="S276" s="103"/>
      <c r="T276" s="103"/>
      <c r="U276" s="103"/>
      <c r="V276" s="103"/>
      <c r="W276" s="103"/>
      <c r="X276" s="103"/>
      <c r="Y276" s="103"/>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198"/>
      <c r="BJ276" s="198"/>
      <c r="BK276" s="198"/>
      <c r="BL276" s="198"/>
      <c r="BM276" s="198"/>
      <c r="BN276" s="198"/>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idden="1" outlineLevel="2">
      <c r="A277" s="9"/>
      <c r="B277" s="9"/>
      <c r="C277" s="26"/>
      <c r="D277" s="392"/>
      <c r="E277" s="87">
        <v>9</v>
      </c>
      <c r="F277" s="27"/>
      <c r="G277" s="27"/>
      <c r="H277" s="146"/>
      <c r="I277" s="148"/>
      <c r="J277" s="148"/>
      <c r="K277" s="148"/>
      <c r="L277" s="148"/>
      <c r="M277" s="148"/>
      <c r="N277" s="148"/>
      <c r="O277" s="148"/>
      <c r="P277" s="147"/>
      <c r="Q277" s="69" t="str">
        <f>IF(A16taxstdlife="n/a","n/a",IF(Q$3&gt;(A16taxstdlife+$E277),(Input!$P$158-Input!$P$192)-SUM($P277:P277),(Input!$P$158-Input!$P$192)/A16taxstdlife))</f>
        <v>n/a</v>
      </c>
      <c r="R277" s="69"/>
      <c r="S277" s="103"/>
      <c r="T277" s="103"/>
      <c r="U277" s="103"/>
      <c r="V277" s="103"/>
      <c r="W277" s="103"/>
      <c r="X277" s="103"/>
      <c r="Y277" s="103"/>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198"/>
      <c r="BJ277" s="198"/>
      <c r="BK277" s="198"/>
      <c r="BL277" s="198"/>
      <c r="BM277" s="198"/>
      <c r="BN277" s="198"/>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idden="1" outlineLevel="2">
      <c r="A278" s="9"/>
      <c r="B278" s="9"/>
      <c r="C278" s="26"/>
      <c r="D278" s="392"/>
      <c r="E278" s="88">
        <v>10</v>
      </c>
      <c r="F278" s="27"/>
      <c r="G278" s="27"/>
      <c r="H278" s="146"/>
      <c r="I278" s="148"/>
      <c r="J278" s="148"/>
      <c r="K278" s="148"/>
      <c r="L278" s="148"/>
      <c r="M278" s="148"/>
      <c r="N278" s="148"/>
      <c r="O278" s="148"/>
      <c r="P278" s="148"/>
      <c r="Q278" s="147"/>
      <c r="R278" s="69"/>
      <c r="S278" s="103"/>
      <c r="T278" s="103"/>
      <c r="U278" s="103"/>
      <c r="V278" s="103"/>
      <c r="W278" s="103"/>
      <c r="X278" s="103"/>
      <c r="Y278" s="103"/>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198"/>
      <c r="BJ278" s="198"/>
      <c r="BK278" s="198"/>
      <c r="BL278" s="198"/>
      <c r="BM278" s="198"/>
      <c r="BN278" s="19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idden="1" outlineLevel="1" collapsed="1">
      <c r="A279" s="9"/>
      <c r="B279" s="9"/>
      <c r="C279" s="271">
        <f>Asset16</f>
        <v>0</v>
      </c>
      <c r="D279" s="9"/>
      <c r="E279" s="9"/>
      <c r="F279" s="23"/>
      <c r="G279" s="23"/>
      <c r="H279" s="297">
        <f>-SUM(H267:H278)</f>
        <v>0</v>
      </c>
      <c r="I279" s="161">
        <f>-SUM(I267:I278)</f>
        <v>0</v>
      </c>
      <c r="J279" s="161">
        <f>-SUM(J267:J278)</f>
        <v>0</v>
      </c>
      <c r="K279" s="161">
        <f>-SUM(K267:K278)</f>
        <v>0</v>
      </c>
      <c r="L279" s="161">
        <f>-SUM(L267:L278)</f>
        <v>0</v>
      </c>
      <c r="M279" s="161">
        <f>IF(COUNT($H279:L279)&gt;=Input!$Y$7,0, -SUM(M267:M278))</f>
        <v>0</v>
      </c>
      <c r="N279" s="161">
        <f>IF(COUNT($H279:M279)&gt;=Input!$Y$7,0, -SUM(N267:N278))</f>
        <v>0</v>
      </c>
      <c r="O279" s="161">
        <f>IF(COUNT($H279:N279)&gt;=Input!$Y$7,0, -SUM(O267:O278))</f>
        <v>0</v>
      </c>
      <c r="P279" s="161">
        <f>IF(COUNT($H279:O279)&gt;=Input!$Y$7,0, -SUM(P267:P278))</f>
        <v>0</v>
      </c>
      <c r="Q279" s="161">
        <f>IF(COUNT($H279:P279)&gt;=Input!$Y$7,0, -SUM(Q267:Q278))</f>
        <v>0</v>
      </c>
      <c r="R279" s="161"/>
      <c r="S279" s="102"/>
      <c r="T279" s="102"/>
      <c r="U279" s="102"/>
      <c r="V279" s="102"/>
      <c r="W279" s="102"/>
      <c r="X279" s="102"/>
      <c r="Y279" s="102"/>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198"/>
      <c r="BJ279" s="198"/>
      <c r="BK279" s="198"/>
      <c r="BL279" s="198"/>
      <c r="BM279" s="198"/>
      <c r="BN279" s="198"/>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idden="1" outlineLevel="2">
      <c r="A280" s="9"/>
      <c r="B280" s="273">
        <f>Asset17</f>
        <v>0</v>
      </c>
      <c r="C280" s="31"/>
      <c r="D280" s="32" t="s">
        <v>66</v>
      </c>
      <c r="E280" s="31"/>
      <c r="F280" s="300"/>
      <c r="G280" s="300"/>
      <c r="H280" s="68" t="str">
        <f>IF(H$3&gt;A17taxremlife,A17taxvalue-SUM($F280:F280),IF(A17taxremlife="N/A","n/a",A17taxvalue/A17taxremlife))</f>
        <v>n/a</v>
      </c>
      <c r="I280" s="68" t="str">
        <f>IF(I$3&gt;A17taxremlife,A17taxvalue-SUM($F280:H280),IF(A17taxremlife="N/A","n/a",A17taxvalue/A17taxremlife))</f>
        <v>n/a</v>
      </c>
      <c r="J280" s="68" t="str">
        <f>IF(J$3&gt;A17taxremlife,A17taxvalue-SUM($F280:I280),IF(A17taxremlife="N/A","n/a",A17taxvalue/A17taxremlife))</f>
        <v>n/a</v>
      </c>
      <c r="K280" s="68" t="str">
        <f>IF(K$3&gt;A17taxremlife,A17taxvalue-SUM($F280:J280),IF(A17taxremlife="N/A","n/a",A17taxvalue/A17taxremlife))</f>
        <v>n/a</v>
      </c>
      <c r="L280" s="68" t="str">
        <f>IF(L$3&gt;A17taxremlife,A17taxvalue-SUM($F280:K280),IF(A17taxremlife="N/A","n/a",A17taxvalue/A17taxremlife))</f>
        <v>n/a</v>
      </c>
      <c r="M280" s="68" t="str">
        <f>IF(M$3&gt;A17taxremlife,A17taxvalue-SUM($F280:L280),IF(A17taxremlife="N/A","n/a",A17taxvalue/A17taxremlife))</f>
        <v>n/a</v>
      </c>
      <c r="N280" s="68" t="str">
        <f>IF(N$3&gt;A17taxremlife,A17taxvalue-SUM($F280:M280),IF(A17taxremlife="N/A","n/a",A17taxvalue/A17taxremlife))</f>
        <v>n/a</v>
      </c>
      <c r="O280" s="68" t="str">
        <f>IF(O$3&gt;A17taxremlife,A17taxvalue-SUM($F280:N280),IF(A17taxremlife="N/A","n/a",A17taxvalue/A17taxremlife))</f>
        <v>n/a</v>
      </c>
      <c r="P280" s="68" t="str">
        <f>IF(P$3&gt;A17taxremlife,A17taxvalue-SUM($F280:O280),IF(A17taxremlife="N/A","n/a",A17taxvalue/A17taxremlife))</f>
        <v>n/a</v>
      </c>
      <c r="Q280" s="68" t="str">
        <f>IF(Q$3&gt;A17taxremlife,A17taxvalue-SUM($F280:P280),IF(A17taxremlife="N/A","n/a",A17taxvalue/A17taxremlife))</f>
        <v>n/a</v>
      </c>
      <c r="R280" s="68"/>
      <c r="S280" s="103"/>
      <c r="T280" s="103"/>
      <c r="U280" s="103"/>
      <c r="V280" s="103"/>
      <c r="W280" s="103"/>
      <c r="X280" s="103"/>
      <c r="Y280" s="103"/>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198"/>
      <c r="BJ280" s="198"/>
      <c r="BK280" s="198"/>
      <c r="BL280" s="198"/>
      <c r="BM280" s="198"/>
      <c r="BN280" s="198"/>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6"/>
      <c r="D281" s="391" t="s">
        <v>82</v>
      </c>
      <c r="E281" s="87"/>
      <c r="F281" s="27"/>
      <c r="G281" s="27"/>
      <c r="H281" s="103"/>
      <c r="I281" s="69"/>
      <c r="J281" s="69"/>
      <c r="K281" s="69"/>
      <c r="L281" s="69"/>
      <c r="M281" s="69"/>
      <c r="N281" s="69"/>
      <c r="O281" s="69"/>
      <c r="P281" s="69"/>
      <c r="Q281" s="69"/>
      <c r="R281" s="69"/>
      <c r="S281" s="103"/>
      <c r="T281" s="103"/>
      <c r="U281" s="103"/>
      <c r="V281" s="103"/>
      <c r="W281" s="103"/>
      <c r="X281" s="103"/>
      <c r="Y281" s="103"/>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198"/>
      <c r="BJ281" s="198"/>
      <c r="BK281" s="198"/>
      <c r="BL281" s="198"/>
      <c r="BM281" s="198"/>
      <c r="BN281" s="198"/>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idden="1" outlineLevel="2">
      <c r="A282" s="9"/>
      <c r="B282" s="9"/>
      <c r="C282" s="26"/>
      <c r="D282" s="392"/>
      <c r="E282" s="87">
        <v>1</v>
      </c>
      <c r="F282" s="27"/>
      <c r="G282" s="27"/>
      <c r="H282" s="145"/>
      <c r="I282" s="69" t="str">
        <f>IF(A17taxstdlife="n/a","n/a",IF(I$3&gt;(A17taxstdlife+$E282),(Input!$H$159-Input!$H$193)-SUM($H282:H282),(Input!$H$159-Input!$H$193)/A17taxstdlife))</f>
        <v>n/a</v>
      </c>
      <c r="J282" s="69" t="str">
        <f>IF(A17taxstdlife="n/a","n/a",IF(J$3&gt;(A17taxstdlife+$E282),(Input!$H$159-Input!$H$193)-SUM($H282:I282),(Input!$H$159-Input!$H$193)/A17taxstdlife))</f>
        <v>n/a</v>
      </c>
      <c r="K282" s="69" t="str">
        <f>IF(A17taxstdlife="n/a","n/a",IF(K$3&gt;(A17taxstdlife+$E282),(Input!$H$159-Input!$H$193)-SUM($H282:J282),(Input!$H$159-Input!$H$193)/A17taxstdlife))</f>
        <v>n/a</v>
      </c>
      <c r="L282" s="69" t="str">
        <f>IF(A17taxstdlife="n/a","n/a",IF(L$3&gt;(A17taxstdlife+$E282),(Input!$H$159-Input!$H$193)-SUM($H282:K282),(Input!$H$159-Input!$H$193)/A17taxstdlife))</f>
        <v>n/a</v>
      </c>
      <c r="M282" s="69" t="str">
        <f>IF(A17taxstdlife="n/a","n/a",IF(M$3&gt;(A17taxstdlife+$E282),(Input!$H$159-Input!$H$193)-SUM($H282:L282),(Input!$H$159-Input!$H$193)/A17taxstdlife))</f>
        <v>n/a</v>
      </c>
      <c r="N282" s="69" t="str">
        <f>IF(A17taxstdlife="n/a","n/a",IF(N$3&gt;(A17taxstdlife+$E282),(Input!$H$159-Input!$H$193)-SUM($H282:M282),(Input!$H$159-Input!$H$193)/A17taxstdlife))</f>
        <v>n/a</v>
      </c>
      <c r="O282" s="69" t="str">
        <f>IF(A17taxstdlife="n/a","n/a",IF(O$3&gt;(A17taxstdlife+$E282),(Input!$H$159-Input!$H$193)-SUM($H282:N282),(Input!$H$159-Input!$H$193)/A17taxstdlife))</f>
        <v>n/a</v>
      </c>
      <c r="P282" s="69" t="str">
        <f>IF(A17taxstdlife="n/a","n/a",IF(P$3&gt;(A17taxstdlife+$E282),(Input!$H$159-Input!$H$193)-SUM($H282:O282),(Input!$H$159-Input!$H$193)/A17taxstdlife))</f>
        <v>n/a</v>
      </c>
      <c r="Q282" s="69" t="str">
        <f>IF(A17taxstdlife="n/a","n/a",IF(Q$3&gt;(A17taxstdlife+$E282),(Input!$H$159-Input!$H$193)-SUM($H282:P282),(Input!$H$159-Input!$H$193)/A17taxstdlife))</f>
        <v>n/a</v>
      </c>
      <c r="R282" s="69"/>
      <c r="S282" s="103"/>
      <c r="T282" s="103"/>
      <c r="U282" s="103"/>
      <c r="V282" s="103"/>
      <c r="W282" s="103"/>
      <c r="X282" s="103"/>
      <c r="Y282" s="103"/>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198"/>
      <c r="BJ282" s="198"/>
      <c r="BK282" s="198"/>
      <c r="BL282" s="198"/>
      <c r="BM282" s="198"/>
      <c r="BN282" s="198"/>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idden="1" outlineLevel="2">
      <c r="A283" s="9"/>
      <c r="B283" s="9"/>
      <c r="C283" s="26"/>
      <c r="D283" s="392"/>
      <c r="E283" s="87">
        <v>2</v>
      </c>
      <c r="F283" s="27"/>
      <c r="G283" s="27"/>
      <c r="H283" s="146"/>
      <c r="I283" s="147"/>
      <c r="J283" s="69" t="str">
        <f>IF(A17taxstdlife="n/a","n/a",IF(J$3&gt;(A17taxstdlife+$E283),(Input!$I$159-Input!$I$193)-SUM($I283:I283),(Input!$I$159-Input!$I$193)/A17taxstdlife))</f>
        <v>n/a</v>
      </c>
      <c r="K283" s="69" t="str">
        <f>IF(A17taxstdlife="n/a","n/a",IF(K$3&gt;(A17taxstdlife+$E283),(Input!$I$159-Input!$I$193)-SUM($I283:J283),(Input!$I$159-Input!$I$193)/A17taxstdlife))</f>
        <v>n/a</v>
      </c>
      <c r="L283" s="69" t="str">
        <f>IF(A17taxstdlife="n/a","n/a",IF(L$3&gt;(A17taxstdlife+$E283),(Input!$I$159-Input!$I$193)-SUM($I283:K283),(Input!$I$159-Input!$I$193)/A17taxstdlife))</f>
        <v>n/a</v>
      </c>
      <c r="M283" s="69" t="str">
        <f>IF(A17taxstdlife="n/a","n/a",IF(M$3&gt;(A17taxstdlife+$E283),(Input!$I$159-Input!$I$193)-SUM($I283:L283),(Input!$I$159-Input!$I$193)/A17taxstdlife))</f>
        <v>n/a</v>
      </c>
      <c r="N283" s="69" t="str">
        <f>IF(A17taxstdlife="n/a","n/a",IF(N$3&gt;(A17taxstdlife+$E283),(Input!$I$159-Input!$I$193)-SUM($I283:M283),(Input!$I$159-Input!$I$193)/A17taxstdlife))</f>
        <v>n/a</v>
      </c>
      <c r="O283" s="69" t="str">
        <f>IF(A17taxstdlife="n/a","n/a",IF(O$3&gt;(A17taxstdlife+$E283),(Input!$I$159-Input!$I$193)-SUM($I283:N283),(Input!$I$159-Input!$I$193)/A17taxstdlife))</f>
        <v>n/a</v>
      </c>
      <c r="P283" s="69" t="str">
        <f>IF(A17taxstdlife="n/a","n/a",IF(P$3&gt;(A17taxstdlife+$E283),(Input!$I$159-Input!$I$193)-SUM($I283:O283),(Input!$I$159-Input!$I$193)/A17taxstdlife))</f>
        <v>n/a</v>
      </c>
      <c r="Q283" s="69" t="str">
        <f>IF(A17taxstdlife="n/a","n/a",IF(Q$3&gt;(A17taxstdlife+$E283),(Input!$I$159-Input!$I$193)-SUM($I283:P283),(Input!$I$159-Input!$I$193)/A17taxstdlife))</f>
        <v>n/a</v>
      </c>
      <c r="R283" s="69"/>
      <c r="S283" s="103"/>
      <c r="T283" s="103"/>
      <c r="U283" s="103"/>
      <c r="V283" s="103"/>
      <c r="W283" s="103"/>
      <c r="X283" s="103"/>
      <c r="Y283" s="103"/>
      <c r="Z283" s="217"/>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198"/>
      <c r="BJ283" s="198"/>
      <c r="BK283" s="198"/>
      <c r="BL283" s="198"/>
      <c r="BM283" s="198"/>
      <c r="BN283" s="198"/>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idden="1" outlineLevel="2">
      <c r="A284" s="9"/>
      <c r="B284" s="9"/>
      <c r="C284" s="26"/>
      <c r="D284" s="392"/>
      <c r="E284" s="87">
        <v>3</v>
      </c>
      <c r="F284" s="27"/>
      <c r="G284" s="27"/>
      <c r="H284" s="146"/>
      <c r="I284" s="148"/>
      <c r="J284" s="147"/>
      <c r="K284" s="69" t="str">
        <f>IF(A17taxstdlife="n/a","n/a",IF(K$3&gt;(A17taxstdlife+$E284),(Input!$J$159-Input!$J$193)-SUM($J284:J284),(Input!$J$159-Input!$J$193)/A17taxstdlife))</f>
        <v>n/a</v>
      </c>
      <c r="L284" s="69" t="str">
        <f>IF(A17taxstdlife="n/a","n/a",IF(L$3&gt;(A17taxstdlife+$E284),(Input!$J$159-Input!$J$193)-SUM($J284:K284),(Input!$J$159-Input!$J$193)/A17taxstdlife))</f>
        <v>n/a</v>
      </c>
      <c r="M284" s="69" t="str">
        <f>IF(A17taxstdlife="n/a","n/a",IF(M$3&gt;(A17taxstdlife+$E284),(Input!$J$159-Input!$J$193)-SUM($J284:L284),(Input!$J$159-Input!$J$193)/A17taxstdlife))</f>
        <v>n/a</v>
      </c>
      <c r="N284" s="69" t="str">
        <f>IF(A17taxstdlife="n/a","n/a",IF(N$3&gt;(A17taxstdlife+$E284),(Input!$J$159-Input!$J$193)-SUM($J284:M284),(Input!$J$159-Input!$J$193)/A17taxstdlife))</f>
        <v>n/a</v>
      </c>
      <c r="O284" s="69" t="str">
        <f>IF(A17taxstdlife="n/a","n/a",IF(O$3&gt;(A17taxstdlife+$E284),(Input!$J$159-Input!$J$193)-SUM($J284:N284),(Input!$J$159-Input!$J$193)/A17taxstdlife))</f>
        <v>n/a</v>
      </c>
      <c r="P284" s="69" t="str">
        <f>IF(A17taxstdlife="n/a","n/a",IF(P$3&gt;(A17taxstdlife+$E284),(Input!$J$159-Input!$J$193)-SUM($J284:O284),(Input!$J$159-Input!$J$193)/A17taxstdlife))</f>
        <v>n/a</v>
      </c>
      <c r="Q284" s="69" t="str">
        <f>IF(A17taxstdlife="n/a","n/a",IF(Q$3&gt;(A17taxstdlife+$E284),(Input!$J$159-Input!$J$193)-SUM($J284:P284),(Input!$J$159-Input!$J$193)/A17taxstdlife))</f>
        <v>n/a</v>
      </c>
      <c r="R284" s="69"/>
      <c r="S284" s="103"/>
      <c r="T284" s="103"/>
      <c r="U284" s="103"/>
      <c r="V284" s="103"/>
      <c r="W284" s="103"/>
      <c r="X284" s="103"/>
      <c r="Y284" s="103"/>
      <c r="Z284" s="217"/>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198"/>
      <c r="BJ284" s="198"/>
      <c r="BK284" s="198"/>
      <c r="BL284" s="198"/>
      <c r="BM284" s="198"/>
      <c r="BN284" s="198"/>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idden="1" outlineLevel="2">
      <c r="A285" s="9"/>
      <c r="B285" s="9"/>
      <c r="C285" s="26"/>
      <c r="D285" s="392"/>
      <c r="E285" s="87">
        <v>4</v>
      </c>
      <c r="F285" s="27"/>
      <c r="G285" s="27"/>
      <c r="H285" s="146"/>
      <c r="I285" s="148"/>
      <c r="J285" s="148"/>
      <c r="K285" s="147"/>
      <c r="L285" s="69" t="str">
        <f>IF(A17taxstdlife="n/a","n/a",IF(L$3&gt;(A17taxstdlife+$E285),(Input!$K$159-Input!$K$193)-SUM($K285:K285),(Input!$K$159-Input!$K$193)/A17taxstdlife))</f>
        <v>n/a</v>
      </c>
      <c r="M285" s="69" t="str">
        <f>IF(A17taxstdlife="n/a","n/a",IF(M$3&gt;(A17taxstdlife+$E285),(Input!$K$159-Input!$K$193)-SUM($K285:L285),(Input!$K$159-Input!$K$193)/A17taxstdlife))</f>
        <v>n/a</v>
      </c>
      <c r="N285" s="69" t="str">
        <f>IF(A17taxstdlife="n/a","n/a",IF(N$3&gt;(A17taxstdlife+$E285),(Input!$K$159-Input!$K$193)-SUM($K285:M285),(Input!$K$159-Input!$K$193)/A17taxstdlife))</f>
        <v>n/a</v>
      </c>
      <c r="O285" s="69" t="str">
        <f>IF(A17taxstdlife="n/a","n/a",IF(O$3&gt;(A17taxstdlife+$E285),(Input!$K$159-Input!$K$193)-SUM($K285:N285),(Input!$K$159-Input!$K$193)/A17taxstdlife))</f>
        <v>n/a</v>
      </c>
      <c r="P285" s="69" t="str">
        <f>IF(A17taxstdlife="n/a","n/a",IF(P$3&gt;(A17taxstdlife+$E285),(Input!$K$159-Input!$K$193)-SUM($K285:O285),(Input!$K$159-Input!$K$193)/A17taxstdlife))</f>
        <v>n/a</v>
      </c>
      <c r="Q285" s="69" t="str">
        <f>IF(A17taxstdlife="n/a","n/a",IF(Q$3&gt;(A17taxstdlife+$E285),(Input!$K$159-Input!$K$193)-SUM($K285:P285),(Input!$K$159-Input!$K$193)/A17taxstdlife))</f>
        <v>n/a</v>
      </c>
      <c r="R285" s="69"/>
      <c r="S285" s="103"/>
      <c r="T285" s="103"/>
      <c r="U285" s="103"/>
      <c r="V285" s="103"/>
      <c r="W285" s="103"/>
      <c r="X285" s="103"/>
      <c r="Y285" s="103"/>
      <c r="Z285" s="217"/>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c r="BI285" s="198"/>
      <c r="BJ285" s="198"/>
      <c r="BK285" s="198"/>
      <c r="BL285" s="198"/>
      <c r="BM285" s="198"/>
      <c r="BN285" s="198"/>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idden="1" outlineLevel="2">
      <c r="A286" s="9"/>
      <c r="B286" s="9"/>
      <c r="C286" s="26"/>
      <c r="D286" s="392"/>
      <c r="E286" s="87">
        <v>5</v>
      </c>
      <c r="F286" s="27"/>
      <c r="G286" s="27"/>
      <c r="H286" s="146"/>
      <c r="I286" s="148"/>
      <c r="J286" s="148"/>
      <c r="K286" s="148"/>
      <c r="L286" s="147"/>
      <c r="M286" s="69" t="str">
        <f>IF(A17taxstdlife="n/a","n/a",IF(M$3&gt;(A17taxstdlife+$E286),(Input!$L$159-Input!$L$193)-SUM($L286:L286),(Input!$L$159-Input!$L$193)/A17taxstdlife))</f>
        <v>n/a</v>
      </c>
      <c r="N286" s="69" t="str">
        <f>IF(A17taxstdlife="n/a","n/a",IF(N$3&gt;(A17taxstdlife+$E286),(Input!$L$159-Input!$L$193)-SUM($L286:M286),(Input!$L$159-Input!$L$193)/A17taxstdlife))</f>
        <v>n/a</v>
      </c>
      <c r="O286" s="69" t="str">
        <f>IF(A17taxstdlife="n/a","n/a",IF(O$3&gt;(A17taxstdlife+$E286),(Input!$L$159-Input!$L$193)-SUM($L286:N286),(Input!$L$159-Input!$L$193)/A17taxstdlife))</f>
        <v>n/a</v>
      </c>
      <c r="P286" s="69" t="str">
        <f>IF(A17taxstdlife="n/a","n/a",IF(P$3&gt;(A17taxstdlife+$E286),(Input!$L$159-Input!$L$193)-SUM($L286:O286),(Input!$L$159-Input!$L$193)/A17taxstdlife))</f>
        <v>n/a</v>
      </c>
      <c r="Q286" s="69" t="str">
        <f>IF(A17taxstdlife="n/a","n/a",IF(Q$3&gt;(A17taxstdlife+$E286),(Input!$L$159-Input!$L$193)-SUM($L286:P286),(Input!$L$159-Input!$L$193)/A17taxstdlife))</f>
        <v>n/a</v>
      </c>
      <c r="R286" s="69"/>
      <c r="S286" s="103"/>
      <c r="T286" s="103"/>
      <c r="U286" s="103"/>
      <c r="V286" s="103"/>
      <c r="W286" s="103"/>
      <c r="X286" s="103"/>
      <c r="Y286" s="103"/>
      <c r="Z286" s="217"/>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c r="BI286" s="198"/>
      <c r="BJ286" s="198"/>
      <c r="BK286" s="198"/>
      <c r="BL286" s="198"/>
      <c r="BM286" s="198"/>
      <c r="BN286" s="198"/>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idden="1" outlineLevel="2">
      <c r="A287" s="9"/>
      <c r="B287" s="9"/>
      <c r="C287" s="26"/>
      <c r="D287" s="392"/>
      <c r="E287" s="87">
        <v>6</v>
      </c>
      <c r="F287" s="27"/>
      <c r="G287" s="27"/>
      <c r="H287" s="146"/>
      <c r="I287" s="148"/>
      <c r="J287" s="148"/>
      <c r="K287" s="148"/>
      <c r="L287" s="148"/>
      <c r="M287" s="147"/>
      <c r="N287" s="69" t="str">
        <f>IF(A17taxstdlife="n/a","n/a",IF(N$3&gt;(A17taxstdlife+$E287),(Input!$M$159-Input!$M$193)-SUM($M287:M287),(Input!$M$159-Input!$M$193)/A17taxstdlife))</f>
        <v>n/a</v>
      </c>
      <c r="O287" s="69" t="str">
        <f>IF(A17taxstdlife="n/a","n/a",IF(O$3&gt;(A17taxstdlife+$E287),(Input!$M$159-Input!$M$193)-SUM($M287:N287),(Input!$M$159-Input!$M$193)/A17taxstdlife))</f>
        <v>n/a</v>
      </c>
      <c r="P287" s="69" t="str">
        <f>IF(A17taxstdlife="n/a","n/a",IF(P$3&gt;(A17taxstdlife+$E287),(Input!$M$159-Input!$M$193)-SUM($M287:O287),(Input!$M$159-Input!$M$193)/A17taxstdlife))</f>
        <v>n/a</v>
      </c>
      <c r="Q287" s="69" t="str">
        <f>IF(A17taxstdlife="n/a","n/a",IF(Q$3&gt;(A17taxstdlife+$E287),(Input!$M$159-Input!$M$193)-SUM($M287:P287),(Input!$M$159-Input!$M$193)/A17taxstdlife))</f>
        <v>n/a</v>
      </c>
      <c r="R287" s="69"/>
      <c r="S287" s="103"/>
      <c r="T287" s="103"/>
      <c r="U287" s="103"/>
      <c r="V287" s="103"/>
      <c r="W287" s="103"/>
      <c r="X287" s="103"/>
      <c r="Y287" s="103"/>
      <c r="Z287" s="217"/>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c r="BI287" s="198"/>
      <c r="BJ287" s="198"/>
      <c r="BK287" s="198"/>
      <c r="BL287" s="198"/>
      <c r="BM287" s="198"/>
      <c r="BN287" s="198"/>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idden="1" outlineLevel="2">
      <c r="A288" s="9"/>
      <c r="B288" s="9"/>
      <c r="C288" s="26"/>
      <c r="D288" s="392"/>
      <c r="E288" s="87">
        <v>7</v>
      </c>
      <c r="F288" s="27"/>
      <c r="G288" s="27"/>
      <c r="H288" s="146"/>
      <c r="I288" s="148"/>
      <c r="J288" s="148"/>
      <c r="K288" s="148"/>
      <c r="L288" s="148"/>
      <c r="M288" s="148"/>
      <c r="N288" s="147"/>
      <c r="O288" s="69" t="str">
        <f>IF(A17taxstdlife="n/a","n/a",IF(O$3&gt;(A17taxstdlife+$E288),(Input!$N$159-Input!$N$193)-SUM($N288:N288),(Input!$N$159-Input!$N$193)/A17taxstdlife))</f>
        <v>n/a</v>
      </c>
      <c r="P288" s="69" t="str">
        <f>IF(A17taxstdlife="n/a","n/a",IF(P$3&gt;(A17taxstdlife+$E288),(Input!$N$159-Input!$N$193)-SUM($N288:O288),(Input!$N$159-Input!$N$193)/A17taxstdlife))</f>
        <v>n/a</v>
      </c>
      <c r="Q288" s="69" t="str">
        <f>IF(A17taxstdlife="n/a","n/a",IF(Q$3&gt;(A17taxstdlife+$E288),(Input!$N$159-Input!$N$193)-SUM($N288:P288),(Input!$N$159-Input!$N$193)/A17taxstdlife))</f>
        <v>n/a</v>
      </c>
      <c r="R288" s="69"/>
      <c r="S288" s="103"/>
      <c r="T288" s="103"/>
      <c r="U288" s="103"/>
      <c r="V288" s="103"/>
      <c r="W288" s="103"/>
      <c r="X288" s="103"/>
      <c r="Y288" s="103"/>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198"/>
      <c r="BJ288" s="198"/>
      <c r="BK288" s="198"/>
      <c r="BL288" s="198"/>
      <c r="BM288" s="198"/>
      <c r="BN288" s="19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idden="1" outlineLevel="2">
      <c r="A289" s="9"/>
      <c r="B289" s="9"/>
      <c r="C289" s="26"/>
      <c r="D289" s="392"/>
      <c r="E289" s="87">
        <v>8</v>
      </c>
      <c r="F289" s="27"/>
      <c r="G289" s="27"/>
      <c r="H289" s="146"/>
      <c r="I289" s="148"/>
      <c r="J289" s="148"/>
      <c r="K289" s="148"/>
      <c r="L289" s="148"/>
      <c r="M289" s="148"/>
      <c r="N289" s="148"/>
      <c r="O289" s="147"/>
      <c r="P289" s="69" t="str">
        <f>IF(A17taxstdlife="n/a","n/a",IF(P$3&gt;(A17taxstdlife+$E289),(Input!$O$159-Input!$O$193)-SUM($O289:O289),(Input!$O$159-Input!$O$193)/A17taxstdlife))</f>
        <v>n/a</v>
      </c>
      <c r="Q289" s="69" t="str">
        <f>IF(A17taxstdlife="n/a","n/a",IF(Q$3&gt;(A17taxstdlife+$E289),(Input!$O$159-Input!$O$193)-SUM($O289:P289),(Input!$O$159-Input!$O$193)/A17taxstdlife))</f>
        <v>n/a</v>
      </c>
      <c r="R289" s="69"/>
      <c r="S289" s="103"/>
      <c r="T289" s="103"/>
      <c r="U289" s="103"/>
      <c r="V289" s="103"/>
      <c r="W289" s="103"/>
      <c r="X289" s="103"/>
      <c r="Y289" s="103"/>
      <c r="Z289" s="217"/>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198"/>
      <c r="BJ289" s="198"/>
      <c r="BK289" s="198"/>
      <c r="BL289" s="198"/>
      <c r="BM289" s="198"/>
      <c r="BN289" s="198"/>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idden="1" outlineLevel="2">
      <c r="A290" s="9"/>
      <c r="B290" s="9"/>
      <c r="C290" s="26"/>
      <c r="D290" s="392"/>
      <c r="E290" s="87">
        <v>9</v>
      </c>
      <c r="F290" s="27"/>
      <c r="G290" s="27"/>
      <c r="H290" s="146"/>
      <c r="I290" s="148"/>
      <c r="J290" s="148"/>
      <c r="K290" s="148"/>
      <c r="L290" s="148"/>
      <c r="M290" s="148"/>
      <c r="N290" s="148"/>
      <c r="O290" s="148"/>
      <c r="P290" s="147"/>
      <c r="Q290" s="69" t="str">
        <f>IF(A17taxstdlife="n/a","n/a",IF(Q$3&gt;(A17taxstdlife+$E290),(Input!$P$159-Input!$P$193)-SUM($P290:P290),(Input!$P$159-Input!$P$193)/A17taxstdlife))</f>
        <v>n/a</v>
      </c>
      <c r="R290" s="69"/>
      <c r="S290" s="103"/>
      <c r="T290" s="103"/>
      <c r="U290" s="103"/>
      <c r="V290" s="103"/>
      <c r="W290" s="103"/>
      <c r="X290" s="103"/>
      <c r="Y290" s="103"/>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198"/>
      <c r="BJ290" s="198"/>
      <c r="BK290" s="198"/>
      <c r="BL290" s="198"/>
      <c r="BM290" s="198"/>
      <c r="BN290" s="198"/>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idden="1" outlineLevel="2">
      <c r="A291" s="9"/>
      <c r="B291" s="9"/>
      <c r="C291" s="26"/>
      <c r="D291" s="392"/>
      <c r="E291" s="88">
        <v>10</v>
      </c>
      <c r="F291" s="27"/>
      <c r="G291" s="27"/>
      <c r="H291" s="146"/>
      <c r="I291" s="148"/>
      <c r="J291" s="148"/>
      <c r="K291" s="148"/>
      <c r="L291" s="148"/>
      <c r="M291" s="148"/>
      <c r="N291" s="148"/>
      <c r="O291" s="148"/>
      <c r="P291" s="148"/>
      <c r="Q291" s="147"/>
      <c r="R291" s="69"/>
      <c r="S291" s="103"/>
      <c r="T291" s="103"/>
      <c r="U291" s="103"/>
      <c r="V291" s="103"/>
      <c r="W291" s="103"/>
      <c r="X291" s="103"/>
      <c r="Y291" s="103"/>
      <c r="Z291" s="217"/>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198"/>
      <c r="BJ291" s="198"/>
      <c r="BK291" s="198"/>
      <c r="BL291" s="198"/>
      <c r="BM291" s="198"/>
      <c r="BN291" s="198"/>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idden="1" outlineLevel="1" collapsed="1">
      <c r="A292" s="9"/>
      <c r="B292" s="9"/>
      <c r="C292" s="271">
        <f>Asset17</f>
        <v>0</v>
      </c>
      <c r="D292" s="9"/>
      <c r="E292" s="9"/>
      <c r="F292" s="23"/>
      <c r="G292" s="23"/>
      <c r="H292" s="297">
        <f>-SUM(H280:H291)</f>
        <v>0</v>
      </c>
      <c r="I292" s="161">
        <f>-SUM(I280:I291)</f>
        <v>0</v>
      </c>
      <c r="J292" s="161">
        <f>-SUM(J280:J291)</f>
        <v>0</v>
      </c>
      <c r="K292" s="161">
        <f>-SUM(K280:K291)</f>
        <v>0</v>
      </c>
      <c r="L292" s="161">
        <f>-SUM(L280:L291)</f>
        <v>0</v>
      </c>
      <c r="M292" s="161">
        <f>IF(COUNT($H292:L292)&gt;=Input!$Y$7,0, -SUM(M280:M291))</f>
        <v>0</v>
      </c>
      <c r="N292" s="161">
        <f>IF(COUNT($H292:M292)&gt;=Input!$Y$7,0, -SUM(N280:N291))</f>
        <v>0</v>
      </c>
      <c r="O292" s="161">
        <f>IF(COUNT($H292:N292)&gt;=Input!$Y$7,0, -SUM(O280:O291))</f>
        <v>0</v>
      </c>
      <c r="P292" s="161">
        <f>IF(COUNT($H292:O292)&gt;=Input!$Y$7,0, -SUM(P280:P291))</f>
        <v>0</v>
      </c>
      <c r="Q292" s="161">
        <f>IF(COUNT($H292:P292)&gt;=Input!$Y$7,0, -SUM(Q280:Q291))</f>
        <v>0</v>
      </c>
      <c r="R292" s="161"/>
      <c r="S292" s="102"/>
      <c r="T292" s="102"/>
      <c r="U292" s="102"/>
      <c r="V292" s="102"/>
      <c r="W292" s="102"/>
      <c r="X292" s="102"/>
      <c r="Y292" s="102"/>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98"/>
      <c r="BJ292" s="198"/>
      <c r="BK292" s="198"/>
      <c r="BL292" s="198"/>
      <c r="BM292" s="198"/>
      <c r="BN292" s="198"/>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idden="1" outlineLevel="2">
      <c r="A293" s="9"/>
      <c r="B293" s="273">
        <f>Asset18</f>
        <v>0</v>
      </c>
      <c r="C293" s="31"/>
      <c r="D293" s="32" t="s">
        <v>66</v>
      </c>
      <c r="E293" s="31"/>
      <c r="F293" s="300"/>
      <c r="G293" s="300"/>
      <c r="H293" s="68" t="str">
        <f>IF(H$3&gt;A18taxremlife,A18taxvalue-SUM($F293:F293),IF(A18taxremlife="N/A","n/a",A18taxvalue/A18taxremlife))</f>
        <v>n/a</v>
      </c>
      <c r="I293" s="68" t="str">
        <f>IF(I$3&gt;A18taxremlife,A18taxvalue-SUM($F293:H293),IF(A18taxremlife="N/A","n/a",A18taxvalue/A18taxremlife))</f>
        <v>n/a</v>
      </c>
      <c r="J293" s="68" t="str">
        <f>IF(J$3&gt;A18taxremlife,A18taxvalue-SUM($F293:I293),IF(A18taxremlife="N/A","n/a",A18taxvalue/A18taxremlife))</f>
        <v>n/a</v>
      </c>
      <c r="K293" s="68" t="str">
        <f>IF(K$3&gt;A18taxremlife,A18taxvalue-SUM($F293:J293),IF(A18taxremlife="N/A","n/a",A18taxvalue/A18taxremlife))</f>
        <v>n/a</v>
      </c>
      <c r="L293" s="68" t="str">
        <f>IF(L$3&gt;A18taxremlife,A18taxvalue-SUM($F293:K293),IF(A18taxremlife="N/A","n/a",A18taxvalue/A18taxremlife))</f>
        <v>n/a</v>
      </c>
      <c r="M293" s="68" t="str">
        <f>IF(M$3&gt;A18taxremlife,A18taxvalue-SUM($F293:L293),IF(A18taxremlife="N/A","n/a",A18taxvalue/A18taxremlife))</f>
        <v>n/a</v>
      </c>
      <c r="N293" s="68" t="str">
        <f>IF(N$3&gt;A18taxremlife,A18taxvalue-SUM($F293:M293),IF(A18taxremlife="N/A","n/a",A18taxvalue/A18taxremlife))</f>
        <v>n/a</v>
      </c>
      <c r="O293" s="68" t="str">
        <f>IF(O$3&gt;A18taxremlife,A18taxvalue-SUM($F293:N293),IF(A18taxremlife="N/A","n/a",A18taxvalue/A18taxremlife))</f>
        <v>n/a</v>
      </c>
      <c r="P293" s="68" t="str">
        <f>IF(P$3&gt;A18taxremlife,A18taxvalue-SUM($F293:O293),IF(A18taxremlife="N/A","n/a",A18taxvalue/A18taxremlife))</f>
        <v>n/a</v>
      </c>
      <c r="Q293" s="68" t="str">
        <f>IF(Q$3&gt;A18taxremlife,A18taxvalue-SUM($F293:P293),IF(A18taxremlife="N/A","n/a",A18taxvalue/A18taxremlife))</f>
        <v>n/a</v>
      </c>
      <c r="R293" s="68"/>
      <c r="S293" s="103"/>
      <c r="T293" s="103"/>
      <c r="U293" s="103"/>
      <c r="V293" s="103"/>
      <c r="W293" s="103"/>
      <c r="X293" s="103"/>
      <c r="Y293" s="103"/>
      <c r="Z293" s="217"/>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c r="BI293" s="198"/>
      <c r="BJ293" s="198"/>
      <c r="BK293" s="198"/>
      <c r="BL293" s="198"/>
      <c r="BM293" s="198"/>
      <c r="BN293" s="198"/>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6"/>
      <c r="D294" s="391" t="s">
        <v>82</v>
      </c>
      <c r="E294" s="87"/>
      <c r="F294" s="27"/>
      <c r="G294" s="27"/>
      <c r="H294" s="103"/>
      <c r="I294" s="69"/>
      <c r="J294" s="69"/>
      <c r="K294" s="69"/>
      <c r="L294" s="69"/>
      <c r="M294" s="69"/>
      <c r="N294" s="69"/>
      <c r="O294" s="69"/>
      <c r="P294" s="69"/>
      <c r="Q294" s="69"/>
      <c r="R294" s="69"/>
      <c r="S294" s="103"/>
      <c r="T294" s="103"/>
      <c r="U294" s="103"/>
      <c r="V294" s="103"/>
      <c r="W294" s="103"/>
      <c r="X294" s="103"/>
      <c r="Y294" s="103"/>
      <c r="Z294" s="217"/>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c r="BI294" s="198"/>
      <c r="BJ294" s="198"/>
      <c r="BK294" s="198"/>
      <c r="BL294" s="198"/>
      <c r="BM294" s="198"/>
      <c r="BN294" s="198"/>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idden="1" outlineLevel="2">
      <c r="A295" s="9"/>
      <c r="B295" s="9"/>
      <c r="C295" s="26"/>
      <c r="D295" s="392"/>
      <c r="E295" s="87">
        <v>1</v>
      </c>
      <c r="F295" s="27"/>
      <c r="G295" s="27"/>
      <c r="H295" s="145"/>
      <c r="I295" s="69" t="str">
        <f>IF(A18taxstdlife="n/a","n/a",IF(I$3&gt;(A18taxstdlife+$E295),(Input!$H$160-Input!$H$194)-SUM($H295:H295),(Input!$H$160-Input!$H$194)/A18taxstdlife))</f>
        <v>n/a</v>
      </c>
      <c r="J295" s="69" t="str">
        <f>IF(A18taxstdlife="n/a","n/a",IF(J$3&gt;(A18taxstdlife+$E295),(Input!$H$160-Input!$H$194)-SUM($H295:I295),(Input!$H$160-Input!$H$194)/A18taxstdlife))</f>
        <v>n/a</v>
      </c>
      <c r="K295" s="69" t="str">
        <f>IF(A18taxstdlife="n/a","n/a",IF(K$3&gt;(A18taxstdlife+$E295),(Input!$H$160-Input!$H$194)-SUM($H295:J295),(Input!$H$160-Input!$H$194)/A18taxstdlife))</f>
        <v>n/a</v>
      </c>
      <c r="L295" s="69" t="str">
        <f>IF(A18taxstdlife="n/a","n/a",IF(L$3&gt;(A18taxstdlife+$E295),(Input!$H$160-Input!$H$194)-SUM($H295:K295),(Input!$H$160-Input!$H$194)/A18taxstdlife))</f>
        <v>n/a</v>
      </c>
      <c r="M295" s="69" t="str">
        <f>IF(A18taxstdlife="n/a","n/a",IF(M$3&gt;(A18taxstdlife+$E295),(Input!$H$160-Input!$H$194)-SUM($H295:L295),(Input!$H$160-Input!$H$194)/A18taxstdlife))</f>
        <v>n/a</v>
      </c>
      <c r="N295" s="69" t="str">
        <f>IF(A18taxstdlife="n/a","n/a",IF(N$3&gt;(A18taxstdlife+$E295),(Input!$H$160-Input!$H$194)-SUM($H295:M295),(Input!$H$160-Input!$H$194)/A18taxstdlife))</f>
        <v>n/a</v>
      </c>
      <c r="O295" s="69" t="str">
        <f>IF(A18taxstdlife="n/a","n/a",IF(O$3&gt;(A18taxstdlife+$E295),(Input!$H$160-Input!$H$194)-SUM($H295:N295),(Input!$H$160-Input!$H$194)/A18taxstdlife))</f>
        <v>n/a</v>
      </c>
      <c r="P295" s="69" t="str">
        <f>IF(A18taxstdlife="n/a","n/a",IF(P$3&gt;(A18taxstdlife+$E295),(Input!$H$160-Input!$H$194)-SUM($H295:O295),(Input!$H$160-Input!$H$194)/A18taxstdlife))</f>
        <v>n/a</v>
      </c>
      <c r="Q295" s="69" t="str">
        <f>IF(A18taxstdlife="n/a","n/a",IF(Q$3&gt;(A18taxstdlife+$E295),(Input!$H$160-Input!$H$194)-SUM($H295:P295),(Input!$H$160-Input!$H$194)/A18taxstdlife))</f>
        <v>n/a</v>
      </c>
      <c r="R295" s="69"/>
      <c r="S295" s="103"/>
      <c r="T295" s="103"/>
      <c r="U295" s="103"/>
      <c r="V295" s="103"/>
      <c r="W295" s="103"/>
      <c r="X295" s="103"/>
      <c r="Y295" s="103"/>
      <c r="Z295" s="217"/>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c r="BI295" s="198"/>
      <c r="BJ295" s="198"/>
      <c r="BK295" s="198"/>
      <c r="BL295" s="198"/>
      <c r="BM295" s="198"/>
      <c r="BN295" s="198"/>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idden="1" outlineLevel="2">
      <c r="A296" s="9"/>
      <c r="B296" s="9"/>
      <c r="C296" s="26"/>
      <c r="D296" s="392"/>
      <c r="E296" s="87">
        <v>2</v>
      </c>
      <c r="F296" s="27"/>
      <c r="G296" s="27"/>
      <c r="H296" s="146"/>
      <c r="I296" s="147"/>
      <c r="J296" s="69" t="str">
        <f>IF(A18taxstdlife="n/a","n/a",IF(J$3&gt;(A18taxstdlife+$E296),(Input!$I$160-Input!$I$194)-SUM($I296:I296),(Input!$I$160-Input!$I$194)/A18taxstdlife))</f>
        <v>n/a</v>
      </c>
      <c r="K296" s="69" t="str">
        <f>IF(A18taxstdlife="n/a","n/a",IF(K$3&gt;(A18taxstdlife+$E296),(Input!$I$160-Input!$I$194)-SUM($I296:J296),(Input!$I$160-Input!$I$194)/A18taxstdlife))</f>
        <v>n/a</v>
      </c>
      <c r="L296" s="69" t="str">
        <f>IF(A18taxstdlife="n/a","n/a",IF(L$3&gt;(A18taxstdlife+$E296),(Input!$I$160-Input!$I$194)-SUM($I296:K296),(Input!$I$160-Input!$I$194)/A18taxstdlife))</f>
        <v>n/a</v>
      </c>
      <c r="M296" s="69" t="str">
        <f>IF(A18taxstdlife="n/a","n/a",IF(M$3&gt;(A18taxstdlife+$E296),(Input!$I$160-Input!$I$194)-SUM($I296:L296),(Input!$I$160-Input!$I$194)/A18taxstdlife))</f>
        <v>n/a</v>
      </c>
      <c r="N296" s="69" t="str">
        <f>IF(A18taxstdlife="n/a","n/a",IF(N$3&gt;(A18taxstdlife+$E296),(Input!$I$160-Input!$I$194)-SUM($I296:M296),(Input!$I$160-Input!$I$194)/A18taxstdlife))</f>
        <v>n/a</v>
      </c>
      <c r="O296" s="69" t="str">
        <f>IF(A18taxstdlife="n/a","n/a",IF(O$3&gt;(A18taxstdlife+$E296),(Input!$I$160-Input!$I$194)-SUM($I296:N296),(Input!$I$160-Input!$I$194)/A18taxstdlife))</f>
        <v>n/a</v>
      </c>
      <c r="P296" s="69" t="str">
        <f>IF(A18taxstdlife="n/a","n/a",IF(P$3&gt;(A18taxstdlife+$E296),(Input!$I$160-Input!$I$194)-SUM($I296:O296),(Input!$I$160-Input!$I$194)/A18taxstdlife))</f>
        <v>n/a</v>
      </c>
      <c r="Q296" s="69" t="str">
        <f>IF(A18taxstdlife="n/a","n/a",IF(Q$3&gt;(A18taxstdlife+$E296),(Input!$I$160-Input!$I$194)-SUM($I296:P296),(Input!$I$160-Input!$I$194)/A18taxstdlife))</f>
        <v>n/a</v>
      </c>
      <c r="R296" s="69"/>
      <c r="S296" s="103"/>
      <c r="T296" s="103"/>
      <c r="U296" s="103"/>
      <c r="V296" s="103"/>
      <c r="W296" s="103"/>
      <c r="X296" s="103"/>
      <c r="Y296" s="103"/>
      <c r="Z296" s="217"/>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c r="BI296" s="198"/>
      <c r="BJ296" s="198"/>
      <c r="BK296" s="198"/>
      <c r="BL296" s="198"/>
      <c r="BM296" s="198"/>
      <c r="BN296" s="198"/>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idden="1" outlineLevel="2">
      <c r="A297" s="9"/>
      <c r="B297" s="9"/>
      <c r="C297" s="26"/>
      <c r="D297" s="392"/>
      <c r="E297" s="87">
        <v>3</v>
      </c>
      <c r="F297" s="27"/>
      <c r="G297" s="27"/>
      <c r="H297" s="146"/>
      <c r="I297" s="148"/>
      <c r="J297" s="147"/>
      <c r="K297" s="69" t="str">
        <f>IF(A18taxstdlife="n/a","n/a",IF(K$3&gt;(A18taxstdlife+$E297),(Input!$J$160-Input!$J$194)-SUM($J297:J297),(Input!$J$160-Input!$J$194)/A18taxstdlife))</f>
        <v>n/a</v>
      </c>
      <c r="L297" s="69" t="str">
        <f>IF(A18taxstdlife="n/a","n/a",IF(L$3&gt;(A18taxstdlife+$E297),(Input!$J$160-Input!$J$194)-SUM($J297:K297),(Input!$J$160-Input!$J$194)/A18taxstdlife))</f>
        <v>n/a</v>
      </c>
      <c r="M297" s="69" t="str">
        <f>IF(A18taxstdlife="n/a","n/a",IF(M$3&gt;(A18taxstdlife+$E297),(Input!$J$160-Input!$J$194)-SUM($J297:L297),(Input!$J$160-Input!$J$194)/A18taxstdlife))</f>
        <v>n/a</v>
      </c>
      <c r="N297" s="69" t="str">
        <f>IF(A18taxstdlife="n/a","n/a",IF(N$3&gt;(A18taxstdlife+$E297),(Input!$J$160-Input!$J$194)-SUM($J297:M297),(Input!$J$160-Input!$J$194)/A18taxstdlife))</f>
        <v>n/a</v>
      </c>
      <c r="O297" s="69" t="str">
        <f>IF(A18taxstdlife="n/a","n/a",IF(O$3&gt;(A18taxstdlife+$E297),(Input!$J$160-Input!$J$194)-SUM($J297:N297),(Input!$J$160-Input!$J$194)/A18taxstdlife))</f>
        <v>n/a</v>
      </c>
      <c r="P297" s="69" t="str">
        <f>IF(A18taxstdlife="n/a","n/a",IF(P$3&gt;(A18taxstdlife+$E297),(Input!$J$160-Input!$J$194)-SUM($J297:O297),(Input!$J$160-Input!$J$194)/A18taxstdlife))</f>
        <v>n/a</v>
      </c>
      <c r="Q297" s="69" t="str">
        <f>IF(A18taxstdlife="n/a","n/a",IF(Q$3&gt;(A18taxstdlife+$E297),(Input!$J$160-Input!$J$194)-SUM($J297:P297),(Input!$J$160-Input!$J$194)/A18taxstdlife))</f>
        <v>n/a</v>
      </c>
      <c r="R297" s="69"/>
      <c r="S297" s="103"/>
      <c r="T297" s="103"/>
      <c r="U297" s="103"/>
      <c r="V297" s="103"/>
      <c r="W297" s="103"/>
      <c r="X297" s="103"/>
      <c r="Y297" s="103"/>
      <c r="Z297" s="217"/>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c r="BI297" s="198"/>
      <c r="BJ297" s="198"/>
      <c r="BK297" s="198"/>
      <c r="BL297" s="198"/>
      <c r="BM297" s="198"/>
      <c r="BN297" s="198"/>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idden="1" outlineLevel="2">
      <c r="A298" s="9"/>
      <c r="B298" s="9"/>
      <c r="C298" s="26"/>
      <c r="D298" s="392"/>
      <c r="E298" s="87">
        <v>4</v>
      </c>
      <c r="F298" s="27"/>
      <c r="G298" s="27"/>
      <c r="H298" s="146"/>
      <c r="I298" s="148"/>
      <c r="J298" s="148"/>
      <c r="K298" s="147"/>
      <c r="L298" s="69" t="str">
        <f>IF(A18taxstdlife="n/a","n/a",IF(L$3&gt;(A18taxstdlife+$E298),(Input!$K$160-Input!$K$194)-SUM($K298:K298),(Input!$K$160-Input!$K$194)/A18taxstdlife))</f>
        <v>n/a</v>
      </c>
      <c r="M298" s="69" t="str">
        <f>IF(A18taxstdlife="n/a","n/a",IF(M$3&gt;(A18taxstdlife+$E298),(Input!$K$160-Input!$K$194)-SUM($K298:L298),(Input!$K$160-Input!$K$194)/A18taxstdlife))</f>
        <v>n/a</v>
      </c>
      <c r="N298" s="69" t="str">
        <f>IF(A18taxstdlife="n/a","n/a",IF(N$3&gt;(A18taxstdlife+$E298),(Input!$K$160-Input!$K$194)-SUM($K298:M298),(Input!$K$160-Input!$K$194)/A18taxstdlife))</f>
        <v>n/a</v>
      </c>
      <c r="O298" s="69" t="str">
        <f>IF(A18taxstdlife="n/a","n/a",IF(O$3&gt;(A18taxstdlife+$E298),(Input!$K$160-Input!$K$194)-SUM($K298:N298),(Input!$K$160-Input!$K$194)/A18taxstdlife))</f>
        <v>n/a</v>
      </c>
      <c r="P298" s="69" t="str">
        <f>IF(A18taxstdlife="n/a","n/a",IF(P$3&gt;(A18taxstdlife+$E298),(Input!$K$160-Input!$K$194)-SUM($K298:O298),(Input!$K$160-Input!$K$194)/A18taxstdlife))</f>
        <v>n/a</v>
      </c>
      <c r="Q298" s="69" t="str">
        <f>IF(A18taxstdlife="n/a","n/a",IF(Q$3&gt;(A18taxstdlife+$E298),(Input!$K$160-Input!$K$194)-SUM($K298:P298),(Input!$K$160-Input!$K$194)/A18taxstdlife))</f>
        <v>n/a</v>
      </c>
      <c r="R298" s="69"/>
      <c r="S298" s="103"/>
      <c r="T298" s="103"/>
      <c r="U298" s="103"/>
      <c r="V298" s="103"/>
      <c r="W298" s="103"/>
      <c r="X298" s="103"/>
      <c r="Y298" s="103"/>
      <c r="Z298" s="217"/>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c r="BI298" s="198"/>
      <c r="BJ298" s="198"/>
      <c r="BK298" s="198"/>
      <c r="BL298" s="198"/>
      <c r="BM298" s="198"/>
      <c r="BN298" s="1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idden="1" outlineLevel="2">
      <c r="A299" s="9"/>
      <c r="B299" s="9"/>
      <c r="C299" s="26"/>
      <c r="D299" s="392"/>
      <c r="E299" s="87">
        <v>5</v>
      </c>
      <c r="F299" s="27"/>
      <c r="G299" s="27"/>
      <c r="H299" s="146"/>
      <c r="I299" s="148"/>
      <c r="J299" s="148"/>
      <c r="K299" s="148"/>
      <c r="L299" s="147"/>
      <c r="M299" s="69" t="str">
        <f>IF(A18taxstdlife="n/a","n/a",IF(M$3&gt;(A18taxstdlife+$E299),(Input!$L$160-Input!$L$194)-SUM($L299:L299),(Input!$L$160-Input!$L$194)/A18taxstdlife))</f>
        <v>n/a</v>
      </c>
      <c r="N299" s="69" t="str">
        <f>IF(A18taxstdlife="n/a","n/a",IF(N$3&gt;(A18taxstdlife+$E299),(Input!$L$160-Input!$L$194)-SUM($L299:M299),(Input!$L$160-Input!$L$194)/A18taxstdlife))</f>
        <v>n/a</v>
      </c>
      <c r="O299" s="69" t="str">
        <f>IF(A18taxstdlife="n/a","n/a",IF(O$3&gt;(A18taxstdlife+$E299),(Input!$L$160-Input!$L$194)-SUM($L299:N299),(Input!$L$160-Input!$L$194)/A18taxstdlife))</f>
        <v>n/a</v>
      </c>
      <c r="P299" s="69" t="str">
        <f>IF(A18taxstdlife="n/a","n/a",IF(P$3&gt;(A18taxstdlife+$E299),(Input!$L$160-Input!$L$194)-SUM($L299:O299),(Input!$L$160-Input!$L$194)/A18taxstdlife))</f>
        <v>n/a</v>
      </c>
      <c r="Q299" s="69" t="str">
        <f>IF(A18taxstdlife="n/a","n/a",IF(Q$3&gt;(A18taxstdlife+$E299),(Input!$L$160-Input!$L$194)-SUM($L299:P299),(Input!$L$160-Input!$L$194)/A18taxstdlife))</f>
        <v>n/a</v>
      </c>
      <c r="R299" s="69"/>
      <c r="S299" s="103"/>
      <c r="T299" s="103"/>
      <c r="U299" s="103"/>
      <c r="V299" s="103"/>
      <c r="W299" s="103"/>
      <c r="X299" s="103"/>
      <c r="Y299" s="103"/>
      <c r="Z299" s="217"/>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c r="BI299" s="198"/>
      <c r="BJ299" s="198"/>
      <c r="BK299" s="198"/>
      <c r="BL299" s="198"/>
      <c r="BM299" s="198"/>
      <c r="BN299" s="198"/>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idden="1" outlineLevel="2">
      <c r="A300" s="9"/>
      <c r="B300" s="9"/>
      <c r="C300" s="26"/>
      <c r="D300" s="392"/>
      <c r="E300" s="87">
        <v>6</v>
      </c>
      <c r="F300" s="27"/>
      <c r="G300" s="27"/>
      <c r="H300" s="146"/>
      <c r="I300" s="148"/>
      <c r="J300" s="148"/>
      <c r="K300" s="148"/>
      <c r="L300" s="148"/>
      <c r="M300" s="147"/>
      <c r="N300" s="69" t="str">
        <f>IF(A18taxstdlife="n/a","n/a",IF(N$3&gt;(A18taxstdlife+$E300),(Input!$M$160-Input!$M$194)-SUM($M300:M300),(Input!$M$160-Input!$M$194)/A18taxstdlife))</f>
        <v>n/a</v>
      </c>
      <c r="O300" s="69" t="str">
        <f>IF(A18taxstdlife="n/a","n/a",IF(O$3&gt;(A18taxstdlife+$E300),(Input!$M$160-Input!$M$194)-SUM($M300:N300),(Input!$M$160-Input!$M$194)/A18taxstdlife))</f>
        <v>n/a</v>
      </c>
      <c r="P300" s="69" t="str">
        <f>IF(A18taxstdlife="n/a","n/a",IF(P$3&gt;(A18taxstdlife+$E300),(Input!$M$160-Input!$M$194)-SUM($M300:O300),(Input!$M$160-Input!$M$194)/A18taxstdlife))</f>
        <v>n/a</v>
      </c>
      <c r="Q300" s="69" t="str">
        <f>IF(A18taxstdlife="n/a","n/a",IF(Q$3&gt;(A18taxstdlife+$E300),(Input!$M$160-Input!$M$194)-SUM($M300:P300),(Input!$M$160-Input!$M$194)/A18taxstdlife))</f>
        <v>n/a</v>
      </c>
      <c r="R300" s="69"/>
      <c r="S300" s="103"/>
      <c r="T300" s="103"/>
      <c r="U300" s="103"/>
      <c r="V300" s="103"/>
      <c r="W300" s="103"/>
      <c r="X300" s="103"/>
      <c r="Y300" s="103"/>
      <c r="Z300" s="217"/>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c r="BI300" s="198"/>
      <c r="BJ300" s="198"/>
      <c r="BK300" s="198"/>
      <c r="BL300" s="198"/>
      <c r="BM300" s="198"/>
      <c r="BN300" s="198"/>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idden="1" outlineLevel="2">
      <c r="A301" s="9"/>
      <c r="B301" s="9"/>
      <c r="C301" s="26"/>
      <c r="D301" s="392"/>
      <c r="E301" s="87">
        <v>7</v>
      </c>
      <c r="F301" s="27"/>
      <c r="G301" s="27"/>
      <c r="H301" s="146"/>
      <c r="I301" s="148"/>
      <c r="J301" s="148"/>
      <c r="K301" s="148"/>
      <c r="L301" s="148"/>
      <c r="M301" s="148"/>
      <c r="N301" s="147"/>
      <c r="O301" s="69" t="str">
        <f>IF(A18taxstdlife="n/a","n/a",IF(O$3&gt;(A18taxstdlife+$E301),(Input!$N$160-Input!$N$194)-SUM($N301:N301),(Input!$N$160-Input!$N$194)/A18taxstdlife))</f>
        <v>n/a</v>
      </c>
      <c r="P301" s="69" t="str">
        <f>IF(A18taxstdlife="n/a","n/a",IF(P$3&gt;(A18taxstdlife+$E301),(Input!$N$160-Input!$N$194)-SUM($N301:O301),(Input!$N$160-Input!$N$194)/A18taxstdlife))</f>
        <v>n/a</v>
      </c>
      <c r="Q301" s="69" t="str">
        <f>IF(A18taxstdlife="n/a","n/a",IF(Q$3&gt;(A18taxstdlife+$E301),(Input!$N$160-Input!$N$194)-SUM($N301:P301),(Input!$N$160-Input!$N$194)/A18taxstdlife))</f>
        <v>n/a</v>
      </c>
      <c r="R301" s="69"/>
      <c r="S301" s="103"/>
      <c r="T301" s="103"/>
      <c r="U301" s="103"/>
      <c r="V301" s="103"/>
      <c r="W301" s="103"/>
      <c r="X301" s="103"/>
      <c r="Y301" s="103"/>
      <c r="Z301" s="217"/>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c r="BI301" s="198"/>
      <c r="BJ301" s="198"/>
      <c r="BK301" s="198"/>
      <c r="BL301" s="198"/>
      <c r="BM301" s="198"/>
      <c r="BN301" s="198"/>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idden="1" outlineLevel="2">
      <c r="A302" s="9"/>
      <c r="B302" s="9"/>
      <c r="C302" s="26"/>
      <c r="D302" s="392"/>
      <c r="E302" s="87">
        <v>8</v>
      </c>
      <c r="F302" s="27"/>
      <c r="G302" s="27"/>
      <c r="H302" s="146"/>
      <c r="I302" s="148"/>
      <c r="J302" s="148"/>
      <c r="K302" s="148"/>
      <c r="L302" s="148"/>
      <c r="M302" s="148"/>
      <c r="N302" s="148"/>
      <c r="O302" s="147"/>
      <c r="P302" s="69" t="str">
        <f>IF(A18taxstdlife="n/a","n/a",IF(P$3&gt;(A18taxstdlife+$E302),(Input!$O$160-Input!$O$194)-SUM($O302:O302),(Input!$O$160-Input!$O$194)/A18taxstdlife))</f>
        <v>n/a</v>
      </c>
      <c r="Q302" s="69" t="str">
        <f>IF(A18taxstdlife="n/a","n/a",IF(Q$3&gt;(A18taxstdlife+$E302),(Input!$O$160-Input!$O$194)-SUM($O302:P302),(Input!$O$160-Input!$O$194)/A18taxstdlife))</f>
        <v>n/a</v>
      </c>
      <c r="R302" s="69"/>
      <c r="S302" s="103"/>
      <c r="T302" s="103"/>
      <c r="U302" s="103"/>
      <c r="V302" s="103"/>
      <c r="W302" s="103"/>
      <c r="X302" s="103"/>
      <c r="Y302" s="103"/>
      <c r="Z302" s="217"/>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c r="BI302" s="198"/>
      <c r="BJ302" s="198"/>
      <c r="BK302" s="198"/>
      <c r="BL302" s="198"/>
      <c r="BM302" s="198"/>
      <c r="BN302" s="198"/>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idden="1" outlineLevel="2">
      <c r="A303" s="9"/>
      <c r="B303" s="9"/>
      <c r="C303" s="26"/>
      <c r="D303" s="392"/>
      <c r="E303" s="87">
        <v>9</v>
      </c>
      <c r="F303" s="27"/>
      <c r="G303" s="27"/>
      <c r="H303" s="146"/>
      <c r="I303" s="148"/>
      <c r="J303" s="148"/>
      <c r="K303" s="148"/>
      <c r="L303" s="148"/>
      <c r="M303" s="148"/>
      <c r="N303" s="148"/>
      <c r="O303" s="148"/>
      <c r="P303" s="147"/>
      <c r="Q303" s="69" t="str">
        <f>IF(A18taxstdlife="n/a","n/a",IF(Q$3&gt;(A18taxstdlife+$E303),(Input!$P$160-Input!$P$194)-SUM($P303:P303),(Input!$P$160-Input!$P$194)/A18taxstdlife))</f>
        <v>n/a</v>
      </c>
      <c r="R303" s="69"/>
      <c r="S303" s="103"/>
      <c r="T303" s="103"/>
      <c r="U303" s="103"/>
      <c r="V303" s="103"/>
      <c r="W303" s="103"/>
      <c r="X303" s="103"/>
      <c r="Y303" s="103"/>
      <c r="Z303" s="217"/>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c r="BI303" s="198"/>
      <c r="BJ303" s="198"/>
      <c r="BK303" s="198"/>
      <c r="BL303" s="198"/>
      <c r="BM303" s="198"/>
      <c r="BN303" s="198"/>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idden="1" outlineLevel="2">
      <c r="A304" s="9"/>
      <c r="B304" s="9"/>
      <c r="C304" s="26"/>
      <c r="D304" s="392"/>
      <c r="E304" s="88">
        <v>10</v>
      </c>
      <c r="F304" s="27"/>
      <c r="G304" s="27"/>
      <c r="H304" s="146"/>
      <c r="I304" s="148"/>
      <c r="J304" s="148"/>
      <c r="K304" s="148"/>
      <c r="L304" s="148"/>
      <c r="M304" s="148"/>
      <c r="N304" s="148"/>
      <c r="O304" s="148"/>
      <c r="P304" s="148"/>
      <c r="Q304" s="147"/>
      <c r="R304" s="69"/>
      <c r="S304" s="103"/>
      <c r="T304" s="103"/>
      <c r="U304" s="103"/>
      <c r="V304" s="103"/>
      <c r="W304" s="103"/>
      <c r="X304" s="103"/>
      <c r="Y304" s="103"/>
      <c r="Z304" s="217"/>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c r="BI304" s="198"/>
      <c r="BJ304" s="198"/>
      <c r="BK304" s="198"/>
      <c r="BL304" s="198"/>
      <c r="BM304" s="198"/>
      <c r="BN304" s="198"/>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idden="1" outlineLevel="1" collapsed="1">
      <c r="A305" s="9"/>
      <c r="B305" s="9"/>
      <c r="C305" s="271">
        <f>Asset18</f>
        <v>0</v>
      </c>
      <c r="D305" s="9"/>
      <c r="E305" s="9"/>
      <c r="F305" s="23"/>
      <c r="G305" s="23"/>
      <c r="H305" s="297">
        <f>-SUM(H293:H304)</f>
        <v>0</v>
      </c>
      <c r="I305" s="161">
        <f>-SUM(I293:I304)</f>
        <v>0</v>
      </c>
      <c r="J305" s="161">
        <f>-SUM(J293:J304)</f>
        <v>0</v>
      </c>
      <c r="K305" s="161">
        <f>-SUM(K293:K304)</f>
        <v>0</v>
      </c>
      <c r="L305" s="161">
        <f>-SUM(L293:L304)</f>
        <v>0</v>
      </c>
      <c r="M305" s="161">
        <f>IF(COUNT($H305:L305)&gt;=Input!$Y$7,0, -SUM(M293:M304))</f>
        <v>0</v>
      </c>
      <c r="N305" s="161">
        <f>IF(COUNT($H305:M305)&gt;=Input!$Y$7,0, -SUM(N293:N304))</f>
        <v>0</v>
      </c>
      <c r="O305" s="161">
        <f>IF(COUNT($H305:N305)&gt;=Input!$Y$7,0, -SUM(O293:O304))</f>
        <v>0</v>
      </c>
      <c r="P305" s="161">
        <f>IF(COUNT($H305:O305)&gt;=Input!$Y$7,0, -SUM(P293:P304))</f>
        <v>0</v>
      </c>
      <c r="Q305" s="161">
        <f>IF(COUNT($H305:P305)&gt;=Input!$Y$7,0, -SUM(Q293:Q304))</f>
        <v>0</v>
      </c>
      <c r="R305" s="161"/>
      <c r="S305" s="102"/>
      <c r="T305" s="102"/>
      <c r="U305" s="102"/>
      <c r="V305" s="102"/>
      <c r="W305" s="102"/>
      <c r="X305" s="102"/>
      <c r="Y305" s="102"/>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198"/>
      <c r="BJ305" s="198"/>
      <c r="BK305" s="198"/>
      <c r="BL305" s="198"/>
      <c r="BM305" s="198"/>
      <c r="BN305" s="198"/>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idden="1" outlineLevel="2">
      <c r="A306" s="9"/>
      <c r="B306" s="273">
        <f>Asset19</f>
        <v>0</v>
      </c>
      <c r="C306" s="31"/>
      <c r="D306" s="32" t="s">
        <v>66</v>
      </c>
      <c r="E306" s="31"/>
      <c r="F306" s="300"/>
      <c r="G306" s="300"/>
      <c r="H306" s="68" t="str">
        <f>IF(H$3&gt;A19taxremlife,A19taxvalue-SUM($F306:F306),IF(A19taxremlife="N/A","n/a",A19taxvalue/A19taxremlife))</f>
        <v>n/a</v>
      </c>
      <c r="I306" s="68" t="str">
        <f>IF(I$3&gt;A19taxremlife,A19taxvalue-SUM($F306:H306),IF(A19taxremlife="N/A","n/a",A19taxvalue/A19taxremlife))</f>
        <v>n/a</v>
      </c>
      <c r="J306" s="68" t="str">
        <f>IF(J$3&gt;A19taxremlife,A19taxvalue-SUM($F306:I306),IF(A19taxremlife="N/A","n/a",A19taxvalue/A19taxremlife))</f>
        <v>n/a</v>
      </c>
      <c r="K306" s="68" t="str">
        <f>IF(K$3&gt;A19taxremlife,A19taxvalue-SUM($F306:J306),IF(A19taxremlife="N/A","n/a",A19taxvalue/A19taxremlife))</f>
        <v>n/a</v>
      </c>
      <c r="L306" s="68" t="str">
        <f>IF(L$3&gt;A19taxremlife,A19taxvalue-SUM($F306:K306),IF(A19taxremlife="N/A","n/a",A19taxvalue/A19taxremlife))</f>
        <v>n/a</v>
      </c>
      <c r="M306" s="68" t="str">
        <f>IF(M$3&gt;A19taxremlife,A19taxvalue-SUM($F306:L306),IF(A19taxremlife="N/A","n/a",A19taxvalue/A19taxremlife))</f>
        <v>n/a</v>
      </c>
      <c r="N306" s="68" t="str">
        <f>IF(N$3&gt;A19taxremlife,A19taxvalue-SUM($F306:M306),IF(A19taxremlife="N/A","n/a",A19taxvalue/A19taxremlife))</f>
        <v>n/a</v>
      </c>
      <c r="O306" s="68" t="str">
        <f>IF(O$3&gt;A19taxremlife,A19taxvalue-SUM($F306:N306),IF(A19taxremlife="N/A","n/a",A19taxvalue/A19taxremlife))</f>
        <v>n/a</v>
      </c>
      <c r="P306" s="68" t="str">
        <f>IF(P$3&gt;A19taxremlife,A19taxvalue-SUM($F306:O306),IF(A19taxremlife="N/A","n/a",A19taxvalue/A19taxremlife))</f>
        <v>n/a</v>
      </c>
      <c r="Q306" s="68" t="str">
        <f>IF(Q$3&gt;A19taxremlife,A19taxvalue-SUM($F306:P306),IF(A19taxremlife="N/A","n/a",A19taxvalue/A19taxremlife))</f>
        <v>n/a</v>
      </c>
      <c r="R306" s="68"/>
      <c r="S306" s="103"/>
      <c r="T306" s="103"/>
      <c r="U306" s="103"/>
      <c r="V306" s="103"/>
      <c r="W306" s="103"/>
      <c r="X306" s="103"/>
      <c r="Y306" s="103"/>
      <c r="Z306" s="217"/>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c r="BI306" s="198"/>
      <c r="BJ306" s="198"/>
      <c r="BK306" s="198"/>
      <c r="BL306" s="198"/>
      <c r="BM306" s="198"/>
      <c r="BN306" s="198"/>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6"/>
      <c r="D307" s="391" t="s">
        <v>82</v>
      </c>
      <c r="E307" s="87"/>
      <c r="F307" s="27"/>
      <c r="G307" s="27"/>
      <c r="H307" s="103"/>
      <c r="I307" s="69"/>
      <c r="J307" s="69"/>
      <c r="K307" s="69"/>
      <c r="L307" s="69"/>
      <c r="M307" s="69"/>
      <c r="N307" s="69"/>
      <c r="O307" s="69"/>
      <c r="P307" s="69"/>
      <c r="Q307" s="69"/>
      <c r="R307" s="69"/>
      <c r="S307" s="103"/>
      <c r="T307" s="103"/>
      <c r="U307" s="103"/>
      <c r="V307" s="103"/>
      <c r="W307" s="103"/>
      <c r="X307" s="103"/>
      <c r="Y307" s="103"/>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c r="BI307" s="198"/>
      <c r="BJ307" s="198"/>
      <c r="BK307" s="198"/>
      <c r="BL307" s="198"/>
      <c r="BM307" s="198"/>
      <c r="BN307" s="198"/>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idden="1" outlineLevel="2">
      <c r="A308" s="9"/>
      <c r="B308" s="9"/>
      <c r="C308" s="26"/>
      <c r="D308" s="392"/>
      <c r="E308" s="87">
        <v>1</v>
      </c>
      <c r="F308" s="27"/>
      <c r="G308" s="27"/>
      <c r="H308" s="145"/>
      <c r="I308" s="69" t="str">
        <f>IF(A19taxstdlife="n/a","n/a",IF(I$3&gt;(A19taxstdlife+$E308),(Input!$H$161-Input!$H$195)-SUM($H308:H308),(Input!$H$161-Input!$H$195)/A19taxstdlife))</f>
        <v>n/a</v>
      </c>
      <c r="J308" s="69" t="str">
        <f>IF(A19taxstdlife="n/a","n/a",IF(J$3&gt;(A19taxstdlife+$E308),(Input!$H$161-Input!$H$195)-SUM($H308:I308),(Input!$H$161-Input!$H$195)/A19taxstdlife))</f>
        <v>n/a</v>
      </c>
      <c r="K308" s="69" t="str">
        <f>IF(A19taxstdlife="n/a","n/a",IF(K$3&gt;(A19taxstdlife+$E308),(Input!$H$161-Input!$H$195)-SUM($H308:J308),(Input!$H$161-Input!$H$195)/A19taxstdlife))</f>
        <v>n/a</v>
      </c>
      <c r="L308" s="69" t="str">
        <f>IF(A19taxstdlife="n/a","n/a",IF(L$3&gt;(A19taxstdlife+$E308),(Input!$H$161-Input!$H$195)-SUM($H308:K308),(Input!$H$161-Input!$H$195)/A19taxstdlife))</f>
        <v>n/a</v>
      </c>
      <c r="M308" s="69" t="str">
        <f>IF(A19taxstdlife="n/a","n/a",IF(M$3&gt;(A19taxstdlife+$E308),(Input!$H$161-Input!$H$195)-SUM($H308:L308),(Input!$H$161-Input!$H$195)/A19taxstdlife))</f>
        <v>n/a</v>
      </c>
      <c r="N308" s="69" t="str">
        <f>IF(A19taxstdlife="n/a","n/a",IF(N$3&gt;(A19taxstdlife+$E308),(Input!$H$161-Input!$H$195)-SUM($H308:M308),(Input!$H$161-Input!$H$195)/A19taxstdlife))</f>
        <v>n/a</v>
      </c>
      <c r="O308" s="69" t="str">
        <f>IF(A19taxstdlife="n/a","n/a",IF(O$3&gt;(A19taxstdlife+$E308),(Input!$H$161-Input!$H$195)-SUM($H308:N308),(Input!$H$161-Input!$H$195)/A19taxstdlife))</f>
        <v>n/a</v>
      </c>
      <c r="P308" s="69" t="str">
        <f>IF(A19taxstdlife="n/a","n/a",IF(P$3&gt;(A19taxstdlife+$E308),(Input!$H$161-Input!$H$195)-SUM($H308:O308),(Input!$H$161-Input!$H$195)/A19taxstdlife))</f>
        <v>n/a</v>
      </c>
      <c r="Q308" s="69" t="str">
        <f>IF(A19taxstdlife="n/a","n/a",IF(Q$3&gt;(A19taxstdlife+$E308),(Input!$H$161-Input!$H$195)-SUM($H308:P308),(Input!$H$161-Input!$H$195)/A19taxstdlife))</f>
        <v>n/a</v>
      </c>
      <c r="R308" s="69"/>
      <c r="S308" s="103"/>
      <c r="T308" s="103"/>
      <c r="U308" s="103"/>
      <c r="V308" s="103"/>
      <c r="W308" s="103"/>
      <c r="X308" s="103"/>
      <c r="Y308" s="103"/>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198"/>
      <c r="BJ308" s="198"/>
      <c r="BK308" s="198"/>
      <c r="BL308" s="198"/>
      <c r="BM308" s="198"/>
      <c r="BN308" s="19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idden="1" outlineLevel="2">
      <c r="A309" s="9"/>
      <c r="B309" s="9"/>
      <c r="C309" s="26"/>
      <c r="D309" s="392"/>
      <c r="E309" s="87">
        <v>2</v>
      </c>
      <c r="F309" s="27"/>
      <c r="G309" s="27"/>
      <c r="H309" s="146"/>
      <c r="I309" s="147"/>
      <c r="J309" s="69" t="str">
        <f>IF(A19taxstdlife="n/a","n/a",IF(J$3&gt;(A19taxstdlife+$E309),(Input!$I$161-Input!$I$195)-SUM($I309:I309),(Input!$I$161-Input!$I$195)/A19taxstdlife))</f>
        <v>n/a</v>
      </c>
      <c r="K309" s="69" t="str">
        <f>IF(A19taxstdlife="n/a","n/a",IF(K$3&gt;(A19taxstdlife+$E309),(Input!$I$161-Input!$I$195)-SUM($I309:J309),(Input!$I$161-Input!$I$195)/A19taxstdlife))</f>
        <v>n/a</v>
      </c>
      <c r="L309" s="69" t="str">
        <f>IF(A19taxstdlife="n/a","n/a",IF(L$3&gt;(A19taxstdlife+$E309),(Input!$I$161-Input!$I$195)-SUM($I309:K309),(Input!$I$161-Input!$I$195)/A19taxstdlife))</f>
        <v>n/a</v>
      </c>
      <c r="M309" s="69" t="str">
        <f>IF(A19taxstdlife="n/a","n/a",IF(M$3&gt;(A19taxstdlife+$E309),(Input!$I$161-Input!$I$195)-SUM($I309:L309),(Input!$I$161-Input!$I$195)/A19taxstdlife))</f>
        <v>n/a</v>
      </c>
      <c r="N309" s="69" t="str">
        <f>IF(A19taxstdlife="n/a","n/a",IF(N$3&gt;(A19taxstdlife+$E309),(Input!$I$161-Input!$I$195)-SUM($I309:M309),(Input!$I$161-Input!$I$195)/A19taxstdlife))</f>
        <v>n/a</v>
      </c>
      <c r="O309" s="69" t="str">
        <f>IF(A19taxstdlife="n/a","n/a",IF(O$3&gt;(A19taxstdlife+$E309),(Input!$I$161-Input!$I$195)-SUM($I309:N309),(Input!$I$161-Input!$I$195)/A19taxstdlife))</f>
        <v>n/a</v>
      </c>
      <c r="P309" s="69" t="str">
        <f>IF(A19taxstdlife="n/a","n/a",IF(P$3&gt;(A19taxstdlife+$E309),(Input!$I$161-Input!$I$195)-SUM($I309:O309),(Input!$I$161-Input!$I$195)/A19taxstdlife))</f>
        <v>n/a</v>
      </c>
      <c r="Q309" s="69" t="str">
        <f>IF(A19taxstdlife="n/a","n/a",IF(Q$3&gt;(A19taxstdlife+$E309),(Input!$I$161-Input!$I$195)-SUM($I309:P309),(Input!$I$161-Input!$I$195)/A19taxstdlife))</f>
        <v>n/a</v>
      </c>
      <c r="R309" s="69"/>
      <c r="S309" s="103"/>
      <c r="T309" s="103"/>
      <c r="U309" s="103"/>
      <c r="V309" s="103"/>
      <c r="W309" s="103"/>
      <c r="X309" s="103"/>
      <c r="Y309" s="103"/>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c r="BI309" s="198"/>
      <c r="BJ309" s="198"/>
      <c r="BK309" s="198"/>
      <c r="BL309" s="198"/>
      <c r="BM309" s="198"/>
      <c r="BN309" s="198"/>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idden="1" outlineLevel="2">
      <c r="A310" s="9"/>
      <c r="B310" s="9"/>
      <c r="C310" s="26"/>
      <c r="D310" s="392"/>
      <c r="E310" s="87">
        <v>3</v>
      </c>
      <c r="F310" s="27"/>
      <c r="G310" s="27"/>
      <c r="H310" s="146"/>
      <c r="I310" s="148"/>
      <c r="J310" s="147"/>
      <c r="K310" s="69" t="str">
        <f>IF(A19taxstdlife="n/a","n/a",IF(K$3&gt;(A19taxstdlife+$E310),(Input!$J$161-Input!$J$195)-SUM($J310:J310),(Input!$J$161-Input!$J$195)/A19taxstdlife))</f>
        <v>n/a</v>
      </c>
      <c r="L310" s="69" t="str">
        <f>IF(A19taxstdlife="n/a","n/a",IF(L$3&gt;(A19taxstdlife+$E310),(Input!$J$161-Input!$J$195)-SUM($J310:K310),(Input!$J$161-Input!$J$195)/A19taxstdlife))</f>
        <v>n/a</v>
      </c>
      <c r="M310" s="69" t="str">
        <f>IF(A19taxstdlife="n/a","n/a",IF(M$3&gt;(A19taxstdlife+$E310),(Input!$J$161-Input!$J$195)-SUM($J310:L310),(Input!$J$161-Input!$J$195)/A19taxstdlife))</f>
        <v>n/a</v>
      </c>
      <c r="N310" s="69" t="str">
        <f>IF(A19taxstdlife="n/a","n/a",IF(N$3&gt;(A19taxstdlife+$E310),(Input!$J$161-Input!$J$195)-SUM($J310:M310),(Input!$J$161-Input!$J$195)/A19taxstdlife))</f>
        <v>n/a</v>
      </c>
      <c r="O310" s="69" t="str">
        <f>IF(A19taxstdlife="n/a","n/a",IF(O$3&gt;(A19taxstdlife+$E310),(Input!$J$161-Input!$J$195)-SUM($J310:N310),(Input!$J$161-Input!$J$195)/A19taxstdlife))</f>
        <v>n/a</v>
      </c>
      <c r="P310" s="69" t="str">
        <f>IF(A19taxstdlife="n/a","n/a",IF(P$3&gt;(A19taxstdlife+$E310),(Input!$J$161-Input!$J$195)-SUM($J310:O310),(Input!$J$161-Input!$J$195)/A19taxstdlife))</f>
        <v>n/a</v>
      </c>
      <c r="Q310" s="69" t="str">
        <f>IF(A19taxstdlife="n/a","n/a",IF(Q$3&gt;(A19taxstdlife+$E310),(Input!$J$161-Input!$J$195)-SUM($J310:P310),(Input!$J$161-Input!$J$195)/A19taxstdlife))</f>
        <v>n/a</v>
      </c>
      <c r="R310" s="69"/>
      <c r="S310" s="103"/>
      <c r="T310" s="103"/>
      <c r="U310" s="103"/>
      <c r="V310" s="103"/>
      <c r="W310" s="103"/>
      <c r="X310" s="103"/>
      <c r="Y310" s="103"/>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198"/>
      <c r="BJ310" s="198"/>
      <c r="BK310" s="198"/>
      <c r="BL310" s="198"/>
      <c r="BM310" s="198"/>
      <c r="BN310" s="198"/>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idden="1" outlineLevel="2">
      <c r="A311" s="9"/>
      <c r="B311" s="9"/>
      <c r="C311" s="26"/>
      <c r="D311" s="392"/>
      <c r="E311" s="87">
        <v>4</v>
      </c>
      <c r="F311" s="27"/>
      <c r="G311" s="27"/>
      <c r="H311" s="146"/>
      <c r="I311" s="148"/>
      <c r="J311" s="148"/>
      <c r="K311" s="147"/>
      <c r="L311" s="69" t="str">
        <f>IF(A19taxstdlife="n/a","n/a",IF(L$3&gt;(A19taxstdlife+$E311),(Input!$K$161-Input!$K$195)-SUM($K311:K311),(Input!$K$161-Input!$K$195)/A19taxstdlife))</f>
        <v>n/a</v>
      </c>
      <c r="M311" s="69" t="str">
        <f>IF(A19taxstdlife="n/a","n/a",IF(M$3&gt;(A19taxstdlife+$E311),(Input!$K$161-Input!$K$195)-SUM($K311:L311),(Input!$K$161-Input!$K$195)/A19taxstdlife))</f>
        <v>n/a</v>
      </c>
      <c r="N311" s="69" t="str">
        <f>IF(A19taxstdlife="n/a","n/a",IF(N$3&gt;(A19taxstdlife+$E311),(Input!$K$161-Input!$K$195)-SUM($K311:M311),(Input!$K$161-Input!$K$195)/A19taxstdlife))</f>
        <v>n/a</v>
      </c>
      <c r="O311" s="69" t="str">
        <f>IF(A19taxstdlife="n/a","n/a",IF(O$3&gt;(A19taxstdlife+$E311),(Input!$K$161-Input!$K$195)-SUM($K311:N311),(Input!$K$161-Input!$K$195)/A19taxstdlife))</f>
        <v>n/a</v>
      </c>
      <c r="P311" s="69" t="str">
        <f>IF(A19taxstdlife="n/a","n/a",IF(P$3&gt;(A19taxstdlife+$E311),(Input!$K$161-Input!$K$195)-SUM($K311:O311),(Input!$K$161-Input!$K$195)/A19taxstdlife))</f>
        <v>n/a</v>
      </c>
      <c r="Q311" s="69" t="str">
        <f>IF(A19taxstdlife="n/a","n/a",IF(Q$3&gt;(A19taxstdlife+$E311),(Input!$K$161-Input!$K$195)-SUM($K311:P311),(Input!$K$161-Input!$K$195)/A19taxstdlife))</f>
        <v>n/a</v>
      </c>
      <c r="R311" s="69"/>
      <c r="S311" s="103"/>
      <c r="T311" s="103"/>
      <c r="U311" s="103"/>
      <c r="V311" s="103"/>
      <c r="W311" s="103"/>
      <c r="X311" s="103"/>
      <c r="Y311" s="103"/>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198"/>
      <c r="BJ311" s="198"/>
      <c r="BK311" s="198"/>
      <c r="BL311" s="198"/>
      <c r="BM311" s="198"/>
      <c r="BN311" s="198"/>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idden="1" outlineLevel="2">
      <c r="A312" s="9"/>
      <c r="B312" s="9"/>
      <c r="C312" s="26"/>
      <c r="D312" s="392"/>
      <c r="E312" s="87">
        <v>5</v>
      </c>
      <c r="F312" s="27"/>
      <c r="G312" s="27"/>
      <c r="H312" s="146"/>
      <c r="I312" s="148"/>
      <c r="J312" s="148"/>
      <c r="K312" s="148"/>
      <c r="L312" s="147"/>
      <c r="M312" s="69" t="str">
        <f>IF(A19taxstdlife="n/a","n/a",IF(M$3&gt;(A19taxstdlife+$E312),(Input!$L$161-Input!$L$195)-SUM($L312:L312),(Input!$L$161-Input!$L$195)/A19taxstdlife))</f>
        <v>n/a</v>
      </c>
      <c r="N312" s="69" t="str">
        <f>IF(A19taxstdlife="n/a","n/a",IF(N$3&gt;(A19taxstdlife+$E312),(Input!$L$161-Input!$L$195)-SUM($L312:M312),(Input!$L$161-Input!$L$195)/A19taxstdlife))</f>
        <v>n/a</v>
      </c>
      <c r="O312" s="69" t="str">
        <f>IF(A19taxstdlife="n/a","n/a",IF(O$3&gt;(A19taxstdlife+$E312),(Input!$L$161-Input!$L$195)-SUM($L312:N312),(Input!$L$161-Input!$L$195)/A19taxstdlife))</f>
        <v>n/a</v>
      </c>
      <c r="P312" s="69" t="str">
        <f>IF(A19taxstdlife="n/a","n/a",IF(P$3&gt;(A19taxstdlife+$E312),(Input!$L$161-Input!$L$195)-SUM($L312:O312),(Input!$L$161-Input!$L$195)/A19taxstdlife))</f>
        <v>n/a</v>
      </c>
      <c r="Q312" s="69" t="str">
        <f>IF(A19taxstdlife="n/a","n/a",IF(Q$3&gt;(A19taxstdlife+$E312),(Input!$L$161-Input!$L$195)-SUM($L312:P312),(Input!$L$161-Input!$L$195)/A19taxstdlife))</f>
        <v>n/a</v>
      </c>
      <c r="R312" s="69"/>
      <c r="S312" s="103"/>
      <c r="T312" s="103"/>
      <c r="U312" s="103"/>
      <c r="V312" s="103"/>
      <c r="W312" s="103"/>
      <c r="X312" s="103"/>
      <c r="Y312" s="103"/>
      <c r="Z312" s="217"/>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c r="BI312" s="198"/>
      <c r="BJ312" s="198"/>
      <c r="BK312" s="198"/>
      <c r="BL312" s="198"/>
      <c r="BM312" s="198"/>
      <c r="BN312" s="198"/>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idden="1" outlineLevel="2">
      <c r="A313" s="9"/>
      <c r="B313" s="9"/>
      <c r="C313" s="26"/>
      <c r="D313" s="392"/>
      <c r="E313" s="87">
        <v>6</v>
      </c>
      <c r="F313" s="27"/>
      <c r="G313" s="27"/>
      <c r="H313" s="146"/>
      <c r="I313" s="148"/>
      <c r="J313" s="148"/>
      <c r="K313" s="148"/>
      <c r="L313" s="148"/>
      <c r="M313" s="147"/>
      <c r="N313" s="69" t="str">
        <f>IF(A19taxstdlife="n/a","n/a",IF(N$3&gt;(A19taxstdlife+$E313),(Input!$M$161-Input!$M$195)-SUM($M313:M313),(Input!$M$161-Input!$M$195)/A19taxstdlife))</f>
        <v>n/a</v>
      </c>
      <c r="O313" s="69" t="str">
        <f>IF(A19taxstdlife="n/a","n/a",IF(O$3&gt;(A19taxstdlife+$E313),(Input!$M$161-Input!$M$195)-SUM($M313:N313),(Input!$M$161-Input!$M$195)/A19taxstdlife))</f>
        <v>n/a</v>
      </c>
      <c r="P313" s="69" t="str">
        <f>IF(A19taxstdlife="n/a","n/a",IF(P$3&gt;(A19taxstdlife+$E313),(Input!$M$161-Input!$M$195)-SUM($M313:O313),(Input!$M$161-Input!$M$195)/A19taxstdlife))</f>
        <v>n/a</v>
      </c>
      <c r="Q313" s="69" t="str">
        <f>IF(A19taxstdlife="n/a","n/a",IF(Q$3&gt;(A19taxstdlife+$E313),(Input!$M$161-Input!$M$195)-SUM($M313:P313),(Input!$M$161-Input!$M$195)/A19taxstdlife))</f>
        <v>n/a</v>
      </c>
      <c r="R313" s="69"/>
      <c r="S313" s="103"/>
      <c r="T313" s="103"/>
      <c r="U313" s="103"/>
      <c r="V313" s="103"/>
      <c r="W313" s="103"/>
      <c r="X313" s="103"/>
      <c r="Y313" s="103"/>
      <c r="Z313" s="217"/>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c r="BI313" s="198"/>
      <c r="BJ313" s="198"/>
      <c r="BK313" s="198"/>
      <c r="BL313" s="198"/>
      <c r="BM313" s="198"/>
      <c r="BN313" s="198"/>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idden="1" outlineLevel="2">
      <c r="A314" s="9"/>
      <c r="B314" s="9"/>
      <c r="C314" s="26"/>
      <c r="D314" s="392"/>
      <c r="E314" s="87">
        <v>7</v>
      </c>
      <c r="F314" s="27"/>
      <c r="G314" s="27"/>
      <c r="H314" s="146"/>
      <c r="I314" s="148"/>
      <c r="J314" s="148"/>
      <c r="K314" s="148"/>
      <c r="L314" s="148"/>
      <c r="M314" s="148"/>
      <c r="N314" s="147"/>
      <c r="O314" s="69" t="str">
        <f>IF(A19taxstdlife="n/a","n/a",IF(O$3&gt;(A19taxstdlife+$E314),(Input!$N$161-Input!$N$195)-SUM($N314:N314),(Input!$N$161-Input!$N$195)/A19taxstdlife))</f>
        <v>n/a</v>
      </c>
      <c r="P314" s="69" t="str">
        <f>IF(A19taxstdlife="n/a","n/a",IF(P$3&gt;(A19taxstdlife+$E314),(Input!$N$161-Input!$N$195)-SUM($N314:O314),(Input!$N$161-Input!$N$195)/A19taxstdlife))</f>
        <v>n/a</v>
      </c>
      <c r="Q314" s="69" t="str">
        <f>IF(A19taxstdlife="n/a","n/a",IF(Q$3&gt;(A19taxstdlife+$E314),(Input!$N$161-Input!$N$195)-SUM($N314:P314),(Input!$N$161-Input!$N$195)/A19taxstdlife))</f>
        <v>n/a</v>
      </c>
      <c r="R314" s="69"/>
      <c r="S314" s="103"/>
      <c r="T314" s="103"/>
      <c r="U314" s="103"/>
      <c r="V314" s="103"/>
      <c r="W314" s="103"/>
      <c r="X314" s="103"/>
      <c r="Y314" s="103"/>
      <c r="Z314" s="217"/>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c r="BI314" s="198"/>
      <c r="BJ314" s="198"/>
      <c r="BK314" s="198"/>
      <c r="BL314" s="198"/>
      <c r="BM314" s="198"/>
      <c r="BN314" s="198"/>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idden="1" outlineLevel="2">
      <c r="A315" s="9"/>
      <c r="B315" s="9"/>
      <c r="C315" s="26"/>
      <c r="D315" s="392"/>
      <c r="E315" s="87">
        <v>8</v>
      </c>
      <c r="F315" s="27"/>
      <c r="G315" s="27"/>
      <c r="H315" s="146"/>
      <c r="I315" s="148"/>
      <c r="J315" s="148"/>
      <c r="K315" s="148"/>
      <c r="L315" s="148"/>
      <c r="M315" s="148"/>
      <c r="N315" s="148"/>
      <c r="O315" s="147"/>
      <c r="P315" s="69" t="str">
        <f>IF(A19taxstdlife="n/a","n/a",IF(P$3&gt;(A19taxstdlife+$E315),(Input!$O$161-Input!$O$195)-SUM($O315:O315),(Input!$O$161-Input!$O$195)/A19taxstdlife))</f>
        <v>n/a</v>
      </c>
      <c r="Q315" s="69" t="str">
        <f>IF(A19taxstdlife="n/a","n/a",IF(Q$3&gt;(A19taxstdlife+$E315),(Input!$O$161-Input!$O$195)-SUM($O315:P315),(Input!$O$161-Input!$O$195)/A19taxstdlife))</f>
        <v>n/a</v>
      </c>
      <c r="R315" s="69"/>
      <c r="S315" s="103"/>
      <c r="T315" s="103"/>
      <c r="U315" s="103"/>
      <c r="V315" s="103"/>
      <c r="W315" s="103"/>
      <c r="X315" s="103"/>
      <c r="Y315" s="103"/>
      <c r="Z315" s="217"/>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198"/>
      <c r="BJ315" s="198"/>
      <c r="BK315" s="198"/>
      <c r="BL315" s="198"/>
      <c r="BM315" s="198"/>
      <c r="BN315" s="198"/>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idden="1" outlineLevel="2">
      <c r="A316" s="9"/>
      <c r="B316" s="9"/>
      <c r="C316" s="26"/>
      <c r="D316" s="392"/>
      <c r="E316" s="87">
        <v>9</v>
      </c>
      <c r="F316" s="27"/>
      <c r="G316" s="27"/>
      <c r="H316" s="146"/>
      <c r="I316" s="148"/>
      <c r="J316" s="148"/>
      <c r="K316" s="148"/>
      <c r="L316" s="148"/>
      <c r="M316" s="148"/>
      <c r="N316" s="148"/>
      <c r="O316" s="148"/>
      <c r="P316" s="147"/>
      <c r="Q316" s="69" t="str">
        <f>IF(A19taxstdlife="n/a","n/a",IF(Q$3&gt;(A19taxstdlife+$E316),(Input!$P$161-Input!$P$195)-SUM($P316:P316),(Input!$P$161-Input!$P$195)/A19taxstdlife))</f>
        <v>n/a</v>
      </c>
      <c r="R316" s="69"/>
      <c r="S316" s="103"/>
      <c r="T316" s="103"/>
      <c r="U316" s="103"/>
      <c r="V316" s="103"/>
      <c r="W316" s="103"/>
      <c r="X316" s="103"/>
      <c r="Y316" s="103"/>
      <c r="Z316" s="217"/>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c r="BI316" s="198"/>
      <c r="BJ316" s="198"/>
      <c r="BK316" s="198"/>
      <c r="BL316" s="198"/>
      <c r="BM316" s="198"/>
      <c r="BN316" s="198"/>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idden="1" outlineLevel="2">
      <c r="A317" s="9"/>
      <c r="B317" s="9"/>
      <c r="C317" s="26"/>
      <c r="D317" s="392"/>
      <c r="E317" s="88">
        <v>10</v>
      </c>
      <c r="F317" s="27"/>
      <c r="G317" s="27"/>
      <c r="H317" s="146"/>
      <c r="I317" s="148"/>
      <c r="J317" s="148"/>
      <c r="K317" s="148"/>
      <c r="L317" s="148"/>
      <c r="M317" s="148"/>
      <c r="N317" s="148"/>
      <c r="O317" s="148"/>
      <c r="P317" s="148"/>
      <c r="Q317" s="147"/>
      <c r="R317" s="69"/>
      <c r="S317" s="103"/>
      <c r="T317" s="103"/>
      <c r="U317" s="103"/>
      <c r="V317" s="103"/>
      <c r="W317" s="103"/>
      <c r="X317" s="103"/>
      <c r="Y317" s="103"/>
      <c r="Z317" s="217"/>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c r="BI317" s="198"/>
      <c r="BJ317" s="198"/>
      <c r="BK317" s="198"/>
      <c r="BL317" s="198"/>
      <c r="BM317" s="198"/>
      <c r="BN317" s="198"/>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idden="1" outlineLevel="1" collapsed="1">
      <c r="A318" s="9"/>
      <c r="B318" s="9"/>
      <c r="C318" s="271">
        <f>Asset19</f>
        <v>0</v>
      </c>
      <c r="D318" s="9"/>
      <c r="E318" s="9"/>
      <c r="F318" s="23"/>
      <c r="G318" s="23"/>
      <c r="H318" s="297">
        <f>-SUM(H306:H317)</f>
        <v>0</v>
      </c>
      <c r="I318" s="161">
        <f>-SUM(I306:I317)</f>
        <v>0</v>
      </c>
      <c r="J318" s="161">
        <f>-SUM(J306:J317)</f>
        <v>0</v>
      </c>
      <c r="K318" s="161">
        <f>-SUM(K306:K317)</f>
        <v>0</v>
      </c>
      <c r="L318" s="161">
        <f>-SUM(L306:L317)</f>
        <v>0</v>
      </c>
      <c r="M318" s="161">
        <f>IF(COUNT($H318:L318)&gt;=Input!$Y$7,0, -SUM(M306:M317))</f>
        <v>0</v>
      </c>
      <c r="N318" s="161">
        <f>IF(COUNT($H318:M318)&gt;=Input!$Y$7,0, -SUM(N306:N317))</f>
        <v>0</v>
      </c>
      <c r="O318" s="161">
        <f>IF(COUNT($H318:N318)&gt;=Input!$Y$7,0, -SUM(O306:O317))</f>
        <v>0</v>
      </c>
      <c r="P318" s="161">
        <f>IF(COUNT($H318:O318)&gt;=Input!$Y$7,0, -SUM(P306:P317))</f>
        <v>0</v>
      </c>
      <c r="Q318" s="161">
        <f>IF(COUNT($H318:P318)&gt;=Input!$Y$7,0, -SUM(Q306:Q317))</f>
        <v>0</v>
      </c>
      <c r="R318" s="161"/>
      <c r="S318" s="102"/>
      <c r="T318" s="102"/>
      <c r="U318" s="102"/>
      <c r="V318" s="102"/>
      <c r="W318" s="102"/>
      <c r="X318" s="102"/>
      <c r="Y318" s="102"/>
      <c r="Z318" s="218"/>
      <c r="AA318" s="218"/>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198"/>
      <c r="BJ318" s="198"/>
      <c r="BK318" s="198"/>
      <c r="BL318" s="198"/>
      <c r="BM318" s="198"/>
      <c r="BN318" s="19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273">
        <f>Asset20</f>
        <v>0</v>
      </c>
      <c r="C319" s="31"/>
      <c r="D319" s="32" t="s">
        <v>66</v>
      </c>
      <c r="E319" s="31"/>
      <c r="F319" s="300"/>
      <c r="G319" s="300"/>
      <c r="H319" s="68" t="str">
        <f>IF(H$3&gt;A20taxremlife,A20taxvalue-SUM($F319:F319),IF(A20taxremlife="N/A","n/a",A20taxvalue/A20taxremlife))</f>
        <v>n/a</v>
      </c>
      <c r="I319" s="68" t="str">
        <f>IF(I$3&gt;A20taxremlife,A20taxvalue-SUM($F319:H319),IF(A20taxremlife="N/A","n/a",A20taxvalue/A20taxremlife))</f>
        <v>n/a</v>
      </c>
      <c r="J319" s="68" t="str">
        <f>IF(J$3&gt;A20taxremlife,A20taxvalue-SUM($F319:I319),IF(A20taxremlife="N/A","n/a",A20taxvalue/A20taxremlife))</f>
        <v>n/a</v>
      </c>
      <c r="K319" s="68" t="str">
        <f>IF(K$3&gt;A20taxremlife,A20taxvalue-SUM($F319:J319),IF(A20taxremlife="N/A","n/a",A20taxvalue/A20taxremlife))</f>
        <v>n/a</v>
      </c>
      <c r="L319" s="68" t="str">
        <f>IF(L$3&gt;A20taxremlife,A20taxvalue-SUM($F319:K319),IF(A20taxremlife="N/A","n/a",A20taxvalue/A20taxremlife))</f>
        <v>n/a</v>
      </c>
      <c r="M319" s="68" t="str">
        <f>IF(M$3&gt;A20taxremlife,A20taxvalue-SUM($F319:L319),IF(A20taxremlife="N/A","n/a",A20taxvalue/A20taxremlife))</f>
        <v>n/a</v>
      </c>
      <c r="N319" s="68" t="str">
        <f>IF(N$3&gt;A20taxremlife,A20taxvalue-SUM($F319:M319),IF(A20taxremlife="N/A","n/a",A20taxvalue/A20taxremlife))</f>
        <v>n/a</v>
      </c>
      <c r="O319" s="68" t="str">
        <f>IF(O$3&gt;A20taxremlife,A20taxvalue-SUM($F319:N319),IF(A20taxremlife="N/A","n/a",A20taxvalue/A20taxremlife))</f>
        <v>n/a</v>
      </c>
      <c r="P319" s="68" t="str">
        <f>IF(P$3&gt;A20taxremlife,A20taxvalue-SUM($F319:O319),IF(A20taxremlife="N/A","n/a",A20taxvalue/A20taxremlife))</f>
        <v>n/a</v>
      </c>
      <c r="Q319" s="68" t="str">
        <f>IF(Q$3&gt;A20taxremlife,A20taxvalue-SUM($F319:P319),IF(A20taxremlife="N/A","n/a",A20taxvalue/A20taxremlife))</f>
        <v>n/a</v>
      </c>
      <c r="R319" s="68"/>
      <c r="S319" s="103"/>
      <c r="T319" s="103"/>
      <c r="U319" s="103"/>
      <c r="V319" s="103"/>
      <c r="W319" s="103"/>
      <c r="X319" s="103"/>
      <c r="Y319" s="103"/>
      <c r="Z319" s="217"/>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c r="BI319" s="198"/>
      <c r="BJ319" s="198"/>
      <c r="BK319" s="198"/>
      <c r="BL319" s="198"/>
      <c r="BM319" s="198"/>
      <c r="BN319" s="198"/>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6"/>
      <c r="D320" s="391" t="s">
        <v>82</v>
      </c>
      <c r="E320" s="87"/>
      <c r="F320" s="27"/>
      <c r="G320" s="27"/>
      <c r="H320" s="103"/>
      <c r="I320" s="69"/>
      <c r="J320" s="69"/>
      <c r="K320" s="69"/>
      <c r="L320" s="69"/>
      <c r="M320" s="69"/>
      <c r="N320" s="69"/>
      <c r="O320" s="69"/>
      <c r="P320" s="69"/>
      <c r="Q320" s="69"/>
      <c r="R320" s="69"/>
      <c r="S320" s="103"/>
      <c r="T320" s="103"/>
      <c r="U320" s="103"/>
      <c r="V320" s="103"/>
      <c r="W320" s="103"/>
      <c r="X320" s="103"/>
      <c r="Y320" s="103"/>
      <c r="Z320" s="217"/>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c r="BI320" s="198"/>
      <c r="BJ320" s="198"/>
      <c r="BK320" s="198"/>
      <c r="BL320" s="198"/>
      <c r="BM320" s="198"/>
      <c r="BN320" s="198"/>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6"/>
      <c r="D321" s="392"/>
      <c r="E321" s="87">
        <v>1</v>
      </c>
      <c r="F321" s="27"/>
      <c r="G321" s="27"/>
      <c r="H321" s="145"/>
      <c r="I321" s="69" t="str">
        <f>IF(A20taxstdlife="n/a","n/a",IF(I$3&gt;(A20taxstdlife+$E321),(Input!$H$162-Input!$H$196)-SUM($H321:H321),(Input!$H$162-Input!$H$196)/A20taxstdlife))</f>
        <v>n/a</v>
      </c>
      <c r="J321" s="69" t="str">
        <f>IF(A20taxstdlife="n/a","n/a",IF(J$3&gt;(A20taxstdlife+$E321),(Input!$H$162-Input!$H$196)-SUM($H321:I321),(Input!$H$162-Input!$H$196)/A20taxstdlife))</f>
        <v>n/a</v>
      </c>
      <c r="K321" s="69" t="str">
        <f>IF(A20taxstdlife="n/a","n/a",IF(K$3&gt;(A20taxstdlife+$E321),(Input!$H$162-Input!$H$196)-SUM($H321:J321),(Input!$H$162-Input!$H$196)/A20taxstdlife))</f>
        <v>n/a</v>
      </c>
      <c r="L321" s="69" t="str">
        <f>IF(A20taxstdlife="n/a","n/a",IF(L$3&gt;(A20taxstdlife+$E321),(Input!$H$162-Input!$H$196)-SUM($H321:K321),(Input!$H$162-Input!$H$196)/A20taxstdlife))</f>
        <v>n/a</v>
      </c>
      <c r="M321" s="69" t="str">
        <f>IF(A20taxstdlife="n/a","n/a",IF(M$3&gt;(A20taxstdlife+$E321),(Input!$H$162-Input!$H$196)-SUM($H321:L321),(Input!$H$162-Input!$H$196)/A20taxstdlife))</f>
        <v>n/a</v>
      </c>
      <c r="N321" s="69" t="str">
        <f>IF(A20taxstdlife="n/a","n/a",IF(N$3&gt;(A20taxstdlife+$E321),(Input!$H$162-Input!$H$196)-SUM($H321:M321),(Input!$H$162-Input!$H$196)/A20taxstdlife))</f>
        <v>n/a</v>
      </c>
      <c r="O321" s="69" t="str">
        <f>IF(A20taxstdlife="n/a","n/a",IF(O$3&gt;(A20taxstdlife+$E321),(Input!$H$162-Input!$H$196)-SUM($H321:N321),(Input!$H$162-Input!$H$196)/A20taxstdlife))</f>
        <v>n/a</v>
      </c>
      <c r="P321" s="69" t="str">
        <f>IF(A20taxstdlife="n/a","n/a",IF(P$3&gt;(A20taxstdlife+$E321),(Input!$H$162-Input!$H$196)-SUM($H321:O321),(Input!$H$162-Input!$H$196)/A20taxstdlife))</f>
        <v>n/a</v>
      </c>
      <c r="Q321" s="69" t="str">
        <f>IF(A20taxstdlife="n/a","n/a",IF(Q$3&gt;(A20taxstdlife+$E321),(Input!$H$162-Input!$H$196)-SUM($H321:P321),(Input!$H$162-Input!$H$196)/A20taxstdlife))</f>
        <v>n/a</v>
      </c>
      <c r="R321" s="69"/>
      <c r="S321" s="103"/>
      <c r="T321" s="103"/>
      <c r="U321" s="103"/>
      <c r="V321" s="103"/>
      <c r="W321" s="103"/>
      <c r="X321" s="103"/>
      <c r="Y321" s="103"/>
      <c r="Z321" s="217"/>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c r="BI321" s="198"/>
      <c r="BJ321" s="198"/>
      <c r="BK321" s="198"/>
      <c r="BL321" s="198"/>
      <c r="BM321" s="198"/>
      <c r="BN321" s="198"/>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6"/>
      <c r="D322" s="392"/>
      <c r="E322" s="87">
        <v>2</v>
      </c>
      <c r="F322" s="27"/>
      <c r="G322" s="27"/>
      <c r="H322" s="146"/>
      <c r="I322" s="147"/>
      <c r="J322" s="69" t="str">
        <f>IF(A20taxstdlife="n/a","n/a",IF(J$3&gt;(A20taxstdlife+$E322),(Input!$I$162-Input!$I$196)-SUM($I322:I322),(Input!$I$162-Input!$I$196)/A20taxstdlife))</f>
        <v>n/a</v>
      </c>
      <c r="K322" s="69" t="str">
        <f>IF(A20taxstdlife="n/a","n/a",IF(K$3&gt;(A20taxstdlife+$E322),(Input!$I$162-Input!$I$196)-SUM($I322:J322),(Input!$I$162-Input!$I$196)/A20taxstdlife))</f>
        <v>n/a</v>
      </c>
      <c r="L322" s="69" t="str">
        <f>IF(A20taxstdlife="n/a","n/a",IF(L$3&gt;(A20taxstdlife+$E322),(Input!$I$162-Input!$I$196)-SUM($I322:K322),(Input!$I$162-Input!$I$196)/A20taxstdlife))</f>
        <v>n/a</v>
      </c>
      <c r="M322" s="69" t="str">
        <f>IF(A20taxstdlife="n/a","n/a",IF(M$3&gt;(A20taxstdlife+$E322),(Input!$I$162-Input!$I$196)-SUM($I322:L322),(Input!$I$162-Input!$I$196)/A20taxstdlife))</f>
        <v>n/a</v>
      </c>
      <c r="N322" s="69" t="str">
        <f>IF(A20taxstdlife="n/a","n/a",IF(N$3&gt;(A20taxstdlife+$E322),(Input!$I$162-Input!$I$196)-SUM($I322:M322),(Input!$I$162-Input!$I$196)/A20taxstdlife))</f>
        <v>n/a</v>
      </c>
      <c r="O322" s="69" t="str">
        <f>IF(A20taxstdlife="n/a","n/a",IF(O$3&gt;(A20taxstdlife+$E322),(Input!$I$162-Input!$I$196)-SUM($I322:N322),(Input!$I$162-Input!$I$196)/A20taxstdlife))</f>
        <v>n/a</v>
      </c>
      <c r="P322" s="69" t="str">
        <f>IF(A20taxstdlife="n/a","n/a",IF(P$3&gt;(A20taxstdlife+$E322),(Input!$I$162-Input!$I$196)-SUM($I322:O322),(Input!$I$162-Input!$I$196)/A20taxstdlife))</f>
        <v>n/a</v>
      </c>
      <c r="Q322" s="69" t="str">
        <f>IF(A20taxstdlife="n/a","n/a",IF(Q$3&gt;(A20taxstdlife+$E322),(Input!$I$162-Input!$I$196)-SUM($I322:P322),(Input!$I$162-Input!$I$196)/A20taxstdlife))</f>
        <v>n/a</v>
      </c>
      <c r="R322" s="69"/>
      <c r="S322" s="103"/>
      <c r="T322" s="103"/>
      <c r="U322" s="103"/>
      <c r="V322" s="103"/>
      <c r="W322" s="103"/>
      <c r="X322" s="103"/>
      <c r="Y322" s="103"/>
      <c r="Z322" s="217"/>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198"/>
      <c r="BJ322" s="198"/>
      <c r="BK322" s="198"/>
      <c r="BL322" s="198"/>
      <c r="BM322" s="198"/>
      <c r="BN322" s="198"/>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6"/>
      <c r="D323" s="392"/>
      <c r="E323" s="87">
        <v>3</v>
      </c>
      <c r="F323" s="27"/>
      <c r="G323" s="27"/>
      <c r="H323" s="146"/>
      <c r="I323" s="148"/>
      <c r="J323" s="147"/>
      <c r="K323" s="69" t="str">
        <f>IF(A20taxstdlife="n/a","n/a",IF(K$3&gt;(A20taxstdlife+$E323),(Input!$J$162-Input!$J$196)-SUM($J323:J323),(Input!$J$162-Input!$J$196)/A20taxstdlife))</f>
        <v>n/a</v>
      </c>
      <c r="L323" s="69" t="str">
        <f>IF(A20taxstdlife="n/a","n/a",IF(L$3&gt;(A20taxstdlife+$E323),(Input!$J$162-Input!$J$196)-SUM($J323:K323),(Input!$J$162-Input!$J$196)/A20taxstdlife))</f>
        <v>n/a</v>
      </c>
      <c r="M323" s="69" t="str">
        <f>IF(A20taxstdlife="n/a","n/a",IF(M$3&gt;(A20taxstdlife+$E323),(Input!$J$162-Input!$J$196)-SUM($J323:L323),(Input!$J$162-Input!$J$196)/A20taxstdlife))</f>
        <v>n/a</v>
      </c>
      <c r="N323" s="69" t="str">
        <f>IF(A20taxstdlife="n/a","n/a",IF(N$3&gt;(A20taxstdlife+$E323),(Input!$J$162-Input!$J$196)-SUM($J323:M323),(Input!$J$162-Input!$J$196)/A20taxstdlife))</f>
        <v>n/a</v>
      </c>
      <c r="O323" s="69" t="str">
        <f>IF(A20taxstdlife="n/a","n/a",IF(O$3&gt;(A20taxstdlife+$E323),(Input!$J$162-Input!$J$196)-SUM($J323:N323),(Input!$J$162-Input!$J$196)/A20taxstdlife))</f>
        <v>n/a</v>
      </c>
      <c r="P323" s="69" t="str">
        <f>IF(A20taxstdlife="n/a","n/a",IF(P$3&gt;(A20taxstdlife+$E323),(Input!$J$162-Input!$J$196)-SUM($J323:O323),(Input!$J$162-Input!$J$196)/A20taxstdlife))</f>
        <v>n/a</v>
      </c>
      <c r="Q323" s="69" t="str">
        <f>IF(A20taxstdlife="n/a","n/a",IF(Q$3&gt;(A20taxstdlife+$E323),(Input!$J$162-Input!$J$196)-SUM($J323:P323),(Input!$J$162-Input!$J$196)/A20taxstdlife))</f>
        <v>n/a</v>
      </c>
      <c r="R323" s="69"/>
      <c r="S323" s="103"/>
      <c r="T323" s="103"/>
      <c r="U323" s="103"/>
      <c r="V323" s="103"/>
      <c r="W323" s="103"/>
      <c r="X323" s="103"/>
      <c r="Y323" s="103"/>
      <c r="Z323" s="217"/>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c r="BI323" s="219"/>
      <c r="BJ323" s="198"/>
      <c r="BK323" s="198"/>
      <c r="BL323" s="198"/>
      <c r="BM323" s="198"/>
      <c r="BN323" s="198"/>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6"/>
      <c r="D324" s="392"/>
      <c r="E324" s="87">
        <v>4</v>
      </c>
      <c r="F324" s="27"/>
      <c r="G324" s="27"/>
      <c r="H324" s="146"/>
      <c r="I324" s="148"/>
      <c r="J324" s="148"/>
      <c r="K324" s="147"/>
      <c r="L324" s="69" t="str">
        <f>IF(A20taxstdlife="n/a","n/a",IF(L$3&gt;(A20taxstdlife+$E324),(Input!$K$162-Input!$K$196)-SUM($K324:K324),(Input!$K$162-Input!$K$196)/A20taxstdlife))</f>
        <v>n/a</v>
      </c>
      <c r="M324" s="69" t="str">
        <f>IF(A20taxstdlife="n/a","n/a",IF(M$3&gt;(A20taxstdlife+$E324),(Input!$K$162-Input!$K$196)-SUM($K324:L324),(Input!$K$162-Input!$K$196)/A20taxstdlife))</f>
        <v>n/a</v>
      </c>
      <c r="N324" s="69" t="str">
        <f>IF(A20taxstdlife="n/a","n/a",IF(N$3&gt;(A20taxstdlife+$E324),(Input!$K$162-Input!$K$196)-SUM($K324:M324),(Input!$K$162-Input!$K$196)/A20taxstdlife))</f>
        <v>n/a</v>
      </c>
      <c r="O324" s="69" t="str">
        <f>IF(A20taxstdlife="n/a","n/a",IF(O$3&gt;(A20taxstdlife+$E324),(Input!$K$162-Input!$K$196)-SUM($K324:N324),(Input!$K$162-Input!$K$196)/A20taxstdlife))</f>
        <v>n/a</v>
      </c>
      <c r="P324" s="69" t="str">
        <f>IF(A20taxstdlife="n/a","n/a",IF(P$3&gt;(A20taxstdlife+$E324),(Input!$K$162-Input!$K$196)-SUM($K324:O324),(Input!$K$162-Input!$K$196)/A20taxstdlife))</f>
        <v>n/a</v>
      </c>
      <c r="Q324" s="69" t="str">
        <f>IF(A20taxstdlife="n/a","n/a",IF(Q$3&gt;(A20taxstdlife+$E324),(Input!$K$162-Input!$K$196)-SUM($K324:P324),(Input!$K$162-Input!$K$196)/A20taxstdlife))</f>
        <v>n/a</v>
      </c>
      <c r="R324" s="69"/>
      <c r="S324" s="103"/>
      <c r="T324" s="103"/>
      <c r="U324" s="103"/>
      <c r="V324" s="103"/>
      <c r="W324" s="103"/>
      <c r="X324" s="103"/>
      <c r="Y324" s="103"/>
      <c r="Z324" s="217"/>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c r="BI324" s="198"/>
      <c r="BJ324" s="198"/>
      <c r="BK324" s="198"/>
      <c r="BL324" s="198"/>
      <c r="BM324" s="198"/>
      <c r="BN324" s="198"/>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6"/>
      <c r="D325" s="392"/>
      <c r="E325" s="87">
        <v>5</v>
      </c>
      <c r="F325" s="27"/>
      <c r="G325" s="27"/>
      <c r="H325" s="146"/>
      <c r="I325" s="148"/>
      <c r="J325" s="148"/>
      <c r="K325" s="148"/>
      <c r="L325" s="147"/>
      <c r="M325" s="69" t="str">
        <f>IF(A20taxstdlife="n/a","n/a",IF(M$3&gt;(A20taxstdlife+$E325),(Input!$L$162-Input!$L$196)-SUM($L325:L325),(Input!$L$162-Input!$L$196)/A20taxstdlife))</f>
        <v>n/a</v>
      </c>
      <c r="N325" s="69" t="str">
        <f>IF(A20taxstdlife="n/a","n/a",IF(N$3&gt;(A20taxstdlife+$E325),(Input!$L$162-Input!$L$196)-SUM($L325:M325),(Input!$L$162-Input!$L$196)/A20taxstdlife))</f>
        <v>n/a</v>
      </c>
      <c r="O325" s="69" t="str">
        <f>IF(A20taxstdlife="n/a","n/a",IF(O$3&gt;(A20taxstdlife+$E325),(Input!$L$162-Input!$L$196)-SUM($L325:N325),(Input!$L$162-Input!$L$196)/A20taxstdlife))</f>
        <v>n/a</v>
      </c>
      <c r="P325" s="69" t="str">
        <f>IF(A20taxstdlife="n/a","n/a",IF(P$3&gt;(A20taxstdlife+$E325),(Input!$L$162-Input!$L$196)-SUM($L325:O325),(Input!$L$162-Input!$L$196)/A20taxstdlife))</f>
        <v>n/a</v>
      </c>
      <c r="Q325" s="69" t="str">
        <f>IF(A20taxstdlife="n/a","n/a",IF(Q$3&gt;(A20taxstdlife+$E325),(Input!$L$162-Input!$L$196)-SUM($L325:P325),(Input!$L$162-Input!$L$196)/A20taxstdlife))</f>
        <v>n/a</v>
      </c>
      <c r="R325" s="69"/>
      <c r="S325" s="103"/>
      <c r="T325" s="103"/>
      <c r="U325" s="103"/>
      <c r="V325" s="103"/>
      <c r="W325" s="103"/>
      <c r="X325" s="103"/>
      <c r="Y325" s="103"/>
      <c r="Z325" s="217"/>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198"/>
      <c r="BJ325" s="198"/>
      <c r="BK325" s="198"/>
      <c r="BL325" s="198"/>
      <c r="BM325" s="198"/>
      <c r="BN325" s="198"/>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6"/>
      <c r="D326" s="392"/>
      <c r="E326" s="87">
        <v>6</v>
      </c>
      <c r="F326" s="27"/>
      <c r="G326" s="27"/>
      <c r="H326" s="146"/>
      <c r="I326" s="148"/>
      <c r="J326" s="148"/>
      <c r="K326" s="148"/>
      <c r="L326" s="148"/>
      <c r="M326" s="147"/>
      <c r="N326" s="69" t="str">
        <f>IF(A20taxstdlife="n/a","n/a",IF(N$3&gt;(A20taxstdlife+$E326),(Input!$M$162-Input!$M$196)-SUM($M326:M326),(Input!$M$162-Input!$M$196)/A20taxstdlife))</f>
        <v>n/a</v>
      </c>
      <c r="O326" s="69" t="str">
        <f>IF(A20taxstdlife="n/a","n/a",IF(O$3&gt;(A20taxstdlife+$E326),(Input!$M$162-Input!$M$196)-SUM($M326:N326),(Input!$M$162-Input!$M$196)/A20taxstdlife))</f>
        <v>n/a</v>
      </c>
      <c r="P326" s="69" t="str">
        <f>IF(A20taxstdlife="n/a","n/a",IF(P$3&gt;(A20taxstdlife+$E326),(Input!$M$162-Input!$M$196)-SUM($M326:O326),(Input!$M$162-Input!$M$196)/A20taxstdlife))</f>
        <v>n/a</v>
      </c>
      <c r="Q326" s="69" t="str">
        <f>IF(A20taxstdlife="n/a","n/a",IF(Q$3&gt;(A20taxstdlife+$E326),(Input!$M$162-Input!$M$196)-SUM($M326:P326),(Input!$M$162-Input!$M$196)/A20taxstdlife))</f>
        <v>n/a</v>
      </c>
      <c r="R326" s="69"/>
      <c r="S326" s="103"/>
      <c r="T326" s="103"/>
      <c r="U326" s="103"/>
      <c r="V326" s="103"/>
      <c r="W326" s="103"/>
      <c r="X326" s="103"/>
      <c r="Y326" s="103"/>
      <c r="Z326" s="217"/>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198"/>
      <c r="BJ326" s="198"/>
      <c r="BK326" s="198"/>
      <c r="BL326" s="198"/>
      <c r="BM326" s="198"/>
      <c r="BN326" s="198"/>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6"/>
      <c r="D327" s="392"/>
      <c r="E327" s="87">
        <v>7</v>
      </c>
      <c r="F327" s="27"/>
      <c r="G327" s="27"/>
      <c r="H327" s="146"/>
      <c r="I327" s="148"/>
      <c r="J327" s="148"/>
      <c r="K327" s="148"/>
      <c r="L327" s="148"/>
      <c r="M327" s="148"/>
      <c r="N327" s="147"/>
      <c r="O327" s="69" t="str">
        <f>IF(A20taxstdlife="n/a","n/a",IF(O$3&gt;(A20taxstdlife+$E327),(Input!$N$162-Input!$N$196)-SUM($N327:N327),(Input!$N$162-Input!$N$196)/A20taxstdlife))</f>
        <v>n/a</v>
      </c>
      <c r="P327" s="69" t="str">
        <f>IF(A20taxstdlife="n/a","n/a",IF(P$3&gt;(A20taxstdlife+$E327),(Input!$N$162-Input!$N$196)-SUM($N327:O327),(Input!$N$162-Input!$N$196)/A20taxstdlife))</f>
        <v>n/a</v>
      </c>
      <c r="Q327" s="69" t="str">
        <f>IF(A20taxstdlife="n/a","n/a",IF(Q$3&gt;(A20taxstdlife+$E327),(Input!$N$162-Input!$N$196)-SUM($N327:P327),(Input!$N$162-Input!$N$196)/A20taxstdlife))</f>
        <v>n/a</v>
      </c>
      <c r="R327" s="69"/>
      <c r="S327" s="103"/>
      <c r="T327" s="103"/>
      <c r="U327" s="103"/>
      <c r="V327" s="103"/>
      <c r="W327" s="103"/>
      <c r="X327" s="103"/>
      <c r="Y327" s="103"/>
      <c r="Z327" s="217"/>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198"/>
      <c r="BJ327" s="198"/>
      <c r="BK327" s="198"/>
      <c r="BL327" s="198"/>
      <c r="BM327" s="198"/>
      <c r="BN327" s="198"/>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6"/>
      <c r="D328" s="392"/>
      <c r="E328" s="87">
        <v>8</v>
      </c>
      <c r="F328" s="27"/>
      <c r="G328" s="27"/>
      <c r="H328" s="146"/>
      <c r="I328" s="148"/>
      <c r="J328" s="148"/>
      <c r="K328" s="148"/>
      <c r="L328" s="148"/>
      <c r="M328" s="148"/>
      <c r="N328" s="148"/>
      <c r="O328" s="147"/>
      <c r="P328" s="69" t="str">
        <f>IF(A20taxstdlife="n/a","n/a",IF(P$3&gt;(A20taxstdlife+$E328),(Input!$O$162-Input!$O$196)-SUM($O328:O328),(Input!$O$162-Input!$O$196)/A20taxstdlife))</f>
        <v>n/a</v>
      </c>
      <c r="Q328" s="69" t="str">
        <f>IF(A20taxstdlife="n/a","n/a",IF(Q$3&gt;(A20taxstdlife+$E328),(Input!$O$162-Input!$O$196)-SUM($O328:P328),(Input!$O$162-Input!$O$196)/A20taxstdlife))</f>
        <v>n/a</v>
      </c>
      <c r="R328" s="69"/>
      <c r="S328" s="103"/>
      <c r="T328" s="103"/>
      <c r="U328" s="103"/>
      <c r="V328" s="103"/>
      <c r="W328" s="103"/>
      <c r="X328" s="103"/>
      <c r="Y328" s="103"/>
      <c r="Z328" s="217"/>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c r="BI328" s="198"/>
      <c r="BJ328" s="198"/>
      <c r="BK328" s="198"/>
      <c r="BL328" s="198"/>
      <c r="BM328" s="198"/>
      <c r="BN328" s="19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6"/>
      <c r="D329" s="392"/>
      <c r="E329" s="87">
        <v>9</v>
      </c>
      <c r="F329" s="27"/>
      <c r="G329" s="27"/>
      <c r="H329" s="146"/>
      <c r="I329" s="148"/>
      <c r="J329" s="148"/>
      <c r="K329" s="148"/>
      <c r="L329" s="148"/>
      <c r="M329" s="148"/>
      <c r="N329" s="148"/>
      <c r="O329" s="148"/>
      <c r="P329" s="147"/>
      <c r="Q329" s="69" t="str">
        <f>IF(A20taxstdlife="n/a","n/a",IF(Q$3&gt;(A20taxstdlife+$E329),(Input!$P$162-Input!$P$196)-SUM($P329:P329),(Input!$P$162-Input!$P$196)/A20taxstdlife))</f>
        <v>n/a</v>
      </c>
      <c r="R329" s="69"/>
      <c r="S329" s="103"/>
      <c r="T329" s="103"/>
      <c r="U329" s="103"/>
      <c r="V329" s="103"/>
      <c r="W329" s="103"/>
      <c r="X329" s="103"/>
      <c r="Y329" s="103"/>
      <c r="Z329" s="217"/>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198"/>
      <c r="BJ329" s="198"/>
      <c r="BK329" s="198"/>
      <c r="BL329" s="198"/>
      <c r="BM329" s="198"/>
      <c r="BN329" s="198"/>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6"/>
      <c r="D330" s="392"/>
      <c r="E330" s="88">
        <v>10</v>
      </c>
      <c r="F330" s="27"/>
      <c r="G330" s="27"/>
      <c r="H330" s="146"/>
      <c r="I330" s="148"/>
      <c r="J330" s="148"/>
      <c r="K330" s="148"/>
      <c r="L330" s="148"/>
      <c r="M330" s="148"/>
      <c r="N330" s="148"/>
      <c r="O330" s="148"/>
      <c r="P330" s="148"/>
      <c r="Q330" s="147"/>
      <c r="R330" s="69"/>
      <c r="S330" s="103"/>
      <c r="T330" s="103"/>
      <c r="U330" s="103"/>
      <c r="V330" s="103"/>
      <c r="W330" s="103"/>
      <c r="X330" s="103"/>
      <c r="Y330" s="103"/>
      <c r="Z330" s="217"/>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198"/>
      <c r="BJ330" s="198"/>
      <c r="BK330" s="198"/>
      <c r="BL330" s="198"/>
      <c r="BM330" s="198"/>
      <c r="BN330" s="198"/>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idden="1" outlineLevel="1" collapsed="1">
      <c r="A331" s="9"/>
      <c r="B331" s="9"/>
      <c r="C331" s="271">
        <f>Asset20</f>
        <v>0</v>
      </c>
      <c r="D331" s="9"/>
      <c r="E331" s="9"/>
      <c r="F331" s="23"/>
      <c r="G331" s="23"/>
      <c r="H331" s="297">
        <f>-SUM(H319:H330)</f>
        <v>0</v>
      </c>
      <c r="I331" s="161">
        <f>-SUM(I319:I330)</f>
        <v>0</v>
      </c>
      <c r="J331" s="161">
        <f>-SUM(J319:J330)</f>
        <v>0</v>
      </c>
      <c r="K331" s="161">
        <f>-SUM(K319:K330)</f>
        <v>0</v>
      </c>
      <c r="L331" s="161">
        <f>-SUM(L319:L330)</f>
        <v>0</v>
      </c>
      <c r="M331" s="161">
        <f>IF(COUNT($H331:L331)&gt;=Input!$Y$7,0, -SUM(M319:M330))</f>
        <v>0</v>
      </c>
      <c r="N331" s="161">
        <f>IF(COUNT($H331:M331)&gt;=Input!$Y$7,0, -SUM(N319:N330))</f>
        <v>0</v>
      </c>
      <c r="O331" s="161">
        <f>IF(COUNT($H331:N331)&gt;=Input!$Y$7,0, -SUM(O319:O330))</f>
        <v>0</v>
      </c>
      <c r="P331" s="161">
        <f>IF(COUNT($H331:O331)&gt;=Input!$Y$7,0, -SUM(P319:P330))</f>
        <v>0</v>
      </c>
      <c r="Q331" s="161">
        <f>IF(COUNT($H331:P331)&gt;=Input!$Y$7,0, -SUM(Q319:Q330))</f>
        <v>0</v>
      </c>
      <c r="R331" s="161"/>
      <c r="S331" s="102"/>
      <c r="T331" s="102"/>
      <c r="U331" s="102"/>
      <c r="V331" s="102"/>
      <c r="W331" s="102"/>
      <c r="X331" s="102"/>
      <c r="Y331" s="102"/>
      <c r="Z331" s="218"/>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198"/>
      <c r="BJ331" s="198"/>
      <c r="BK331" s="198"/>
      <c r="BL331" s="198"/>
      <c r="BM331" s="198"/>
      <c r="BN331" s="198"/>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2.75" hidden="1" customHeight="1" outlineLevel="2">
      <c r="A332" s="9"/>
      <c r="B332" s="272">
        <f>Asset21</f>
        <v>0</v>
      </c>
      <c r="C332" s="31"/>
      <c r="D332" s="32" t="s">
        <v>66</v>
      </c>
      <c r="E332" s="31"/>
      <c r="F332" s="300"/>
      <c r="G332" s="300"/>
      <c r="H332" s="68" t="str">
        <f>IF(H$3&gt;A21taxremlife,A21taxvalue-SUM($F332:F332),IF(A21taxremlife="N/A","n/a",A21taxvalue/A21taxremlife))</f>
        <v>n/a</v>
      </c>
      <c r="I332" s="68" t="str">
        <f>IF(I$3&gt;A21taxremlife,A21taxvalue-SUM($F332:H332),IF(A21taxremlife="N/A","n/a",A21taxvalue/A21taxremlife))</f>
        <v>n/a</v>
      </c>
      <c r="J332" s="68" t="str">
        <f>IF(J$3&gt;A21taxremlife,A21taxvalue-SUM($F332:I332),IF(A21taxremlife="N/A","n/a",A21taxvalue/A21taxremlife))</f>
        <v>n/a</v>
      </c>
      <c r="K332" s="68" t="str">
        <f>IF(K$3&gt;A21taxremlife,A21taxvalue-SUM($F332:J332),IF(A21taxremlife="N/A","n/a",A21taxvalue/A21taxremlife))</f>
        <v>n/a</v>
      </c>
      <c r="L332" s="68" t="str">
        <f>IF(L$3&gt;A21taxremlife,A21taxvalue-SUM($F332:K332),IF(A21taxremlife="N/A","n/a",A21taxvalue/A21taxremlife))</f>
        <v>n/a</v>
      </c>
      <c r="M332" s="68" t="str">
        <f>IF(M$3&gt;A21taxremlife,A21taxvalue-SUM($F332:L332),IF(A21taxremlife="N/A","n/a",A21taxvalue/A21taxremlife))</f>
        <v>n/a</v>
      </c>
      <c r="N332" s="68" t="str">
        <f>IF(N$3&gt;A21taxremlife,A21taxvalue-SUM($F332:M332),IF(A21taxremlife="N/A","n/a",A21taxvalue/A21taxremlife))</f>
        <v>n/a</v>
      </c>
      <c r="O332" s="68" t="str">
        <f>IF(O$3&gt;A21taxremlife,A21taxvalue-SUM($F332:N332),IF(A21taxremlife="N/A","n/a",A21taxvalue/A21taxremlife))</f>
        <v>n/a</v>
      </c>
      <c r="P332" s="68" t="str">
        <f>IF(P$3&gt;A21taxremlife,A21taxvalue-SUM($F332:O332),IF(A21taxremlife="N/A","n/a",A21taxvalue/A21taxremlife))</f>
        <v>n/a</v>
      </c>
      <c r="Q332" s="68" t="str">
        <f>IF(Q$3&gt;A21taxremlife,A21taxvalue-SUM($F332:P332),IF(A21taxremlife="N/A","n/a",A21taxvalue/A21taxremlife))</f>
        <v>n/a</v>
      </c>
      <c r="R332" s="68"/>
      <c r="S332" s="103"/>
      <c r="T332" s="103"/>
      <c r="U332" s="103"/>
      <c r="V332" s="103"/>
      <c r="W332" s="103"/>
      <c r="X332" s="103"/>
      <c r="Y332" s="103"/>
      <c r="Z332" s="217"/>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198"/>
      <c r="BJ332" s="198"/>
      <c r="BK332" s="198"/>
      <c r="BL332" s="198"/>
      <c r="BM332" s="198"/>
      <c r="BN332" s="198"/>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2.75" hidden="1" customHeight="1" outlineLevel="2">
      <c r="A333" s="9"/>
      <c r="B333" s="9"/>
      <c r="C333" s="26"/>
      <c r="D333" s="391" t="s">
        <v>82</v>
      </c>
      <c r="E333" s="87"/>
      <c r="F333" s="27"/>
      <c r="G333" s="27"/>
      <c r="H333" s="103"/>
      <c r="I333" s="69"/>
      <c r="J333" s="69"/>
      <c r="K333" s="69"/>
      <c r="L333" s="69"/>
      <c r="M333" s="69"/>
      <c r="N333" s="69"/>
      <c r="O333" s="69"/>
      <c r="P333" s="69"/>
      <c r="Q333" s="69"/>
      <c r="R333" s="69"/>
      <c r="S333" s="103"/>
      <c r="T333" s="103"/>
      <c r="U333" s="103"/>
      <c r="V333" s="103"/>
      <c r="W333" s="103"/>
      <c r="X333" s="103"/>
      <c r="Y333" s="103"/>
      <c r="Z333" s="217"/>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198"/>
      <c r="BJ333" s="198"/>
      <c r="BK333" s="198"/>
      <c r="BL333" s="198"/>
      <c r="BM333" s="198"/>
      <c r="BN333" s="198"/>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2.75" hidden="1" customHeight="1" outlineLevel="2">
      <c r="A334" s="9"/>
      <c r="B334" s="9"/>
      <c r="C334" s="26"/>
      <c r="D334" s="392"/>
      <c r="E334" s="87">
        <v>1</v>
      </c>
      <c r="F334" s="27"/>
      <c r="G334" s="27"/>
      <c r="H334" s="145"/>
      <c r="I334" s="69" t="str">
        <f>IF(A21taxstdlife="n/a","n/a",IF(I$3&gt;(A21taxstdlife+$E334),(Input!$H$163-Input!$H$197)-SUM($H334:H334),(Input!$H$163-Input!$H$197)/A21taxstdlife))</f>
        <v>n/a</v>
      </c>
      <c r="J334" s="69" t="str">
        <f>IF(A21taxstdlife="n/a","n/a",IF(J$3&gt;(A21taxstdlife+$E334),(Input!$H$163-Input!$H$197)-SUM($H334:I334),(Input!$H$163-Input!$H$197)/A21taxstdlife))</f>
        <v>n/a</v>
      </c>
      <c r="K334" s="69" t="str">
        <f>IF(A21taxstdlife="n/a","n/a",IF(K$3&gt;(A21taxstdlife+$E334),(Input!$H$163-Input!$H$197)-SUM($H334:J334),(Input!$H$163-Input!$H$197)/A21taxstdlife))</f>
        <v>n/a</v>
      </c>
      <c r="L334" s="69" t="str">
        <f>IF(A21taxstdlife="n/a","n/a",IF(L$3&gt;(A21taxstdlife+$E334),(Input!$H$163-Input!$H$197)-SUM($H334:K334),(Input!$H$163-Input!$H$197)/A21taxstdlife))</f>
        <v>n/a</v>
      </c>
      <c r="M334" s="69" t="str">
        <f>IF(A21taxstdlife="n/a","n/a",IF(M$3&gt;(A21taxstdlife+$E334),(Input!$H$163-Input!$H$197)-SUM($H334:L334),(Input!$H$163-Input!$H$197)/A21taxstdlife))</f>
        <v>n/a</v>
      </c>
      <c r="N334" s="69" t="str">
        <f>IF(A21taxstdlife="n/a","n/a",IF(N$3&gt;(A21taxstdlife+$E334),(Input!$H$163-Input!$H$197)-SUM($H334:M334),(Input!$H$163-Input!$H$197)/A21taxstdlife))</f>
        <v>n/a</v>
      </c>
      <c r="O334" s="69" t="str">
        <f>IF(A21taxstdlife="n/a","n/a",IF(O$3&gt;(A21taxstdlife+$E334),(Input!$H$163-Input!$H$197)-SUM($H334:N334),(Input!$H$163-Input!$H$197)/A21taxstdlife))</f>
        <v>n/a</v>
      </c>
      <c r="P334" s="69" t="str">
        <f>IF(A21taxstdlife="n/a","n/a",IF(P$3&gt;(A21taxstdlife+$E334),(Input!$H$163-Input!$H$197)-SUM($H334:O334),(Input!$H$163-Input!$H$197)/A21taxstdlife))</f>
        <v>n/a</v>
      </c>
      <c r="Q334" s="69" t="str">
        <f>IF(A21taxstdlife="n/a","n/a",IF(Q$3&gt;(A21taxstdlife+$E334),(Input!$H$163-Input!$H$197)-SUM($H334:P334),(Input!$H$163-Input!$H$197)/A21taxstdlife))</f>
        <v>n/a</v>
      </c>
      <c r="R334" s="69"/>
      <c r="S334" s="103"/>
      <c r="T334" s="103"/>
      <c r="U334" s="103"/>
      <c r="V334" s="103"/>
      <c r="W334" s="103"/>
      <c r="X334" s="103"/>
      <c r="Y334" s="103"/>
      <c r="Z334" s="217"/>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198"/>
      <c r="BJ334" s="198"/>
      <c r="BK334" s="198"/>
      <c r="BL334" s="198"/>
      <c r="BM334" s="198"/>
      <c r="BN334" s="198"/>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2.75" hidden="1" customHeight="1" outlineLevel="2">
      <c r="A335" s="9"/>
      <c r="B335" s="9"/>
      <c r="C335" s="26"/>
      <c r="D335" s="392"/>
      <c r="E335" s="87">
        <v>2</v>
      </c>
      <c r="F335" s="27"/>
      <c r="G335" s="27"/>
      <c r="H335" s="146"/>
      <c r="I335" s="147"/>
      <c r="J335" s="69" t="str">
        <f>IF(A21taxstdlife="n/a","n/a",IF(J$3&gt;(A21taxstdlife+$E335),(Input!$I$163-Input!$I$197)-SUM($I335:I335),(Input!$I$163-Input!$I$197)/A21taxstdlife))</f>
        <v>n/a</v>
      </c>
      <c r="K335" s="69" t="str">
        <f>IF(A21taxstdlife="n/a","n/a",IF(K$3&gt;(A21taxstdlife+$E335),(Input!$I$163-Input!$I$197)-SUM($I335:J335),(Input!$I$163-Input!$I$197)/A21taxstdlife))</f>
        <v>n/a</v>
      </c>
      <c r="L335" s="69" t="str">
        <f>IF(A21taxstdlife="n/a","n/a",IF(L$3&gt;(A21taxstdlife+$E335),(Input!$I$163-Input!$I$197)-SUM($I335:K335),(Input!$I$163-Input!$I$197)/A21taxstdlife))</f>
        <v>n/a</v>
      </c>
      <c r="M335" s="69" t="str">
        <f>IF(A21taxstdlife="n/a","n/a",IF(M$3&gt;(A21taxstdlife+$E335),(Input!$I$163-Input!$I$197)-SUM($I335:L335),(Input!$I$163-Input!$I$197)/A21taxstdlife))</f>
        <v>n/a</v>
      </c>
      <c r="N335" s="69" t="str">
        <f>IF(A21taxstdlife="n/a","n/a",IF(N$3&gt;(A21taxstdlife+$E335),(Input!$I$163-Input!$I$197)-SUM($I335:M335),(Input!$I$163-Input!$I$197)/A21taxstdlife))</f>
        <v>n/a</v>
      </c>
      <c r="O335" s="69" t="str">
        <f>IF(A21taxstdlife="n/a","n/a",IF(O$3&gt;(A21taxstdlife+$E335),(Input!$I$163-Input!$I$197)-SUM($I335:N335),(Input!$I$163-Input!$I$197)/A21taxstdlife))</f>
        <v>n/a</v>
      </c>
      <c r="P335" s="69" t="str">
        <f>IF(A21taxstdlife="n/a","n/a",IF(P$3&gt;(A21taxstdlife+$E335),(Input!$I$163-Input!$I$197)-SUM($I335:O335),(Input!$I$163-Input!$I$197)/A21taxstdlife))</f>
        <v>n/a</v>
      </c>
      <c r="Q335" s="69" t="str">
        <f>IF(A21taxstdlife="n/a","n/a",IF(Q$3&gt;(A21taxstdlife+$E335),(Input!$I$163-Input!$I$197)-SUM($I335:P335),(Input!$I$163-Input!$I$197)/A21taxstdlife))</f>
        <v>n/a</v>
      </c>
      <c r="R335" s="69"/>
      <c r="S335" s="103"/>
      <c r="T335" s="103"/>
      <c r="U335" s="103"/>
      <c r="V335" s="103"/>
      <c r="W335" s="103"/>
      <c r="X335" s="103"/>
      <c r="Y335" s="103"/>
      <c r="Z335" s="217"/>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198"/>
      <c r="BJ335" s="198"/>
      <c r="BK335" s="198"/>
      <c r="BL335" s="198"/>
      <c r="BM335" s="198"/>
      <c r="BN335" s="198"/>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2.75" hidden="1" customHeight="1" outlineLevel="2">
      <c r="A336" s="9"/>
      <c r="B336" s="9"/>
      <c r="C336" s="26"/>
      <c r="D336" s="392"/>
      <c r="E336" s="87">
        <v>3</v>
      </c>
      <c r="F336" s="27"/>
      <c r="G336" s="27"/>
      <c r="H336" s="146"/>
      <c r="I336" s="148"/>
      <c r="J336" s="147"/>
      <c r="K336" s="69" t="str">
        <f>IF(A21taxstdlife="n/a","n/a",IF(K$3&gt;(A21taxstdlife+$E336),(Input!$J$163-Input!$J$197)-SUM($J336:J336),(Input!$J$163-Input!$J$197)/A21taxstdlife))</f>
        <v>n/a</v>
      </c>
      <c r="L336" s="69" t="str">
        <f>IF(A21taxstdlife="n/a","n/a",IF(L$3&gt;(A21taxstdlife+$E336),(Input!$J$163-Input!$J$197)-SUM($J336:K336),(Input!$J$163-Input!$J$197)/A21taxstdlife))</f>
        <v>n/a</v>
      </c>
      <c r="M336" s="69" t="str">
        <f>IF(A21taxstdlife="n/a","n/a",IF(M$3&gt;(A21taxstdlife+$E336),(Input!$J$163-Input!$J$197)-SUM($J336:L336),(Input!$J$163-Input!$J$197)/A21taxstdlife))</f>
        <v>n/a</v>
      </c>
      <c r="N336" s="69" t="str">
        <f>IF(A21taxstdlife="n/a","n/a",IF(N$3&gt;(A21taxstdlife+$E336),(Input!$J$163-Input!$J$197)-SUM($J336:M336),(Input!$J$163-Input!$J$197)/A21taxstdlife))</f>
        <v>n/a</v>
      </c>
      <c r="O336" s="69" t="str">
        <f>IF(A21taxstdlife="n/a","n/a",IF(O$3&gt;(A21taxstdlife+$E336),(Input!$J$163-Input!$J$197)-SUM($J336:N336),(Input!$J$163-Input!$J$197)/A21taxstdlife))</f>
        <v>n/a</v>
      </c>
      <c r="P336" s="69" t="str">
        <f>IF(A21taxstdlife="n/a","n/a",IF(P$3&gt;(A21taxstdlife+$E336),(Input!$J$163-Input!$J$197)-SUM($J336:O336),(Input!$J$163-Input!$J$197)/A21taxstdlife))</f>
        <v>n/a</v>
      </c>
      <c r="Q336" s="69" t="str">
        <f>IF(A21taxstdlife="n/a","n/a",IF(Q$3&gt;(A21taxstdlife+$E336),(Input!$J$163-Input!$J$197)-SUM($J336:P336),(Input!$J$163-Input!$J$197)/A21taxstdlife))</f>
        <v>n/a</v>
      </c>
      <c r="R336" s="69"/>
      <c r="S336" s="103"/>
      <c r="T336" s="103"/>
      <c r="U336" s="103"/>
      <c r="V336" s="103"/>
      <c r="W336" s="103"/>
      <c r="X336" s="103"/>
      <c r="Y336" s="103"/>
      <c r="Z336" s="217"/>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9"/>
      <c r="BJ336" s="198"/>
      <c r="BK336" s="198"/>
      <c r="BL336" s="198"/>
      <c r="BM336" s="198"/>
      <c r="BN336" s="198"/>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2.75" hidden="1" customHeight="1" outlineLevel="2">
      <c r="A337" s="9"/>
      <c r="B337" s="9"/>
      <c r="C337" s="26"/>
      <c r="D337" s="392"/>
      <c r="E337" s="87">
        <v>4</v>
      </c>
      <c r="F337" s="27"/>
      <c r="G337" s="27"/>
      <c r="H337" s="146"/>
      <c r="I337" s="148"/>
      <c r="J337" s="148"/>
      <c r="K337" s="147"/>
      <c r="L337" s="69" t="str">
        <f>IF(A21taxstdlife="n/a","n/a",IF(L$3&gt;(A21taxstdlife+$E337),(Input!$K$163-Input!$K$197)-SUM($K337:K337),(Input!$K$163-Input!$K$197)/A21taxstdlife))</f>
        <v>n/a</v>
      </c>
      <c r="M337" s="69" t="str">
        <f>IF(A21taxstdlife="n/a","n/a",IF(M$3&gt;(A21taxstdlife+$E337),(Input!$K$163-Input!$K$197)-SUM($K337:L337),(Input!$K$163-Input!$K$197)/A21taxstdlife))</f>
        <v>n/a</v>
      </c>
      <c r="N337" s="69" t="str">
        <f>IF(A21taxstdlife="n/a","n/a",IF(N$3&gt;(A21taxstdlife+$E337),(Input!$K$163-Input!$K$197)-SUM($K337:M337),(Input!$K$163-Input!$K$197)/A21taxstdlife))</f>
        <v>n/a</v>
      </c>
      <c r="O337" s="69" t="str">
        <f>IF(A21taxstdlife="n/a","n/a",IF(O$3&gt;(A21taxstdlife+$E337),(Input!$K$163-Input!$K$197)-SUM($K337:N337),(Input!$K$163-Input!$K$197)/A21taxstdlife))</f>
        <v>n/a</v>
      </c>
      <c r="P337" s="69" t="str">
        <f>IF(A21taxstdlife="n/a","n/a",IF(P$3&gt;(A21taxstdlife+$E337),(Input!$K$163-Input!$K$197)-SUM($K337:O337),(Input!$K$163-Input!$K$197)/A21taxstdlife))</f>
        <v>n/a</v>
      </c>
      <c r="Q337" s="69" t="str">
        <f>IF(A21taxstdlife="n/a","n/a",IF(Q$3&gt;(A21taxstdlife+$E337),(Input!$K$163-Input!$K$197)-SUM($K337:P337),(Input!$K$163-Input!$K$197)/A21taxstdlife))</f>
        <v>n/a</v>
      </c>
      <c r="R337" s="69"/>
      <c r="S337" s="103"/>
      <c r="T337" s="103"/>
      <c r="U337" s="103"/>
      <c r="V337" s="103"/>
      <c r="W337" s="103"/>
      <c r="X337" s="103"/>
      <c r="Y337" s="103"/>
      <c r="Z337" s="217"/>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c r="BI337" s="198"/>
      <c r="BJ337" s="198"/>
      <c r="BK337" s="198"/>
      <c r="BL337" s="198"/>
      <c r="BM337" s="198"/>
      <c r="BN337" s="198"/>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2.75" hidden="1" customHeight="1" outlineLevel="2">
      <c r="A338" s="9"/>
      <c r="B338" s="9"/>
      <c r="C338" s="26"/>
      <c r="D338" s="392"/>
      <c r="E338" s="87">
        <v>5</v>
      </c>
      <c r="F338" s="27"/>
      <c r="G338" s="27"/>
      <c r="H338" s="146"/>
      <c r="I338" s="148"/>
      <c r="J338" s="148"/>
      <c r="K338" s="148"/>
      <c r="L338" s="147"/>
      <c r="M338" s="69" t="str">
        <f>IF(A21taxstdlife="n/a","n/a",IF(M$3&gt;(A21taxstdlife+$E338),(Input!$L$163-Input!$L$197)-SUM($L338:L338),(Input!$L$163-Input!$L$197)/A21taxstdlife))</f>
        <v>n/a</v>
      </c>
      <c r="N338" s="69" t="str">
        <f>IF(A21taxstdlife="n/a","n/a",IF(N$3&gt;(A21taxstdlife+$E338),(Input!$L$163-Input!$L$197)-SUM($L338:M338),(Input!$L$163-Input!$L$197)/A21taxstdlife))</f>
        <v>n/a</v>
      </c>
      <c r="O338" s="69" t="str">
        <f>IF(A21taxstdlife="n/a","n/a",IF(O$3&gt;(A21taxstdlife+$E338),(Input!$L$163-Input!$L$197)-SUM($L338:N338),(Input!$L$163-Input!$L$197)/A21taxstdlife))</f>
        <v>n/a</v>
      </c>
      <c r="P338" s="69" t="str">
        <f>IF(A21taxstdlife="n/a","n/a",IF(P$3&gt;(A21taxstdlife+$E338),(Input!$L$163-Input!$L$197)-SUM($L338:O338),(Input!$L$163-Input!$L$197)/A21taxstdlife))</f>
        <v>n/a</v>
      </c>
      <c r="Q338" s="69" t="str">
        <f>IF(A21taxstdlife="n/a","n/a",IF(Q$3&gt;(A21taxstdlife+$E338),(Input!$L$163-Input!$L$197)-SUM($L338:P338),(Input!$L$163-Input!$L$197)/A21taxstdlife))</f>
        <v>n/a</v>
      </c>
      <c r="R338" s="69"/>
      <c r="S338" s="103"/>
      <c r="T338" s="103"/>
      <c r="U338" s="103"/>
      <c r="V338" s="103"/>
      <c r="W338" s="103"/>
      <c r="X338" s="103"/>
      <c r="Y338" s="103"/>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198"/>
      <c r="BJ338" s="198"/>
      <c r="BK338" s="198"/>
      <c r="BL338" s="198"/>
      <c r="BM338" s="198"/>
      <c r="BN338" s="19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2.75" hidden="1" customHeight="1" outlineLevel="2">
      <c r="A339" s="9"/>
      <c r="B339" s="9"/>
      <c r="C339" s="26"/>
      <c r="D339" s="392"/>
      <c r="E339" s="87">
        <v>6</v>
      </c>
      <c r="F339" s="27"/>
      <c r="G339" s="27"/>
      <c r="H339" s="146"/>
      <c r="I339" s="148"/>
      <c r="J339" s="148"/>
      <c r="K339" s="148"/>
      <c r="L339" s="148"/>
      <c r="M339" s="147"/>
      <c r="N339" s="69" t="str">
        <f>IF(A21taxstdlife="n/a","n/a",IF(N$3&gt;(A21taxstdlife+$E339),(Input!$M$163-Input!$M$197)-SUM($M339:M339),(Input!$M$163-Input!$M$197)/A21taxstdlife))</f>
        <v>n/a</v>
      </c>
      <c r="O339" s="69" t="str">
        <f>IF(A21taxstdlife="n/a","n/a",IF(O$3&gt;(A21taxstdlife+$E339),(Input!$M$163-Input!$M$197)-SUM($M339:N339),(Input!$M$163-Input!$M$197)/A21taxstdlife))</f>
        <v>n/a</v>
      </c>
      <c r="P339" s="69" t="str">
        <f>IF(A21taxstdlife="n/a","n/a",IF(P$3&gt;(A21taxstdlife+$E339),(Input!$M$163-Input!$M$197)-SUM($M339:O339),(Input!$M$163-Input!$M$197)/A21taxstdlife))</f>
        <v>n/a</v>
      </c>
      <c r="Q339" s="69" t="str">
        <f>IF(A21taxstdlife="n/a","n/a",IF(Q$3&gt;(A21taxstdlife+$E339),(Input!$M$163-Input!$M$197)-SUM($M339:P339),(Input!$M$163-Input!$M$197)/A21taxstdlife))</f>
        <v>n/a</v>
      </c>
      <c r="R339" s="69"/>
      <c r="S339" s="103"/>
      <c r="T339" s="103"/>
      <c r="U339" s="103"/>
      <c r="V339" s="103"/>
      <c r="W339" s="103"/>
      <c r="X339" s="103"/>
      <c r="Y339" s="103"/>
      <c r="Z339" s="217"/>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198"/>
      <c r="BJ339" s="198"/>
      <c r="BK339" s="198"/>
      <c r="BL339" s="198"/>
      <c r="BM339" s="198"/>
      <c r="BN339" s="198"/>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2.75" hidden="1" customHeight="1" outlineLevel="2">
      <c r="A340" s="9"/>
      <c r="B340" s="9"/>
      <c r="C340" s="26"/>
      <c r="D340" s="392"/>
      <c r="E340" s="87">
        <v>7</v>
      </c>
      <c r="F340" s="27"/>
      <c r="G340" s="27"/>
      <c r="H340" s="146"/>
      <c r="I340" s="148"/>
      <c r="J340" s="148"/>
      <c r="K340" s="148"/>
      <c r="L340" s="148"/>
      <c r="M340" s="148"/>
      <c r="N340" s="147"/>
      <c r="O340" s="69" t="str">
        <f>IF(A21taxstdlife="n/a","n/a",IF(O$3&gt;(A21taxstdlife+$E340),(Input!$N$163-Input!$N$197)-SUM($N340:N340),(Input!$N$163-Input!$N$197)/A21taxstdlife))</f>
        <v>n/a</v>
      </c>
      <c r="P340" s="69" t="str">
        <f>IF(A21taxstdlife="n/a","n/a",IF(P$3&gt;(A21taxstdlife+$E340),(Input!$N$163-Input!$N$197)-SUM($N340:O340),(Input!$N$163-Input!$N$197)/A21taxstdlife))</f>
        <v>n/a</v>
      </c>
      <c r="Q340" s="69" t="str">
        <f>IF(A21taxstdlife="n/a","n/a",IF(Q$3&gt;(A21taxstdlife+$E340),(Input!$N$163-Input!$N$197)-SUM($N340:P340),(Input!$N$163-Input!$N$197)/A21taxstdlife))</f>
        <v>n/a</v>
      </c>
      <c r="R340" s="69"/>
      <c r="S340" s="103"/>
      <c r="T340" s="103"/>
      <c r="U340" s="103"/>
      <c r="V340" s="103"/>
      <c r="W340" s="103"/>
      <c r="X340" s="103"/>
      <c r="Y340" s="103"/>
      <c r="Z340" s="217"/>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198"/>
      <c r="BJ340" s="198"/>
      <c r="BK340" s="198"/>
      <c r="BL340" s="198"/>
      <c r="BM340" s="198"/>
      <c r="BN340" s="198"/>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2.75" hidden="1" customHeight="1" outlineLevel="2">
      <c r="A341" s="9"/>
      <c r="B341" s="9"/>
      <c r="C341" s="26"/>
      <c r="D341" s="392"/>
      <c r="E341" s="87">
        <v>8</v>
      </c>
      <c r="F341" s="27"/>
      <c r="G341" s="27"/>
      <c r="H341" s="146"/>
      <c r="I341" s="148"/>
      <c r="J341" s="148"/>
      <c r="K341" s="148"/>
      <c r="L341" s="148"/>
      <c r="M341" s="148"/>
      <c r="N341" s="148"/>
      <c r="O341" s="147"/>
      <c r="P341" s="69" t="str">
        <f>IF(A21taxstdlife="n/a","n/a",IF(P$3&gt;(A21taxstdlife+$E341),(Input!$O$163-Input!$O$197)-SUM($O341:O341),(Input!$O$163-Input!$O$197)/A21taxstdlife))</f>
        <v>n/a</v>
      </c>
      <c r="Q341" s="69" t="str">
        <f>IF(A21taxstdlife="n/a","n/a",IF(Q$3&gt;(A21taxstdlife+$E341),(Input!$O$163-Input!$O$197)-SUM($O341:P341),(Input!$O$163-Input!$O$197)/A21taxstdlife))</f>
        <v>n/a</v>
      </c>
      <c r="R341" s="69"/>
      <c r="S341" s="103"/>
      <c r="T341" s="103"/>
      <c r="U341" s="103"/>
      <c r="V341" s="103"/>
      <c r="W341" s="103"/>
      <c r="X341" s="103"/>
      <c r="Y341" s="103"/>
      <c r="Z341" s="217"/>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198"/>
      <c r="BJ341" s="198"/>
      <c r="BK341" s="198"/>
      <c r="BL341" s="198"/>
      <c r="BM341" s="198"/>
      <c r="BN341" s="198"/>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2.75" hidden="1" customHeight="1" outlineLevel="2">
      <c r="A342" s="9"/>
      <c r="B342" s="9"/>
      <c r="C342" s="26"/>
      <c r="D342" s="392"/>
      <c r="E342" s="87">
        <v>9</v>
      </c>
      <c r="F342" s="27"/>
      <c r="G342" s="27"/>
      <c r="H342" s="146"/>
      <c r="I342" s="148"/>
      <c r="J342" s="148"/>
      <c r="K342" s="148"/>
      <c r="L342" s="148"/>
      <c r="M342" s="148"/>
      <c r="N342" s="148"/>
      <c r="O342" s="148"/>
      <c r="P342" s="147"/>
      <c r="Q342" s="69" t="str">
        <f>IF(A21taxstdlife="n/a","n/a",IF(Q$3&gt;(A21taxstdlife+$E342),(Input!$P$163-Input!$P$197)-SUM($P342:P342),(Input!$P$163-Input!$P$197)/A21taxstdlife))</f>
        <v>n/a</v>
      </c>
      <c r="R342" s="69"/>
      <c r="S342" s="103"/>
      <c r="T342" s="103"/>
      <c r="U342" s="103"/>
      <c r="V342" s="103"/>
      <c r="W342" s="103"/>
      <c r="X342" s="103"/>
      <c r="Y342" s="103"/>
      <c r="Z342" s="217"/>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198"/>
      <c r="BJ342" s="198"/>
      <c r="BK342" s="198"/>
      <c r="BL342" s="198"/>
      <c r="BM342" s="198"/>
      <c r="BN342" s="198"/>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2.75" hidden="1" customHeight="1" outlineLevel="2">
      <c r="A343" s="9"/>
      <c r="B343" s="9"/>
      <c r="C343" s="26"/>
      <c r="D343" s="392"/>
      <c r="E343" s="88">
        <v>10</v>
      </c>
      <c r="F343" s="27"/>
      <c r="G343" s="27"/>
      <c r="H343" s="146"/>
      <c r="I343" s="148"/>
      <c r="J343" s="148"/>
      <c r="K343" s="148"/>
      <c r="L343" s="148"/>
      <c r="M343" s="148"/>
      <c r="N343" s="148"/>
      <c r="O343" s="148"/>
      <c r="P343" s="148"/>
      <c r="Q343" s="147"/>
      <c r="R343" s="69"/>
      <c r="S343" s="103"/>
      <c r="T343" s="103"/>
      <c r="U343" s="103"/>
      <c r="V343" s="103"/>
      <c r="W343" s="103"/>
      <c r="X343" s="103"/>
      <c r="Y343" s="103"/>
      <c r="Z343" s="217"/>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198"/>
      <c r="BJ343" s="198"/>
      <c r="BK343" s="198"/>
      <c r="BL343" s="198"/>
      <c r="BM343" s="198"/>
      <c r="BN343" s="198"/>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idden="1" outlineLevel="1" collapsed="1">
      <c r="A344" s="9"/>
      <c r="B344" s="9"/>
      <c r="C344" s="271">
        <f>Asset21</f>
        <v>0</v>
      </c>
      <c r="D344" s="9"/>
      <c r="E344" s="9"/>
      <c r="F344" s="23"/>
      <c r="G344" s="23"/>
      <c r="H344" s="297">
        <f>-SUM(H332:H343)</f>
        <v>0</v>
      </c>
      <c r="I344" s="161">
        <f>-SUM(I332:I343)</f>
        <v>0</v>
      </c>
      <c r="J344" s="161">
        <f>-SUM(J332:J343)</f>
        <v>0</v>
      </c>
      <c r="K344" s="161">
        <f>-SUM(K332:K343)</f>
        <v>0</v>
      </c>
      <c r="L344" s="161">
        <f>-SUM(L332:L343)</f>
        <v>0</v>
      </c>
      <c r="M344" s="161">
        <f>IF(COUNT($H344:L344)&gt;=Input!$Y$7,0, -SUM(M332:M343))</f>
        <v>0</v>
      </c>
      <c r="N344" s="161">
        <f>IF(COUNT($H344:M344)&gt;=Input!$Y$7,0, -SUM(N332:N343))</f>
        <v>0</v>
      </c>
      <c r="O344" s="161">
        <f>IF(COUNT($H344:N344)&gt;=Input!$Y$7,0, -SUM(O332:O343))</f>
        <v>0</v>
      </c>
      <c r="P344" s="161">
        <f>IF(COUNT($H344:O344)&gt;=Input!$Y$7,0, -SUM(P332:P343))</f>
        <v>0</v>
      </c>
      <c r="Q344" s="161">
        <f>IF(COUNT($H344:P344)&gt;=Input!$Y$7,0, -SUM(Q332:Q343))</f>
        <v>0</v>
      </c>
      <c r="R344" s="161"/>
      <c r="S344" s="102"/>
      <c r="T344" s="102"/>
      <c r="U344" s="102"/>
      <c r="V344" s="102"/>
      <c r="W344" s="102"/>
      <c r="X344" s="102"/>
      <c r="Y344" s="102"/>
      <c r="Z344" s="218"/>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198"/>
      <c r="BJ344" s="198"/>
      <c r="BK344" s="198"/>
      <c r="BL344" s="198"/>
      <c r="BM344" s="198"/>
      <c r="BN344" s="198"/>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2.75" hidden="1" customHeight="1" outlineLevel="2">
      <c r="A345" s="9"/>
      <c r="B345" s="272">
        <f>Asset22</f>
        <v>0</v>
      </c>
      <c r="C345" s="31"/>
      <c r="D345" s="32" t="s">
        <v>66</v>
      </c>
      <c r="E345" s="31"/>
      <c r="F345" s="300"/>
      <c r="G345" s="300"/>
      <c r="H345" s="68" t="str">
        <f>IF(H$3&gt;A22taxremlife,A22taxvalue-SUM($F345:F345),IF(A22taxremlife="N/A","n/a",A22taxvalue/A22taxremlife))</f>
        <v>n/a</v>
      </c>
      <c r="I345" s="68" t="str">
        <f>IF(I$3&gt;A22taxremlife,A22taxvalue-SUM($F345:H345),IF(A22taxremlife="N/A","n/a",A22taxvalue/A22taxremlife))</f>
        <v>n/a</v>
      </c>
      <c r="J345" s="68" t="str">
        <f>IF(J$3&gt;A22taxremlife,A22taxvalue-SUM($F345:I345),IF(A22taxremlife="N/A","n/a",A22taxvalue/A22taxremlife))</f>
        <v>n/a</v>
      </c>
      <c r="K345" s="68" t="str">
        <f>IF(K$3&gt;A22taxremlife,A22taxvalue-SUM($F345:J345),IF(A22taxremlife="N/A","n/a",A22taxvalue/A22taxremlife))</f>
        <v>n/a</v>
      </c>
      <c r="L345" s="68" t="str">
        <f>IF(L$3&gt;A22taxremlife,A22taxvalue-SUM($F345:K345),IF(A22taxremlife="N/A","n/a",A22taxvalue/A22taxremlife))</f>
        <v>n/a</v>
      </c>
      <c r="M345" s="68" t="str">
        <f>IF(M$3&gt;A22taxremlife,A22taxvalue-SUM($F345:L345),IF(A22taxremlife="N/A","n/a",A22taxvalue/A22taxremlife))</f>
        <v>n/a</v>
      </c>
      <c r="N345" s="68" t="str">
        <f>IF(N$3&gt;A22taxremlife,A22taxvalue-SUM($F345:M345),IF(A22taxremlife="N/A","n/a",A22taxvalue/A22taxremlife))</f>
        <v>n/a</v>
      </c>
      <c r="O345" s="68" t="str">
        <f>IF(O$3&gt;A22taxremlife,A22taxvalue-SUM($F345:N345),IF(A22taxremlife="N/A","n/a",A22taxvalue/A22taxremlife))</f>
        <v>n/a</v>
      </c>
      <c r="P345" s="68" t="str">
        <f>IF(P$3&gt;A22taxremlife,A22taxvalue-SUM($F345:O345),IF(A22taxremlife="N/A","n/a",A22taxvalue/A22taxremlife))</f>
        <v>n/a</v>
      </c>
      <c r="Q345" s="68" t="str">
        <f>IF(Q$3&gt;A22taxremlife,A22taxvalue-SUM($F345:P345),IF(A22taxremlife="N/A","n/a",A22taxvalue/A22taxremlife))</f>
        <v>n/a</v>
      </c>
      <c r="R345" s="68"/>
      <c r="S345" s="103"/>
      <c r="T345" s="103"/>
      <c r="U345" s="103"/>
      <c r="V345" s="103"/>
      <c r="W345" s="103"/>
      <c r="X345" s="103"/>
      <c r="Y345" s="103"/>
      <c r="Z345" s="217"/>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198"/>
      <c r="BJ345" s="198"/>
      <c r="BK345" s="198"/>
      <c r="BL345" s="198"/>
      <c r="BM345" s="198"/>
      <c r="BN345" s="198"/>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2.75" hidden="1" customHeight="1" outlineLevel="2">
      <c r="A346" s="9"/>
      <c r="B346" s="9"/>
      <c r="C346" s="26"/>
      <c r="D346" s="391" t="s">
        <v>82</v>
      </c>
      <c r="E346" s="87"/>
      <c r="F346" s="27"/>
      <c r="G346" s="27"/>
      <c r="H346" s="103"/>
      <c r="I346" s="69"/>
      <c r="J346" s="69"/>
      <c r="K346" s="69"/>
      <c r="L346" s="69"/>
      <c r="M346" s="69"/>
      <c r="N346" s="69"/>
      <c r="O346" s="69"/>
      <c r="P346" s="69"/>
      <c r="Q346" s="69"/>
      <c r="R346" s="69"/>
      <c r="S346" s="103"/>
      <c r="T346" s="103"/>
      <c r="U346" s="103"/>
      <c r="V346" s="103"/>
      <c r="W346" s="103"/>
      <c r="X346" s="103"/>
      <c r="Y346" s="103"/>
      <c r="Z346" s="217"/>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198"/>
      <c r="BJ346" s="198"/>
      <c r="BK346" s="198"/>
      <c r="BL346" s="198"/>
      <c r="BM346" s="198"/>
      <c r="BN346" s="198"/>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2.75" hidden="1" customHeight="1" outlineLevel="2">
      <c r="A347" s="9"/>
      <c r="B347" s="9"/>
      <c r="C347" s="26"/>
      <c r="D347" s="392"/>
      <c r="E347" s="87">
        <v>1</v>
      </c>
      <c r="F347" s="27"/>
      <c r="G347" s="27"/>
      <c r="H347" s="145"/>
      <c r="I347" s="69" t="str">
        <f>IF(A22taxstdlife="n/a","n/a",IF(I$3&gt;(A22taxstdlife+$E347),(Input!$H$164-Input!$H$198)-SUM($H347:H347),(Input!$H$164-Input!$H$198)/A22taxstdlife))</f>
        <v>n/a</v>
      </c>
      <c r="J347" s="69" t="str">
        <f>IF(A22taxstdlife="n/a","n/a",IF(J$3&gt;(A22taxstdlife+$E347),(Input!$H$164-Input!$H$198)-SUM($H347:I347),(Input!$H$164-Input!$H$198)/A22taxstdlife))</f>
        <v>n/a</v>
      </c>
      <c r="K347" s="69" t="str">
        <f>IF(A22taxstdlife="n/a","n/a",IF(K$3&gt;(A22taxstdlife+$E347),(Input!$H$164-Input!$H$198)-SUM($H347:J347),(Input!$H$164-Input!$H$198)/A22taxstdlife))</f>
        <v>n/a</v>
      </c>
      <c r="L347" s="69" t="str">
        <f>IF(A22taxstdlife="n/a","n/a",IF(L$3&gt;(A22taxstdlife+$E347),(Input!$H$164-Input!$H$198)-SUM($H347:K347),(Input!$H$164-Input!$H$198)/A22taxstdlife))</f>
        <v>n/a</v>
      </c>
      <c r="M347" s="69" t="str">
        <f>IF(A22taxstdlife="n/a","n/a",IF(M$3&gt;(A22taxstdlife+$E347),(Input!$H$164-Input!$H$198)-SUM($H347:L347),(Input!$H$164-Input!$H$198)/A22taxstdlife))</f>
        <v>n/a</v>
      </c>
      <c r="N347" s="69" t="str">
        <f>IF(A22taxstdlife="n/a","n/a",IF(N$3&gt;(A22taxstdlife+$E347),(Input!$H$164-Input!$H$198)-SUM($H347:M347),(Input!$H$164-Input!$H$198)/A22taxstdlife))</f>
        <v>n/a</v>
      </c>
      <c r="O347" s="69" t="str">
        <f>IF(A22taxstdlife="n/a","n/a",IF(O$3&gt;(A22taxstdlife+$E347),(Input!$H$164-Input!$H$198)-SUM($H347:N347),(Input!$H$164-Input!$H$198)/A22taxstdlife))</f>
        <v>n/a</v>
      </c>
      <c r="P347" s="69" t="str">
        <f>IF(A22taxstdlife="n/a","n/a",IF(P$3&gt;(A22taxstdlife+$E347),(Input!$H$164-Input!$H$198)-SUM($H347:O347),(Input!$H$164-Input!$H$198)/A22taxstdlife))</f>
        <v>n/a</v>
      </c>
      <c r="Q347" s="69" t="str">
        <f>IF(A22taxstdlife="n/a","n/a",IF(Q$3&gt;(A22taxstdlife+$E347),(Input!$H$164-Input!$H$198)-SUM($H347:P347),(Input!$H$164-Input!$H$198)/A22taxstdlife))</f>
        <v>n/a</v>
      </c>
      <c r="R347" s="69"/>
      <c r="S347" s="103"/>
      <c r="T347" s="103"/>
      <c r="U347" s="103"/>
      <c r="V347" s="103"/>
      <c r="W347" s="103"/>
      <c r="X347" s="103"/>
      <c r="Y347" s="103"/>
      <c r="Z347" s="217"/>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198"/>
      <c r="BJ347" s="198"/>
      <c r="BK347" s="198"/>
      <c r="BL347" s="198"/>
      <c r="BM347" s="198"/>
      <c r="BN347" s="198"/>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2.75" hidden="1" customHeight="1" outlineLevel="2">
      <c r="A348" s="9"/>
      <c r="B348" s="9"/>
      <c r="C348" s="26"/>
      <c r="D348" s="392"/>
      <c r="E348" s="87">
        <v>2</v>
      </c>
      <c r="F348" s="27"/>
      <c r="G348" s="27"/>
      <c r="H348" s="146"/>
      <c r="I348" s="147"/>
      <c r="J348" s="69" t="str">
        <f>IF(A22taxstdlife="n/a","n/a",IF(J$3&gt;(A22taxstdlife+$E348),(Input!$I$164-Input!$I$198)-SUM($I348:I348),(Input!$I$164-Input!$I$198)/A22taxstdlife))</f>
        <v>n/a</v>
      </c>
      <c r="K348" s="69" t="str">
        <f>IF(A22taxstdlife="n/a","n/a",IF(K$3&gt;(A22taxstdlife+$E348),(Input!$I$164-Input!$I$198)-SUM($I348:J348),(Input!$I$164-Input!$I$198)/A22taxstdlife))</f>
        <v>n/a</v>
      </c>
      <c r="L348" s="69" t="str">
        <f>IF(A22taxstdlife="n/a","n/a",IF(L$3&gt;(A22taxstdlife+$E348),(Input!$I$164-Input!$I$198)-SUM($I348:K348),(Input!$I$164-Input!$I$198)/A22taxstdlife))</f>
        <v>n/a</v>
      </c>
      <c r="M348" s="69" t="str">
        <f>IF(A22taxstdlife="n/a","n/a",IF(M$3&gt;(A22taxstdlife+$E348),(Input!$I$164-Input!$I$198)-SUM($I348:L348),(Input!$I$164-Input!$I$198)/A22taxstdlife))</f>
        <v>n/a</v>
      </c>
      <c r="N348" s="69" t="str">
        <f>IF(A22taxstdlife="n/a","n/a",IF(N$3&gt;(A22taxstdlife+$E348),(Input!$I$164-Input!$I$198)-SUM($I348:M348),(Input!$I$164-Input!$I$198)/A22taxstdlife))</f>
        <v>n/a</v>
      </c>
      <c r="O348" s="69" t="str">
        <f>IF(A22taxstdlife="n/a","n/a",IF(O$3&gt;(A22taxstdlife+$E348),(Input!$I$164-Input!$I$198)-SUM($I348:N348),(Input!$I$164-Input!$I$198)/A22taxstdlife))</f>
        <v>n/a</v>
      </c>
      <c r="P348" s="69" t="str">
        <f>IF(A22taxstdlife="n/a","n/a",IF(P$3&gt;(A22taxstdlife+$E348),(Input!$I$164-Input!$I$198)-SUM($I348:O348),(Input!$I$164-Input!$I$198)/A22taxstdlife))</f>
        <v>n/a</v>
      </c>
      <c r="Q348" s="69" t="str">
        <f>IF(A22taxstdlife="n/a","n/a",IF(Q$3&gt;(A22taxstdlife+$E348),(Input!$I$164-Input!$I$198)-SUM($I348:P348),(Input!$I$164-Input!$I$198)/A22taxstdlife))</f>
        <v>n/a</v>
      </c>
      <c r="R348" s="69"/>
      <c r="S348" s="103"/>
      <c r="T348" s="103"/>
      <c r="U348" s="103"/>
      <c r="V348" s="103"/>
      <c r="W348" s="103"/>
      <c r="X348" s="103"/>
      <c r="Y348" s="103"/>
      <c r="Z348" s="217"/>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198"/>
      <c r="BJ348" s="198"/>
      <c r="BK348" s="198"/>
      <c r="BL348" s="198"/>
      <c r="BM348" s="198"/>
      <c r="BN348" s="19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2.75" hidden="1" customHeight="1" outlineLevel="2">
      <c r="A349" s="9"/>
      <c r="B349" s="9"/>
      <c r="C349" s="26"/>
      <c r="D349" s="392"/>
      <c r="E349" s="87">
        <v>3</v>
      </c>
      <c r="F349" s="27"/>
      <c r="G349" s="27"/>
      <c r="H349" s="146"/>
      <c r="I349" s="148"/>
      <c r="J349" s="147"/>
      <c r="K349" s="69" t="str">
        <f>IF(A22taxstdlife="n/a","n/a",IF(K$3&gt;(A22taxstdlife+$E349),(Input!$J$164-Input!$J$198)-SUM($J349:J349),(Input!$J$164-Input!$J$198)/A22taxstdlife))</f>
        <v>n/a</v>
      </c>
      <c r="L349" s="69" t="str">
        <f>IF(A22taxstdlife="n/a","n/a",IF(L$3&gt;(A22taxstdlife+$E349),(Input!$J$164-Input!$J$198)-SUM($J349:K349),(Input!$J$164-Input!$J$198)/A22taxstdlife))</f>
        <v>n/a</v>
      </c>
      <c r="M349" s="69" t="str">
        <f>IF(A22taxstdlife="n/a","n/a",IF(M$3&gt;(A22taxstdlife+$E349),(Input!$J$164-Input!$J$198)-SUM($J349:L349),(Input!$J$164-Input!$J$198)/A22taxstdlife))</f>
        <v>n/a</v>
      </c>
      <c r="N349" s="69" t="str">
        <f>IF(A22taxstdlife="n/a","n/a",IF(N$3&gt;(A22taxstdlife+$E349),(Input!$J$164-Input!$J$198)-SUM($J349:M349),(Input!$J$164-Input!$J$198)/A22taxstdlife))</f>
        <v>n/a</v>
      </c>
      <c r="O349" s="69" t="str">
        <f>IF(A22taxstdlife="n/a","n/a",IF(O$3&gt;(A22taxstdlife+$E349),(Input!$J$164-Input!$J$198)-SUM($J349:N349),(Input!$J$164-Input!$J$198)/A22taxstdlife))</f>
        <v>n/a</v>
      </c>
      <c r="P349" s="69" t="str">
        <f>IF(A22taxstdlife="n/a","n/a",IF(P$3&gt;(A22taxstdlife+$E349),(Input!$J$164-Input!$J$198)-SUM($J349:O349),(Input!$J$164-Input!$J$198)/A22taxstdlife))</f>
        <v>n/a</v>
      </c>
      <c r="Q349" s="69" t="str">
        <f>IF(A22taxstdlife="n/a","n/a",IF(Q$3&gt;(A22taxstdlife+$E349),(Input!$J$164-Input!$J$198)-SUM($J349:P349),(Input!$J$164-Input!$J$198)/A22taxstdlife))</f>
        <v>n/a</v>
      </c>
      <c r="R349" s="69"/>
      <c r="S349" s="103"/>
      <c r="T349" s="103"/>
      <c r="U349" s="103"/>
      <c r="V349" s="103"/>
      <c r="W349" s="103"/>
      <c r="X349" s="103"/>
      <c r="Y349" s="103"/>
      <c r="Z349" s="217"/>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9"/>
      <c r="BJ349" s="198"/>
      <c r="BK349" s="198"/>
      <c r="BL349" s="198"/>
      <c r="BM349" s="198"/>
      <c r="BN349" s="198"/>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2.75" hidden="1" customHeight="1" outlineLevel="2">
      <c r="A350" s="9"/>
      <c r="B350" s="9"/>
      <c r="C350" s="26"/>
      <c r="D350" s="392"/>
      <c r="E350" s="87">
        <v>4</v>
      </c>
      <c r="F350" s="27"/>
      <c r="G350" s="27"/>
      <c r="H350" s="146"/>
      <c r="I350" s="148"/>
      <c r="J350" s="148"/>
      <c r="K350" s="147"/>
      <c r="L350" s="69" t="str">
        <f>IF(A22taxstdlife="n/a","n/a",IF(L$3&gt;(A22taxstdlife+$E350),(Input!$K$164-Input!$K$198)-SUM($K350:K350),(Input!$K$164-Input!$K$198)/A22taxstdlife))</f>
        <v>n/a</v>
      </c>
      <c r="M350" s="69" t="str">
        <f>IF(A22taxstdlife="n/a","n/a",IF(M$3&gt;(A22taxstdlife+$E350),(Input!$K$164-Input!$K$198)-SUM($K350:L350),(Input!$K$164-Input!$K$198)/A22taxstdlife))</f>
        <v>n/a</v>
      </c>
      <c r="N350" s="69" t="str">
        <f>IF(A22taxstdlife="n/a","n/a",IF(N$3&gt;(A22taxstdlife+$E350),(Input!$K$164-Input!$K$198)-SUM($K350:M350),(Input!$K$164-Input!$K$198)/A22taxstdlife))</f>
        <v>n/a</v>
      </c>
      <c r="O350" s="69" t="str">
        <f>IF(A22taxstdlife="n/a","n/a",IF(O$3&gt;(A22taxstdlife+$E350),(Input!$K$164-Input!$K$198)-SUM($K350:N350),(Input!$K$164-Input!$K$198)/A22taxstdlife))</f>
        <v>n/a</v>
      </c>
      <c r="P350" s="69" t="str">
        <f>IF(A22taxstdlife="n/a","n/a",IF(P$3&gt;(A22taxstdlife+$E350),(Input!$K$164-Input!$K$198)-SUM($K350:O350),(Input!$K$164-Input!$K$198)/A22taxstdlife))</f>
        <v>n/a</v>
      </c>
      <c r="Q350" s="69" t="str">
        <f>IF(A22taxstdlife="n/a","n/a",IF(Q$3&gt;(A22taxstdlife+$E350),(Input!$K$164-Input!$K$198)-SUM($K350:P350),(Input!$K$164-Input!$K$198)/A22taxstdlife))</f>
        <v>n/a</v>
      </c>
      <c r="R350" s="69"/>
      <c r="S350" s="103"/>
      <c r="T350" s="103"/>
      <c r="U350" s="103"/>
      <c r="V350" s="103"/>
      <c r="W350" s="103"/>
      <c r="X350" s="103"/>
      <c r="Y350" s="103"/>
      <c r="Z350" s="217"/>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198"/>
      <c r="BJ350" s="198"/>
      <c r="BK350" s="198"/>
      <c r="BL350" s="198"/>
      <c r="BM350" s="198"/>
      <c r="BN350" s="198"/>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2.75" hidden="1" customHeight="1" outlineLevel="2">
      <c r="A351" s="9"/>
      <c r="B351" s="9"/>
      <c r="C351" s="26"/>
      <c r="D351" s="392"/>
      <c r="E351" s="87">
        <v>5</v>
      </c>
      <c r="F351" s="27"/>
      <c r="G351" s="27"/>
      <c r="H351" s="146"/>
      <c r="I351" s="148"/>
      <c r="J351" s="148"/>
      <c r="K351" s="148"/>
      <c r="L351" s="147"/>
      <c r="M351" s="69" t="str">
        <f>IF(A22taxstdlife="n/a","n/a",IF(M$3&gt;(A22taxstdlife+$E351),(Input!$L$164-Input!$L$198)-SUM($L351:L351),(Input!$L$164-Input!$L$198)/A22taxstdlife))</f>
        <v>n/a</v>
      </c>
      <c r="N351" s="69" t="str">
        <f>IF(A22taxstdlife="n/a","n/a",IF(N$3&gt;(A22taxstdlife+$E351),(Input!$L$164-Input!$L$198)-SUM($L351:M351),(Input!$L$164-Input!$L$198)/A22taxstdlife))</f>
        <v>n/a</v>
      </c>
      <c r="O351" s="69" t="str">
        <f>IF(A22taxstdlife="n/a","n/a",IF(O$3&gt;(A22taxstdlife+$E351),(Input!$L$164-Input!$L$198)-SUM($L351:N351),(Input!$L$164-Input!$L$198)/A22taxstdlife))</f>
        <v>n/a</v>
      </c>
      <c r="P351" s="69" t="str">
        <f>IF(A22taxstdlife="n/a","n/a",IF(P$3&gt;(A22taxstdlife+$E351),(Input!$L$164-Input!$L$198)-SUM($L351:O351),(Input!$L$164-Input!$L$198)/A22taxstdlife))</f>
        <v>n/a</v>
      </c>
      <c r="Q351" s="69" t="str">
        <f>IF(A22taxstdlife="n/a","n/a",IF(Q$3&gt;(A22taxstdlife+$E351),(Input!$L$164-Input!$L$198)-SUM($L351:P351),(Input!$L$164-Input!$L$198)/A22taxstdlife))</f>
        <v>n/a</v>
      </c>
      <c r="R351" s="69"/>
      <c r="S351" s="103"/>
      <c r="T351" s="103"/>
      <c r="U351" s="103"/>
      <c r="V351" s="103"/>
      <c r="W351" s="103"/>
      <c r="X351" s="103"/>
      <c r="Y351" s="103"/>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c r="BI351" s="198"/>
      <c r="BJ351" s="198"/>
      <c r="BK351" s="198"/>
      <c r="BL351" s="198"/>
      <c r="BM351" s="198"/>
      <c r="BN351" s="198"/>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2.75" hidden="1" customHeight="1" outlineLevel="2">
      <c r="A352" s="9"/>
      <c r="B352" s="9"/>
      <c r="C352" s="26"/>
      <c r="D352" s="392"/>
      <c r="E352" s="87">
        <v>6</v>
      </c>
      <c r="F352" s="27"/>
      <c r="G352" s="27"/>
      <c r="H352" s="146"/>
      <c r="I352" s="148"/>
      <c r="J352" s="148"/>
      <c r="K352" s="148"/>
      <c r="L352" s="148"/>
      <c r="M352" s="147"/>
      <c r="N352" s="69" t="str">
        <f>IF(A22taxstdlife="n/a","n/a",IF(N$3&gt;(A22taxstdlife+$E352),(Input!$M$164-Input!$M$198)-SUM($M352:M352),(Input!$M$164-Input!$M$198)/A22taxstdlife))</f>
        <v>n/a</v>
      </c>
      <c r="O352" s="69" t="str">
        <f>IF(A22taxstdlife="n/a","n/a",IF(O$3&gt;(A22taxstdlife+$E352),(Input!$M$164-Input!$M$198)-SUM($M352:N352),(Input!$M$164-Input!$M$198)/A22taxstdlife))</f>
        <v>n/a</v>
      </c>
      <c r="P352" s="69" t="str">
        <f>IF(A22taxstdlife="n/a","n/a",IF(P$3&gt;(A22taxstdlife+$E352),(Input!$M$164-Input!$M$198)-SUM($M352:O352),(Input!$M$164-Input!$M$198)/A22taxstdlife))</f>
        <v>n/a</v>
      </c>
      <c r="Q352" s="69" t="str">
        <f>IF(A22taxstdlife="n/a","n/a",IF(Q$3&gt;(A22taxstdlife+$E352),(Input!$M$164-Input!$M$198)-SUM($M352:P352),(Input!$M$164-Input!$M$198)/A22taxstdlife))</f>
        <v>n/a</v>
      </c>
      <c r="R352" s="69"/>
      <c r="S352" s="103"/>
      <c r="T352" s="103"/>
      <c r="U352" s="103"/>
      <c r="V352" s="103"/>
      <c r="W352" s="103"/>
      <c r="X352" s="103"/>
      <c r="Y352" s="103"/>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198"/>
      <c r="BJ352" s="198"/>
      <c r="BK352" s="198"/>
      <c r="BL352" s="198"/>
      <c r="BM352" s="198"/>
      <c r="BN352" s="198"/>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2.75" hidden="1" customHeight="1" outlineLevel="2">
      <c r="A353" s="9"/>
      <c r="B353" s="9"/>
      <c r="C353" s="26"/>
      <c r="D353" s="392"/>
      <c r="E353" s="87">
        <v>7</v>
      </c>
      <c r="F353" s="27"/>
      <c r="G353" s="27"/>
      <c r="H353" s="146"/>
      <c r="I353" s="148"/>
      <c r="J353" s="148"/>
      <c r="K353" s="148"/>
      <c r="L353" s="148"/>
      <c r="M353" s="148"/>
      <c r="N353" s="147"/>
      <c r="O353" s="69" t="str">
        <f>IF(A22taxstdlife="n/a","n/a",IF(O$3&gt;(A22taxstdlife+$E353),(Input!$N$164-Input!$N$198)-SUM($N353:N353),(Input!$N$164-Input!$N$198)/A22taxstdlife))</f>
        <v>n/a</v>
      </c>
      <c r="P353" s="69" t="str">
        <f>IF(A22taxstdlife="n/a","n/a",IF(P$3&gt;(A22taxstdlife+$E353),(Input!$N$164-Input!$N$198)-SUM($N353:O353),(Input!$N$164-Input!$N$198)/A22taxstdlife))</f>
        <v>n/a</v>
      </c>
      <c r="Q353" s="69" t="str">
        <f>IF(A22taxstdlife="n/a","n/a",IF(Q$3&gt;(A22taxstdlife+$E353),(Input!$N$164-Input!$N$198)-SUM($N353:P353),(Input!$N$164-Input!$N$198)/A22taxstdlife))</f>
        <v>n/a</v>
      </c>
      <c r="R353" s="69"/>
      <c r="S353" s="103"/>
      <c r="T353" s="103"/>
      <c r="U353" s="103"/>
      <c r="V353" s="103"/>
      <c r="W353" s="103"/>
      <c r="X353" s="103"/>
      <c r="Y353" s="103"/>
      <c r="Z353" s="217"/>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198"/>
      <c r="BJ353" s="198"/>
      <c r="BK353" s="198"/>
      <c r="BL353" s="198"/>
      <c r="BM353" s="198"/>
      <c r="BN353" s="198"/>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2.75" hidden="1" customHeight="1" outlineLevel="2">
      <c r="A354" s="9"/>
      <c r="B354" s="9"/>
      <c r="C354" s="26"/>
      <c r="D354" s="392"/>
      <c r="E354" s="87">
        <v>8</v>
      </c>
      <c r="F354" s="27"/>
      <c r="G354" s="27"/>
      <c r="H354" s="146"/>
      <c r="I354" s="148"/>
      <c r="J354" s="148"/>
      <c r="K354" s="148"/>
      <c r="L354" s="148"/>
      <c r="M354" s="148"/>
      <c r="N354" s="148"/>
      <c r="O354" s="147"/>
      <c r="P354" s="69" t="str">
        <f>IF(A22taxstdlife="n/a","n/a",IF(P$3&gt;(A22taxstdlife+$E354),(Input!$O$164-Input!$O$198)-SUM($O354:O354),(Input!$O$164-Input!$O$198)/A22taxstdlife))</f>
        <v>n/a</v>
      </c>
      <c r="Q354" s="69" t="str">
        <f>IF(A22taxstdlife="n/a","n/a",IF(Q$3&gt;(A22taxstdlife+$E354),(Input!$O$164-Input!$O$198)-SUM($O354:P354),(Input!$O$164-Input!$O$198)/A22taxstdlife))</f>
        <v>n/a</v>
      </c>
      <c r="R354" s="69"/>
      <c r="S354" s="103"/>
      <c r="T354" s="103"/>
      <c r="U354" s="103"/>
      <c r="V354" s="103"/>
      <c r="W354" s="103"/>
      <c r="X354" s="103"/>
      <c r="Y354" s="103"/>
      <c r="Z354" s="217"/>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198"/>
      <c r="BJ354" s="198"/>
      <c r="BK354" s="198"/>
      <c r="BL354" s="198"/>
      <c r="BM354" s="198"/>
      <c r="BN354" s="198"/>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2.75" hidden="1" customHeight="1" outlineLevel="2">
      <c r="A355" s="9"/>
      <c r="B355" s="9"/>
      <c r="C355" s="26"/>
      <c r="D355" s="392"/>
      <c r="E355" s="87">
        <v>9</v>
      </c>
      <c r="F355" s="27"/>
      <c r="G355" s="27"/>
      <c r="H355" s="146"/>
      <c r="I355" s="148"/>
      <c r="J355" s="148"/>
      <c r="K355" s="148"/>
      <c r="L355" s="148"/>
      <c r="M355" s="148"/>
      <c r="N355" s="148"/>
      <c r="O355" s="148"/>
      <c r="P355" s="147"/>
      <c r="Q355" s="69" t="str">
        <f>IF(A22taxstdlife="n/a","n/a",IF(Q$3&gt;(A22taxstdlife+$E355),(Input!$P$164-Input!$P$198)-SUM($P355:P355),(Input!$P$164-Input!$P$198)/A22taxstdlife))</f>
        <v>n/a</v>
      </c>
      <c r="R355" s="69"/>
      <c r="S355" s="103"/>
      <c r="T355" s="103"/>
      <c r="U355" s="103"/>
      <c r="V355" s="103"/>
      <c r="W355" s="103"/>
      <c r="X355" s="103"/>
      <c r="Y355" s="103"/>
      <c r="Z355" s="217"/>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198"/>
      <c r="BJ355" s="198"/>
      <c r="BK355" s="198"/>
      <c r="BL355" s="198"/>
      <c r="BM355" s="198"/>
      <c r="BN355" s="198"/>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2.75" hidden="1" customHeight="1" outlineLevel="2">
      <c r="A356" s="9"/>
      <c r="B356" s="9"/>
      <c r="C356" s="26"/>
      <c r="D356" s="392"/>
      <c r="E356" s="88">
        <v>10</v>
      </c>
      <c r="F356" s="27"/>
      <c r="G356" s="27"/>
      <c r="H356" s="146"/>
      <c r="I356" s="148"/>
      <c r="J356" s="148"/>
      <c r="K356" s="148"/>
      <c r="L356" s="148"/>
      <c r="M356" s="148"/>
      <c r="N356" s="148"/>
      <c r="O356" s="148"/>
      <c r="P356" s="148"/>
      <c r="Q356" s="147"/>
      <c r="R356" s="69"/>
      <c r="S356" s="103"/>
      <c r="T356" s="103"/>
      <c r="U356" s="103"/>
      <c r="V356" s="103"/>
      <c r="W356" s="103"/>
      <c r="X356" s="103"/>
      <c r="Y356" s="103"/>
      <c r="Z356" s="217"/>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198"/>
      <c r="BJ356" s="198"/>
      <c r="BK356" s="198"/>
      <c r="BL356" s="198"/>
      <c r="BM356" s="198"/>
      <c r="BN356" s="198"/>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idden="1" outlineLevel="1" collapsed="1">
      <c r="A357" s="9"/>
      <c r="B357" s="9"/>
      <c r="C357" s="271">
        <f>Asset22</f>
        <v>0</v>
      </c>
      <c r="D357" s="9"/>
      <c r="E357" s="9"/>
      <c r="F357" s="23"/>
      <c r="G357" s="23"/>
      <c r="H357" s="297">
        <f>-SUM(H345:H356)</f>
        <v>0</v>
      </c>
      <c r="I357" s="161">
        <f>-SUM(I345:I356)</f>
        <v>0</v>
      </c>
      <c r="J357" s="161">
        <f>-SUM(J345:J356)</f>
        <v>0</v>
      </c>
      <c r="K357" s="161">
        <f>-SUM(K345:K356)</f>
        <v>0</v>
      </c>
      <c r="L357" s="161">
        <f>-SUM(L345:L356)</f>
        <v>0</v>
      </c>
      <c r="M357" s="161">
        <f>IF(COUNT($H357:L357)&gt;=Input!$Y$7,0, -SUM(M345:M356))</f>
        <v>0</v>
      </c>
      <c r="N357" s="161">
        <f>IF(COUNT($H357:M357)&gt;=Input!$Y$7,0, -SUM(N345:N356))</f>
        <v>0</v>
      </c>
      <c r="O357" s="161">
        <f>IF(COUNT($H357:N357)&gt;=Input!$Y$7,0, -SUM(O345:O356))</f>
        <v>0</v>
      </c>
      <c r="P357" s="161">
        <f>IF(COUNT($H357:O357)&gt;=Input!$Y$7,0, -SUM(P345:P356))</f>
        <v>0</v>
      </c>
      <c r="Q357" s="161">
        <f>IF(COUNT($H357:P357)&gt;=Input!$Y$7,0, -SUM(Q345:Q356))</f>
        <v>0</v>
      </c>
      <c r="R357" s="161"/>
      <c r="S357" s="102"/>
      <c r="T357" s="102"/>
      <c r="U357" s="102"/>
      <c r="V357" s="102"/>
      <c r="W357" s="102"/>
      <c r="X357" s="102"/>
      <c r="Y357" s="102"/>
      <c r="Z357" s="218"/>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198"/>
      <c r="BJ357" s="198"/>
      <c r="BK357" s="198"/>
      <c r="BL357" s="198"/>
      <c r="BM357" s="198"/>
      <c r="BN357" s="198"/>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2.75" hidden="1" customHeight="1" outlineLevel="2">
      <c r="A358" s="9"/>
      <c r="B358" s="272">
        <f>Asset23</f>
        <v>0</v>
      </c>
      <c r="C358" s="31"/>
      <c r="D358" s="32" t="s">
        <v>66</v>
      </c>
      <c r="E358" s="31"/>
      <c r="F358" s="300"/>
      <c r="G358" s="300"/>
      <c r="H358" s="68" t="str">
        <f>IF(H$3&gt;A23taxremlife,A23taxvalue-SUM($F358:F358),IF(A23taxremlife="N/A","n/a",A23taxvalue/A23taxremlife))</f>
        <v>n/a</v>
      </c>
      <c r="I358" s="68" t="str">
        <f>IF(I$3&gt;A23taxremlife,A23taxvalue-SUM($F358:H358),IF(A23taxremlife="N/A","n/a",A23taxvalue/A23taxremlife))</f>
        <v>n/a</v>
      </c>
      <c r="J358" s="68" t="str">
        <f>IF(J$3&gt;A23taxremlife,A23taxvalue-SUM($F358:I358),IF(A23taxremlife="N/A","n/a",A23taxvalue/A23taxremlife))</f>
        <v>n/a</v>
      </c>
      <c r="K358" s="68" t="str">
        <f>IF(K$3&gt;A23taxremlife,A23taxvalue-SUM($F358:J358),IF(A23taxremlife="N/A","n/a",A23taxvalue/A23taxremlife))</f>
        <v>n/a</v>
      </c>
      <c r="L358" s="68" t="str">
        <f>IF(L$3&gt;A23taxremlife,A23taxvalue-SUM($F358:K358),IF(A23taxremlife="N/A","n/a",A23taxvalue/A23taxremlife))</f>
        <v>n/a</v>
      </c>
      <c r="M358" s="68" t="str">
        <f>IF(M$3&gt;A23taxremlife,A23taxvalue-SUM($F358:L358),IF(A23taxremlife="N/A","n/a",A23taxvalue/A23taxremlife))</f>
        <v>n/a</v>
      </c>
      <c r="N358" s="68" t="str">
        <f>IF(N$3&gt;A23taxremlife,A23taxvalue-SUM($F358:M358),IF(A23taxremlife="N/A","n/a",A23taxvalue/A23taxremlife))</f>
        <v>n/a</v>
      </c>
      <c r="O358" s="68" t="str">
        <f>IF(O$3&gt;A23taxremlife,A23taxvalue-SUM($F358:N358),IF(A23taxremlife="N/A","n/a",A23taxvalue/A23taxremlife))</f>
        <v>n/a</v>
      </c>
      <c r="P358" s="68" t="str">
        <f>IF(P$3&gt;A23taxremlife,A23taxvalue-SUM($F358:O358),IF(A23taxremlife="N/A","n/a",A23taxvalue/A23taxremlife))</f>
        <v>n/a</v>
      </c>
      <c r="Q358" s="68" t="str">
        <f>IF(Q$3&gt;A23taxremlife,A23taxvalue-SUM($F358:P358),IF(A23taxremlife="N/A","n/a",A23taxvalue/A23taxremlife))</f>
        <v>n/a</v>
      </c>
      <c r="R358" s="68"/>
      <c r="S358" s="103"/>
      <c r="T358" s="103"/>
      <c r="U358" s="103"/>
      <c r="V358" s="103"/>
      <c r="W358" s="103"/>
      <c r="X358" s="103"/>
      <c r="Y358" s="103"/>
      <c r="Z358" s="217"/>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198"/>
      <c r="BJ358" s="198"/>
      <c r="BK358" s="198"/>
      <c r="BL358" s="198"/>
      <c r="BM358" s="198"/>
      <c r="BN358" s="19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2.75" hidden="1" customHeight="1" outlineLevel="2">
      <c r="A359" s="9"/>
      <c r="B359" s="9"/>
      <c r="C359" s="26"/>
      <c r="D359" s="391" t="s">
        <v>82</v>
      </c>
      <c r="E359" s="87"/>
      <c r="F359" s="27"/>
      <c r="G359" s="27"/>
      <c r="H359" s="103"/>
      <c r="I359" s="69"/>
      <c r="J359" s="69"/>
      <c r="K359" s="69"/>
      <c r="L359" s="69"/>
      <c r="M359" s="69"/>
      <c r="N359" s="69"/>
      <c r="O359" s="69"/>
      <c r="P359" s="69"/>
      <c r="Q359" s="69"/>
      <c r="R359" s="69"/>
      <c r="S359" s="103"/>
      <c r="T359" s="103"/>
      <c r="U359" s="103"/>
      <c r="V359" s="103"/>
      <c r="W359" s="103"/>
      <c r="X359" s="103"/>
      <c r="Y359" s="103"/>
      <c r="Z359" s="217"/>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198"/>
      <c r="BJ359" s="198"/>
      <c r="BK359" s="198"/>
      <c r="BL359" s="198"/>
      <c r="BM359" s="198"/>
      <c r="BN359" s="198"/>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2.75" hidden="1" customHeight="1" outlineLevel="2">
      <c r="A360" s="9"/>
      <c r="B360" s="9"/>
      <c r="C360" s="26"/>
      <c r="D360" s="392"/>
      <c r="E360" s="87">
        <v>1</v>
      </c>
      <c r="F360" s="27"/>
      <c r="G360" s="27"/>
      <c r="H360" s="145"/>
      <c r="I360" s="69" t="str">
        <f>IF(A23taxstdlife="n/a","n/a",IF(I$3&gt;(A23taxstdlife+$E360),(Input!$H$165-Input!$H$199)-SUM($H360:H360),(Input!$H$165-Input!$H$199)/A23taxstdlife))</f>
        <v>n/a</v>
      </c>
      <c r="J360" s="69" t="str">
        <f>IF(A23taxstdlife="n/a","n/a",IF(J$3&gt;(A23taxstdlife+$E360),(Input!$H$165-Input!$H$199)-SUM($H360:I360),(Input!$H$165-Input!$H$199)/A23taxstdlife))</f>
        <v>n/a</v>
      </c>
      <c r="K360" s="69" t="str">
        <f>IF(A23taxstdlife="n/a","n/a",IF(K$3&gt;(A23taxstdlife+$E360),(Input!$H$165-Input!$H$199)-SUM($H360:J360),(Input!$H$165-Input!$H$199)/A23taxstdlife))</f>
        <v>n/a</v>
      </c>
      <c r="L360" s="69" t="str">
        <f>IF(A23taxstdlife="n/a","n/a",IF(L$3&gt;(A23taxstdlife+$E360),(Input!$H$165-Input!$H$199)-SUM($H360:K360),(Input!$H$165-Input!$H$199)/A23taxstdlife))</f>
        <v>n/a</v>
      </c>
      <c r="M360" s="69" t="str">
        <f>IF(A23taxstdlife="n/a","n/a",IF(M$3&gt;(A23taxstdlife+$E360),(Input!$H$165-Input!$H$199)-SUM($H360:L360),(Input!$H$165-Input!$H$199)/A23taxstdlife))</f>
        <v>n/a</v>
      </c>
      <c r="N360" s="69" t="str">
        <f>IF(A23taxstdlife="n/a","n/a",IF(N$3&gt;(A23taxstdlife+$E360),(Input!$H$165-Input!$H$199)-SUM($H360:M360),(Input!$H$165-Input!$H$199)/A23taxstdlife))</f>
        <v>n/a</v>
      </c>
      <c r="O360" s="69" t="str">
        <f>IF(A23taxstdlife="n/a","n/a",IF(O$3&gt;(A23taxstdlife+$E360),(Input!$H$165-Input!$H$199)-SUM($H360:N360),(Input!$H$165-Input!$H$199)/A23taxstdlife))</f>
        <v>n/a</v>
      </c>
      <c r="P360" s="69" t="str">
        <f>IF(A23taxstdlife="n/a","n/a",IF(P$3&gt;(A23taxstdlife+$E360),(Input!$H$165-Input!$H$199)-SUM($H360:O360),(Input!$H$165-Input!$H$199)/A23taxstdlife))</f>
        <v>n/a</v>
      </c>
      <c r="Q360" s="69" t="str">
        <f>IF(A23taxstdlife="n/a","n/a",IF(Q$3&gt;(A23taxstdlife+$E360),(Input!$H$165-Input!$H$199)-SUM($H360:P360),(Input!$H$165-Input!$H$199)/A23taxstdlife))</f>
        <v>n/a</v>
      </c>
      <c r="R360" s="69"/>
      <c r="S360" s="103"/>
      <c r="T360" s="103"/>
      <c r="U360" s="103"/>
      <c r="V360" s="103"/>
      <c r="W360" s="103"/>
      <c r="X360" s="103"/>
      <c r="Y360" s="103"/>
      <c r="Z360" s="217"/>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198"/>
      <c r="BJ360" s="198"/>
      <c r="BK360" s="198"/>
      <c r="BL360" s="198"/>
      <c r="BM360" s="198"/>
      <c r="BN360" s="198"/>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2.75" hidden="1" customHeight="1" outlineLevel="2">
      <c r="A361" s="9"/>
      <c r="B361" s="9"/>
      <c r="C361" s="26"/>
      <c r="D361" s="392"/>
      <c r="E361" s="87">
        <v>2</v>
      </c>
      <c r="F361" s="27"/>
      <c r="G361" s="27"/>
      <c r="H361" s="146"/>
      <c r="I361" s="147"/>
      <c r="J361" s="69" t="str">
        <f>IF(A23taxstdlife="n/a","n/a",IF(J$3&gt;(A23taxstdlife+$E361),(Input!$I$165-Input!$I$199)-SUM($I361:I361),(Input!$I$165-Input!$I$199)/A23taxstdlife))</f>
        <v>n/a</v>
      </c>
      <c r="K361" s="69" t="str">
        <f>IF(A23taxstdlife="n/a","n/a",IF(K$3&gt;(A23taxstdlife+$E361),(Input!$I$165-Input!$I$199)-SUM($I361:J361),(Input!$I$165-Input!$I$199)/A23taxstdlife))</f>
        <v>n/a</v>
      </c>
      <c r="L361" s="69" t="str">
        <f>IF(A23taxstdlife="n/a","n/a",IF(L$3&gt;(A23taxstdlife+$E361),(Input!$I$165-Input!$I$199)-SUM($I361:K361),(Input!$I$165-Input!$I$199)/A23taxstdlife))</f>
        <v>n/a</v>
      </c>
      <c r="M361" s="69" t="str">
        <f>IF(A23taxstdlife="n/a","n/a",IF(M$3&gt;(A23taxstdlife+$E361),(Input!$I$165-Input!$I$199)-SUM($I361:L361),(Input!$I$165-Input!$I$199)/A23taxstdlife))</f>
        <v>n/a</v>
      </c>
      <c r="N361" s="69" t="str">
        <f>IF(A23taxstdlife="n/a","n/a",IF(N$3&gt;(A23taxstdlife+$E361),(Input!$I$165-Input!$I$199)-SUM($I361:M361),(Input!$I$165-Input!$I$199)/A23taxstdlife))</f>
        <v>n/a</v>
      </c>
      <c r="O361" s="69" t="str">
        <f>IF(A23taxstdlife="n/a","n/a",IF(O$3&gt;(A23taxstdlife+$E361),(Input!$I$165-Input!$I$199)-SUM($I361:N361),(Input!$I$165-Input!$I$199)/A23taxstdlife))</f>
        <v>n/a</v>
      </c>
      <c r="P361" s="69" t="str">
        <f>IF(A23taxstdlife="n/a","n/a",IF(P$3&gt;(A23taxstdlife+$E361),(Input!$I$165-Input!$I$199)-SUM($I361:O361),(Input!$I$165-Input!$I$199)/A23taxstdlife))</f>
        <v>n/a</v>
      </c>
      <c r="Q361" s="69" t="str">
        <f>IF(A23taxstdlife="n/a","n/a",IF(Q$3&gt;(A23taxstdlife+$E361),(Input!$I$165-Input!$I$199)-SUM($I361:P361),(Input!$I$165-Input!$I$199)/A23taxstdlife))</f>
        <v>n/a</v>
      </c>
      <c r="R361" s="69"/>
      <c r="S361" s="103"/>
      <c r="T361" s="103"/>
      <c r="U361" s="103"/>
      <c r="V361" s="103"/>
      <c r="W361" s="103"/>
      <c r="X361" s="103"/>
      <c r="Y361" s="103"/>
      <c r="Z361" s="217"/>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198"/>
      <c r="BJ361" s="198"/>
      <c r="BK361" s="198"/>
      <c r="BL361" s="198"/>
      <c r="BM361" s="198"/>
      <c r="BN361" s="198"/>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2.75" hidden="1" customHeight="1" outlineLevel="2">
      <c r="A362" s="9"/>
      <c r="B362" s="9"/>
      <c r="C362" s="26"/>
      <c r="D362" s="392"/>
      <c r="E362" s="87">
        <v>3</v>
      </c>
      <c r="F362" s="27"/>
      <c r="G362" s="27"/>
      <c r="H362" s="146"/>
      <c r="I362" s="148"/>
      <c r="J362" s="147"/>
      <c r="K362" s="69" t="str">
        <f>IF(A23taxstdlife="n/a","n/a",IF(K$3&gt;(A23taxstdlife+$E362),(Input!$J$165-Input!$J$199)-SUM($J362:J362),(Input!$J$165-Input!$J$199)/A23taxstdlife))</f>
        <v>n/a</v>
      </c>
      <c r="L362" s="69" t="str">
        <f>IF(A23taxstdlife="n/a","n/a",IF(L$3&gt;(A23taxstdlife+$E362),(Input!$J$165-Input!$J$199)-SUM($J362:K362),(Input!$J$165-Input!$J$199)/A23taxstdlife))</f>
        <v>n/a</v>
      </c>
      <c r="M362" s="69" t="str">
        <f>IF(A23taxstdlife="n/a","n/a",IF(M$3&gt;(A23taxstdlife+$E362),(Input!$J$165-Input!$J$199)-SUM($J362:L362),(Input!$J$165-Input!$J$199)/A23taxstdlife))</f>
        <v>n/a</v>
      </c>
      <c r="N362" s="69" t="str">
        <f>IF(A23taxstdlife="n/a","n/a",IF(N$3&gt;(A23taxstdlife+$E362),(Input!$J$165-Input!$J$199)-SUM($J362:M362),(Input!$J$165-Input!$J$199)/A23taxstdlife))</f>
        <v>n/a</v>
      </c>
      <c r="O362" s="69" t="str">
        <f>IF(A23taxstdlife="n/a","n/a",IF(O$3&gt;(A23taxstdlife+$E362),(Input!$J$165-Input!$J$199)-SUM($J362:N362),(Input!$J$165-Input!$J$199)/A23taxstdlife))</f>
        <v>n/a</v>
      </c>
      <c r="P362" s="69" t="str">
        <f>IF(A23taxstdlife="n/a","n/a",IF(P$3&gt;(A23taxstdlife+$E362),(Input!$J$165-Input!$J$199)-SUM($J362:O362),(Input!$J$165-Input!$J$199)/A23taxstdlife))</f>
        <v>n/a</v>
      </c>
      <c r="Q362" s="69" t="str">
        <f>IF(A23taxstdlife="n/a","n/a",IF(Q$3&gt;(A23taxstdlife+$E362),(Input!$J$165-Input!$J$199)-SUM($J362:P362),(Input!$J$165-Input!$J$199)/A23taxstdlife))</f>
        <v>n/a</v>
      </c>
      <c r="R362" s="69"/>
      <c r="S362" s="103"/>
      <c r="T362" s="103"/>
      <c r="U362" s="103"/>
      <c r="V362" s="103"/>
      <c r="W362" s="103"/>
      <c r="X362" s="103"/>
      <c r="Y362" s="103"/>
      <c r="Z362" s="217"/>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9"/>
      <c r="BJ362" s="198"/>
      <c r="BK362" s="198"/>
      <c r="BL362" s="198"/>
      <c r="BM362" s="198"/>
      <c r="BN362" s="198"/>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2.75" hidden="1" customHeight="1" outlineLevel="2">
      <c r="A363" s="9"/>
      <c r="B363" s="9"/>
      <c r="C363" s="26"/>
      <c r="D363" s="392"/>
      <c r="E363" s="87">
        <v>4</v>
      </c>
      <c r="F363" s="27"/>
      <c r="G363" s="27"/>
      <c r="H363" s="146"/>
      <c r="I363" s="148"/>
      <c r="J363" s="148"/>
      <c r="K363" s="147"/>
      <c r="L363" s="69" t="str">
        <f>IF(A23taxstdlife="n/a","n/a",IF(L$3&gt;(A23taxstdlife+$E363),(Input!$K$165-Input!$K$199)-SUM($K363:K363),(Input!$K$165-Input!$K$199)/A23taxstdlife))</f>
        <v>n/a</v>
      </c>
      <c r="M363" s="69" t="str">
        <f>IF(A23taxstdlife="n/a","n/a",IF(M$3&gt;(A23taxstdlife+$E363),(Input!$K$165-Input!$K$199)-SUM($K363:L363),(Input!$K$165-Input!$K$199)/A23taxstdlife))</f>
        <v>n/a</v>
      </c>
      <c r="N363" s="69" t="str">
        <f>IF(A23taxstdlife="n/a","n/a",IF(N$3&gt;(A23taxstdlife+$E363),(Input!$K$165-Input!$K$199)-SUM($K363:M363),(Input!$K$165-Input!$K$199)/A23taxstdlife))</f>
        <v>n/a</v>
      </c>
      <c r="O363" s="69" t="str">
        <f>IF(A23taxstdlife="n/a","n/a",IF(O$3&gt;(A23taxstdlife+$E363),(Input!$K$165-Input!$K$199)-SUM($K363:N363),(Input!$K$165-Input!$K$199)/A23taxstdlife))</f>
        <v>n/a</v>
      </c>
      <c r="P363" s="69" t="str">
        <f>IF(A23taxstdlife="n/a","n/a",IF(P$3&gt;(A23taxstdlife+$E363),(Input!$K$165-Input!$K$199)-SUM($K363:O363),(Input!$K$165-Input!$K$199)/A23taxstdlife))</f>
        <v>n/a</v>
      </c>
      <c r="Q363" s="69" t="str">
        <f>IF(A23taxstdlife="n/a","n/a",IF(Q$3&gt;(A23taxstdlife+$E363),(Input!$K$165-Input!$K$199)-SUM($K363:P363),(Input!$K$165-Input!$K$199)/A23taxstdlife))</f>
        <v>n/a</v>
      </c>
      <c r="R363" s="69"/>
      <c r="S363" s="103"/>
      <c r="T363" s="103"/>
      <c r="U363" s="103"/>
      <c r="V363" s="103"/>
      <c r="W363" s="103"/>
      <c r="X363" s="103"/>
      <c r="Y363" s="103"/>
      <c r="Z363" s="217"/>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198"/>
      <c r="BJ363" s="198"/>
      <c r="BK363" s="198"/>
      <c r="BL363" s="198"/>
      <c r="BM363" s="198"/>
      <c r="BN363" s="198"/>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2.75" hidden="1" customHeight="1" outlineLevel="2">
      <c r="A364" s="9"/>
      <c r="B364" s="9"/>
      <c r="C364" s="26"/>
      <c r="D364" s="392"/>
      <c r="E364" s="87">
        <v>5</v>
      </c>
      <c r="F364" s="27"/>
      <c r="G364" s="27"/>
      <c r="H364" s="146"/>
      <c r="I364" s="148"/>
      <c r="J364" s="148"/>
      <c r="K364" s="148"/>
      <c r="L364" s="147"/>
      <c r="M364" s="69" t="str">
        <f>IF(A23taxstdlife="n/a","n/a",IF(M$3&gt;(A23taxstdlife+$E364),(Input!$L$165-Input!$L$199)-SUM($L364:L364),(Input!$L$165-Input!$L$199)/A23taxstdlife))</f>
        <v>n/a</v>
      </c>
      <c r="N364" s="69" t="str">
        <f>IF(A23taxstdlife="n/a","n/a",IF(N$3&gt;(A23taxstdlife+$E364),(Input!$L$165-Input!$L$199)-SUM($L364:M364),(Input!$L$165-Input!$L$199)/A23taxstdlife))</f>
        <v>n/a</v>
      </c>
      <c r="O364" s="69" t="str">
        <f>IF(A23taxstdlife="n/a","n/a",IF(O$3&gt;(A23taxstdlife+$E364),(Input!$L$165-Input!$L$199)-SUM($L364:N364),(Input!$L$165-Input!$L$199)/A23taxstdlife))</f>
        <v>n/a</v>
      </c>
      <c r="P364" s="69" t="str">
        <f>IF(A23taxstdlife="n/a","n/a",IF(P$3&gt;(A23taxstdlife+$E364),(Input!$L$165-Input!$L$199)-SUM($L364:O364),(Input!$L$165-Input!$L$199)/A23taxstdlife))</f>
        <v>n/a</v>
      </c>
      <c r="Q364" s="69" t="str">
        <f>IF(A23taxstdlife="n/a","n/a",IF(Q$3&gt;(A23taxstdlife+$E364),(Input!$L$165-Input!$L$199)-SUM($L364:P364),(Input!$L$165-Input!$L$199)/A23taxstdlife))</f>
        <v>n/a</v>
      </c>
      <c r="R364" s="69"/>
      <c r="S364" s="103"/>
      <c r="T364" s="103"/>
      <c r="U364" s="103"/>
      <c r="V364" s="103"/>
      <c r="W364" s="103"/>
      <c r="X364" s="103"/>
      <c r="Y364" s="103"/>
      <c r="Z364" s="217"/>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198"/>
      <c r="BJ364" s="198"/>
      <c r="BK364" s="198"/>
      <c r="BL364" s="198"/>
      <c r="BM364" s="198"/>
      <c r="BN364" s="198"/>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2.75" hidden="1" customHeight="1" outlineLevel="2">
      <c r="A365" s="9"/>
      <c r="B365" s="9"/>
      <c r="C365" s="26"/>
      <c r="D365" s="392"/>
      <c r="E365" s="87">
        <v>6</v>
      </c>
      <c r="F365" s="27"/>
      <c r="G365" s="27"/>
      <c r="H365" s="146"/>
      <c r="I365" s="148"/>
      <c r="J365" s="148"/>
      <c r="K365" s="148"/>
      <c r="L365" s="148"/>
      <c r="M365" s="147"/>
      <c r="N365" s="69" t="str">
        <f>IF(A23taxstdlife="n/a","n/a",IF(N$3&gt;(A23taxstdlife+$E365),(Input!$M$165-Input!$M$199)-SUM($M365:M365),(Input!$M$165-Input!$M$199)/A23taxstdlife))</f>
        <v>n/a</v>
      </c>
      <c r="O365" s="69" t="str">
        <f>IF(A23taxstdlife="n/a","n/a",IF(O$3&gt;(A23taxstdlife+$E365),(Input!$M$165-Input!$M$199)-SUM($M365:N365),(Input!$M$165-Input!$M$199)/A23taxstdlife))</f>
        <v>n/a</v>
      </c>
      <c r="P365" s="69" t="str">
        <f>IF(A23taxstdlife="n/a","n/a",IF(P$3&gt;(A23taxstdlife+$E365),(Input!$M$165-Input!$M$199)-SUM($M365:O365),(Input!$M$165-Input!$M$199)/A23taxstdlife))</f>
        <v>n/a</v>
      </c>
      <c r="Q365" s="69" t="str">
        <f>IF(A23taxstdlife="n/a","n/a",IF(Q$3&gt;(A23taxstdlife+$E365),(Input!$M$165-Input!$M$199)-SUM($M365:P365),(Input!$M$165-Input!$M$199)/A23taxstdlife))</f>
        <v>n/a</v>
      </c>
      <c r="R365" s="69"/>
      <c r="S365" s="103"/>
      <c r="T365" s="103"/>
      <c r="U365" s="103"/>
      <c r="V365" s="103"/>
      <c r="W365" s="103"/>
      <c r="X365" s="103"/>
      <c r="Y365" s="103"/>
      <c r="Z365" s="217"/>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198"/>
      <c r="BJ365" s="198"/>
      <c r="BK365" s="198"/>
      <c r="BL365" s="198"/>
      <c r="BM365" s="198"/>
      <c r="BN365" s="198"/>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2.75" hidden="1" customHeight="1" outlineLevel="2">
      <c r="A366" s="9"/>
      <c r="B366" s="9"/>
      <c r="C366" s="26"/>
      <c r="D366" s="392"/>
      <c r="E366" s="87">
        <v>7</v>
      </c>
      <c r="F366" s="27"/>
      <c r="G366" s="27"/>
      <c r="H366" s="146"/>
      <c r="I366" s="148"/>
      <c r="J366" s="148"/>
      <c r="K366" s="148"/>
      <c r="L366" s="148"/>
      <c r="M366" s="148"/>
      <c r="N366" s="147"/>
      <c r="O366" s="69" t="str">
        <f>IF(A23taxstdlife="n/a","n/a",IF(O$3&gt;(A23taxstdlife+$E366),(Input!$N$165-Input!$N$199)-SUM($N366:N366),(Input!$N$165-Input!$N$199)/A23taxstdlife))</f>
        <v>n/a</v>
      </c>
      <c r="P366" s="69" t="str">
        <f>IF(A23taxstdlife="n/a","n/a",IF(P$3&gt;(A23taxstdlife+$E366),(Input!$N$165-Input!$N$199)-SUM($N366:O366),(Input!$N$165-Input!$N$199)/A23taxstdlife))</f>
        <v>n/a</v>
      </c>
      <c r="Q366" s="69" t="str">
        <f>IF(A23taxstdlife="n/a","n/a",IF(Q$3&gt;(A23taxstdlife+$E366),(Input!$N$165-Input!$N$199)-SUM($N366:P366),(Input!$N$165-Input!$N$199)/A23taxstdlife))</f>
        <v>n/a</v>
      </c>
      <c r="R366" s="69"/>
      <c r="S366" s="103"/>
      <c r="T366" s="103"/>
      <c r="U366" s="103"/>
      <c r="V366" s="103"/>
      <c r="W366" s="103"/>
      <c r="X366" s="103"/>
      <c r="Y366" s="103"/>
      <c r="Z366" s="217"/>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198"/>
      <c r="BJ366" s="198"/>
      <c r="BK366" s="198"/>
      <c r="BL366" s="198"/>
      <c r="BM366" s="198"/>
      <c r="BN366" s="198"/>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2.75" hidden="1" customHeight="1" outlineLevel="2">
      <c r="A367" s="9"/>
      <c r="B367" s="9"/>
      <c r="C367" s="26"/>
      <c r="D367" s="392"/>
      <c r="E367" s="87">
        <v>8</v>
      </c>
      <c r="F367" s="27"/>
      <c r="G367" s="27"/>
      <c r="H367" s="146"/>
      <c r="I367" s="148"/>
      <c r="J367" s="148"/>
      <c r="K367" s="148"/>
      <c r="L367" s="148"/>
      <c r="M367" s="148"/>
      <c r="N367" s="148"/>
      <c r="O367" s="147"/>
      <c r="P367" s="69" t="str">
        <f>IF(A23taxstdlife="n/a","n/a",IF(P$3&gt;(A23taxstdlife+$E367),(Input!$O$165-Input!$O$199)-SUM($O367:O367),(Input!$O$165-Input!$O$199)/A23taxstdlife))</f>
        <v>n/a</v>
      </c>
      <c r="Q367" s="69" t="str">
        <f>IF(A23taxstdlife="n/a","n/a",IF(Q$3&gt;(A23taxstdlife+$E367),(Input!$O$165-Input!$O$199)-SUM($O367:P367),(Input!$O$165-Input!$O$199)/A23taxstdlife))</f>
        <v>n/a</v>
      </c>
      <c r="R367" s="69"/>
      <c r="S367" s="103"/>
      <c r="T367" s="103"/>
      <c r="U367" s="103"/>
      <c r="V367" s="103"/>
      <c r="W367" s="103"/>
      <c r="X367" s="103"/>
      <c r="Y367" s="103"/>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198"/>
      <c r="BJ367" s="198"/>
      <c r="BK367" s="198"/>
      <c r="BL367" s="198"/>
      <c r="BM367" s="198"/>
      <c r="BN367" s="198"/>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2.75" hidden="1" customHeight="1" outlineLevel="2">
      <c r="A368" s="9"/>
      <c r="B368" s="9"/>
      <c r="C368" s="26"/>
      <c r="D368" s="392"/>
      <c r="E368" s="87">
        <v>9</v>
      </c>
      <c r="F368" s="27"/>
      <c r="G368" s="27"/>
      <c r="H368" s="146"/>
      <c r="I368" s="148"/>
      <c r="J368" s="148"/>
      <c r="K368" s="148"/>
      <c r="L368" s="148"/>
      <c r="M368" s="148"/>
      <c r="N368" s="148"/>
      <c r="O368" s="148"/>
      <c r="P368" s="147"/>
      <c r="Q368" s="69" t="str">
        <f>IF(A23taxstdlife="n/a","n/a",IF(Q$3&gt;(A23taxstdlife+$E368),(Input!$P$165-Input!$P$199)-SUM($P368:P368),(Input!$P$165-Input!$P$199)/A23taxstdlife))</f>
        <v>n/a</v>
      </c>
      <c r="R368" s="69"/>
      <c r="S368" s="103"/>
      <c r="T368" s="103"/>
      <c r="U368" s="103"/>
      <c r="V368" s="103"/>
      <c r="W368" s="103"/>
      <c r="X368" s="103"/>
      <c r="Y368" s="103"/>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198"/>
      <c r="BJ368" s="198"/>
      <c r="BK368" s="198"/>
      <c r="BL368" s="198"/>
      <c r="BM368" s="198"/>
      <c r="BN368" s="19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2.75" hidden="1" customHeight="1" outlineLevel="2">
      <c r="A369" s="9"/>
      <c r="B369" s="9"/>
      <c r="C369" s="26"/>
      <c r="D369" s="392"/>
      <c r="E369" s="88">
        <v>10</v>
      </c>
      <c r="F369" s="27"/>
      <c r="G369" s="27"/>
      <c r="H369" s="146"/>
      <c r="I369" s="148"/>
      <c r="J369" s="148"/>
      <c r="K369" s="148"/>
      <c r="L369" s="148"/>
      <c r="M369" s="148"/>
      <c r="N369" s="148"/>
      <c r="O369" s="148"/>
      <c r="P369" s="148"/>
      <c r="Q369" s="147"/>
      <c r="R369" s="69"/>
      <c r="S369" s="103"/>
      <c r="T369" s="103"/>
      <c r="U369" s="103"/>
      <c r="V369" s="103"/>
      <c r="W369" s="103"/>
      <c r="X369" s="103"/>
      <c r="Y369" s="103"/>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198"/>
      <c r="BJ369" s="198"/>
      <c r="BK369" s="198"/>
      <c r="BL369" s="198"/>
      <c r="BM369" s="198"/>
      <c r="BN369" s="198"/>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idden="1" outlineLevel="1" collapsed="1">
      <c r="A370" s="9"/>
      <c r="B370" s="9"/>
      <c r="C370" s="271">
        <f>Asset23</f>
        <v>0</v>
      </c>
      <c r="D370" s="9"/>
      <c r="E370" s="9"/>
      <c r="F370" s="23"/>
      <c r="G370" s="23"/>
      <c r="H370" s="297">
        <f>-SUM(H358:H369)</f>
        <v>0</v>
      </c>
      <c r="I370" s="161">
        <f>-SUM(I358:I369)</f>
        <v>0</v>
      </c>
      <c r="J370" s="161">
        <f>-SUM(J358:J369)</f>
        <v>0</v>
      </c>
      <c r="K370" s="161">
        <f>-SUM(K358:K369)</f>
        <v>0</v>
      </c>
      <c r="L370" s="161">
        <f>-SUM(L358:L369)</f>
        <v>0</v>
      </c>
      <c r="M370" s="161">
        <f>IF(COUNT($H370:L370)&gt;=Input!$Y$7,0, -SUM(M358:M369))</f>
        <v>0</v>
      </c>
      <c r="N370" s="161">
        <f>IF(COUNT($H370:M370)&gt;=Input!$Y$7,0, -SUM(N358:N369))</f>
        <v>0</v>
      </c>
      <c r="O370" s="161">
        <f>IF(COUNT($H370:N370)&gt;=Input!$Y$7,0, -SUM(O358:O369))</f>
        <v>0</v>
      </c>
      <c r="P370" s="161">
        <f>IF(COUNT($H370:O370)&gt;=Input!$Y$7,0, -SUM(P358:P369))</f>
        <v>0</v>
      </c>
      <c r="Q370" s="161">
        <f>IF(COUNT($H370:P370)&gt;=Input!$Y$7,0, -SUM(Q358:Q369))</f>
        <v>0</v>
      </c>
      <c r="R370" s="161"/>
      <c r="S370" s="102"/>
      <c r="T370" s="102"/>
      <c r="U370" s="102"/>
      <c r="V370" s="102"/>
      <c r="W370" s="102"/>
      <c r="X370" s="102"/>
      <c r="Y370" s="102"/>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198"/>
      <c r="BJ370" s="198"/>
      <c r="BK370" s="198"/>
      <c r="BL370" s="198"/>
      <c r="BM370" s="198"/>
      <c r="BN370" s="198"/>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2.75" hidden="1" customHeight="1" outlineLevel="2">
      <c r="A371" s="9"/>
      <c r="B371" s="272">
        <f>Asset24</f>
        <v>0</v>
      </c>
      <c r="C371" s="31"/>
      <c r="D371" s="32" t="s">
        <v>66</v>
      </c>
      <c r="E371" s="31"/>
      <c r="F371" s="300"/>
      <c r="G371" s="300"/>
      <c r="H371" s="68" t="str">
        <f>IF(H$3&gt;A24taxremlife,A24taxvalue-SUM($F371:F371),IF(A24taxremlife="N/A","n/a",A24taxvalue/A24taxremlife))</f>
        <v>n/a</v>
      </c>
      <c r="I371" s="68" t="str">
        <f>IF(I$3&gt;A24taxremlife,A24taxvalue-SUM($F371:H371),IF(A24taxremlife="N/A","n/a",A24taxvalue/A24taxremlife))</f>
        <v>n/a</v>
      </c>
      <c r="J371" s="68" t="str">
        <f>IF(J$3&gt;A24taxremlife,A24taxvalue-SUM($F371:I371),IF(A24taxremlife="N/A","n/a",A24taxvalue/A24taxremlife))</f>
        <v>n/a</v>
      </c>
      <c r="K371" s="68" t="str">
        <f>IF(K$3&gt;A24taxremlife,A24taxvalue-SUM($F371:J371),IF(A24taxremlife="N/A","n/a",A24taxvalue/A24taxremlife))</f>
        <v>n/a</v>
      </c>
      <c r="L371" s="68" t="str">
        <f>IF(L$3&gt;A24taxremlife,A24taxvalue-SUM($F371:K371),IF(A24taxremlife="N/A","n/a",A24taxvalue/A24taxremlife))</f>
        <v>n/a</v>
      </c>
      <c r="M371" s="68" t="str">
        <f>IF(M$3&gt;A24taxremlife,A24taxvalue-SUM($F371:L371),IF(A24taxremlife="N/A","n/a",A24taxvalue/A24taxremlife))</f>
        <v>n/a</v>
      </c>
      <c r="N371" s="68" t="str">
        <f>IF(N$3&gt;A24taxremlife,A24taxvalue-SUM($F371:M371),IF(A24taxremlife="N/A","n/a",A24taxvalue/A24taxremlife))</f>
        <v>n/a</v>
      </c>
      <c r="O371" s="68" t="str">
        <f>IF(O$3&gt;A24taxremlife,A24taxvalue-SUM($F371:N371),IF(A24taxremlife="N/A","n/a",A24taxvalue/A24taxremlife))</f>
        <v>n/a</v>
      </c>
      <c r="P371" s="68" t="str">
        <f>IF(P$3&gt;A24taxremlife,A24taxvalue-SUM($F371:O371),IF(A24taxremlife="N/A","n/a",A24taxvalue/A24taxremlife))</f>
        <v>n/a</v>
      </c>
      <c r="Q371" s="68" t="str">
        <f>IF(Q$3&gt;A24taxremlife,A24taxvalue-SUM($F371:P371),IF(A24taxremlife="N/A","n/a",A24taxvalue/A24taxremlife))</f>
        <v>n/a</v>
      </c>
      <c r="R371" s="68"/>
      <c r="S371" s="103"/>
      <c r="T371" s="103"/>
      <c r="U371" s="103"/>
      <c r="V371" s="103"/>
      <c r="W371" s="103"/>
      <c r="X371" s="103"/>
      <c r="Y371" s="103"/>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198"/>
      <c r="BJ371" s="198"/>
      <c r="BK371" s="198"/>
      <c r="BL371" s="198"/>
      <c r="BM371" s="198"/>
      <c r="BN371" s="198"/>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2.75" hidden="1" customHeight="1" outlineLevel="2">
      <c r="A372" s="9"/>
      <c r="B372" s="9"/>
      <c r="C372" s="26"/>
      <c r="D372" s="391" t="s">
        <v>82</v>
      </c>
      <c r="E372" s="87"/>
      <c r="F372" s="27"/>
      <c r="G372" s="27"/>
      <c r="H372" s="103"/>
      <c r="I372" s="69"/>
      <c r="J372" s="69"/>
      <c r="K372" s="69"/>
      <c r="L372" s="69"/>
      <c r="M372" s="69"/>
      <c r="N372" s="69"/>
      <c r="O372" s="69"/>
      <c r="P372" s="69"/>
      <c r="Q372" s="69"/>
      <c r="R372" s="69"/>
      <c r="S372" s="103"/>
      <c r="T372" s="103"/>
      <c r="U372" s="103"/>
      <c r="V372" s="103"/>
      <c r="W372" s="103"/>
      <c r="X372" s="103"/>
      <c r="Y372" s="103"/>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198"/>
      <c r="BJ372" s="198"/>
      <c r="BK372" s="198"/>
      <c r="BL372" s="198"/>
      <c r="BM372" s="198"/>
      <c r="BN372" s="198"/>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2.75" hidden="1" customHeight="1" outlineLevel="2">
      <c r="A373" s="9"/>
      <c r="B373" s="9"/>
      <c r="C373" s="26"/>
      <c r="D373" s="392"/>
      <c r="E373" s="87">
        <v>1</v>
      </c>
      <c r="F373" s="27"/>
      <c r="G373" s="27"/>
      <c r="H373" s="145"/>
      <c r="I373" s="69" t="str">
        <f>IF(A24taxstdlife="n/a","n/a",IF(I$3&gt;(A24taxstdlife+$E373),(Input!$H$166-Input!$H$200)-SUM($H373:H373),(Input!$H$166-Input!$H$200)/A24taxstdlife))</f>
        <v>n/a</v>
      </c>
      <c r="J373" s="69" t="str">
        <f>IF(A24taxstdlife="n/a","n/a",IF(J$3&gt;(A24taxstdlife+$E373),(Input!$H$166-Input!$H$200)-SUM($H373:I373),(Input!$H$166-Input!$H$200)/A24taxstdlife))</f>
        <v>n/a</v>
      </c>
      <c r="K373" s="69" t="str">
        <f>IF(A24taxstdlife="n/a","n/a",IF(K$3&gt;(A24taxstdlife+$E373),(Input!$H$166-Input!$H$200)-SUM($H373:J373),(Input!$H$166-Input!$H$200)/A24taxstdlife))</f>
        <v>n/a</v>
      </c>
      <c r="L373" s="69" t="str">
        <f>IF(A24taxstdlife="n/a","n/a",IF(L$3&gt;(A24taxstdlife+$E373),(Input!$H$166-Input!$H$200)-SUM($H373:K373),(Input!$H$166-Input!$H$200)/A24taxstdlife))</f>
        <v>n/a</v>
      </c>
      <c r="M373" s="69" t="str">
        <f>IF(A24taxstdlife="n/a","n/a",IF(M$3&gt;(A24taxstdlife+$E373),(Input!$H$166-Input!$H$200)-SUM($H373:L373),(Input!$H$166-Input!$H$200)/A24taxstdlife))</f>
        <v>n/a</v>
      </c>
      <c r="N373" s="69" t="str">
        <f>IF(A24taxstdlife="n/a","n/a",IF(N$3&gt;(A24taxstdlife+$E373),(Input!$H$166-Input!$H$200)-SUM($H373:M373),(Input!$H$166-Input!$H$200)/A24taxstdlife))</f>
        <v>n/a</v>
      </c>
      <c r="O373" s="69" t="str">
        <f>IF(A24taxstdlife="n/a","n/a",IF(O$3&gt;(A24taxstdlife+$E373),(Input!$H$166-Input!$H$200)-SUM($H373:N373),(Input!$H$166-Input!$H$200)/A24taxstdlife))</f>
        <v>n/a</v>
      </c>
      <c r="P373" s="69" t="str">
        <f>IF(A24taxstdlife="n/a","n/a",IF(P$3&gt;(A24taxstdlife+$E373),(Input!$H$166-Input!$H$200)-SUM($H373:O373),(Input!$H$166-Input!$H$200)/A24taxstdlife))</f>
        <v>n/a</v>
      </c>
      <c r="Q373" s="69" t="str">
        <f>IF(A24taxstdlife="n/a","n/a",IF(Q$3&gt;(A24taxstdlife+$E373),(Input!$H$166-Input!$H$200)-SUM($H373:P373),(Input!$H$166-Input!$H$200)/A24taxstdlife))</f>
        <v>n/a</v>
      </c>
      <c r="R373" s="69"/>
      <c r="S373" s="103"/>
      <c r="T373" s="103"/>
      <c r="U373" s="103"/>
      <c r="V373" s="103"/>
      <c r="W373" s="103"/>
      <c r="X373" s="103"/>
      <c r="Y373" s="103"/>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198"/>
      <c r="BJ373" s="198"/>
      <c r="BK373" s="198"/>
      <c r="BL373" s="198"/>
      <c r="BM373" s="198"/>
      <c r="BN373" s="198"/>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2.75" hidden="1" customHeight="1" outlineLevel="2">
      <c r="A374" s="9"/>
      <c r="B374" s="9"/>
      <c r="C374" s="26"/>
      <c r="D374" s="392"/>
      <c r="E374" s="87">
        <v>2</v>
      </c>
      <c r="F374" s="27"/>
      <c r="G374" s="27"/>
      <c r="H374" s="146"/>
      <c r="I374" s="147"/>
      <c r="J374" s="69" t="str">
        <f>IF(A24taxstdlife="n/a","n/a",IF(J$3&gt;(A24taxstdlife+$E374),(Input!$I$166-Input!$I$200)-SUM($I374:I374),(Input!$I$166-Input!$I$200)/A24taxstdlife))</f>
        <v>n/a</v>
      </c>
      <c r="K374" s="69" t="str">
        <f>IF(A24taxstdlife="n/a","n/a",IF(K$3&gt;(A24taxstdlife+$E374),(Input!$I$166-Input!$I$200)-SUM($I374:J374),(Input!$I$166-Input!$I$200)/A24taxstdlife))</f>
        <v>n/a</v>
      </c>
      <c r="L374" s="69" t="str">
        <f>IF(A24taxstdlife="n/a","n/a",IF(L$3&gt;(A24taxstdlife+$E374),(Input!$I$166-Input!$I$200)-SUM($I374:K374),(Input!$I$166-Input!$I$200)/A24taxstdlife))</f>
        <v>n/a</v>
      </c>
      <c r="M374" s="69" t="str">
        <f>IF(A24taxstdlife="n/a","n/a",IF(M$3&gt;(A24taxstdlife+$E374),(Input!$I$166-Input!$I$200)-SUM($I374:L374),(Input!$I$166-Input!$I$200)/A24taxstdlife))</f>
        <v>n/a</v>
      </c>
      <c r="N374" s="69" t="str">
        <f>IF(A24taxstdlife="n/a","n/a",IF(N$3&gt;(A24taxstdlife+$E374),(Input!$I$166-Input!$I$200)-SUM($I374:M374),(Input!$I$166-Input!$I$200)/A24taxstdlife))</f>
        <v>n/a</v>
      </c>
      <c r="O374" s="69" t="str">
        <f>IF(A24taxstdlife="n/a","n/a",IF(O$3&gt;(A24taxstdlife+$E374),(Input!$I$166-Input!$I$200)-SUM($I374:N374),(Input!$I$166-Input!$I$200)/A24taxstdlife))</f>
        <v>n/a</v>
      </c>
      <c r="P374" s="69" t="str">
        <f>IF(A24taxstdlife="n/a","n/a",IF(P$3&gt;(A24taxstdlife+$E374),(Input!$I$166-Input!$I$200)-SUM($I374:O374),(Input!$I$166-Input!$I$200)/A24taxstdlife))</f>
        <v>n/a</v>
      </c>
      <c r="Q374" s="69" t="str">
        <f>IF(A24taxstdlife="n/a","n/a",IF(Q$3&gt;(A24taxstdlife+$E374),(Input!$I$166-Input!$I$200)-SUM($I374:P374),(Input!$I$166-Input!$I$200)/A24taxstdlife))</f>
        <v>n/a</v>
      </c>
      <c r="R374" s="69"/>
      <c r="S374" s="103"/>
      <c r="T374" s="103"/>
      <c r="U374" s="103"/>
      <c r="V374" s="103"/>
      <c r="W374" s="103"/>
      <c r="X374" s="103"/>
      <c r="Y374" s="103"/>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198"/>
      <c r="BJ374" s="198"/>
      <c r="BK374" s="198"/>
      <c r="BL374" s="198"/>
      <c r="BM374" s="198"/>
      <c r="BN374" s="198"/>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2.75" hidden="1" customHeight="1" outlineLevel="2">
      <c r="A375" s="9"/>
      <c r="B375" s="9"/>
      <c r="C375" s="26"/>
      <c r="D375" s="392"/>
      <c r="E375" s="87">
        <v>3</v>
      </c>
      <c r="F375" s="27"/>
      <c r="G375" s="27"/>
      <c r="H375" s="146"/>
      <c r="I375" s="148"/>
      <c r="J375" s="147"/>
      <c r="K375" s="69" t="str">
        <f>IF(A24taxstdlife="n/a","n/a",IF(K$3&gt;(A24taxstdlife+$E375),(Input!$J$166-Input!$J$200)-SUM($J375:J375),(Input!$J$166-Input!$J$200)/A24taxstdlife))</f>
        <v>n/a</v>
      </c>
      <c r="L375" s="69" t="str">
        <f>IF(A24taxstdlife="n/a","n/a",IF(L$3&gt;(A24taxstdlife+$E375),(Input!$J$166-Input!$J$200)-SUM($J375:K375),(Input!$J$166-Input!$J$200)/A24taxstdlife))</f>
        <v>n/a</v>
      </c>
      <c r="M375" s="69" t="str">
        <f>IF(A24taxstdlife="n/a","n/a",IF(M$3&gt;(A24taxstdlife+$E375),(Input!$J$166-Input!$J$200)-SUM($J375:L375),(Input!$J$166-Input!$J$200)/A24taxstdlife))</f>
        <v>n/a</v>
      </c>
      <c r="N375" s="69" t="str">
        <f>IF(A24taxstdlife="n/a","n/a",IF(N$3&gt;(A24taxstdlife+$E375),(Input!$J$166-Input!$J$200)-SUM($J375:M375),(Input!$J$166-Input!$J$200)/A24taxstdlife))</f>
        <v>n/a</v>
      </c>
      <c r="O375" s="69" t="str">
        <f>IF(A24taxstdlife="n/a","n/a",IF(O$3&gt;(A24taxstdlife+$E375),(Input!$J$166-Input!$J$200)-SUM($J375:N375),(Input!$J$166-Input!$J$200)/A24taxstdlife))</f>
        <v>n/a</v>
      </c>
      <c r="P375" s="69" t="str">
        <f>IF(A24taxstdlife="n/a","n/a",IF(P$3&gt;(A24taxstdlife+$E375),(Input!$J$166-Input!$J$200)-SUM($J375:O375),(Input!$J$166-Input!$J$200)/A24taxstdlife))</f>
        <v>n/a</v>
      </c>
      <c r="Q375" s="69" t="str">
        <f>IF(A24taxstdlife="n/a","n/a",IF(Q$3&gt;(A24taxstdlife+$E375),(Input!$J$166-Input!$J$200)-SUM($J375:P375),(Input!$J$166-Input!$J$200)/A24taxstdlife))</f>
        <v>n/a</v>
      </c>
      <c r="R375" s="69"/>
      <c r="S375" s="103"/>
      <c r="T375" s="103"/>
      <c r="U375" s="103"/>
      <c r="V375" s="103"/>
      <c r="W375" s="103"/>
      <c r="X375" s="103"/>
      <c r="Y375" s="103"/>
      <c r="Z375" s="217"/>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9"/>
      <c r="BJ375" s="198"/>
      <c r="BK375" s="198"/>
      <c r="BL375" s="198"/>
      <c r="BM375" s="198"/>
      <c r="BN375" s="198"/>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2.75" hidden="1" customHeight="1" outlineLevel="2">
      <c r="A376" s="9"/>
      <c r="B376" s="9"/>
      <c r="C376" s="26"/>
      <c r="D376" s="392"/>
      <c r="E376" s="87">
        <v>4</v>
      </c>
      <c r="F376" s="27"/>
      <c r="G376" s="27"/>
      <c r="H376" s="146"/>
      <c r="I376" s="148"/>
      <c r="J376" s="148"/>
      <c r="K376" s="147"/>
      <c r="L376" s="69" t="str">
        <f>IF(A24taxstdlife="n/a","n/a",IF(L$3&gt;(A24taxstdlife+$E376),(Input!$K$166-Input!$K$200)-SUM($K376:K376),(Input!$K$166-Input!$K$200)/A24taxstdlife))</f>
        <v>n/a</v>
      </c>
      <c r="M376" s="69" t="str">
        <f>IF(A24taxstdlife="n/a","n/a",IF(M$3&gt;(A24taxstdlife+$E376),(Input!$K$166-Input!$K$200)-SUM($K376:L376),(Input!$K$166-Input!$K$200)/A24taxstdlife))</f>
        <v>n/a</v>
      </c>
      <c r="N376" s="69" t="str">
        <f>IF(A24taxstdlife="n/a","n/a",IF(N$3&gt;(A24taxstdlife+$E376),(Input!$K$166-Input!$K$200)-SUM($K376:M376),(Input!$K$166-Input!$K$200)/A24taxstdlife))</f>
        <v>n/a</v>
      </c>
      <c r="O376" s="69" t="str">
        <f>IF(A24taxstdlife="n/a","n/a",IF(O$3&gt;(A24taxstdlife+$E376),(Input!$K$166-Input!$K$200)-SUM($K376:N376),(Input!$K$166-Input!$K$200)/A24taxstdlife))</f>
        <v>n/a</v>
      </c>
      <c r="P376" s="69" t="str">
        <f>IF(A24taxstdlife="n/a","n/a",IF(P$3&gt;(A24taxstdlife+$E376),(Input!$K$166-Input!$K$200)-SUM($K376:O376),(Input!$K$166-Input!$K$200)/A24taxstdlife))</f>
        <v>n/a</v>
      </c>
      <c r="Q376" s="69" t="str">
        <f>IF(A24taxstdlife="n/a","n/a",IF(Q$3&gt;(A24taxstdlife+$E376),(Input!$K$166-Input!$K$200)-SUM($K376:P376),(Input!$K$166-Input!$K$200)/A24taxstdlife))</f>
        <v>n/a</v>
      </c>
      <c r="R376" s="69"/>
      <c r="S376" s="103"/>
      <c r="T376" s="103"/>
      <c r="U376" s="103"/>
      <c r="V376" s="103"/>
      <c r="W376" s="103"/>
      <c r="X376" s="103"/>
      <c r="Y376" s="103"/>
      <c r="Z376" s="217"/>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198"/>
      <c r="BJ376" s="198"/>
      <c r="BK376" s="198"/>
      <c r="BL376" s="198"/>
      <c r="BM376" s="198"/>
      <c r="BN376" s="198"/>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2.75" hidden="1" customHeight="1" outlineLevel="2">
      <c r="A377" s="9"/>
      <c r="B377" s="9"/>
      <c r="C377" s="26"/>
      <c r="D377" s="392"/>
      <c r="E377" s="87">
        <v>5</v>
      </c>
      <c r="F377" s="27"/>
      <c r="G377" s="27"/>
      <c r="H377" s="146"/>
      <c r="I377" s="148"/>
      <c r="J377" s="148"/>
      <c r="K377" s="148"/>
      <c r="L377" s="147"/>
      <c r="M377" s="69" t="str">
        <f>IF(A24taxstdlife="n/a","n/a",IF(M$3&gt;(A24taxstdlife+$E377),(Input!$L$166-Input!$L$200)-SUM($L377:L377),(Input!$L$166-Input!$L$200)/A24taxstdlife))</f>
        <v>n/a</v>
      </c>
      <c r="N377" s="69" t="str">
        <f>IF(A24taxstdlife="n/a","n/a",IF(N$3&gt;(A24taxstdlife+$E377),(Input!$L$166-Input!$L$200)-SUM($L377:M377),(Input!$L$166-Input!$L$200)/A24taxstdlife))</f>
        <v>n/a</v>
      </c>
      <c r="O377" s="69" t="str">
        <f>IF(A24taxstdlife="n/a","n/a",IF(O$3&gt;(A24taxstdlife+$E377),(Input!$L$166-Input!$L$200)-SUM($L377:N377),(Input!$L$166-Input!$L$200)/A24taxstdlife))</f>
        <v>n/a</v>
      </c>
      <c r="P377" s="69" t="str">
        <f>IF(A24taxstdlife="n/a","n/a",IF(P$3&gt;(A24taxstdlife+$E377),(Input!$L$166-Input!$L$200)-SUM($L377:O377),(Input!$L$166-Input!$L$200)/A24taxstdlife))</f>
        <v>n/a</v>
      </c>
      <c r="Q377" s="69" t="str">
        <f>IF(A24taxstdlife="n/a","n/a",IF(Q$3&gt;(A24taxstdlife+$E377),(Input!$L$166-Input!$L$200)-SUM($L377:P377),(Input!$L$166-Input!$L$200)/A24taxstdlife))</f>
        <v>n/a</v>
      </c>
      <c r="R377" s="69"/>
      <c r="S377" s="103"/>
      <c r="T377" s="103"/>
      <c r="U377" s="103"/>
      <c r="V377" s="103"/>
      <c r="W377" s="103"/>
      <c r="X377" s="103"/>
      <c r="Y377" s="103"/>
      <c r="Z377" s="217"/>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198"/>
      <c r="BJ377" s="198"/>
      <c r="BK377" s="198"/>
      <c r="BL377" s="198"/>
      <c r="BM377" s="198"/>
      <c r="BN377" s="198"/>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2.75" hidden="1" customHeight="1" outlineLevel="2">
      <c r="A378" s="9"/>
      <c r="B378" s="9"/>
      <c r="C378" s="26"/>
      <c r="D378" s="392"/>
      <c r="E378" s="87">
        <v>6</v>
      </c>
      <c r="F378" s="27"/>
      <c r="G378" s="27"/>
      <c r="H378" s="146"/>
      <c r="I378" s="148"/>
      <c r="J378" s="148"/>
      <c r="K378" s="148"/>
      <c r="L378" s="148"/>
      <c r="M378" s="147"/>
      <c r="N378" s="69" t="str">
        <f>IF(A24taxstdlife="n/a","n/a",IF(N$3&gt;(A24taxstdlife+$E378),(Input!$M$166-Input!$M$200)-SUM($M378:M378),(Input!$M$166-Input!$M$200)/A24taxstdlife))</f>
        <v>n/a</v>
      </c>
      <c r="O378" s="69" t="str">
        <f>IF(A24taxstdlife="n/a","n/a",IF(O$3&gt;(A24taxstdlife+$E378),(Input!$M$166-Input!$M$200)-SUM($M378:N378),(Input!$M$166-Input!$M$200)/A24taxstdlife))</f>
        <v>n/a</v>
      </c>
      <c r="P378" s="69" t="str">
        <f>IF(A24taxstdlife="n/a","n/a",IF(P$3&gt;(A24taxstdlife+$E378),(Input!$M$166-Input!$M$200)-SUM($M378:O378),(Input!$M$166-Input!$M$200)/A24taxstdlife))</f>
        <v>n/a</v>
      </c>
      <c r="Q378" s="69" t="str">
        <f>IF(A24taxstdlife="n/a","n/a",IF(Q$3&gt;(A24taxstdlife+$E378),(Input!$M$166-Input!$M$200)-SUM($M378:P378),(Input!$M$166-Input!$M$200)/A24taxstdlife))</f>
        <v>n/a</v>
      </c>
      <c r="R378" s="69"/>
      <c r="S378" s="103"/>
      <c r="T378" s="103"/>
      <c r="U378" s="103"/>
      <c r="V378" s="103"/>
      <c r="W378" s="103"/>
      <c r="X378" s="103"/>
      <c r="Y378" s="103"/>
      <c r="Z378" s="217"/>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198"/>
      <c r="BJ378" s="198"/>
      <c r="BK378" s="198"/>
      <c r="BL378" s="198"/>
      <c r="BM378" s="198"/>
      <c r="BN378" s="19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2.75" hidden="1" customHeight="1" outlineLevel="2">
      <c r="A379" s="9"/>
      <c r="B379" s="9"/>
      <c r="C379" s="26"/>
      <c r="D379" s="392"/>
      <c r="E379" s="87">
        <v>7</v>
      </c>
      <c r="F379" s="27"/>
      <c r="G379" s="27"/>
      <c r="H379" s="146"/>
      <c r="I379" s="148"/>
      <c r="J379" s="148"/>
      <c r="K379" s="148"/>
      <c r="L379" s="148"/>
      <c r="M379" s="148"/>
      <c r="N379" s="147"/>
      <c r="O379" s="69" t="str">
        <f>IF(A24taxstdlife="n/a","n/a",IF(O$3&gt;(A24taxstdlife+$E379),(Input!$N$166-Input!$N$200)-SUM($N379:N379),(Input!$N$166-Input!$N$200)/A24taxstdlife))</f>
        <v>n/a</v>
      </c>
      <c r="P379" s="69" t="str">
        <f>IF(A24taxstdlife="n/a","n/a",IF(P$3&gt;(A24taxstdlife+$E379),(Input!$N$166-Input!$N$200)-SUM($N379:O379),(Input!$N$166-Input!$N$200)/A24taxstdlife))</f>
        <v>n/a</v>
      </c>
      <c r="Q379" s="69" t="str">
        <f>IF(A24taxstdlife="n/a","n/a",IF(Q$3&gt;(A24taxstdlife+$E379),(Input!$N$166-Input!$N$200)-SUM($N379:P379),(Input!$N$166-Input!$N$200)/A24taxstdlife))</f>
        <v>n/a</v>
      </c>
      <c r="R379" s="69"/>
      <c r="S379" s="103"/>
      <c r="T379" s="103"/>
      <c r="U379" s="103"/>
      <c r="V379" s="103"/>
      <c r="W379" s="103"/>
      <c r="X379" s="103"/>
      <c r="Y379" s="103"/>
      <c r="Z379" s="217"/>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c r="BI379" s="198"/>
      <c r="BJ379" s="198"/>
      <c r="BK379" s="198"/>
      <c r="BL379" s="198"/>
      <c r="BM379" s="198"/>
      <c r="BN379" s="198"/>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2.75" hidden="1" customHeight="1" outlineLevel="2">
      <c r="A380" s="9"/>
      <c r="B380" s="9"/>
      <c r="C380" s="26"/>
      <c r="D380" s="392"/>
      <c r="E380" s="87">
        <v>8</v>
      </c>
      <c r="F380" s="27"/>
      <c r="G380" s="27"/>
      <c r="H380" s="146"/>
      <c r="I380" s="148"/>
      <c r="J380" s="148"/>
      <c r="K380" s="148"/>
      <c r="L380" s="148"/>
      <c r="M380" s="148"/>
      <c r="N380" s="148"/>
      <c r="O380" s="147"/>
      <c r="P380" s="69" t="str">
        <f>IF(A24taxstdlife="n/a","n/a",IF(P$3&gt;(A24taxstdlife+$E380),(Input!$O$166-Input!$O$200)-SUM($O380:O380),(Input!$O$166-Input!$O$200)/A24taxstdlife))</f>
        <v>n/a</v>
      </c>
      <c r="Q380" s="69" t="str">
        <f>IF(A24taxstdlife="n/a","n/a",IF(Q$3&gt;(A24taxstdlife+$E380),(Input!$O$166-Input!$O$200)-SUM($O380:P380),(Input!$O$166-Input!$O$200)/A24taxstdlife))</f>
        <v>n/a</v>
      </c>
      <c r="R380" s="69"/>
      <c r="S380" s="103"/>
      <c r="T380" s="103"/>
      <c r="U380" s="103"/>
      <c r="V380" s="103"/>
      <c r="W380" s="103"/>
      <c r="X380" s="103"/>
      <c r="Y380" s="103"/>
      <c r="Z380" s="217"/>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198"/>
      <c r="BJ380" s="198"/>
      <c r="BK380" s="198"/>
      <c r="BL380" s="198"/>
      <c r="BM380" s="198"/>
      <c r="BN380" s="198"/>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2.75" hidden="1" customHeight="1" outlineLevel="2">
      <c r="A381" s="9"/>
      <c r="B381" s="9"/>
      <c r="C381" s="26"/>
      <c r="D381" s="392"/>
      <c r="E381" s="87">
        <v>9</v>
      </c>
      <c r="F381" s="27"/>
      <c r="G381" s="27"/>
      <c r="H381" s="146"/>
      <c r="I381" s="148"/>
      <c r="J381" s="148"/>
      <c r="K381" s="148"/>
      <c r="L381" s="148"/>
      <c r="M381" s="148"/>
      <c r="N381" s="148"/>
      <c r="O381" s="148"/>
      <c r="P381" s="147"/>
      <c r="Q381" s="69" t="str">
        <f>IF(A24taxstdlife="n/a","n/a",IF(Q$3&gt;(A24taxstdlife+$E381),(Input!$P$166-Input!$P$200)-SUM($P381:P381),(Input!$P$166-Input!$P$200)/A24taxstdlife))</f>
        <v>n/a</v>
      </c>
      <c r="R381" s="69"/>
      <c r="S381" s="103"/>
      <c r="T381" s="103"/>
      <c r="U381" s="103"/>
      <c r="V381" s="103"/>
      <c r="W381" s="103"/>
      <c r="X381" s="103"/>
      <c r="Y381" s="103"/>
      <c r="Z381" s="217"/>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198"/>
      <c r="BJ381" s="198"/>
      <c r="BK381" s="198"/>
      <c r="BL381" s="198"/>
      <c r="BM381" s="198"/>
      <c r="BN381" s="198"/>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2.75" hidden="1" customHeight="1" outlineLevel="2">
      <c r="A382" s="9"/>
      <c r="B382" s="9"/>
      <c r="C382" s="26"/>
      <c r="D382" s="392"/>
      <c r="E382" s="88">
        <v>10</v>
      </c>
      <c r="F382" s="27"/>
      <c r="G382" s="27"/>
      <c r="H382" s="146"/>
      <c r="I382" s="148"/>
      <c r="J382" s="148"/>
      <c r="K382" s="148"/>
      <c r="L382" s="148"/>
      <c r="M382" s="148"/>
      <c r="N382" s="148"/>
      <c r="O382" s="148"/>
      <c r="P382" s="148"/>
      <c r="Q382" s="147"/>
      <c r="R382" s="69"/>
      <c r="S382" s="103"/>
      <c r="T382" s="103"/>
      <c r="U382" s="103"/>
      <c r="V382" s="103"/>
      <c r="W382" s="103"/>
      <c r="X382" s="103"/>
      <c r="Y382" s="103"/>
      <c r="Z382" s="217"/>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198"/>
      <c r="BJ382" s="198"/>
      <c r="BK382" s="198"/>
      <c r="BL382" s="198"/>
      <c r="BM382" s="198"/>
      <c r="BN382" s="198"/>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idden="1" outlineLevel="1" collapsed="1">
      <c r="A383" s="9"/>
      <c r="B383" s="9"/>
      <c r="C383" s="271">
        <f>Asset24</f>
        <v>0</v>
      </c>
      <c r="D383" s="9"/>
      <c r="E383" s="9"/>
      <c r="F383" s="23"/>
      <c r="G383" s="23"/>
      <c r="H383" s="297">
        <f>-SUM(H371:H382)</f>
        <v>0</v>
      </c>
      <c r="I383" s="161">
        <f>-SUM(I371:I382)</f>
        <v>0</v>
      </c>
      <c r="J383" s="161">
        <f>-SUM(J371:J382)</f>
        <v>0</v>
      </c>
      <c r="K383" s="161">
        <f>-SUM(K371:K382)</f>
        <v>0</v>
      </c>
      <c r="L383" s="161">
        <f>-SUM(L371:L382)</f>
        <v>0</v>
      </c>
      <c r="M383" s="161">
        <f>IF(COUNT($H383:L383)&gt;=Input!$Y$7,0, -SUM(M371:M382))</f>
        <v>0</v>
      </c>
      <c r="N383" s="161">
        <f>IF(COUNT($H383:M383)&gt;=Input!$Y$7,0, -SUM(N371:N382))</f>
        <v>0</v>
      </c>
      <c r="O383" s="161">
        <f>IF(COUNT($H383:N383)&gt;=Input!$Y$7,0, -SUM(O371:O382))</f>
        <v>0</v>
      </c>
      <c r="P383" s="161">
        <f>IF(COUNT($H383:O383)&gt;=Input!$Y$7,0, -SUM(P371:P382))</f>
        <v>0</v>
      </c>
      <c r="Q383" s="161">
        <f>IF(COUNT($H383:P383)&gt;=Input!$Y$7,0, -SUM(Q371:Q382))</f>
        <v>0</v>
      </c>
      <c r="R383" s="161"/>
      <c r="S383" s="102"/>
      <c r="T383" s="102"/>
      <c r="U383" s="102"/>
      <c r="V383" s="102"/>
      <c r="W383" s="102"/>
      <c r="X383" s="102"/>
      <c r="Y383" s="102"/>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98"/>
      <c r="BJ383" s="198"/>
      <c r="BK383" s="198"/>
      <c r="BL383" s="198"/>
      <c r="BM383" s="198"/>
      <c r="BN383" s="198"/>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2.75" hidden="1" customHeight="1" outlineLevel="2">
      <c r="A384" s="9"/>
      <c r="B384" s="272">
        <f>Asset25</f>
        <v>0</v>
      </c>
      <c r="C384" s="31"/>
      <c r="D384" s="32" t="s">
        <v>66</v>
      </c>
      <c r="E384" s="31"/>
      <c r="F384" s="300"/>
      <c r="G384" s="300"/>
      <c r="H384" s="68" t="str">
        <f>IF(H$3&gt;A25taxremlife,A25taxvalue-SUM($F384:F384),IF(A25taxremlife="N/A","n/a",A25taxvalue/A25taxremlife))</f>
        <v>n/a</v>
      </c>
      <c r="I384" s="68" t="str">
        <f>IF(I$3&gt;A25taxremlife,A25taxvalue-SUM($F384:H384),IF(A25taxremlife="N/A","n/a",A25taxvalue/A25taxremlife))</f>
        <v>n/a</v>
      </c>
      <c r="J384" s="68" t="str">
        <f>IF(J$3&gt;A25taxremlife,A25taxvalue-SUM($F384:I384),IF(A25taxremlife="N/A","n/a",A25taxvalue/A25taxremlife))</f>
        <v>n/a</v>
      </c>
      <c r="K384" s="68" t="str">
        <f>IF(K$3&gt;A25taxremlife,A25taxvalue-SUM($F384:J384),IF(A25taxremlife="N/A","n/a",A25taxvalue/A25taxremlife))</f>
        <v>n/a</v>
      </c>
      <c r="L384" s="68" t="str">
        <f>IF(L$3&gt;A25taxremlife,A25taxvalue-SUM($F384:K384),IF(A25taxremlife="N/A","n/a",A25taxvalue/A25taxremlife))</f>
        <v>n/a</v>
      </c>
      <c r="M384" s="68" t="str">
        <f>IF(M$3&gt;A25taxremlife,A25taxvalue-SUM($F384:L384),IF(A25taxremlife="N/A","n/a",A25taxvalue/A25taxremlife))</f>
        <v>n/a</v>
      </c>
      <c r="N384" s="68" t="str">
        <f>IF(N$3&gt;A25taxremlife,A25taxvalue-SUM($F384:M384),IF(A25taxremlife="N/A","n/a",A25taxvalue/A25taxremlife))</f>
        <v>n/a</v>
      </c>
      <c r="O384" s="68" t="str">
        <f>IF(O$3&gt;A25taxremlife,A25taxvalue-SUM($F384:N384),IF(A25taxremlife="N/A","n/a",A25taxvalue/A25taxremlife))</f>
        <v>n/a</v>
      </c>
      <c r="P384" s="68" t="str">
        <f>IF(P$3&gt;A25taxremlife,A25taxvalue-SUM($F384:O384),IF(A25taxremlife="N/A","n/a",A25taxvalue/A25taxremlife))</f>
        <v>n/a</v>
      </c>
      <c r="Q384" s="68" t="str">
        <f>IF(Q$3&gt;A25taxremlife,A25taxvalue-SUM($F384:P384),IF(A25taxremlife="N/A","n/a",A25taxvalue/A25taxremlife))</f>
        <v>n/a</v>
      </c>
      <c r="R384" s="68"/>
      <c r="S384" s="103"/>
      <c r="T384" s="103"/>
      <c r="U384" s="103"/>
      <c r="V384" s="103"/>
      <c r="W384" s="103"/>
      <c r="X384" s="103"/>
      <c r="Y384" s="103"/>
      <c r="Z384" s="217"/>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198"/>
      <c r="BJ384" s="198"/>
      <c r="BK384" s="198"/>
      <c r="BL384" s="198"/>
      <c r="BM384" s="198"/>
      <c r="BN384" s="198"/>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2.75" hidden="1" customHeight="1" outlineLevel="2">
      <c r="A385" s="9"/>
      <c r="B385" s="9"/>
      <c r="C385" s="26"/>
      <c r="D385" s="391" t="s">
        <v>82</v>
      </c>
      <c r="E385" s="87"/>
      <c r="F385" s="27"/>
      <c r="G385" s="27"/>
      <c r="H385" s="103"/>
      <c r="I385" s="69"/>
      <c r="J385" s="69"/>
      <c r="K385" s="69"/>
      <c r="L385" s="69"/>
      <c r="M385" s="69"/>
      <c r="N385" s="69"/>
      <c r="O385" s="69"/>
      <c r="P385" s="69"/>
      <c r="Q385" s="69"/>
      <c r="R385" s="69"/>
      <c r="S385" s="103"/>
      <c r="T385" s="103"/>
      <c r="U385" s="103"/>
      <c r="V385" s="103"/>
      <c r="W385" s="103"/>
      <c r="X385" s="103"/>
      <c r="Y385" s="103"/>
      <c r="Z385" s="217"/>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198"/>
      <c r="BJ385" s="198"/>
      <c r="BK385" s="198"/>
      <c r="BL385" s="198"/>
      <c r="BM385" s="198"/>
      <c r="BN385" s="198"/>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2.75" hidden="1" customHeight="1" outlineLevel="2">
      <c r="A386" s="9"/>
      <c r="B386" s="9"/>
      <c r="C386" s="26"/>
      <c r="D386" s="392"/>
      <c r="E386" s="87">
        <v>1</v>
      </c>
      <c r="F386" s="27"/>
      <c r="G386" s="27"/>
      <c r="H386" s="145"/>
      <c r="I386" s="69" t="str">
        <f>IF(A25taxstdlife="n/a","n/a",IF(I$3&gt;(A25taxstdlife+$E386),(Input!$H$167-Input!$H$201)-SUM($H386:H386),(Input!$H$167-Input!$H$201)/A25taxstdlife))</f>
        <v>n/a</v>
      </c>
      <c r="J386" s="69" t="str">
        <f>IF(A25taxstdlife="n/a","n/a",IF(J$3&gt;(A25taxstdlife+$E386),(Input!$H$167-Input!$H$201)-SUM($H386:I386),(Input!$H$167-Input!$H$201)/A25taxstdlife))</f>
        <v>n/a</v>
      </c>
      <c r="K386" s="69" t="str">
        <f>IF(A25taxstdlife="n/a","n/a",IF(K$3&gt;(A25taxstdlife+$E386),(Input!$H$167-Input!$H$201)-SUM($H386:J386),(Input!$H$167-Input!$H$201)/A25taxstdlife))</f>
        <v>n/a</v>
      </c>
      <c r="L386" s="69" t="str">
        <f>IF(A25taxstdlife="n/a","n/a",IF(L$3&gt;(A25taxstdlife+$E386),(Input!$H$167-Input!$H$201)-SUM($H386:K386),(Input!$H$167-Input!$H$201)/A25taxstdlife))</f>
        <v>n/a</v>
      </c>
      <c r="M386" s="69" t="str">
        <f>IF(A25taxstdlife="n/a","n/a",IF(M$3&gt;(A25taxstdlife+$E386),(Input!$H$167-Input!$H$201)-SUM($H386:L386),(Input!$H$167-Input!$H$201)/A25taxstdlife))</f>
        <v>n/a</v>
      </c>
      <c r="N386" s="69" t="str">
        <f>IF(A25taxstdlife="n/a","n/a",IF(N$3&gt;(A25taxstdlife+$E386),(Input!$H$167-Input!$H$201)-SUM($H386:M386),(Input!$H$167-Input!$H$201)/A25taxstdlife))</f>
        <v>n/a</v>
      </c>
      <c r="O386" s="69" t="str">
        <f>IF(A25taxstdlife="n/a","n/a",IF(O$3&gt;(A25taxstdlife+$E386),(Input!$H$167-Input!$H$201)-SUM($H386:N386),(Input!$H$167-Input!$H$201)/A25taxstdlife))</f>
        <v>n/a</v>
      </c>
      <c r="P386" s="69" t="str">
        <f>IF(A25taxstdlife="n/a","n/a",IF(P$3&gt;(A25taxstdlife+$E386),(Input!$H$167-Input!$H$201)-SUM($H386:O386),(Input!$H$167-Input!$H$201)/A25taxstdlife))</f>
        <v>n/a</v>
      </c>
      <c r="Q386" s="69" t="str">
        <f>IF(A25taxstdlife="n/a","n/a",IF(Q$3&gt;(A25taxstdlife+$E386),(Input!$H$167-Input!$H$201)-SUM($H386:P386),(Input!$H$167-Input!$H$201)/A25taxstdlife))</f>
        <v>n/a</v>
      </c>
      <c r="R386" s="69"/>
      <c r="S386" s="103"/>
      <c r="T386" s="103"/>
      <c r="U386" s="103"/>
      <c r="V386" s="103"/>
      <c r="W386" s="103"/>
      <c r="X386" s="103"/>
      <c r="Y386" s="103"/>
      <c r="Z386" s="217"/>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198"/>
      <c r="BJ386" s="198"/>
      <c r="BK386" s="198"/>
      <c r="BL386" s="198"/>
      <c r="BM386" s="198"/>
      <c r="BN386" s="198"/>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2.75" hidden="1" customHeight="1" outlineLevel="2">
      <c r="A387" s="9"/>
      <c r="B387" s="9"/>
      <c r="C387" s="26"/>
      <c r="D387" s="392"/>
      <c r="E387" s="87">
        <v>2</v>
      </c>
      <c r="F387" s="27"/>
      <c r="G387" s="27"/>
      <c r="H387" s="146"/>
      <c r="I387" s="147"/>
      <c r="J387" s="69" t="str">
        <f>IF(A25taxstdlife="n/a","n/a",IF(J$3&gt;(A25taxstdlife+$E387),(Input!$I$167-Input!$I$201)-SUM($I387:I387),(Input!$I$167-Input!$I$201)/A25taxstdlife))</f>
        <v>n/a</v>
      </c>
      <c r="K387" s="69" t="str">
        <f>IF(A25taxstdlife="n/a","n/a",IF(K$3&gt;(A25taxstdlife+$E387),(Input!$I$167-Input!$I$201)-SUM($I387:J387),(Input!$I$167-Input!$I$201)/A25taxstdlife))</f>
        <v>n/a</v>
      </c>
      <c r="L387" s="69" t="str">
        <f>IF(A25taxstdlife="n/a","n/a",IF(L$3&gt;(A25taxstdlife+$E387),(Input!$I$167-Input!$I$201)-SUM($I387:K387),(Input!$I$167-Input!$I$201)/A25taxstdlife))</f>
        <v>n/a</v>
      </c>
      <c r="M387" s="69" t="str">
        <f>IF(A25taxstdlife="n/a","n/a",IF(M$3&gt;(A25taxstdlife+$E387),(Input!$I$167-Input!$I$201)-SUM($I387:L387),(Input!$I$167-Input!$I$201)/A25taxstdlife))</f>
        <v>n/a</v>
      </c>
      <c r="N387" s="69" t="str">
        <f>IF(A25taxstdlife="n/a","n/a",IF(N$3&gt;(A25taxstdlife+$E387),(Input!$I$167-Input!$I$201)-SUM($I387:M387),(Input!$I$167-Input!$I$201)/A25taxstdlife))</f>
        <v>n/a</v>
      </c>
      <c r="O387" s="69" t="str">
        <f>IF(A25taxstdlife="n/a","n/a",IF(O$3&gt;(A25taxstdlife+$E387),(Input!$I$167-Input!$I$201)-SUM($I387:N387),(Input!$I$167-Input!$I$201)/A25taxstdlife))</f>
        <v>n/a</v>
      </c>
      <c r="P387" s="69" t="str">
        <f>IF(A25taxstdlife="n/a","n/a",IF(P$3&gt;(A25taxstdlife+$E387),(Input!$I$167-Input!$I$201)-SUM($I387:O387),(Input!$I$167-Input!$I$201)/A25taxstdlife))</f>
        <v>n/a</v>
      </c>
      <c r="Q387" s="69" t="str">
        <f>IF(A25taxstdlife="n/a","n/a",IF(Q$3&gt;(A25taxstdlife+$E387),(Input!$I$167-Input!$I$201)-SUM($I387:P387),(Input!$I$167-Input!$I$201)/A25taxstdlife))</f>
        <v>n/a</v>
      </c>
      <c r="R387" s="69"/>
      <c r="S387" s="103"/>
      <c r="T387" s="103"/>
      <c r="U387" s="103"/>
      <c r="V387" s="103"/>
      <c r="W387" s="103"/>
      <c r="X387" s="103"/>
      <c r="Y387" s="103"/>
      <c r="Z387" s="217"/>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198"/>
      <c r="BJ387" s="198"/>
      <c r="BK387" s="198"/>
      <c r="BL387" s="198"/>
      <c r="BM387" s="198"/>
      <c r="BN387" s="198"/>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2.75" hidden="1" customHeight="1" outlineLevel="2">
      <c r="A388" s="9"/>
      <c r="B388" s="9"/>
      <c r="C388" s="26"/>
      <c r="D388" s="392"/>
      <c r="E388" s="87">
        <v>3</v>
      </c>
      <c r="F388" s="27"/>
      <c r="G388" s="27"/>
      <c r="H388" s="146"/>
      <c r="I388" s="148"/>
      <c r="J388" s="147"/>
      <c r="K388" s="69" t="str">
        <f>IF(A25taxstdlife="n/a","n/a",IF(K$3&gt;(A25taxstdlife+$E388),(Input!$J$167-Input!$J$201)-SUM($J388:J388),(Input!$J$167-Input!$J$201)/A25taxstdlife))</f>
        <v>n/a</v>
      </c>
      <c r="L388" s="69" t="str">
        <f>IF(A25taxstdlife="n/a","n/a",IF(L$3&gt;(A25taxstdlife+$E388),(Input!$J$167-Input!$J$201)-SUM($J388:K388),(Input!$J$167-Input!$J$201)/A25taxstdlife))</f>
        <v>n/a</v>
      </c>
      <c r="M388" s="69" t="str">
        <f>IF(A25taxstdlife="n/a","n/a",IF(M$3&gt;(A25taxstdlife+$E388),(Input!$J$167-Input!$J$201)-SUM($J388:L388),(Input!$J$167-Input!$J$201)/A25taxstdlife))</f>
        <v>n/a</v>
      </c>
      <c r="N388" s="69" t="str">
        <f>IF(A25taxstdlife="n/a","n/a",IF(N$3&gt;(A25taxstdlife+$E388),(Input!$J$167-Input!$J$201)-SUM($J388:M388),(Input!$J$167-Input!$J$201)/A25taxstdlife))</f>
        <v>n/a</v>
      </c>
      <c r="O388" s="69" t="str">
        <f>IF(A25taxstdlife="n/a","n/a",IF(O$3&gt;(A25taxstdlife+$E388),(Input!$J$167-Input!$J$201)-SUM($J388:N388),(Input!$J$167-Input!$J$201)/A25taxstdlife))</f>
        <v>n/a</v>
      </c>
      <c r="P388" s="69" t="str">
        <f>IF(A25taxstdlife="n/a","n/a",IF(P$3&gt;(A25taxstdlife+$E388),(Input!$J$167-Input!$J$201)-SUM($J388:O388),(Input!$J$167-Input!$J$201)/A25taxstdlife))</f>
        <v>n/a</v>
      </c>
      <c r="Q388" s="69" t="str">
        <f>IF(A25taxstdlife="n/a","n/a",IF(Q$3&gt;(A25taxstdlife+$E388),(Input!$J$167-Input!$J$201)-SUM($J388:P388),(Input!$J$167-Input!$J$201)/A25taxstdlife))</f>
        <v>n/a</v>
      </c>
      <c r="R388" s="69"/>
      <c r="S388" s="103"/>
      <c r="T388" s="103"/>
      <c r="U388" s="103"/>
      <c r="V388" s="103"/>
      <c r="W388" s="103"/>
      <c r="X388" s="103"/>
      <c r="Y388" s="103"/>
      <c r="Z388" s="217"/>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9"/>
      <c r="BJ388" s="198"/>
      <c r="BK388" s="198"/>
      <c r="BL388" s="198"/>
      <c r="BM388" s="198"/>
      <c r="BN388" s="19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2.75" hidden="1" customHeight="1" outlineLevel="2">
      <c r="A389" s="9"/>
      <c r="B389" s="9"/>
      <c r="C389" s="26"/>
      <c r="D389" s="392"/>
      <c r="E389" s="87">
        <v>4</v>
      </c>
      <c r="F389" s="27"/>
      <c r="G389" s="27"/>
      <c r="H389" s="146"/>
      <c r="I389" s="148"/>
      <c r="J389" s="148"/>
      <c r="K389" s="147"/>
      <c r="L389" s="69" t="str">
        <f>IF(A25taxstdlife="n/a","n/a",IF(L$3&gt;(A25taxstdlife+$E389),(Input!$K$167-Input!$K$201)-SUM($K389:K389),(Input!$K$167-Input!$K$201)/A25taxstdlife))</f>
        <v>n/a</v>
      </c>
      <c r="M389" s="69" t="str">
        <f>IF(A25taxstdlife="n/a","n/a",IF(M$3&gt;(A25taxstdlife+$E389),(Input!$K$167-Input!$K$201)-SUM($K389:L389),(Input!$K$167-Input!$K$201)/A25taxstdlife))</f>
        <v>n/a</v>
      </c>
      <c r="N389" s="69" t="str">
        <f>IF(A25taxstdlife="n/a","n/a",IF(N$3&gt;(A25taxstdlife+$E389),(Input!$K$167-Input!$K$201)-SUM($K389:M389),(Input!$K$167-Input!$K$201)/A25taxstdlife))</f>
        <v>n/a</v>
      </c>
      <c r="O389" s="69" t="str">
        <f>IF(A25taxstdlife="n/a","n/a",IF(O$3&gt;(A25taxstdlife+$E389),(Input!$K$167-Input!$K$201)-SUM($K389:N389),(Input!$K$167-Input!$K$201)/A25taxstdlife))</f>
        <v>n/a</v>
      </c>
      <c r="P389" s="69" t="str">
        <f>IF(A25taxstdlife="n/a","n/a",IF(P$3&gt;(A25taxstdlife+$E389),(Input!$K$167-Input!$K$201)-SUM($K389:O389),(Input!$K$167-Input!$K$201)/A25taxstdlife))</f>
        <v>n/a</v>
      </c>
      <c r="Q389" s="69" t="str">
        <f>IF(A25taxstdlife="n/a","n/a",IF(Q$3&gt;(A25taxstdlife+$E389),(Input!$K$167-Input!$K$201)-SUM($K389:P389),(Input!$K$167-Input!$K$201)/A25taxstdlife))</f>
        <v>n/a</v>
      </c>
      <c r="R389" s="69"/>
      <c r="S389" s="103"/>
      <c r="T389" s="103"/>
      <c r="U389" s="103"/>
      <c r="V389" s="103"/>
      <c r="W389" s="103"/>
      <c r="X389" s="103"/>
      <c r="Y389" s="103"/>
      <c r="Z389" s="217"/>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198"/>
      <c r="BJ389" s="198"/>
      <c r="BK389" s="198"/>
      <c r="BL389" s="198"/>
      <c r="BM389" s="198"/>
      <c r="BN389" s="198"/>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2.75" hidden="1" customHeight="1" outlineLevel="2">
      <c r="A390" s="9"/>
      <c r="B390" s="9"/>
      <c r="C390" s="26"/>
      <c r="D390" s="392"/>
      <c r="E390" s="87">
        <v>5</v>
      </c>
      <c r="F390" s="27"/>
      <c r="G390" s="27"/>
      <c r="H390" s="146"/>
      <c r="I390" s="148"/>
      <c r="J390" s="148"/>
      <c r="K390" s="148"/>
      <c r="L390" s="147"/>
      <c r="M390" s="69" t="str">
        <f>IF(A25taxstdlife="n/a","n/a",IF(M$3&gt;(A25taxstdlife+$E390),(Input!$L$167-Input!$L$201)-SUM($L390:L390),(Input!$L$167-Input!$L$201)/A25taxstdlife))</f>
        <v>n/a</v>
      </c>
      <c r="N390" s="69" t="str">
        <f>IF(A25taxstdlife="n/a","n/a",IF(N$3&gt;(A25taxstdlife+$E390),(Input!$L$167-Input!$L$201)-SUM($L390:M390),(Input!$L$167-Input!$L$201)/A25taxstdlife))</f>
        <v>n/a</v>
      </c>
      <c r="O390" s="69" t="str">
        <f>IF(A25taxstdlife="n/a","n/a",IF(O$3&gt;(A25taxstdlife+$E390),(Input!$L$167-Input!$L$201)-SUM($L390:N390),(Input!$L$167-Input!$L$201)/A25taxstdlife))</f>
        <v>n/a</v>
      </c>
      <c r="P390" s="69" t="str">
        <f>IF(A25taxstdlife="n/a","n/a",IF(P$3&gt;(A25taxstdlife+$E390),(Input!$L$167-Input!$L$201)-SUM($L390:O390),(Input!$L$167-Input!$L$201)/A25taxstdlife))</f>
        <v>n/a</v>
      </c>
      <c r="Q390" s="69" t="str">
        <f>IF(A25taxstdlife="n/a","n/a",IF(Q$3&gt;(A25taxstdlife+$E390),(Input!$L$167-Input!$L$201)-SUM($L390:P390),(Input!$L$167-Input!$L$201)/A25taxstdlife))</f>
        <v>n/a</v>
      </c>
      <c r="R390" s="69"/>
      <c r="S390" s="103"/>
      <c r="T390" s="103"/>
      <c r="U390" s="103"/>
      <c r="V390" s="103"/>
      <c r="W390" s="103"/>
      <c r="X390" s="103"/>
      <c r="Y390" s="103"/>
      <c r="Z390" s="217"/>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198"/>
      <c r="BJ390" s="198"/>
      <c r="BK390" s="198"/>
      <c r="BL390" s="198"/>
      <c r="BM390" s="198"/>
      <c r="BN390" s="198"/>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2.75" hidden="1" customHeight="1" outlineLevel="2">
      <c r="A391" s="9"/>
      <c r="B391" s="9"/>
      <c r="C391" s="26"/>
      <c r="D391" s="392"/>
      <c r="E391" s="87">
        <v>6</v>
      </c>
      <c r="F391" s="27"/>
      <c r="G391" s="27"/>
      <c r="H391" s="146"/>
      <c r="I391" s="148"/>
      <c r="J391" s="148"/>
      <c r="K391" s="148"/>
      <c r="L391" s="148"/>
      <c r="M391" s="147"/>
      <c r="N391" s="69" t="str">
        <f>IF(A25taxstdlife="n/a","n/a",IF(N$3&gt;(A25taxstdlife+$E391),(Input!$M$167-Input!$M$201)-SUM($M391:M391),(Input!$M$167-Input!$M$201)/A25taxstdlife))</f>
        <v>n/a</v>
      </c>
      <c r="O391" s="69" t="str">
        <f>IF(A25taxstdlife="n/a","n/a",IF(O$3&gt;(A25taxstdlife+$E391),(Input!$M$167-Input!$M$201)-SUM($M391:N391),(Input!$M$167-Input!$M$201)/A25taxstdlife))</f>
        <v>n/a</v>
      </c>
      <c r="P391" s="69" t="str">
        <f>IF(A25taxstdlife="n/a","n/a",IF(P$3&gt;(A25taxstdlife+$E391),(Input!$M$167-Input!$M$201)-SUM($M391:O391),(Input!$M$167-Input!$M$201)/A25taxstdlife))</f>
        <v>n/a</v>
      </c>
      <c r="Q391" s="69" t="str">
        <f>IF(A25taxstdlife="n/a","n/a",IF(Q$3&gt;(A25taxstdlife+$E391),(Input!$M$167-Input!$M$201)-SUM($M391:P391),(Input!$M$167-Input!$M$201)/A25taxstdlife))</f>
        <v>n/a</v>
      </c>
      <c r="R391" s="69"/>
      <c r="S391" s="103"/>
      <c r="T391" s="103"/>
      <c r="U391" s="103"/>
      <c r="V391" s="103"/>
      <c r="W391" s="103"/>
      <c r="X391" s="103"/>
      <c r="Y391" s="103"/>
      <c r="Z391" s="217"/>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198"/>
      <c r="BJ391" s="198"/>
      <c r="BK391" s="198"/>
      <c r="BL391" s="198"/>
      <c r="BM391" s="198"/>
      <c r="BN391" s="198"/>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2.75" hidden="1" customHeight="1" outlineLevel="2">
      <c r="A392" s="9"/>
      <c r="B392" s="9"/>
      <c r="C392" s="26"/>
      <c r="D392" s="392"/>
      <c r="E392" s="87">
        <v>7</v>
      </c>
      <c r="F392" s="27"/>
      <c r="G392" s="27"/>
      <c r="H392" s="146"/>
      <c r="I392" s="148"/>
      <c r="J392" s="148"/>
      <c r="K392" s="148"/>
      <c r="L392" s="148"/>
      <c r="M392" s="148"/>
      <c r="N392" s="147"/>
      <c r="O392" s="69" t="str">
        <f>IF(A25taxstdlife="n/a","n/a",IF(O$3&gt;(A25taxstdlife+$E392),(Input!$N$167-Input!$N$201)-SUM($N392:N392),(Input!$N$167-Input!$N$201)/A25taxstdlife))</f>
        <v>n/a</v>
      </c>
      <c r="P392" s="69" t="str">
        <f>IF(A25taxstdlife="n/a","n/a",IF(P$3&gt;(A25taxstdlife+$E392),(Input!$N$167-Input!$N$201)-SUM($N392:O392),(Input!$N$167-Input!$N$201)/A25taxstdlife))</f>
        <v>n/a</v>
      </c>
      <c r="Q392" s="69" t="str">
        <f>IF(A25taxstdlife="n/a","n/a",IF(Q$3&gt;(A25taxstdlife+$E392),(Input!$N$167-Input!$N$201)-SUM($N392:P392),(Input!$N$167-Input!$N$201)/A25taxstdlife))</f>
        <v>n/a</v>
      </c>
      <c r="R392" s="69"/>
      <c r="S392" s="103"/>
      <c r="T392" s="103"/>
      <c r="U392" s="103"/>
      <c r="V392" s="103"/>
      <c r="W392" s="103"/>
      <c r="X392" s="103"/>
      <c r="Y392" s="103"/>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198"/>
      <c r="BJ392" s="198"/>
      <c r="BK392" s="198"/>
      <c r="BL392" s="198"/>
      <c r="BM392" s="198"/>
      <c r="BN392" s="198"/>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2.75" hidden="1" customHeight="1" outlineLevel="2">
      <c r="A393" s="9"/>
      <c r="B393" s="9"/>
      <c r="C393" s="26"/>
      <c r="D393" s="392"/>
      <c r="E393" s="87">
        <v>8</v>
      </c>
      <c r="F393" s="27"/>
      <c r="G393" s="27"/>
      <c r="H393" s="146"/>
      <c r="I393" s="148"/>
      <c r="J393" s="148"/>
      <c r="K393" s="148"/>
      <c r="L393" s="148"/>
      <c r="M393" s="148"/>
      <c r="N393" s="148"/>
      <c r="O393" s="147"/>
      <c r="P393" s="69" t="str">
        <f>IF(A25taxstdlife="n/a","n/a",IF(P$3&gt;(A25taxstdlife+$E393),(Input!$O$167-Input!$O$201)-SUM($O393:O393),(Input!$O$167-Input!$O$201)/A25taxstdlife))</f>
        <v>n/a</v>
      </c>
      <c r="Q393" s="69" t="str">
        <f>IF(A25taxstdlife="n/a","n/a",IF(Q$3&gt;(A25taxstdlife+$E393),(Input!$O$167-Input!$O$201)-SUM($O393:P393),(Input!$O$167-Input!$O$201)/A25taxstdlife))</f>
        <v>n/a</v>
      </c>
      <c r="R393" s="69"/>
      <c r="S393" s="103"/>
      <c r="T393" s="103"/>
      <c r="U393" s="103"/>
      <c r="V393" s="103"/>
      <c r="W393" s="103"/>
      <c r="X393" s="103"/>
      <c r="Y393" s="103"/>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198"/>
      <c r="BJ393" s="198"/>
      <c r="BK393" s="198"/>
      <c r="BL393" s="198"/>
      <c r="BM393" s="198"/>
      <c r="BN393" s="198"/>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2.75" hidden="1" customHeight="1" outlineLevel="2">
      <c r="A394" s="9"/>
      <c r="B394" s="9"/>
      <c r="C394" s="26"/>
      <c r="D394" s="392"/>
      <c r="E394" s="87">
        <v>9</v>
      </c>
      <c r="F394" s="27"/>
      <c r="G394" s="27"/>
      <c r="H394" s="146"/>
      <c r="I394" s="148"/>
      <c r="J394" s="148"/>
      <c r="K394" s="148"/>
      <c r="L394" s="148"/>
      <c r="M394" s="148"/>
      <c r="N394" s="148"/>
      <c r="O394" s="148"/>
      <c r="P394" s="147"/>
      <c r="Q394" s="69" t="str">
        <f>IF(A25taxstdlife="n/a","n/a",IF(Q$3&gt;(A25taxstdlife+$E394),(Input!$P$167-Input!$P$201)-SUM($P394:P394),(Input!$P$167-Input!$P$201)/A25taxstdlife))</f>
        <v>n/a</v>
      </c>
      <c r="R394" s="69"/>
      <c r="S394" s="103"/>
      <c r="T394" s="103"/>
      <c r="U394" s="103"/>
      <c r="V394" s="103"/>
      <c r="W394" s="103"/>
      <c r="X394" s="103"/>
      <c r="Y394" s="103"/>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198"/>
      <c r="BJ394" s="198"/>
      <c r="BK394" s="198"/>
      <c r="BL394" s="198"/>
      <c r="BM394" s="198"/>
      <c r="BN394" s="198"/>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2.75" hidden="1" customHeight="1" outlineLevel="2">
      <c r="A395" s="9"/>
      <c r="B395" s="9"/>
      <c r="C395" s="26"/>
      <c r="D395" s="392"/>
      <c r="E395" s="88">
        <v>10</v>
      </c>
      <c r="F395" s="27"/>
      <c r="G395" s="27"/>
      <c r="H395" s="146"/>
      <c r="I395" s="148"/>
      <c r="J395" s="148"/>
      <c r="K395" s="148"/>
      <c r="L395" s="148"/>
      <c r="M395" s="148"/>
      <c r="N395" s="148"/>
      <c r="O395" s="148"/>
      <c r="P395" s="148"/>
      <c r="Q395" s="147"/>
      <c r="R395" s="69"/>
      <c r="S395" s="103"/>
      <c r="T395" s="103"/>
      <c r="U395" s="103"/>
      <c r="V395" s="103"/>
      <c r="W395" s="103"/>
      <c r="X395" s="103"/>
      <c r="Y395" s="103"/>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198"/>
      <c r="BJ395" s="198"/>
      <c r="BK395" s="198"/>
      <c r="BL395" s="198"/>
      <c r="BM395" s="198"/>
      <c r="BN395" s="198"/>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idden="1" outlineLevel="1" collapsed="1">
      <c r="A396" s="9"/>
      <c r="B396" s="9"/>
      <c r="C396" s="271">
        <f>Asset25</f>
        <v>0</v>
      </c>
      <c r="D396" s="9"/>
      <c r="E396" s="9"/>
      <c r="F396" s="23"/>
      <c r="G396" s="23"/>
      <c r="H396" s="297">
        <f>-SUM(H384:H395)</f>
        <v>0</v>
      </c>
      <c r="I396" s="161">
        <f>-SUM(I384:I395)</f>
        <v>0</v>
      </c>
      <c r="J396" s="161">
        <f>-SUM(J384:J395)</f>
        <v>0</v>
      </c>
      <c r="K396" s="161">
        <f>-SUM(K384:K395)</f>
        <v>0</v>
      </c>
      <c r="L396" s="161">
        <f>-SUM(L384:L395)</f>
        <v>0</v>
      </c>
      <c r="M396" s="161">
        <f>IF(COUNT($H396:L396)&gt;=Input!$Y$7,0, -SUM(M384:M395))</f>
        <v>0</v>
      </c>
      <c r="N396" s="161">
        <f>IF(COUNT($H396:M396)&gt;=Input!$Y$7,0, -SUM(N384:N395))</f>
        <v>0</v>
      </c>
      <c r="O396" s="161">
        <f>IF(COUNT($H396:N396)&gt;=Input!$Y$7,0, -SUM(O384:O395))</f>
        <v>0</v>
      </c>
      <c r="P396" s="161">
        <f>IF(COUNT($H396:O396)&gt;=Input!$Y$7,0, -SUM(P384:P395))</f>
        <v>0</v>
      </c>
      <c r="Q396" s="161">
        <f>IF(COUNT($H396:P396)&gt;=Input!$Y$7,0, -SUM(Q384:Q395))</f>
        <v>0</v>
      </c>
      <c r="R396" s="161"/>
      <c r="S396" s="102"/>
      <c r="T396" s="102"/>
      <c r="U396" s="102"/>
      <c r="V396" s="102"/>
      <c r="W396" s="102"/>
      <c r="X396" s="102"/>
      <c r="Y396" s="102"/>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98"/>
      <c r="BJ396" s="198"/>
      <c r="BK396" s="198"/>
      <c r="BL396" s="198"/>
      <c r="BM396" s="198"/>
      <c r="BN396" s="198"/>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2.75" hidden="1" customHeight="1" outlineLevel="2">
      <c r="A397" s="9"/>
      <c r="B397" s="272">
        <f>Asset26</f>
        <v>0</v>
      </c>
      <c r="C397" s="31"/>
      <c r="D397" s="32" t="s">
        <v>66</v>
      </c>
      <c r="E397" s="31"/>
      <c r="F397" s="300"/>
      <c r="G397" s="300"/>
      <c r="H397" s="68" t="str">
        <f>IF(H$3&gt;A26taxremlife,A26taxvalue-SUM($F397:F397),IF(A26taxremlife="N/A","n/a",A26taxvalue/A26taxremlife))</f>
        <v>n/a</v>
      </c>
      <c r="I397" s="68" t="str">
        <f>IF(I$3&gt;A26taxremlife,A26taxvalue-SUM($F397:H397),IF(A26taxremlife="N/A","n/a",A26taxvalue/A26taxremlife))</f>
        <v>n/a</v>
      </c>
      <c r="J397" s="68" t="str">
        <f>IF(J$3&gt;A26taxremlife,A26taxvalue-SUM($F397:I397),IF(A26taxremlife="N/A","n/a",A26taxvalue/A26taxremlife))</f>
        <v>n/a</v>
      </c>
      <c r="K397" s="68" t="str">
        <f>IF(K$3&gt;A26taxremlife,A26taxvalue-SUM($F397:J397),IF(A26taxremlife="N/A","n/a",A26taxvalue/A26taxremlife))</f>
        <v>n/a</v>
      </c>
      <c r="L397" s="68" t="str">
        <f>IF(L$3&gt;A26taxremlife,A26taxvalue-SUM($F397:K397),IF(A26taxremlife="N/A","n/a",A26taxvalue/A26taxremlife))</f>
        <v>n/a</v>
      </c>
      <c r="M397" s="68" t="str">
        <f>IF(M$3&gt;A26taxremlife,A26taxvalue-SUM($F397:L397),IF(A26taxremlife="N/A","n/a",A26taxvalue/A26taxremlife))</f>
        <v>n/a</v>
      </c>
      <c r="N397" s="68" t="str">
        <f>IF(N$3&gt;A26taxremlife,A26taxvalue-SUM($F397:M397),IF(A26taxremlife="N/A","n/a",A26taxvalue/A26taxremlife))</f>
        <v>n/a</v>
      </c>
      <c r="O397" s="68" t="str">
        <f>IF(O$3&gt;A26taxremlife,A26taxvalue-SUM($F397:N397),IF(A26taxremlife="N/A","n/a",A26taxvalue/A26taxremlife))</f>
        <v>n/a</v>
      </c>
      <c r="P397" s="68" t="str">
        <f>IF(P$3&gt;A26taxremlife,A26taxvalue-SUM($F397:O397),IF(A26taxremlife="N/A","n/a",A26taxvalue/A26taxremlife))</f>
        <v>n/a</v>
      </c>
      <c r="Q397" s="68" t="str">
        <f>IF(Q$3&gt;A26taxremlife,A26taxvalue-SUM($F397:P397),IF(A26taxremlife="N/A","n/a",A26taxvalue/A26taxremlife))</f>
        <v>n/a</v>
      </c>
      <c r="R397" s="68"/>
      <c r="S397" s="103"/>
      <c r="T397" s="103"/>
      <c r="U397" s="103"/>
      <c r="V397" s="103"/>
      <c r="W397" s="103"/>
      <c r="X397" s="103"/>
      <c r="Y397" s="103"/>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198"/>
      <c r="BJ397" s="198"/>
      <c r="BK397" s="198"/>
      <c r="BL397" s="198"/>
      <c r="BM397" s="198"/>
      <c r="BN397" s="198"/>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2.75" hidden="1" customHeight="1" outlineLevel="2">
      <c r="A398" s="9"/>
      <c r="B398" s="9"/>
      <c r="C398" s="26"/>
      <c r="D398" s="391" t="s">
        <v>82</v>
      </c>
      <c r="E398" s="87"/>
      <c r="F398" s="27"/>
      <c r="G398" s="27"/>
      <c r="H398" s="103"/>
      <c r="I398" s="69"/>
      <c r="J398" s="69"/>
      <c r="K398" s="69"/>
      <c r="L398" s="69"/>
      <c r="M398" s="69"/>
      <c r="N398" s="69"/>
      <c r="O398" s="69"/>
      <c r="P398" s="69"/>
      <c r="Q398" s="69"/>
      <c r="R398" s="69"/>
      <c r="S398" s="103"/>
      <c r="T398" s="103"/>
      <c r="U398" s="103"/>
      <c r="V398" s="103"/>
      <c r="W398" s="103"/>
      <c r="X398" s="103"/>
      <c r="Y398" s="103"/>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198"/>
      <c r="BJ398" s="198"/>
      <c r="BK398" s="198"/>
      <c r="BL398" s="198"/>
      <c r="BM398" s="198"/>
      <c r="BN398" s="1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2.75" hidden="1" customHeight="1" outlineLevel="2">
      <c r="A399" s="9"/>
      <c r="B399" s="9"/>
      <c r="C399" s="26"/>
      <c r="D399" s="392"/>
      <c r="E399" s="87">
        <v>1</v>
      </c>
      <c r="F399" s="27"/>
      <c r="G399" s="27"/>
      <c r="H399" s="145"/>
      <c r="I399" s="69" t="str">
        <f>IF(A26taxstdlife="n/a","n/a",IF(I$3&gt;(A26taxstdlife+$E399),(Input!$H$168-Input!$H$202)-SUM($H399:H399),(Input!$H$168-Input!$H$202)/A26taxstdlife))</f>
        <v>n/a</v>
      </c>
      <c r="J399" s="69" t="str">
        <f>IF(A26taxstdlife="n/a","n/a",IF(J$3&gt;(A26taxstdlife+$E399),(Input!$H$168-Input!$H$202)-SUM($H399:I399),(Input!$H$168-Input!$H$202)/A26taxstdlife))</f>
        <v>n/a</v>
      </c>
      <c r="K399" s="69" t="str">
        <f>IF(A26taxstdlife="n/a","n/a",IF(K$3&gt;(A26taxstdlife+$E399),(Input!$H$168-Input!$H$202)-SUM($H399:J399),(Input!$H$168-Input!$H$202)/A26taxstdlife))</f>
        <v>n/a</v>
      </c>
      <c r="L399" s="69" t="str">
        <f>IF(A26taxstdlife="n/a","n/a",IF(L$3&gt;(A26taxstdlife+$E399),(Input!$H$168-Input!$H$202)-SUM($H399:K399),(Input!$H$168-Input!$H$202)/A26taxstdlife))</f>
        <v>n/a</v>
      </c>
      <c r="M399" s="69" t="str">
        <f>IF(A26taxstdlife="n/a","n/a",IF(M$3&gt;(A26taxstdlife+$E399),(Input!$H$168-Input!$H$202)-SUM($H399:L399),(Input!$H$168-Input!$H$202)/A26taxstdlife))</f>
        <v>n/a</v>
      </c>
      <c r="N399" s="69" t="str">
        <f>IF(A26taxstdlife="n/a","n/a",IF(N$3&gt;(A26taxstdlife+$E399),(Input!$H$168-Input!$H$202)-SUM($H399:M399),(Input!$H$168-Input!$H$202)/A26taxstdlife))</f>
        <v>n/a</v>
      </c>
      <c r="O399" s="69" t="str">
        <f>IF(A26taxstdlife="n/a","n/a",IF(O$3&gt;(A26taxstdlife+$E399),(Input!$H$168-Input!$H$202)-SUM($H399:N399),(Input!$H$168-Input!$H$202)/A26taxstdlife))</f>
        <v>n/a</v>
      </c>
      <c r="P399" s="69" t="str">
        <f>IF(A26taxstdlife="n/a","n/a",IF(P$3&gt;(A26taxstdlife+$E399),(Input!$H$168-Input!$H$202)-SUM($H399:O399),(Input!$H$168-Input!$H$202)/A26taxstdlife))</f>
        <v>n/a</v>
      </c>
      <c r="Q399" s="69" t="str">
        <f>IF(A26taxstdlife="n/a","n/a",IF(Q$3&gt;(A26taxstdlife+$E399),(Input!$H$168-Input!$H$202)-SUM($H399:P399),(Input!$H$168-Input!$H$202)/A26taxstdlife))</f>
        <v>n/a</v>
      </c>
      <c r="R399" s="69"/>
      <c r="S399" s="103"/>
      <c r="T399" s="103"/>
      <c r="U399" s="103"/>
      <c r="V399" s="103"/>
      <c r="W399" s="103"/>
      <c r="X399" s="103"/>
      <c r="Y399" s="103"/>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198"/>
      <c r="BJ399" s="198"/>
      <c r="BK399" s="198"/>
      <c r="BL399" s="198"/>
      <c r="BM399" s="198"/>
      <c r="BN399" s="198"/>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2.75" hidden="1" customHeight="1" outlineLevel="2">
      <c r="A400" s="9"/>
      <c r="B400" s="9"/>
      <c r="C400" s="26"/>
      <c r="D400" s="392"/>
      <c r="E400" s="87">
        <v>2</v>
      </c>
      <c r="F400" s="27"/>
      <c r="G400" s="27"/>
      <c r="H400" s="146"/>
      <c r="I400" s="147"/>
      <c r="J400" s="69" t="str">
        <f>IF(A26taxstdlife="n/a","n/a",IF(J$3&gt;(A26taxstdlife+$E400),(Input!$I$168-Input!$I$202)-SUM($I400:I400),(Input!$I$168-Input!$I$202)/A26taxstdlife))</f>
        <v>n/a</v>
      </c>
      <c r="K400" s="69" t="str">
        <f>IF(A26taxstdlife="n/a","n/a",IF(K$3&gt;(A26taxstdlife+$E400),(Input!$I$168-Input!$I$202)-SUM($I400:J400),(Input!$I$168-Input!$I$202)/A26taxstdlife))</f>
        <v>n/a</v>
      </c>
      <c r="L400" s="69" t="str">
        <f>IF(A26taxstdlife="n/a","n/a",IF(L$3&gt;(A26taxstdlife+$E400),(Input!$I$168-Input!$I$202)-SUM($I400:K400),(Input!$I$168-Input!$I$202)/A26taxstdlife))</f>
        <v>n/a</v>
      </c>
      <c r="M400" s="69" t="str">
        <f>IF(A26taxstdlife="n/a","n/a",IF(M$3&gt;(A26taxstdlife+$E400),(Input!$I$168-Input!$I$202)-SUM($I400:L400),(Input!$I$168-Input!$I$202)/A26taxstdlife))</f>
        <v>n/a</v>
      </c>
      <c r="N400" s="69" t="str">
        <f>IF(A26taxstdlife="n/a","n/a",IF(N$3&gt;(A26taxstdlife+$E400),(Input!$I$168-Input!$I$202)-SUM($I400:M400),(Input!$I$168-Input!$I$202)/A26taxstdlife))</f>
        <v>n/a</v>
      </c>
      <c r="O400" s="69" t="str">
        <f>IF(A26taxstdlife="n/a","n/a",IF(O$3&gt;(A26taxstdlife+$E400),(Input!$I$168-Input!$I$202)-SUM($I400:N400),(Input!$I$168-Input!$I$202)/A26taxstdlife))</f>
        <v>n/a</v>
      </c>
      <c r="P400" s="69" t="str">
        <f>IF(A26taxstdlife="n/a","n/a",IF(P$3&gt;(A26taxstdlife+$E400),(Input!$I$168-Input!$I$202)-SUM($I400:O400),(Input!$I$168-Input!$I$202)/A26taxstdlife))</f>
        <v>n/a</v>
      </c>
      <c r="Q400" s="69" t="str">
        <f>IF(A26taxstdlife="n/a","n/a",IF(Q$3&gt;(A26taxstdlife+$E400),(Input!$I$168-Input!$I$202)-SUM($I400:P400),(Input!$I$168-Input!$I$202)/A26taxstdlife))</f>
        <v>n/a</v>
      </c>
      <c r="R400" s="69"/>
      <c r="S400" s="103"/>
      <c r="T400" s="103"/>
      <c r="U400" s="103"/>
      <c r="V400" s="103"/>
      <c r="W400" s="103"/>
      <c r="X400" s="103"/>
      <c r="Y400" s="103"/>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198"/>
      <c r="BJ400" s="198"/>
      <c r="BK400" s="198"/>
      <c r="BL400" s="198"/>
      <c r="BM400" s="198"/>
      <c r="BN400" s="198"/>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2.75" hidden="1" customHeight="1" outlineLevel="2">
      <c r="A401" s="9"/>
      <c r="B401" s="9"/>
      <c r="C401" s="26"/>
      <c r="D401" s="392"/>
      <c r="E401" s="87">
        <v>3</v>
      </c>
      <c r="F401" s="27"/>
      <c r="G401" s="27"/>
      <c r="H401" s="146"/>
      <c r="I401" s="148"/>
      <c r="J401" s="147"/>
      <c r="K401" s="69" t="str">
        <f>IF(A26taxstdlife="n/a","n/a",IF(K$3&gt;(A26taxstdlife+$E401),(Input!$J$168-Input!$J$202)-SUM($J401:J401),(Input!$J$168-Input!$J$202)/A26taxstdlife))</f>
        <v>n/a</v>
      </c>
      <c r="L401" s="69" t="str">
        <f>IF(A26taxstdlife="n/a","n/a",IF(L$3&gt;(A26taxstdlife+$E401),(Input!$J$168-Input!$J$202)-SUM($J401:K401),(Input!$J$168-Input!$J$202)/A26taxstdlife))</f>
        <v>n/a</v>
      </c>
      <c r="M401" s="69" t="str">
        <f>IF(A26taxstdlife="n/a","n/a",IF(M$3&gt;(A26taxstdlife+$E401),(Input!$J$168-Input!$J$202)-SUM($J401:L401),(Input!$J$168-Input!$J$202)/A26taxstdlife))</f>
        <v>n/a</v>
      </c>
      <c r="N401" s="69" t="str">
        <f>IF(A26taxstdlife="n/a","n/a",IF(N$3&gt;(A26taxstdlife+$E401),(Input!$J$168-Input!$J$202)-SUM($J401:M401),(Input!$J$168-Input!$J$202)/A26taxstdlife))</f>
        <v>n/a</v>
      </c>
      <c r="O401" s="69" t="str">
        <f>IF(A26taxstdlife="n/a","n/a",IF(O$3&gt;(A26taxstdlife+$E401),(Input!$J$168-Input!$J$202)-SUM($J401:N401),(Input!$J$168-Input!$J$202)/A26taxstdlife))</f>
        <v>n/a</v>
      </c>
      <c r="P401" s="69" t="str">
        <f>IF(A26taxstdlife="n/a","n/a",IF(P$3&gt;(A26taxstdlife+$E401),(Input!$J$168-Input!$J$202)-SUM($J401:O401),(Input!$J$168-Input!$J$202)/A26taxstdlife))</f>
        <v>n/a</v>
      </c>
      <c r="Q401" s="69" t="str">
        <f>IF(A26taxstdlife="n/a","n/a",IF(Q$3&gt;(A26taxstdlife+$E401),(Input!$J$168-Input!$J$202)-SUM($J401:P401),(Input!$J$168-Input!$J$202)/A26taxstdlife))</f>
        <v>n/a</v>
      </c>
      <c r="R401" s="69"/>
      <c r="S401" s="103"/>
      <c r="T401" s="103"/>
      <c r="U401" s="103"/>
      <c r="V401" s="103"/>
      <c r="W401" s="103"/>
      <c r="X401" s="103"/>
      <c r="Y401" s="103"/>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9"/>
      <c r="BJ401" s="198"/>
      <c r="BK401" s="198"/>
      <c r="BL401" s="198"/>
      <c r="BM401" s="198"/>
      <c r="BN401" s="198"/>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2.75" hidden="1" customHeight="1" outlineLevel="2">
      <c r="A402" s="9"/>
      <c r="B402" s="9"/>
      <c r="C402" s="26"/>
      <c r="D402" s="392"/>
      <c r="E402" s="87">
        <v>4</v>
      </c>
      <c r="F402" s="27"/>
      <c r="G402" s="27"/>
      <c r="H402" s="146"/>
      <c r="I402" s="148"/>
      <c r="J402" s="148"/>
      <c r="K402" s="147"/>
      <c r="L402" s="69" t="str">
        <f>IF(A26taxstdlife="n/a","n/a",IF(L$3&gt;(A26taxstdlife+$E402),(Input!$K$168-Input!$K$202)-SUM($K402:K402),(Input!$K$168-Input!$K$202)/A26taxstdlife))</f>
        <v>n/a</v>
      </c>
      <c r="M402" s="69" t="str">
        <f>IF(A26taxstdlife="n/a","n/a",IF(M$3&gt;(A26taxstdlife+$E402),(Input!$K$168-Input!$K$202)-SUM($K402:L402),(Input!$K$168-Input!$K$202)/A26taxstdlife))</f>
        <v>n/a</v>
      </c>
      <c r="N402" s="69" t="str">
        <f>IF(A26taxstdlife="n/a","n/a",IF(N$3&gt;(A26taxstdlife+$E402),(Input!$K$168-Input!$K$202)-SUM($K402:M402),(Input!$K$168-Input!$K$202)/A26taxstdlife))</f>
        <v>n/a</v>
      </c>
      <c r="O402" s="69" t="str">
        <f>IF(A26taxstdlife="n/a","n/a",IF(O$3&gt;(A26taxstdlife+$E402),(Input!$K$168-Input!$K$202)-SUM($K402:N402),(Input!$K$168-Input!$K$202)/A26taxstdlife))</f>
        <v>n/a</v>
      </c>
      <c r="P402" s="69" t="str">
        <f>IF(A26taxstdlife="n/a","n/a",IF(P$3&gt;(A26taxstdlife+$E402),(Input!$K$168-Input!$K$202)-SUM($K402:O402),(Input!$K$168-Input!$K$202)/A26taxstdlife))</f>
        <v>n/a</v>
      </c>
      <c r="Q402" s="69" t="str">
        <f>IF(A26taxstdlife="n/a","n/a",IF(Q$3&gt;(A26taxstdlife+$E402),(Input!$K$168-Input!$K$202)-SUM($K402:P402),(Input!$K$168-Input!$K$202)/A26taxstdlife))</f>
        <v>n/a</v>
      </c>
      <c r="R402" s="69"/>
      <c r="S402" s="103"/>
      <c r="T402" s="103"/>
      <c r="U402" s="103"/>
      <c r="V402" s="103"/>
      <c r="W402" s="103"/>
      <c r="X402" s="103"/>
      <c r="Y402" s="103"/>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198"/>
      <c r="BJ402" s="198"/>
      <c r="BK402" s="198"/>
      <c r="BL402" s="198"/>
      <c r="BM402" s="198"/>
      <c r="BN402" s="198"/>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2.75" hidden="1" customHeight="1" outlineLevel="2">
      <c r="A403" s="9"/>
      <c r="B403" s="9"/>
      <c r="C403" s="26"/>
      <c r="D403" s="392"/>
      <c r="E403" s="87">
        <v>5</v>
      </c>
      <c r="F403" s="27"/>
      <c r="G403" s="27"/>
      <c r="H403" s="146"/>
      <c r="I403" s="148"/>
      <c r="J403" s="148"/>
      <c r="K403" s="148"/>
      <c r="L403" s="147"/>
      <c r="M403" s="69" t="str">
        <f>IF(A26taxstdlife="n/a","n/a",IF(M$3&gt;(A26taxstdlife+$E403),(Input!$L$168-Input!$L$202)-SUM($L403:L403),(Input!$L$168-Input!$L$202)/A26taxstdlife))</f>
        <v>n/a</v>
      </c>
      <c r="N403" s="69" t="str">
        <f>IF(A26taxstdlife="n/a","n/a",IF(N$3&gt;(A26taxstdlife+$E403),(Input!$L$168-Input!$L$202)-SUM($L403:M403),(Input!$L$168-Input!$L$202)/A26taxstdlife))</f>
        <v>n/a</v>
      </c>
      <c r="O403" s="69" t="str">
        <f>IF(A26taxstdlife="n/a","n/a",IF(O$3&gt;(A26taxstdlife+$E403),(Input!$L$168-Input!$L$202)-SUM($L403:N403),(Input!$L$168-Input!$L$202)/A26taxstdlife))</f>
        <v>n/a</v>
      </c>
      <c r="P403" s="69" t="str">
        <f>IF(A26taxstdlife="n/a","n/a",IF(P$3&gt;(A26taxstdlife+$E403),(Input!$L$168-Input!$L$202)-SUM($L403:O403),(Input!$L$168-Input!$L$202)/A26taxstdlife))</f>
        <v>n/a</v>
      </c>
      <c r="Q403" s="69" t="str">
        <f>IF(A26taxstdlife="n/a","n/a",IF(Q$3&gt;(A26taxstdlife+$E403),(Input!$L$168-Input!$L$202)-SUM($L403:P403),(Input!$L$168-Input!$L$202)/A26taxstdlife))</f>
        <v>n/a</v>
      </c>
      <c r="R403" s="69"/>
      <c r="S403" s="103"/>
      <c r="T403" s="103"/>
      <c r="U403" s="103"/>
      <c r="V403" s="103"/>
      <c r="W403" s="103"/>
      <c r="X403" s="103"/>
      <c r="Y403" s="103"/>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198"/>
      <c r="BJ403" s="198"/>
      <c r="BK403" s="198"/>
      <c r="BL403" s="198"/>
      <c r="BM403" s="198"/>
      <c r="BN403" s="198"/>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2.75" hidden="1" customHeight="1" outlineLevel="2">
      <c r="A404" s="9"/>
      <c r="B404" s="9"/>
      <c r="C404" s="26"/>
      <c r="D404" s="392"/>
      <c r="E404" s="87">
        <v>6</v>
      </c>
      <c r="F404" s="27"/>
      <c r="G404" s="27"/>
      <c r="H404" s="146"/>
      <c r="I404" s="148"/>
      <c r="J404" s="148"/>
      <c r="K404" s="148"/>
      <c r="L404" s="148"/>
      <c r="M404" s="147"/>
      <c r="N404" s="69" t="str">
        <f>IF(A26taxstdlife="n/a","n/a",IF(N$3&gt;(A26taxstdlife+$E404),(Input!$M$168-Input!$M$202)-SUM($M404:M404),(Input!$M$168-Input!$M$202)/A26taxstdlife))</f>
        <v>n/a</v>
      </c>
      <c r="O404" s="69" t="str">
        <f>IF(A26taxstdlife="n/a","n/a",IF(O$3&gt;(A26taxstdlife+$E404),(Input!$M$168-Input!$M$202)-SUM($M404:N404),(Input!$M$168-Input!$M$202)/A26taxstdlife))</f>
        <v>n/a</v>
      </c>
      <c r="P404" s="69" t="str">
        <f>IF(A26taxstdlife="n/a","n/a",IF(P$3&gt;(A26taxstdlife+$E404),(Input!$M$168-Input!$M$202)-SUM($M404:O404),(Input!$M$168-Input!$M$202)/A26taxstdlife))</f>
        <v>n/a</v>
      </c>
      <c r="Q404" s="69" t="str">
        <f>IF(A26taxstdlife="n/a","n/a",IF(Q$3&gt;(A26taxstdlife+$E404),(Input!$M$168-Input!$M$202)-SUM($M404:P404),(Input!$M$168-Input!$M$202)/A26taxstdlife))</f>
        <v>n/a</v>
      </c>
      <c r="R404" s="69"/>
      <c r="S404" s="103"/>
      <c r="T404" s="103"/>
      <c r="U404" s="103"/>
      <c r="V404" s="103"/>
      <c r="W404" s="103"/>
      <c r="X404" s="103"/>
      <c r="Y404" s="103"/>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198"/>
      <c r="BJ404" s="198"/>
      <c r="BK404" s="198"/>
      <c r="BL404" s="198"/>
      <c r="BM404" s="198"/>
      <c r="BN404" s="198"/>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2.75" hidden="1" customHeight="1" outlineLevel="2">
      <c r="A405" s="9"/>
      <c r="B405" s="9"/>
      <c r="C405" s="26"/>
      <c r="D405" s="392"/>
      <c r="E405" s="87">
        <v>7</v>
      </c>
      <c r="F405" s="27"/>
      <c r="G405" s="27"/>
      <c r="H405" s="146"/>
      <c r="I405" s="148"/>
      <c r="J405" s="148"/>
      <c r="K405" s="148"/>
      <c r="L405" s="148"/>
      <c r="M405" s="148"/>
      <c r="N405" s="147"/>
      <c r="O405" s="69" t="str">
        <f>IF(A26taxstdlife="n/a","n/a",IF(O$3&gt;(A26taxstdlife+$E405),(Input!$N$168-Input!$N$202)-SUM($N405:N405),(Input!$N$168-Input!$N$202)/A26taxstdlife))</f>
        <v>n/a</v>
      </c>
      <c r="P405" s="69" t="str">
        <f>IF(A26taxstdlife="n/a","n/a",IF(P$3&gt;(A26taxstdlife+$E405),(Input!$N$168-Input!$N$202)-SUM($N405:O405),(Input!$N$168-Input!$N$202)/A26taxstdlife))</f>
        <v>n/a</v>
      </c>
      <c r="Q405" s="69" t="str">
        <f>IF(A26taxstdlife="n/a","n/a",IF(Q$3&gt;(A26taxstdlife+$E405),(Input!$N$168-Input!$N$202)-SUM($N405:P405),(Input!$N$168-Input!$N$202)/A26taxstdlife))</f>
        <v>n/a</v>
      </c>
      <c r="R405" s="69"/>
      <c r="S405" s="103"/>
      <c r="T405" s="103"/>
      <c r="U405" s="103"/>
      <c r="V405" s="103"/>
      <c r="W405" s="103"/>
      <c r="X405" s="103"/>
      <c r="Y405" s="103"/>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198"/>
      <c r="BJ405" s="198"/>
      <c r="BK405" s="198"/>
      <c r="BL405" s="198"/>
      <c r="BM405" s="198"/>
      <c r="BN405" s="198"/>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2.75" hidden="1" customHeight="1" outlineLevel="2">
      <c r="A406" s="9"/>
      <c r="B406" s="9"/>
      <c r="C406" s="26"/>
      <c r="D406" s="392"/>
      <c r="E406" s="87">
        <v>8</v>
      </c>
      <c r="F406" s="27"/>
      <c r="G406" s="27"/>
      <c r="H406" s="146"/>
      <c r="I406" s="148"/>
      <c r="J406" s="148"/>
      <c r="K406" s="148"/>
      <c r="L406" s="148"/>
      <c r="M406" s="148"/>
      <c r="N406" s="148"/>
      <c r="O406" s="147"/>
      <c r="P406" s="69" t="str">
        <f>IF(A26taxstdlife="n/a","n/a",IF(P$3&gt;(A26taxstdlife+$E406),(Input!$O$168-Input!$O$202)-SUM($O406:O406),(Input!$O$168-Input!$O$202)/A26taxstdlife))</f>
        <v>n/a</v>
      </c>
      <c r="Q406" s="69" t="str">
        <f>IF(A26taxstdlife="n/a","n/a",IF(Q$3&gt;(A26taxstdlife+$E406),(Input!$O$168-Input!$O$202)-SUM($O406:P406),(Input!$O$168-Input!$O$202)/A26taxstdlife))</f>
        <v>n/a</v>
      </c>
      <c r="R406" s="69"/>
      <c r="S406" s="103"/>
      <c r="T406" s="103"/>
      <c r="U406" s="103"/>
      <c r="V406" s="103"/>
      <c r="W406" s="103"/>
      <c r="X406" s="103"/>
      <c r="Y406" s="103"/>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198"/>
      <c r="BJ406" s="198"/>
      <c r="BK406" s="198"/>
      <c r="BL406" s="198"/>
      <c r="BM406" s="198"/>
      <c r="BN406" s="198"/>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2.75" hidden="1" customHeight="1" outlineLevel="2">
      <c r="A407" s="9"/>
      <c r="B407" s="9"/>
      <c r="C407" s="26"/>
      <c r="D407" s="392"/>
      <c r="E407" s="87">
        <v>9</v>
      </c>
      <c r="F407" s="27"/>
      <c r="G407" s="27"/>
      <c r="H407" s="146"/>
      <c r="I407" s="148"/>
      <c r="J407" s="148"/>
      <c r="K407" s="148"/>
      <c r="L407" s="148"/>
      <c r="M407" s="148"/>
      <c r="N407" s="148"/>
      <c r="O407" s="148"/>
      <c r="P407" s="147"/>
      <c r="Q407" s="69" t="str">
        <f>IF(A26taxstdlife="n/a","n/a",IF(Q$3&gt;(A26taxstdlife+$E407),(Input!$P$168-Input!$P$202)-SUM($P407:P407),(Input!$P$168-Input!$P$202)/A26taxstdlife))</f>
        <v>n/a</v>
      </c>
      <c r="R407" s="69"/>
      <c r="S407" s="103"/>
      <c r="T407" s="103"/>
      <c r="U407" s="103"/>
      <c r="V407" s="103"/>
      <c r="W407" s="103"/>
      <c r="X407" s="103"/>
      <c r="Y407" s="103"/>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198"/>
      <c r="BJ407" s="198"/>
      <c r="BK407" s="198"/>
      <c r="BL407" s="198"/>
      <c r="BM407" s="198"/>
      <c r="BN407" s="198"/>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2.75" hidden="1" customHeight="1" outlineLevel="2">
      <c r="A408" s="9"/>
      <c r="B408" s="9"/>
      <c r="C408" s="26"/>
      <c r="D408" s="392"/>
      <c r="E408" s="88">
        <v>10</v>
      </c>
      <c r="F408" s="27"/>
      <c r="G408" s="27"/>
      <c r="H408" s="146"/>
      <c r="I408" s="148"/>
      <c r="J408" s="148"/>
      <c r="K408" s="148"/>
      <c r="L408" s="148"/>
      <c r="M408" s="148"/>
      <c r="N408" s="148"/>
      <c r="O408" s="148"/>
      <c r="P408" s="148"/>
      <c r="Q408" s="147"/>
      <c r="R408" s="69"/>
      <c r="S408" s="103"/>
      <c r="T408" s="103"/>
      <c r="U408" s="103"/>
      <c r="V408" s="103"/>
      <c r="W408" s="103"/>
      <c r="X408" s="103"/>
      <c r="Y408" s="103"/>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198"/>
      <c r="BJ408" s="198"/>
      <c r="BK408" s="198"/>
      <c r="BL408" s="198"/>
      <c r="BM408" s="198"/>
      <c r="BN408" s="19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idden="1" outlineLevel="1" collapsed="1">
      <c r="A409" s="9"/>
      <c r="B409" s="9"/>
      <c r="C409" s="271">
        <f>Asset26</f>
        <v>0</v>
      </c>
      <c r="D409" s="9"/>
      <c r="E409" s="9"/>
      <c r="F409" s="23"/>
      <c r="G409" s="23"/>
      <c r="H409" s="297">
        <f>-SUM(H397:H408)</f>
        <v>0</v>
      </c>
      <c r="I409" s="161">
        <f>-SUM(I397:I408)</f>
        <v>0</v>
      </c>
      <c r="J409" s="161">
        <f>-SUM(J397:J408)</f>
        <v>0</v>
      </c>
      <c r="K409" s="161">
        <f>-SUM(K397:K408)</f>
        <v>0</v>
      </c>
      <c r="L409" s="161">
        <f>-SUM(L397:L408)</f>
        <v>0</v>
      </c>
      <c r="M409" s="161">
        <f>IF(COUNT($H409:L409)&gt;=Input!$Y$7,0, -SUM(M397:M408))</f>
        <v>0</v>
      </c>
      <c r="N409" s="161">
        <f>IF(COUNT($H409:M409)&gt;=Input!$Y$7,0, -SUM(N397:N408))</f>
        <v>0</v>
      </c>
      <c r="O409" s="161">
        <f>IF(COUNT($H409:N409)&gt;=Input!$Y$7,0, -SUM(O397:O408))</f>
        <v>0</v>
      </c>
      <c r="P409" s="161">
        <f>IF(COUNT($H409:O409)&gt;=Input!$Y$7,0, -SUM(P397:P408))</f>
        <v>0</v>
      </c>
      <c r="Q409" s="161">
        <f>IF(COUNT($H409:P409)&gt;=Input!$Y$7,0, -SUM(Q397:Q408))</f>
        <v>0</v>
      </c>
      <c r="R409" s="161"/>
      <c r="S409" s="102"/>
      <c r="T409" s="102"/>
      <c r="U409" s="102"/>
      <c r="V409" s="102"/>
      <c r="W409" s="102"/>
      <c r="X409" s="102"/>
      <c r="Y409" s="102"/>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198"/>
      <c r="BJ409" s="198"/>
      <c r="BK409" s="198"/>
      <c r="BL409" s="198"/>
      <c r="BM409" s="198"/>
      <c r="BN409" s="198"/>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2.75" hidden="1" customHeight="1" outlineLevel="2">
      <c r="A410" s="9"/>
      <c r="B410" s="272">
        <f>Asset27</f>
        <v>0</v>
      </c>
      <c r="C410" s="31"/>
      <c r="D410" s="32" t="s">
        <v>66</v>
      </c>
      <c r="E410" s="31"/>
      <c r="F410" s="300"/>
      <c r="G410" s="300"/>
      <c r="H410" s="68" t="str">
        <f>IF(H$3&gt;A27taxremlife,A27taxvalue-SUM($F410:F410),IF(A27taxremlife="N/A","n/a",A27taxvalue/A27taxremlife))</f>
        <v>n/a</v>
      </c>
      <c r="I410" s="68" t="str">
        <f>IF(I$3&gt;A27taxremlife,A27taxvalue-SUM($F410:H410),IF(A27taxremlife="N/A","n/a",A27taxvalue/A27taxremlife))</f>
        <v>n/a</v>
      </c>
      <c r="J410" s="68" t="str">
        <f>IF(J$3&gt;A27taxremlife,A27taxvalue-SUM($F410:I410),IF(A27taxremlife="N/A","n/a",A27taxvalue/A27taxremlife))</f>
        <v>n/a</v>
      </c>
      <c r="K410" s="68" t="str">
        <f>IF(K$3&gt;A27taxremlife,A27taxvalue-SUM($F410:J410),IF(A27taxremlife="N/A","n/a",A27taxvalue/A27taxremlife))</f>
        <v>n/a</v>
      </c>
      <c r="L410" s="68" t="str">
        <f>IF(L$3&gt;A27taxremlife,A27taxvalue-SUM($F410:K410),IF(A27taxremlife="N/A","n/a",A27taxvalue/A27taxremlife))</f>
        <v>n/a</v>
      </c>
      <c r="M410" s="68" t="str">
        <f>IF(M$3&gt;A27taxremlife,A27taxvalue-SUM($F410:L410),IF(A27taxremlife="N/A","n/a",A27taxvalue/A27taxremlife))</f>
        <v>n/a</v>
      </c>
      <c r="N410" s="68" t="str">
        <f>IF(N$3&gt;A27taxremlife,A27taxvalue-SUM($F410:M410),IF(A27taxremlife="N/A","n/a",A27taxvalue/A27taxremlife))</f>
        <v>n/a</v>
      </c>
      <c r="O410" s="68" t="str">
        <f>IF(O$3&gt;A27taxremlife,A27taxvalue-SUM($F410:N410),IF(A27taxremlife="N/A","n/a",A27taxvalue/A27taxremlife))</f>
        <v>n/a</v>
      </c>
      <c r="P410" s="68" t="str">
        <f>IF(P$3&gt;A27taxremlife,A27taxvalue-SUM($F410:O410),IF(A27taxremlife="N/A","n/a",A27taxvalue/A27taxremlife))</f>
        <v>n/a</v>
      </c>
      <c r="Q410" s="68" t="str">
        <f>IF(Q$3&gt;A27taxremlife,A27taxvalue-SUM($F410:P410),IF(A27taxremlife="N/A","n/a",A27taxvalue/A27taxremlife))</f>
        <v>n/a</v>
      </c>
      <c r="R410" s="68"/>
      <c r="S410" s="103"/>
      <c r="T410" s="103"/>
      <c r="U410" s="103"/>
      <c r="V410" s="103"/>
      <c r="W410" s="103"/>
      <c r="X410" s="103"/>
      <c r="Y410" s="103"/>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198"/>
      <c r="BJ410" s="198"/>
      <c r="BK410" s="198"/>
      <c r="BL410" s="198"/>
      <c r="BM410" s="198"/>
      <c r="BN410" s="198"/>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2.75" hidden="1" customHeight="1" outlineLevel="2">
      <c r="A411" s="9"/>
      <c r="B411" s="9"/>
      <c r="C411" s="26"/>
      <c r="D411" s="391" t="s">
        <v>82</v>
      </c>
      <c r="E411" s="87"/>
      <c r="F411" s="27"/>
      <c r="G411" s="27"/>
      <c r="H411" s="103"/>
      <c r="I411" s="69"/>
      <c r="J411" s="69"/>
      <c r="K411" s="69"/>
      <c r="L411" s="69"/>
      <c r="M411" s="69"/>
      <c r="N411" s="69"/>
      <c r="O411" s="69"/>
      <c r="P411" s="69"/>
      <c r="Q411" s="69"/>
      <c r="R411" s="69"/>
      <c r="S411" s="103"/>
      <c r="T411" s="103"/>
      <c r="U411" s="103"/>
      <c r="V411" s="103"/>
      <c r="W411" s="103"/>
      <c r="X411" s="103"/>
      <c r="Y411" s="103"/>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198"/>
      <c r="BJ411" s="198"/>
      <c r="BK411" s="198"/>
      <c r="BL411" s="198"/>
      <c r="BM411" s="198"/>
      <c r="BN411" s="198"/>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2.75" hidden="1" customHeight="1" outlineLevel="2">
      <c r="A412" s="9"/>
      <c r="B412" s="9"/>
      <c r="C412" s="26"/>
      <c r="D412" s="392"/>
      <c r="E412" s="87">
        <v>1</v>
      </c>
      <c r="F412" s="27"/>
      <c r="G412" s="27"/>
      <c r="H412" s="145"/>
      <c r="I412" s="69" t="str">
        <f>IF(A27taxstdlife="n/a","n/a",IF(I$3&gt;(A27taxstdlife+$E412),(Input!$H$169-Input!$H$203)-SUM($H412:H412),(Input!$H$169-Input!$H$203)/A27taxstdlife))</f>
        <v>n/a</v>
      </c>
      <c r="J412" s="69" t="str">
        <f>IF(A27taxstdlife="n/a","n/a",IF(J$3&gt;(A27taxstdlife+$E412),(Input!$H$169-Input!$H$203)-SUM($H412:I412),(Input!$H$169-Input!$H$203)/A27taxstdlife))</f>
        <v>n/a</v>
      </c>
      <c r="K412" s="69" t="str">
        <f>IF(A27taxstdlife="n/a","n/a",IF(K$3&gt;(A27taxstdlife+$E412),(Input!$H$169-Input!$H$203)-SUM($H412:J412),(Input!$H$169-Input!$H$203)/A27taxstdlife))</f>
        <v>n/a</v>
      </c>
      <c r="L412" s="69" t="str">
        <f>IF(A27taxstdlife="n/a","n/a",IF(L$3&gt;(A27taxstdlife+$E412),(Input!$H$169-Input!$H$203)-SUM($H412:K412),(Input!$H$169-Input!$H$203)/A27taxstdlife))</f>
        <v>n/a</v>
      </c>
      <c r="M412" s="69" t="str">
        <f>IF(A27taxstdlife="n/a","n/a",IF(M$3&gt;(A27taxstdlife+$E412),(Input!$H$169-Input!$H$203)-SUM($H412:L412),(Input!$H$169-Input!$H$203)/A27taxstdlife))</f>
        <v>n/a</v>
      </c>
      <c r="N412" s="69" t="str">
        <f>IF(A27taxstdlife="n/a","n/a",IF(N$3&gt;(A27taxstdlife+$E412),(Input!$H$169-Input!$H$203)-SUM($H412:M412),(Input!$H$169-Input!$H$203)/A27taxstdlife))</f>
        <v>n/a</v>
      </c>
      <c r="O412" s="69" t="str">
        <f>IF(A27taxstdlife="n/a","n/a",IF(O$3&gt;(A27taxstdlife+$E412),(Input!$H$169-Input!$H$203)-SUM($H412:N412),(Input!$H$169-Input!$H$203)/A27taxstdlife))</f>
        <v>n/a</v>
      </c>
      <c r="P412" s="69" t="str">
        <f>IF(A27taxstdlife="n/a","n/a",IF(P$3&gt;(A27taxstdlife+$E412),(Input!$H$169-Input!$H$203)-SUM($H412:O412),(Input!$H$169-Input!$H$203)/A27taxstdlife))</f>
        <v>n/a</v>
      </c>
      <c r="Q412" s="69" t="str">
        <f>IF(A27taxstdlife="n/a","n/a",IF(Q$3&gt;(A27taxstdlife+$E412),(Input!$H$169-Input!$H$203)-SUM($H412:P412),(Input!$H$169-Input!$H$203)/A27taxstdlife))</f>
        <v>n/a</v>
      </c>
      <c r="R412" s="69"/>
      <c r="S412" s="103"/>
      <c r="T412" s="103"/>
      <c r="U412" s="103"/>
      <c r="V412" s="103"/>
      <c r="W412" s="103"/>
      <c r="X412" s="103"/>
      <c r="Y412" s="103"/>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198"/>
      <c r="BJ412" s="198"/>
      <c r="BK412" s="198"/>
      <c r="BL412" s="198"/>
      <c r="BM412" s="198"/>
      <c r="BN412" s="198"/>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2.75" hidden="1" customHeight="1" outlineLevel="2">
      <c r="A413" s="9"/>
      <c r="B413" s="9"/>
      <c r="C413" s="26"/>
      <c r="D413" s="392"/>
      <c r="E413" s="87">
        <v>2</v>
      </c>
      <c r="F413" s="27"/>
      <c r="G413" s="27"/>
      <c r="H413" s="146"/>
      <c r="I413" s="147"/>
      <c r="J413" s="69" t="str">
        <f>IF(A27taxstdlife="n/a","n/a",IF(J$3&gt;(A27taxstdlife+$E413),(Input!$I$169-Input!$I$203)-SUM($I413:I413),(Input!$I$169-Input!$I$203)/A27taxstdlife))</f>
        <v>n/a</v>
      </c>
      <c r="K413" s="69" t="str">
        <f>IF(A27taxstdlife="n/a","n/a",IF(K$3&gt;(A27taxstdlife+$E413),(Input!$I$169-Input!$I$203)-SUM($I413:J413),(Input!$I$169-Input!$I$203)/A27taxstdlife))</f>
        <v>n/a</v>
      </c>
      <c r="L413" s="69" t="str">
        <f>IF(A27taxstdlife="n/a","n/a",IF(L$3&gt;(A27taxstdlife+$E413),(Input!$I$169-Input!$I$203)-SUM($I413:K413),(Input!$I$169-Input!$I$203)/A27taxstdlife))</f>
        <v>n/a</v>
      </c>
      <c r="M413" s="69" t="str">
        <f>IF(A27taxstdlife="n/a","n/a",IF(M$3&gt;(A27taxstdlife+$E413),(Input!$I$169-Input!$I$203)-SUM($I413:L413),(Input!$I$169-Input!$I$203)/A27taxstdlife))</f>
        <v>n/a</v>
      </c>
      <c r="N413" s="69" t="str">
        <f>IF(A27taxstdlife="n/a","n/a",IF(N$3&gt;(A27taxstdlife+$E413),(Input!$I$169-Input!$I$203)-SUM($I413:M413),(Input!$I$169-Input!$I$203)/A27taxstdlife))</f>
        <v>n/a</v>
      </c>
      <c r="O413" s="69" t="str">
        <f>IF(A27taxstdlife="n/a","n/a",IF(O$3&gt;(A27taxstdlife+$E413),(Input!$I$169-Input!$I$203)-SUM($I413:N413),(Input!$I$169-Input!$I$203)/A27taxstdlife))</f>
        <v>n/a</v>
      </c>
      <c r="P413" s="69" t="str">
        <f>IF(A27taxstdlife="n/a","n/a",IF(P$3&gt;(A27taxstdlife+$E413),(Input!$I$169-Input!$I$203)-SUM($I413:O413),(Input!$I$169-Input!$I$203)/A27taxstdlife))</f>
        <v>n/a</v>
      </c>
      <c r="Q413" s="69" t="str">
        <f>IF(A27taxstdlife="n/a","n/a",IF(Q$3&gt;(A27taxstdlife+$E413),(Input!$I$169-Input!$I$203)-SUM($I413:P413),(Input!$I$169-Input!$I$203)/A27taxstdlife))</f>
        <v>n/a</v>
      </c>
      <c r="R413" s="69"/>
      <c r="S413" s="103"/>
      <c r="T413" s="103"/>
      <c r="U413" s="103"/>
      <c r="V413" s="103"/>
      <c r="W413" s="103"/>
      <c r="X413" s="103"/>
      <c r="Y413" s="103"/>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198"/>
      <c r="BJ413" s="198"/>
      <c r="BK413" s="198"/>
      <c r="BL413" s="198"/>
      <c r="BM413" s="198"/>
      <c r="BN413" s="198"/>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2.75" hidden="1" customHeight="1" outlineLevel="2">
      <c r="A414" s="9"/>
      <c r="B414" s="9"/>
      <c r="C414" s="26"/>
      <c r="D414" s="392"/>
      <c r="E414" s="87">
        <v>3</v>
      </c>
      <c r="F414" s="27"/>
      <c r="G414" s="27"/>
      <c r="H414" s="146"/>
      <c r="I414" s="148"/>
      <c r="J414" s="147"/>
      <c r="K414" s="69" t="str">
        <f>IF(A27taxstdlife="n/a","n/a",IF(K$3&gt;(A27taxstdlife+$E414),(Input!$J$169-Input!$J$203)-SUM($J414:J414),(Input!$J$169-Input!$J$203)/A27taxstdlife))</f>
        <v>n/a</v>
      </c>
      <c r="L414" s="69" t="str">
        <f>IF(A27taxstdlife="n/a","n/a",IF(L$3&gt;(A27taxstdlife+$E414),(Input!$J$169-Input!$J$203)-SUM($J414:K414),(Input!$J$169-Input!$J$203)/A27taxstdlife))</f>
        <v>n/a</v>
      </c>
      <c r="M414" s="69" t="str">
        <f>IF(A27taxstdlife="n/a","n/a",IF(M$3&gt;(A27taxstdlife+$E414),(Input!$J$169-Input!$J$203)-SUM($J414:L414),(Input!$J$169-Input!$J$203)/A27taxstdlife))</f>
        <v>n/a</v>
      </c>
      <c r="N414" s="69" t="str">
        <f>IF(A27taxstdlife="n/a","n/a",IF(N$3&gt;(A27taxstdlife+$E414),(Input!$J$169-Input!$J$203)-SUM($J414:M414),(Input!$J$169-Input!$J$203)/A27taxstdlife))</f>
        <v>n/a</v>
      </c>
      <c r="O414" s="69" t="str">
        <f>IF(A27taxstdlife="n/a","n/a",IF(O$3&gt;(A27taxstdlife+$E414),(Input!$J$169-Input!$J$203)-SUM($J414:N414),(Input!$J$169-Input!$J$203)/A27taxstdlife))</f>
        <v>n/a</v>
      </c>
      <c r="P414" s="69" t="str">
        <f>IF(A27taxstdlife="n/a","n/a",IF(P$3&gt;(A27taxstdlife+$E414),(Input!$J$169-Input!$J$203)-SUM($J414:O414),(Input!$J$169-Input!$J$203)/A27taxstdlife))</f>
        <v>n/a</v>
      </c>
      <c r="Q414" s="69" t="str">
        <f>IF(A27taxstdlife="n/a","n/a",IF(Q$3&gt;(A27taxstdlife+$E414),(Input!$J$169-Input!$J$203)-SUM($J414:P414),(Input!$J$169-Input!$J$203)/A27taxstdlife))</f>
        <v>n/a</v>
      </c>
      <c r="R414" s="69"/>
      <c r="S414" s="103"/>
      <c r="T414" s="103"/>
      <c r="U414" s="103"/>
      <c r="V414" s="103"/>
      <c r="W414" s="103"/>
      <c r="X414" s="103"/>
      <c r="Y414" s="103"/>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9"/>
      <c r="BJ414" s="198"/>
      <c r="BK414" s="198"/>
      <c r="BL414" s="198"/>
      <c r="BM414" s="198"/>
      <c r="BN414" s="198"/>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2.75" hidden="1" customHeight="1" outlineLevel="2">
      <c r="A415" s="9"/>
      <c r="B415" s="9"/>
      <c r="C415" s="26"/>
      <c r="D415" s="392"/>
      <c r="E415" s="87">
        <v>4</v>
      </c>
      <c r="F415" s="27"/>
      <c r="G415" s="27"/>
      <c r="H415" s="146"/>
      <c r="I415" s="148"/>
      <c r="J415" s="148"/>
      <c r="K415" s="147"/>
      <c r="L415" s="69" t="str">
        <f>IF(A27taxstdlife="n/a","n/a",IF(L$3&gt;(A27taxstdlife+$E415),(Input!$K$169-Input!$K$203)-SUM($K415:K415),(Input!$K$169-Input!$K$203)/A27taxstdlife))</f>
        <v>n/a</v>
      </c>
      <c r="M415" s="69" t="str">
        <f>IF(A27taxstdlife="n/a","n/a",IF(M$3&gt;(A27taxstdlife+$E415),(Input!$K$169-Input!$K$203)-SUM($K415:L415),(Input!$K$169-Input!$K$203)/A27taxstdlife))</f>
        <v>n/a</v>
      </c>
      <c r="N415" s="69" t="str">
        <f>IF(A27taxstdlife="n/a","n/a",IF(N$3&gt;(A27taxstdlife+$E415),(Input!$K$169-Input!$K$203)-SUM($K415:M415),(Input!$K$169-Input!$K$203)/A27taxstdlife))</f>
        <v>n/a</v>
      </c>
      <c r="O415" s="69" t="str">
        <f>IF(A27taxstdlife="n/a","n/a",IF(O$3&gt;(A27taxstdlife+$E415),(Input!$K$169-Input!$K$203)-SUM($K415:N415),(Input!$K$169-Input!$K$203)/A27taxstdlife))</f>
        <v>n/a</v>
      </c>
      <c r="P415" s="69" t="str">
        <f>IF(A27taxstdlife="n/a","n/a",IF(P$3&gt;(A27taxstdlife+$E415),(Input!$K$169-Input!$K$203)-SUM($K415:O415),(Input!$K$169-Input!$K$203)/A27taxstdlife))</f>
        <v>n/a</v>
      </c>
      <c r="Q415" s="69" t="str">
        <f>IF(A27taxstdlife="n/a","n/a",IF(Q$3&gt;(A27taxstdlife+$E415),(Input!$K$169-Input!$K$203)-SUM($K415:P415),(Input!$K$169-Input!$K$203)/A27taxstdlife))</f>
        <v>n/a</v>
      </c>
      <c r="R415" s="69"/>
      <c r="S415" s="103"/>
      <c r="T415" s="103"/>
      <c r="U415" s="103"/>
      <c r="V415" s="103"/>
      <c r="W415" s="103"/>
      <c r="X415" s="103"/>
      <c r="Y415" s="103"/>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198"/>
      <c r="BJ415" s="198"/>
      <c r="BK415" s="198"/>
      <c r="BL415" s="198"/>
      <c r="BM415" s="198"/>
      <c r="BN415" s="198"/>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2.75" hidden="1" customHeight="1" outlineLevel="2">
      <c r="A416" s="9"/>
      <c r="B416" s="9"/>
      <c r="C416" s="26"/>
      <c r="D416" s="392"/>
      <c r="E416" s="87">
        <v>5</v>
      </c>
      <c r="F416" s="27"/>
      <c r="G416" s="27"/>
      <c r="H416" s="146"/>
      <c r="I416" s="148"/>
      <c r="J416" s="148"/>
      <c r="K416" s="148"/>
      <c r="L416" s="147"/>
      <c r="M416" s="69" t="str">
        <f>IF(A27taxstdlife="n/a","n/a",IF(M$3&gt;(A27taxstdlife+$E416),(Input!$L$169-Input!$L$203)-SUM($L416:L416),(Input!$L$169-Input!$L$203)/A27taxstdlife))</f>
        <v>n/a</v>
      </c>
      <c r="N416" s="69" t="str">
        <f>IF(A27taxstdlife="n/a","n/a",IF(N$3&gt;(A27taxstdlife+$E416),(Input!$L$169-Input!$L$203)-SUM($L416:M416),(Input!$L$169-Input!$L$203)/A27taxstdlife))</f>
        <v>n/a</v>
      </c>
      <c r="O416" s="69" t="str">
        <f>IF(A27taxstdlife="n/a","n/a",IF(O$3&gt;(A27taxstdlife+$E416),(Input!$L$169-Input!$L$203)-SUM($L416:N416),(Input!$L$169-Input!$L$203)/A27taxstdlife))</f>
        <v>n/a</v>
      </c>
      <c r="P416" s="69" t="str">
        <f>IF(A27taxstdlife="n/a","n/a",IF(P$3&gt;(A27taxstdlife+$E416),(Input!$L$169-Input!$L$203)-SUM($L416:O416),(Input!$L$169-Input!$L$203)/A27taxstdlife))</f>
        <v>n/a</v>
      </c>
      <c r="Q416" s="69" t="str">
        <f>IF(A27taxstdlife="n/a","n/a",IF(Q$3&gt;(A27taxstdlife+$E416),(Input!$L$169-Input!$L$203)-SUM($L416:P416),(Input!$L$169-Input!$L$203)/A27taxstdlife))</f>
        <v>n/a</v>
      </c>
      <c r="R416" s="69"/>
      <c r="S416" s="103"/>
      <c r="T416" s="103"/>
      <c r="U416" s="103"/>
      <c r="V416" s="103"/>
      <c r="W416" s="103"/>
      <c r="X416" s="103"/>
      <c r="Y416" s="103"/>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198"/>
      <c r="BJ416" s="198"/>
      <c r="BK416" s="198"/>
      <c r="BL416" s="198"/>
      <c r="BM416" s="198"/>
      <c r="BN416" s="198"/>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2.75" hidden="1" customHeight="1" outlineLevel="2">
      <c r="A417" s="9"/>
      <c r="B417" s="9"/>
      <c r="C417" s="26"/>
      <c r="D417" s="392"/>
      <c r="E417" s="87">
        <v>6</v>
      </c>
      <c r="F417" s="27"/>
      <c r="G417" s="27"/>
      <c r="H417" s="146"/>
      <c r="I417" s="148"/>
      <c r="J417" s="148"/>
      <c r="K417" s="148"/>
      <c r="L417" s="148"/>
      <c r="M417" s="147"/>
      <c r="N417" s="69" t="str">
        <f>IF(A27taxstdlife="n/a","n/a",IF(N$3&gt;(A27taxstdlife+$E417),(Input!$M$169-Input!$M$203)-SUM($M417:M417),(Input!$M$169-Input!$M$203)/A27taxstdlife))</f>
        <v>n/a</v>
      </c>
      <c r="O417" s="69" t="str">
        <f>IF(A27taxstdlife="n/a","n/a",IF(O$3&gt;(A27taxstdlife+$E417),(Input!$M$169-Input!$M$203)-SUM($M417:N417),(Input!$M$169-Input!$M$203)/A27taxstdlife))</f>
        <v>n/a</v>
      </c>
      <c r="P417" s="69" t="str">
        <f>IF(A27taxstdlife="n/a","n/a",IF(P$3&gt;(A27taxstdlife+$E417),(Input!$M$169-Input!$M$203)-SUM($M417:O417),(Input!$M$169-Input!$M$203)/A27taxstdlife))</f>
        <v>n/a</v>
      </c>
      <c r="Q417" s="69" t="str">
        <f>IF(A27taxstdlife="n/a","n/a",IF(Q$3&gt;(A27taxstdlife+$E417),(Input!$M$169-Input!$M$203)-SUM($M417:P417),(Input!$M$169-Input!$M$203)/A27taxstdlife))</f>
        <v>n/a</v>
      </c>
      <c r="R417" s="69"/>
      <c r="S417" s="103"/>
      <c r="T417" s="103"/>
      <c r="U417" s="103"/>
      <c r="V417" s="103"/>
      <c r="W417" s="103"/>
      <c r="X417" s="103"/>
      <c r="Y417" s="103"/>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198"/>
      <c r="BJ417" s="198"/>
      <c r="BK417" s="198"/>
      <c r="BL417" s="198"/>
      <c r="BM417" s="198"/>
      <c r="BN417" s="198"/>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2.75" hidden="1" customHeight="1" outlineLevel="2">
      <c r="A418" s="9"/>
      <c r="B418" s="9"/>
      <c r="C418" s="26"/>
      <c r="D418" s="392"/>
      <c r="E418" s="87">
        <v>7</v>
      </c>
      <c r="F418" s="27"/>
      <c r="G418" s="27"/>
      <c r="H418" s="146"/>
      <c r="I418" s="148"/>
      <c r="J418" s="148"/>
      <c r="K418" s="148"/>
      <c r="L418" s="148"/>
      <c r="M418" s="148"/>
      <c r="N418" s="147"/>
      <c r="O418" s="69" t="str">
        <f>IF(A27taxstdlife="n/a","n/a",IF(O$3&gt;(A27taxstdlife+$E418),(Input!$N$169-Input!$N$203)-SUM($N418:N418),(Input!$N$169-Input!$N$203)/A27taxstdlife))</f>
        <v>n/a</v>
      </c>
      <c r="P418" s="69" t="str">
        <f>IF(A27taxstdlife="n/a","n/a",IF(P$3&gt;(A27taxstdlife+$E418),(Input!$N$169-Input!$N$203)-SUM($N418:O418),(Input!$N$169-Input!$N$203)/A27taxstdlife))</f>
        <v>n/a</v>
      </c>
      <c r="Q418" s="69" t="str">
        <f>IF(A27taxstdlife="n/a","n/a",IF(Q$3&gt;(A27taxstdlife+$E418),(Input!$N$169-Input!$N$203)-SUM($N418:P418),(Input!$N$169-Input!$N$203)/A27taxstdlife))</f>
        <v>n/a</v>
      </c>
      <c r="R418" s="69"/>
      <c r="S418" s="103"/>
      <c r="T418" s="103"/>
      <c r="U418" s="103"/>
      <c r="V418" s="103"/>
      <c r="W418" s="103"/>
      <c r="X418" s="103"/>
      <c r="Y418" s="103"/>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198"/>
      <c r="BJ418" s="198"/>
      <c r="BK418" s="198"/>
      <c r="BL418" s="198"/>
      <c r="BM418" s="198"/>
      <c r="BN418" s="19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2.75" hidden="1" customHeight="1" outlineLevel="2">
      <c r="A419" s="9"/>
      <c r="B419" s="9"/>
      <c r="C419" s="26"/>
      <c r="D419" s="392"/>
      <c r="E419" s="87">
        <v>8</v>
      </c>
      <c r="F419" s="27"/>
      <c r="G419" s="27"/>
      <c r="H419" s="146"/>
      <c r="I419" s="148"/>
      <c r="J419" s="148"/>
      <c r="K419" s="148"/>
      <c r="L419" s="148"/>
      <c r="M419" s="148"/>
      <c r="N419" s="148"/>
      <c r="O419" s="147"/>
      <c r="P419" s="69" t="str">
        <f>IF(A27taxstdlife="n/a","n/a",IF(P$3&gt;(A27taxstdlife+$E419),(Input!$O$169-Input!$O$203)-SUM($O419:O419),(Input!$O$169-Input!$O$203)/A27taxstdlife))</f>
        <v>n/a</v>
      </c>
      <c r="Q419" s="69" t="str">
        <f>IF(A27taxstdlife="n/a","n/a",IF(Q$3&gt;(A27taxstdlife+$E419),(Input!$O$169-Input!$O$203)-SUM($O419:P419),(Input!$O$169-Input!$O$203)/A27taxstdlife))</f>
        <v>n/a</v>
      </c>
      <c r="R419" s="69"/>
      <c r="S419" s="103"/>
      <c r="T419" s="103"/>
      <c r="U419" s="103"/>
      <c r="V419" s="103"/>
      <c r="W419" s="103"/>
      <c r="X419" s="103"/>
      <c r="Y419" s="103"/>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198"/>
      <c r="BJ419" s="198"/>
      <c r="BK419" s="198"/>
      <c r="BL419" s="198"/>
      <c r="BM419" s="198"/>
      <c r="BN419" s="198"/>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2.75" hidden="1" customHeight="1" outlineLevel="2">
      <c r="A420" s="9"/>
      <c r="B420" s="9"/>
      <c r="C420" s="26"/>
      <c r="D420" s="392"/>
      <c r="E420" s="87">
        <v>9</v>
      </c>
      <c r="F420" s="27"/>
      <c r="G420" s="27"/>
      <c r="H420" s="146"/>
      <c r="I420" s="148"/>
      <c r="J420" s="148"/>
      <c r="K420" s="148"/>
      <c r="L420" s="148"/>
      <c r="M420" s="148"/>
      <c r="N420" s="148"/>
      <c r="O420" s="148"/>
      <c r="P420" s="147"/>
      <c r="Q420" s="69" t="str">
        <f>IF(A27taxstdlife="n/a","n/a",IF(Q$3&gt;(A27taxstdlife+$E420),(Input!$P$169-Input!$P$203)-SUM($P420:P420),(Input!$P$169-Input!$P$203)/A27taxstdlife))</f>
        <v>n/a</v>
      </c>
      <c r="R420" s="69"/>
      <c r="S420" s="103"/>
      <c r="T420" s="103"/>
      <c r="U420" s="103"/>
      <c r="V420" s="103"/>
      <c r="W420" s="103"/>
      <c r="X420" s="103"/>
      <c r="Y420" s="103"/>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198"/>
      <c r="BJ420" s="198"/>
      <c r="BK420" s="198"/>
      <c r="BL420" s="198"/>
      <c r="BM420" s="198"/>
      <c r="BN420" s="198"/>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2.75" hidden="1" customHeight="1" outlineLevel="2">
      <c r="A421" s="9"/>
      <c r="B421" s="9"/>
      <c r="C421" s="26"/>
      <c r="D421" s="392"/>
      <c r="E421" s="88">
        <v>10</v>
      </c>
      <c r="F421" s="27"/>
      <c r="G421" s="27"/>
      <c r="H421" s="146"/>
      <c r="I421" s="148"/>
      <c r="J421" s="148"/>
      <c r="K421" s="148"/>
      <c r="L421" s="148"/>
      <c r="M421" s="148"/>
      <c r="N421" s="148"/>
      <c r="O421" s="148"/>
      <c r="P421" s="148"/>
      <c r="Q421" s="147"/>
      <c r="R421" s="69"/>
      <c r="S421" s="103"/>
      <c r="T421" s="103"/>
      <c r="U421" s="103"/>
      <c r="V421" s="103"/>
      <c r="W421" s="103"/>
      <c r="X421" s="103"/>
      <c r="Y421" s="103"/>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198"/>
      <c r="BJ421" s="198"/>
      <c r="BK421" s="198"/>
      <c r="BL421" s="198"/>
      <c r="BM421" s="198"/>
      <c r="BN421" s="198"/>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idden="1" outlineLevel="1" collapsed="1">
      <c r="A422" s="9"/>
      <c r="B422" s="9"/>
      <c r="C422" s="271">
        <f>Asset27</f>
        <v>0</v>
      </c>
      <c r="D422" s="9"/>
      <c r="E422" s="9"/>
      <c r="F422" s="23"/>
      <c r="G422" s="23"/>
      <c r="H422" s="297">
        <f>-SUM(H410:H421)</f>
        <v>0</v>
      </c>
      <c r="I422" s="161">
        <f>-SUM(I410:I421)</f>
        <v>0</v>
      </c>
      <c r="J422" s="161">
        <f>-SUM(J410:J421)</f>
        <v>0</v>
      </c>
      <c r="K422" s="161">
        <f>-SUM(K410:K421)</f>
        <v>0</v>
      </c>
      <c r="L422" s="161">
        <f>-SUM(L410:L421)</f>
        <v>0</v>
      </c>
      <c r="M422" s="161">
        <f>IF(COUNT($H422:L422)&gt;=Input!$Y$7,0, -SUM(M410:M421))</f>
        <v>0</v>
      </c>
      <c r="N422" s="161">
        <f>IF(COUNT($H422:M422)&gt;=Input!$Y$7,0, -SUM(N410:N421))</f>
        <v>0</v>
      </c>
      <c r="O422" s="161">
        <f>IF(COUNT($H422:N422)&gt;=Input!$Y$7,0, -SUM(O410:O421))</f>
        <v>0</v>
      </c>
      <c r="P422" s="161">
        <f>IF(COUNT($H422:O422)&gt;=Input!$Y$7,0, -SUM(P410:P421))</f>
        <v>0</v>
      </c>
      <c r="Q422" s="161">
        <f>IF(COUNT($H422:P422)&gt;=Input!$Y$7,0, -SUM(Q410:Q421))</f>
        <v>0</v>
      </c>
      <c r="R422" s="161"/>
      <c r="S422" s="102"/>
      <c r="T422" s="102"/>
      <c r="U422" s="102"/>
      <c r="V422" s="102"/>
      <c r="W422" s="102"/>
      <c r="X422" s="102"/>
      <c r="Y422" s="102"/>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198"/>
      <c r="BJ422" s="198"/>
      <c r="BK422" s="198"/>
      <c r="BL422" s="198"/>
      <c r="BM422" s="198"/>
      <c r="BN422" s="198"/>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2.75" hidden="1" customHeight="1" outlineLevel="2">
      <c r="A423" s="9"/>
      <c r="B423" s="272">
        <f>Asset28</f>
        <v>0</v>
      </c>
      <c r="C423" s="31"/>
      <c r="D423" s="32" t="s">
        <v>66</v>
      </c>
      <c r="E423" s="31"/>
      <c r="F423" s="300"/>
      <c r="G423" s="300"/>
      <c r="H423" s="68" t="str">
        <f>IF(H$3&gt;A28taxremlife,A28taxvalue-SUM($F423:F423),IF(A28taxremlife="N/A","n/a",A28taxvalue/A28taxremlife))</f>
        <v>n/a</v>
      </c>
      <c r="I423" s="68" t="str">
        <f>IF(I$3&gt;A28taxremlife,A28taxvalue-SUM($F423:H423),IF(A28taxremlife="N/A","n/a",A28taxvalue/A28taxremlife))</f>
        <v>n/a</v>
      </c>
      <c r="J423" s="68" t="str">
        <f>IF(J$3&gt;A28taxremlife,A28taxvalue-SUM($F423:I423),IF(A28taxremlife="N/A","n/a",A28taxvalue/A28taxremlife))</f>
        <v>n/a</v>
      </c>
      <c r="K423" s="68" t="str">
        <f>IF(K$3&gt;A28taxremlife,A28taxvalue-SUM($F423:J423),IF(A28taxremlife="N/A","n/a",A28taxvalue/A28taxremlife))</f>
        <v>n/a</v>
      </c>
      <c r="L423" s="68" t="str">
        <f>IF(L$3&gt;A28taxremlife,A28taxvalue-SUM($F423:K423),IF(A28taxremlife="N/A","n/a",A28taxvalue/A28taxremlife))</f>
        <v>n/a</v>
      </c>
      <c r="M423" s="68" t="str">
        <f>IF(M$3&gt;A28taxremlife,A28taxvalue-SUM($F423:L423),IF(A28taxremlife="N/A","n/a",A28taxvalue/A28taxremlife))</f>
        <v>n/a</v>
      </c>
      <c r="N423" s="68" t="str">
        <f>IF(N$3&gt;A28taxremlife,A28taxvalue-SUM($F423:M423),IF(A28taxremlife="N/A","n/a",A28taxvalue/A28taxremlife))</f>
        <v>n/a</v>
      </c>
      <c r="O423" s="68" t="str">
        <f>IF(O$3&gt;A28taxremlife,A28taxvalue-SUM($F423:N423),IF(A28taxremlife="N/A","n/a",A28taxvalue/A28taxremlife))</f>
        <v>n/a</v>
      </c>
      <c r="P423" s="68" t="str">
        <f>IF(P$3&gt;A28taxremlife,A28taxvalue-SUM($F423:O423),IF(A28taxremlife="N/A","n/a",A28taxvalue/A28taxremlife))</f>
        <v>n/a</v>
      </c>
      <c r="Q423" s="68" t="str">
        <f>IF(Q$3&gt;A28taxremlife,A28taxvalue-SUM($F423:P423),IF(A28taxremlife="N/A","n/a",A28taxvalue/A28taxremlife))</f>
        <v>n/a</v>
      </c>
      <c r="R423" s="68"/>
      <c r="S423" s="103"/>
      <c r="T423" s="103"/>
      <c r="U423" s="103"/>
      <c r="V423" s="103"/>
      <c r="W423" s="103"/>
      <c r="X423" s="103"/>
      <c r="Y423" s="103"/>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198"/>
      <c r="BJ423" s="198"/>
      <c r="BK423" s="198"/>
      <c r="BL423" s="198"/>
      <c r="BM423" s="198"/>
      <c r="BN423" s="198"/>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2.75" hidden="1" customHeight="1" outlineLevel="2">
      <c r="A424" s="9"/>
      <c r="B424" s="9"/>
      <c r="C424" s="26"/>
      <c r="D424" s="391" t="s">
        <v>82</v>
      </c>
      <c r="E424" s="87"/>
      <c r="F424" s="27"/>
      <c r="G424" s="27"/>
      <c r="H424" s="103"/>
      <c r="I424" s="69"/>
      <c r="J424" s="69"/>
      <c r="K424" s="69"/>
      <c r="L424" s="69"/>
      <c r="M424" s="69"/>
      <c r="N424" s="69"/>
      <c r="O424" s="69"/>
      <c r="P424" s="69"/>
      <c r="Q424" s="69"/>
      <c r="R424" s="69"/>
      <c r="S424" s="103"/>
      <c r="T424" s="103"/>
      <c r="U424" s="103"/>
      <c r="V424" s="103"/>
      <c r="W424" s="103"/>
      <c r="X424" s="103"/>
      <c r="Y424" s="103"/>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198"/>
      <c r="BJ424" s="198"/>
      <c r="BK424" s="198"/>
      <c r="BL424" s="198"/>
      <c r="BM424" s="198"/>
      <c r="BN424" s="198"/>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2.75" hidden="1" customHeight="1" outlineLevel="2">
      <c r="A425" s="9"/>
      <c r="B425" s="9"/>
      <c r="C425" s="26"/>
      <c r="D425" s="392"/>
      <c r="E425" s="87">
        <v>1</v>
      </c>
      <c r="F425" s="27"/>
      <c r="G425" s="27"/>
      <c r="H425" s="145"/>
      <c r="I425" s="69" t="str">
        <f>IF(A28taxstdlife="n/a","n/a",IF(I$3&gt;(A28taxstdlife+$E425),(Input!$H$170-Input!$H$204)-SUM($H425:H425),(Input!$H$170-Input!$H$204)/A28taxstdlife))</f>
        <v>n/a</v>
      </c>
      <c r="J425" s="69" t="str">
        <f>IF(A28taxstdlife="n/a","n/a",IF(J$3&gt;(A28taxstdlife+$E425),(Input!$H$170-Input!$H$204)-SUM($H425:I425),(Input!$H$170-Input!$H$204)/A28taxstdlife))</f>
        <v>n/a</v>
      </c>
      <c r="K425" s="69" t="str">
        <f>IF(A28taxstdlife="n/a","n/a",IF(K$3&gt;(A28taxstdlife+$E425),(Input!$H$170-Input!$H$204)-SUM($H425:J425),(Input!$H$170-Input!$H$204)/A28taxstdlife))</f>
        <v>n/a</v>
      </c>
      <c r="L425" s="69" t="str">
        <f>IF(A28taxstdlife="n/a","n/a",IF(L$3&gt;(A28taxstdlife+$E425),(Input!$H$170-Input!$H$204)-SUM($H425:K425),(Input!$H$170-Input!$H$204)/A28taxstdlife))</f>
        <v>n/a</v>
      </c>
      <c r="M425" s="69" t="str">
        <f>IF(A28taxstdlife="n/a","n/a",IF(M$3&gt;(A28taxstdlife+$E425),(Input!$H$170-Input!$H$204)-SUM($H425:L425),(Input!$H$170-Input!$H$204)/A28taxstdlife))</f>
        <v>n/a</v>
      </c>
      <c r="N425" s="69" t="str">
        <f>IF(A28taxstdlife="n/a","n/a",IF(N$3&gt;(A28taxstdlife+$E425),(Input!$H$170-Input!$H$204)-SUM($H425:M425),(Input!$H$170-Input!$H$204)/A28taxstdlife))</f>
        <v>n/a</v>
      </c>
      <c r="O425" s="69" t="str">
        <f>IF(A28taxstdlife="n/a","n/a",IF(O$3&gt;(A28taxstdlife+$E425),(Input!$H$170-Input!$H$204)-SUM($H425:N425),(Input!$H$170-Input!$H$204)/A28taxstdlife))</f>
        <v>n/a</v>
      </c>
      <c r="P425" s="69" t="str">
        <f>IF(A28taxstdlife="n/a","n/a",IF(P$3&gt;(A28taxstdlife+$E425),(Input!$H$170-Input!$H$204)-SUM($H425:O425),(Input!$H$170-Input!$H$204)/A28taxstdlife))</f>
        <v>n/a</v>
      </c>
      <c r="Q425" s="69" t="str">
        <f>IF(A28taxstdlife="n/a","n/a",IF(Q$3&gt;(A28taxstdlife+$E425),(Input!$H$170-Input!$H$204)-SUM($H425:P425),(Input!$H$170-Input!$H$204)/A28taxstdlife))</f>
        <v>n/a</v>
      </c>
      <c r="R425" s="69"/>
      <c r="S425" s="103"/>
      <c r="T425" s="103"/>
      <c r="U425" s="103"/>
      <c r="V425" s="103"/>
      <c r="W425" s="103"/>
      <c r="X425" s="103"/>
      <c r="Y425" s="103"/>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198"/>
      <c r="BJ425" s="198"/>
      <c r="BK425" s="198"/>
      <c r="BL425" s="198"/>
      <c r="BM425" s="198"/>
      <c r="BN425" s="198"/>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2.75" hidden="1" customHeight="1" outlineLevel="2">
      <c r="A426" s="9"/>
      <c r="B426" s="9"/>
      <c r="C426" s="26"/>
      <c r="D426" s="392"/>
      <c r="E426" s="87">
        <v>2</v>
      </c>
      <c r="F426" s="27"/>
      <c r="G426" s="27"/>
      <c r="H426" s="146"/>
      <c r="I426" s="147"/>
      <c r="J426" s="69" t="str">
        <f>IF(A28taxstdlife="n/a","n/a",IF(J$3&gt;(A28taxstdlife+$E426),(Input!$I$170-Input!$I$204)-SUM($I426:I426),(Input!$I$170-Input!$I$204)/A28taxstdlife))</f>
        <v>n/a</v>
      </c>
      <c r="K426" s="69" t="str">
        <f>IF(A28taxstdlife="n/a","n/a",IF(K$3&gt;(A28taxstdlife+$E426),(Input!$I$170-Input!$I$204)-SUM($I426:J426),(Input!$I$170-Input!$I$204)/A28taxstdlife))</f>
        <v>n/a</v>
      </c>
      <c r="L426" s="69" t="str">
        <f>IF(A28taxstdlife="n/a","n/a",IF(L$3&gt;(A28taxstdlife+$E426),(Input!$I$170-Input!$I$204)-SUM($I426:K426),(Input!$I$170-Input!$I$204)/A28taxstdlife))</f>
        <v>n/a</v>
      </c>
      <c r="M426" s="69" t="str">
        <f>IF(A28taxstdlife="n/a","n/a",IF(M$3&gt;(A28taxstdlife+$E426),(Input!$I$170-Input!$I$204)-SUM($I426:L426),(Input!$I$170-Input!$I$204)/A28taxstdlife))</f>
        <v>n/a</v>
      </c>
      <c r="N426" s="69" t="str">
        <f>IF(A28taxstdlife="n/a","n/a",IF(N$3&gt;(A28taxstdlife+$E426),(Input!$I$170-Input!$I$204)-SUM($I426:M426),(Input!$I$170-Input!$I$204)/A28taxstdlife))</f>
        <v>n/a</v>
      </c>
      <c r="O426" s="69" t="str">
        <f>IF(A28taxstdlife="n/a","n/a",IF(O$3&gt;(A28taxstdlife+$E426),(Input!$I$170-Input!$I$204)-SUM($I426:N426),(Input!$I$170-Input!$I$204)/A28taxstdlife))</f>
        <v>n/a</v>
      </c>
      <c r="P426" s="69" t="str">
        <f>IF(A28taxstdlife="n/a","n/a",IF(P$3&gt;(A28taxstdlife+$E426),(Input!$I$170-Input!$I$204)-SUM($I426:O426),(Input!$I$170-Input!$I$204)/A28taxstdlife))</f>
        <v>n/a</v>
      </c>
      <c r="Q426" s="69" t="str">
        <f>IF(A28taxstdlife="n/a","n/a",IF(Q$3&gt;(A28taxstdlife+$E426),(Input!$I$170-Input!$I$204)-SUM($I426:P426),(Input!$I$170-Input!$I$204)/A28taxstdlife))</f>
        <v>n/a</v>
      </c>
      <c r="R426" s="69"/>
      <c r="S426" s="103"/>
      <c r="T426" s="103"/>
      <c r="U426" s="103"/>
      <c r="V426" s="103"/>
      <c r="W426" s="103"/>
      <c r="X426" s="103"/>
      <c r="Y426" s="103"/>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198"/>
      <c r="BJ426" s="198"/>
      <c r="BK426" s="198"/>
      <c r="BL426" s="198"/>
      <c r="BM426" s="198"/>
      <c r="BN426" s="198"/>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2.75" hidden="1" customHeight="1" outlineLevel="2">
      <c r="A427" s="9"/>
      <c r="B427" s="9"/>
      <c r="C427" s="26"/>
      <c r="D427" s="392"/>
      <c r="E427" s="87">
        <v>3</v>
      </c>
      <c r="F427" s="27"/>
      <c r="G427" s="27"/>
      <c r="H427" s="146"/>
      <c r="I427" s="148"/>
      <c r="J427" s="147"/>
      <c r="K427" s="69" t="str">
        <f>IF(A28taxstdlife="n/a","n/a",IF(K$3&gt;(A28taxstdlife+$E427),(Input!$J$170-Input!$J$204)-SUM($J427:J427),(Input!$J$170-Input!$J$204)/A28taxstdlife))</f>
        <v>n/a</v>
      </c>
      <c r="L427" s="69" t="str">
        <f>IF(A28taxstdlife="n/a","n/a",IF(L$3&gt;(A28taxstdlife+$E427),(Input!$J$170-Input!$J$204)-SUM($J427:K427),(Input!$J$170-Input!$J$204)/A28taxstdlife))</f>
        <v>n/a</v>
      </c>
      <c r="M427" s="69" t="str">
        <f>IF(A28taxstdlife="n/a","n/a",IF(M$3&gt;(A28taxstdlife+$E427),(Input!$J$170-Input!$J$204)-SUM($J427:L427),(Input!$J$170-Input!$J$204)/A28taxstdlife))</f>
        <v>n/a</v>
      </c>
      <c r="N427" s="69" t="str">
        <f>IF(A28taxstdlife="n/a","n/a",IF(N$3&gt;(A28taxstdlife+$E427),(Input!$J$170-Input!$J$204)-SUM($J427:M427),(Input!$J$170-Input!$J$204)/A28taxstdlife))</f>
        <v>n/a</v>
      </c>
      <c r="O427" s="69" t="str">
        <f>IF(A28taxstdlife="n/a","n/a",IF(O$3&gt;(A28taxstdlife+$E427),(Input!$J$170-Input!$J$204)-SUM($J427:N427),(Input!$J$170-Input!$J$204)/A28taxstdlife))</f>
        <v>n/a</v>
      </c>
      <c r="P427" s="69" t="str">
        <f>IF(A28taxstdlife="n/a","n/a",IF(P$3&gt;(A28taxstdlife+$E427),(Input!$J$170-Input!$J$204)-SUM($J427:O427),(Input!$J$170-Input!$J$204)/A28taxstdlife))</f>
        <v>n/a</v>
      </c>
      <c r="Q427" s="69" t="str">
        <f>IF(A28taxstdlife="n/a","n/a",IF(Q$3&gt;(A28taxstdlife+$E427),(Input!$J$170-Input!$J$204)-SUM($J427:P427),(Input!$J$170-Input!$J$204)/A28taxstdlife))</f>
        <v>n/a</v>
      </c>
      <c r="R427" s="69"/>
      <c r="S427" s="103"/>
      <c r="T427" s="103"/>
      <c r="U427" s="103"/>
      <c r="V427" s="103"/>
      <c r="W427" s="103"/>
      <c r="X427" s="103"/>
      <c r="Y427" s="103"/>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9"/>
      <c r="BJ427" s="198"/>
      <c r="BK427" s="198"/>
      <c r="BL427" s="198"/>
      <c r="BM427" s="198"/>
      <c r="BN427" s="198"/>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2.75" hidden="1" customHeight="1" outlineLevel="2">
      <c r="A428" s="9"/>
      <c r="B428" s="9"/>
      <c r="C428" s="26"/>
      <c r="D428" s="392"/>
      <c r="E428" s="87">
        <v>4</v>
      </c>
      <c r="F428" s="27"/>
      <c r="G428" s="27"/>
      <c r="H428" s="146"/>
      <c r="I428" s="148"/>
      <c r="J428" s="148"/>
      <c r="K428" s="147"/>
      <c r="L428" s="69" t="str">
        <f>IF(A28taxstdlife="n/a","n/a",IF(L$3&gt;(A28taxstdlife+$E428),(Input!$K$170-Input!$K$204)-SUM($K428:K428),(Input!$K$170-Input!$K$204)/A28taxstdlife))</f>
        <v>n/a</v>
      </c>
      <c r="M428" s="69" t="str">
        <f>IF(A28taxstdlife="n/a","n/a",IF(M$3&gt;(A28taxstdlife+$E428),(Input!$K$170-Input!$K$204)-SUM($K428:L428),(Input!$K$170-Input!$K$204)/A28taxstdlife))</f>
        <v>n/a</v>
      </c>
      <c r="N428" s="69" t="str">
        <f>IF(A28taxstdlife="n/a","n/a",IF(N$3&gt;(A28taxstdlife+$E428),(Input!$K$170-Input!$K$204)-SUM($K428:M428),(Input!$K$170-Input!$K$204)/A28taxstdlife))</f>
        <v>n/a</v>
      </c>
      <c r="O428" s="69" t="str">
        <f>IF(A28taxstdlife="n/a","n/a",IF(O$3&gt;(A28taxstdlife+$E428),(Input!$K$170-Input!$K$204)-SUM($K428:N428),(Input!$K$170-Input!$K$204)/A28taxstdlife))</f>
        <v>n/a</v>
      </c>
      <c r="P428" s="69" t="str">
        <f>IF(A28taxstdlife="n/a","n/a",IF(P$3&gt;(A28taxstdlife+$E428),(Input!$K$170-Input!$K$204)-SUM($K428:O428),(Input!$K$170-Input!$K$204)/A28taxstdlife))</f>
        <v>n/a</v>
      </c>
      <c r="Q428" s="69" t="str">
        <f>IF(A28taxstdlife="n/a","n/a",IF(Q$3&gt;(A28taxstdlife+$E428),(Input!$K$170-Input!$K$204)-SUM($K428:P428),(Input!$K$170-Input!$K$204)/A28taxstdlife))</f>
        <v>n/a</v>
      </c>
      <c r="R428" s="69"/>
      <c r="S428" s="103"/>
      <c r="T428" s="103"/>
      <c r="U428" s="103"/>
      <c r="V428" s="103"/>
      <c r="W428" s="103"/>
      <c r="X428" s="103"/>
      <c r="Y428" s="103"/>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198"/>
      <c r="BJ428" s="198"/>
      <c r="BK428" s="198"/>
      <c r="BL428" s="198"/>
      <c r="BM428" s="198"/>
      <c r="BN428" s="19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2.75" hidden="1" customHeight="1" outlineLevel="2">
      <c r="A429" s="9"/>
      <c r="B429" s="9"/>
      <c r="C429" s="26"/>
      <c r="D429" s="392"/>
      <c r="E429" s="87">
        <v>5</v>
      </c>
      <c r="F429" s="27"/>
      <c r="G429" s="27"/>
      <c r="H429" s="146"/>
      <c r="I429" s="148"/>
      <c r="J429" s="148"/>
      <c r="K429" s="148"/>
      <c r="L429" s="147"/>
      <c r="M429" s="69" t="str">
        <f>IF(A28taxstdlife="n/a","n/a",IF(M$3&gt;(A28taxstdlife+$E429),(Input!$L$170-Input!$L$204)-SUM($L429:L429),(Input!$L$170-Input!$L$204)/A28taxstdlife))</f>
        <v>n/a</v>
      </c>
      <c r="N429" s="69" t="str">
        <f>IF(A28taxstdlife="n/a","n/a",IF(N$3&gt;(A28taxstdlife+$E429),(Input!$L$170-Input!$L$204)-SUM($L429:M429),(Input!$L$170-Input!$L$204)/A28taxstdlife))</f>
        <v>n/a</v>
      </c>
      <c r="O429" s="69" t="str">
        <f>IF(A28taxstdlife="n/a","n/a",IF(O$3&gt;(A28taxstdlife+$E429),(Input!$L$170-Input!$L$204)-SUM($L429:N429),(Input!$L$170-Input!$L$204)/A28taxstdlife))</f>
        <v>n/a</v>
      </c>
      <c r="P429" s="69" t="str">
        <f>IF(A28taxstdlife="n/a","n/a",IF(P$3&gt;(A28taxstdlife+$E429),(Input!$L$170-Input!$L$204)-SUM($L429:O429),(Input!$L$170-Input!$L$204)/A28taxstdlife))</f>
        <v>n/a</v>
      </c>
      <c r="Q429" s="69" t="str">
        <f>IF(A28taxstdlife="n/a","n/a",IF(Q$3&gt;(A28taxstdlife+$E429),(Input!$L$170-Input!$L$204)-SUM($L429:P429),(Input!$L$170-Input!$L$204)/A28taxstdlife))</f>
        <v>n/a</v>
      </c>
      <c r="R429" s="69"/>
      <c r="S429" s="103"/>
      <c r="T429" s="103"/>
      <c r="U429" s="103"/>
      <c r="V429" s="103"/>
      <c r="W429" s="103"/>
      <c r="X429" s="103"/>
      <c r="Y429" s="103"/>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198"/>
      <c r="BJ429" s="198"/>
      <c r="BK429" s="198"/>
      <c r="BL429" s="198"/>
      <c r="BM429" s="198"/>
      <c r="BN429" s="198"/>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2.75" hidden="1" customHeight="1" outlineLevel="2">
      <c r="A430" s="9"/>
      <c r="B430" s="9"/>
      <c r="C430" s="26"/>
      <c r="D430" s="392"/>
      <c r="E430" s="87">
        <v>6</v>
      </c>
      <c r="F430" s="27"/>
      <c r="G430" s="27"/>
      <c r="H430" s="146"/>
      <c r="I430" s="148"/>
      <c r="J430" s="148"/>
      <c r="K430" s="148"/>
      <c r="L430" s="148"/>
      <c r="M430" s="147"/>
      <c r="N430" s="69" t="str">
        <f>IF(A28taxstdlife="n/a","n/a",IF(N$3&gt;(A28taxstdlife+$E430),(Input!$M$170-Input!$M$204)-SUM($M430:M430),(Input!$M$170-Input!$M$204)/A28taxstdlife))</f>
        <v>n/a</v>
      </c>
      <c r="O430" s="69" t="str">
        <f>IF(A28taxstdlife="n/a","n/a",IF(O$3&gt;(A28taxstdlife+$E430),(Input!$M$170-Input!$M$204)-SUM($M430:N430),(Input!$M$170-Input!$M$204)/A28taxstdlife))</f>
        <v>n/a</v>
      </c>
      <c r="P430" s="69" t="str">
        <f>IF(A28taxstdlife="n/a","n/a",IF(P$3&gt;(A28taxstdlife+$E430),(Input!$M$170-Input!$M$204)-SUM($M430:O430),(Input!$M$170-Input!$M$204)/A28taxstdlife))</f>
        <v>n/a</v>
      </c>
      <c r="Q430" s="69" t="str">
        <f>IF(A28taxstdlife="n/a","n/a",IF(Q$3&gt;(A28taxstdlife+$E430),(Input!$M$170-Input!$M$204)-SUM($M430:P430),(Input!$M$170-Input!$M$204)/A28taxstdlife))</f>
        <v>n/a</v>
      </c>
      <c r="R430" s="69"/>
      <c r="S430" s="103"/>
      <c r="T430" s="103"/>
      <c r="U430" s="103"/>
      <c r="V430" s="103"/>
      <c r="W430" s="103"/>
      <c r="X430" s="103"/>
      <c r="Y430" s="103"/>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198"/>
      <c r="BJ430" s="198"/>
      <c r="BK430" s="198"/>
      <c r="BL430" s="198"/>
      <c r="BM430" s="198"/>
      <c r="BN430" s="198"/>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2.75" hidden="1" customHeight="1" outlineLevel="2">
      <c r="A431" s="9"/>
      <c r="B431" s="9"/>
      <c r="C431" s="26"/>
      <c r="D431" s="392"/>
      <c r="E431" s="87">
        <v>7</v>
      </c>
      <c r="F431" s="27"/>
      <c r="G431" s="27"/>
      <c r="H431" s="146"/>
      <c r="I431" s="148"/>
      <c r="J431" s="148"/>
      <c r="K431" s="148"/>
      <c r="L431" s="148"/>
      <c r="M431" s="148"/>
      <c r="N431" s="147"/>
      <c r="O431" s="69" t="str">
        <f>IF(A28taxstdlife="n/a","n/a",IF(O$3&gt;(A28taxstdlife+$E431),(Input!$N$170-Input!$N$204)-SUM($N431:N431),(Input!$N$170-Input!$N$204)/A28taxstdlife))</f>
        <v>n/a</v>
      </c>
      <c r="P431" s="69" t="str">
        <f>IF(A28taxstdlife="n/a","n/a",IF(P$3&gt;(A28taxstdlife+$E431),(Input!$N$170-Input!$N$204)-SUM($N431:O431),(Input!$N$170-Input!$N$204)/A28taxstdlife))</f>
        <v>n/a</v>
      </c>
      <c r="Q431" s="69" t="str">
        <f>IF(A28taxstdlife="n/a","n/a",IF(Q$3&gt;(A28taxstdlife+$E431),(Input!$N$170-Input!$N$204)-SUM($N431:P431),(Input!$N$170-Input!$N$204)/A28taxstdlife))</f>
        <v>n/a</v>
      </c>
      <c r="R431" s="69"/>
      <c r="S431" s="103"/>
      <c r="T431" s="103"/>
      <c r="U431" s="103"/>
      <c r="V431" s="103"/>
      <c r="W431" s="103"/>
      <c r="X431" s="103"/>
      <c r="Y431" s="103"/>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198"/>
      <c r="BJ431" s="198"/>
      <c r="BK431" s="198"/>
      <c r="BL431" s="198"/>
      <c r="BM431" s="198"/>
      <c r="BN431" s="198"/>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2.75" hidden="1" customHeight="1" outlineLevel="2">
      <c r="A432" s="9"/>
      <c r="B432" s="9"/>
      <c r="C432" s="26"/>
      <c r="D432" s="392"/>
      <c r="E432" s="87">
        <v>8</v>
      </c>
      <c r="F432" s="27"/>
      <c r="G432" s="27"/>
      <c r="H432" s="146"/>
      <c r="I432" s="148"/>
      <c r="J432" s="148"/>
      <c r="K432" s="148"/>
      <c r="L432" s="148"/>
      <c r="M432" s="148"/>
      <c r="N432" s="148"/>
      <c r="O432" s="147"/>
      <c r="P432" s="69" t="str">
        <f>IF(A28taxstdlife="n/a","n/a",IF(P$3&gt;(A28taxstdlife+$E432),(Input!$O$170-Input!$O$204)-SUM($O432:O432),(Input!$O$170-Input!$O$204)/A28taxstdlife))</f>
        <v>n/a</v>
      </c>
      <c r="Q432" s="69" t="str">
        <f>IF(A28taxstdlife="n/a","n/a",IF(Q$3&gt;(A28taxstdlife+$E432),(Input!$O$170-Input!$O$204)-SUM($O432:P432),(Input!$O$170-Input!$O$204)/A28taxstdlife))</f>
        <v>n/a</v>
      </c>
      <c r="R432" s="69"/>
      <c r="S432" s="103"/>
      <c r="T432" s="103"/>
      <c r="U432" s="103"/>
      <c r="V432" s="103"/>
      <c r="W432" s="103"/>
      <c r="X432" s="103"/>
      <c r="Y432" s="103"/>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198"/>
      <c r="BJ432" s="198"/>
      <c r="BK432" s="198"/>
      <c r="BL432" s="198"/>
      <c r="BM432" s="198"/>
      <c r="BN432" s="198"/>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2.75" hidden="1" customHeight="1" outlineLevel="2">
      <c r="A433" s="9"/>
      <c r="B433" s="9"/>
      <c r="C433" s="26"/>
      <c r="D433" s="392"/>
      <c r="E433" s="87">
        <v>9</v>
      </c>
      <c r="F433" s="27"/>
      <c r="G433" s="27"/>
      <c r="H433" s="146"/>
      <c r="I433" s="148"/>
      <c r="J433" s="148"/>
      <c r="K433" s="148"/>
      <c r="L433" s="148"/>
      <c r="M433" s="148"/>
      <c r="N433" s="148"/>
      <c r="O433" s="148"/>
      <c r="P433" s="147"/>
      <c r="Q433" s="69" t="str">
        <f>IF(A28taxstdlife="n/a","n/a",IF(Q$3&gt;(A28taxstdlife+$E433),(Input!$P$170-Input!$P$204)-SUM($P433:P433),(Input!$P$170-Input!$P$204)/A28taxstdlife))</f>
        <v>n/a</v>
      </c>
      <c r="R433" s="69"/>
      <c r="S433" s="103"/>
      <c r="T433" s="103"/>
      <c r="U433" s="103"/>
      <c r="V433" s="103"/>
      <c r="W433" s="103"/>
      <c r="X433" s="103"/>
      <c r="Y433" s="103"/>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198"/>
      <c r="BJ433" s="198"/>
      <c r="BK433" s="198"/>
      <c r="BL433" s="198"/>
      <c r="BM433" s="198"/>
      <c r="BN433" s="198"/>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2.75" hidden="1" customHeight="1" outlineLevel="2">
      <c r="A434" s="9"/>
      <c r="B434" s="9"/>
      <c r="C434" s="26"/>
      <c r="D434" s="392"/>
      <c r="E434" s="88">
        <v>10</v>
      </c>
      <c r="F434" s="27"/>
      <c r="G434" s="27"/>
      <c r="H434" s="146"/>
      <c r="I434" s="148"/>
      <c r="J434" s="148"/>
      <c r="K434" s="148"/>
      <c r="L434" s="148"/>
      <c r="M434" s="148"/>
      <c r="N434" s="148"/>
      <c r="O434" s="148"/>
      <c r="P434" s="148"/>
      <c r="Q434" s="147"/>
      <c r="R434" s="69"/>
      <c r="S434" s="103"/>
      <c r="T434" s="103"/>
      <c r="U434" s="103"/>
      <c r="V434" s="103"/>
      <c r="W434" s="103"/>
      <c r="X434" s="103"/>
      <c r="Y434" s="103"/>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198"/>
      <c r="BJ434" s="198"/>
      <c r="BK434" s="198"/>
      <c r="BL434" s="198"/>
      <c r="BM434" s="198"/>
      <c r="BN434" s="198"/>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idden="1" outlineLevel="1" collapsed="1">
      <c r="A435" s="9"/>
      <c r="B435" s="9"/>
      <c r="C435" s="271">
        <f>Asset28</f>
        <v>0</v>
      </c>
      <c r="D435" s="9"/>
      <c r="E435" s="9"/>
      <c r="F435" s="23"/>
      <c r="G435" s="23"/>
      <c r="H435" s="297">
        <f>-SUM(H423:H434)</f>
        <v>0</v>
      </c>
      <c r="I435" s="161">
        <f>-SUM(I423:I434)</f>
        <v>0</v>
      </c>
      <c r="J435" s="161">
        <f>-SUM(J423:J434)</f>
        <v>0</v>
      </c>
      <c r="K435" s="161">
        <f>-SUM(K423:K434)</f>
        <v>0</v>
      </c>
      <c r="L435" s="161">
        <f>-SUM(L423:L434)</f>
        <v>0</v>
      </c>
      <c r="M435" s="161">
        <f>IF(COUNT($H435:L435)&gt;=Input!$Y$7,0, -SUM(M423:M434))</f>
        <v>0</v>
      </c>
      <c r="N435" s="161">
        <f>IF(COUNT($H435:M435)&gt;=Input!$Y$7,0, -SUM(N423:N434))</f>
        <v>0</v>
      </c>
      <c r="O435" s="161">
        <f>IF(COUNT($H435:N435)&gt;=Input!$Y$7,0, -SUM(O423:O434))</f>
        <v>0</v>
      </c>
      <c r="P435" s="161">
        <f>IF(COUNT($H435:O435)&gt;=Input!$Y$7,0, -SUM(P423:P434))</f>
        <v>0</v>
      </c>
      <c r="Q435" s="161">
        <f>IF(COUNT($H435:P435)&gt;=Input!$Y$7,0, -SUM(Q423:Q434))</f>
        <v>0</v>
      </c>
      <c r="R435" s="161"/>
      <c r="S435" s="102"/>
      <c r="T435" s="102"/>
      <c r="U435" s="102"/>
      <c r="V435" s="102"/>
      <c r="W435" s="102"/>
      <c r="X435" s="102"/>
      <c r="Y435" s="102"/>
      <c r="Z435" s="218"/>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198"/>
      <c r="BJ435" s="198"/>
      <c r="BK435" s="198"/>
      <c r="BL435" s="198"/>
      <c r="BM435" s="198"/>
      <c r="BN435" s="198"/>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2.75" hidden="1" customHeight="1" outlineLevel="2">
      <c r="A436" s="9"/>
      <c r="B436" s="272">
        <f>Asset29</f>
        <v>0</v>
      </c>
      <c r="C436" s="31"/>
      <c r="D436" s="32" t="s">
        <v>66</v>
      </c>
      <c r="E436" s="31"/>
      <c r="F436" s="300"/>
      <c r="G436" s="300"/>
      <c r="H436" s="68" t="str">
        <f>IF(H$3&gt;A29taxremlife,A29taxvalue-SUM($F436:F436),IF(A29taxremlife="N/A","n/a",A29taxvalue/A29taxremlife))</f>
        <v>n/a</v>
      </c>
      <c r="I436" s="68" t="str">
        <f>IF(I$3&gt;A29taxremlife,A29taxvalue-SUM($F436:H436),IF(A29taxremlife="N/A","n/a",A29taxvalue/A29taxremlife))</f>
        <v>n/a</v>
      </c>
      <c r="J436" s="68" t="str">
        <f>IF(J$3&gt;A29taxremlife,A29taxvalue-SUM($F436:I436),IF(A29taxremlife="N/A","n/a",A29taxvalue/A29taxremlife))</f>
        <v>n/a</v>
      </c>
      <c r="K436" s="68" t="str">
        <f>IF(K$3&gt;A29taxremlife,A29taxvalue-SUM($F436:J436),IF(A29taxremlife="N/A","n/a",A29taxvalue/A29taxremlife))</f>
        <v>n/a</v>
      </c>
      <c r="L436" s="68" t="str">
        <f>IF(L$3&gt;A29taxremlife,A29taxvalue-SUM($F436:K436),IF(A29taxremlife="N/A","n/a",A29taxvalue/A29taxremlife))</f>
        <v>n/a</v>
      </c>
      <c r="M436" s="68" t="str">
        <f>IF(M$3&gt;A29taxremlife,A29taxvalue-SUM($F436:L436),IF(A29taxremlife="N/A","n/a",A29taxvalue/A29taxremlife))</f>
        <v>n/a</v>
      </c>
      <c r="N436" s="68" t="str">
        <f>IF(N$3&gt;A29taxremlife,A29taxvalue-SUM($F436:M436),IF(A29taxremlife="N/A","n/a",A29taxvalue/A29taxremlife))</f>
        <v>n/a</v>
      </c>
      <c r="O436" s="68" t="str">
        <f>IF(O$3&gt;A29taxremlife,A29taxvalue-SUM($F436:N436),IF(A29taxremlife="N/A","n/a",A29taxvalue/A29taxremlife))</f>
        <v>n/a</v>
      </c>
      <c r="P436" s="68" t="str">
        <f>IF(P$3&gt;A29taxremlife,A29taxvalue-SUM($F436:O436),IF(A29taxremlife="N/A","n/a",A29taxvalue/A29taxremlife))</f>
        <v>n/a</v>
      </c>
      <c r="Q436" s="68" t="str">
        <f>IF(Q$3&gt;A29taxremlife,A29taxvalue-SUM($F436:P436),IF(A29taxremlife="N/A","n/a",A29taxvalue/A29taxremlife))</f>
        <v>n/a</v>
      </c>
      <c r="R436" s="68"/>
      <c r="S436" s="103"/>
      <c r="T436" s="103"/>
      <c r="U436" s="103"/>
      <c r="V436" s="103"/>
      <c r="W436" s="103"/>
      <c r="X436" s="103"/>
      <c r="Y436" s="103"/>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198"/>
      <c r="BJ436" s="198"/>
      <c r="BK436" s="198"/>
      <c r="BL436" s="198"/>
      <c r="BM436" s="198"/>
      <c r="BN436" s="198"/>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2.75" hidden="1" customHeight="1" outlineLevel="2">
      <c r="A437" s="9"/>
      <c r="B437" s="9"/>
      <c r="C437" s="26"/>
      <c r="D437" s="391" t="s">
        <v>82</v>
      </c>
      <c r="E437" s="87"/>
      <c r="F437" s="27"/>
      <c r="G437" s="27"/>
      <c r="H437" s="103"/>
      <c r="I437" s="69"/>
      <c r="J437" s="69"/>
      <c r="K437" s="69"/>
      <c r="L437" s="69"/>
      <c r="M437" s="69"/>
      <c r="N437" s="69"/>
      <c r="O437" s="69"/>
      <c r="P437" s="69"/>
      <c r="Q437" s="69"/>
      <c r="R437" s="69"/>
      <c r="S437" s="103"/>
      <c r="T437" s="103"/>
      <c r="U437" s="103"/>
      <c r="V437" s="103"/>
      <c r="W437" s="103"/>
      <c r="X437" s="103"/>
      <c r="Y437" s="103"/>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198"/>
      <c r="BJ437" s="198"/>
      <c r="BK437" s="198"/>
      <c r="BL437" s="198"/>
      <c r="BM437" s="198"/>
      <c r="BN437" s="198"/>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2.75" hidden="1" customHeight="1" outlineLevel="2">
      <c r="A438" s="9"/>
      <c r="B438" s="9"/>
      <c r="C438" s="26"/>
      <c r="D438" s="392"/>
      <c r="E438" s="87">
        <v>1</v>
      </c>
      <c r="F438" s="27"/>
      <c r="G438" s="27"/>
      <c r="H438" s="145"/>
      <c r="I438" s="69" t="str">
        <f>IF(A29taxstdlife="n/a","n/a",IF(I$3&gt;(A29taxstdlife+$E438),(Input!$H$171-Input!$H$205)-SUM($H438:H438),(Input!$H$171-Input!$H$205)/A29taxstdlife))</f>
        <v>n/a</v>
      </c>
      <c r="J438" s="69" t="str">
        <f>IF(A29taxstdlife="n/a","n/a",IF(J$3&gt;(A29taxstdlife+$E438),(Input!$H$171-Input!$H$205)-SUM($H438:I438),(Input!$H$171-Input!$H$205)/A29taxstdlife))</f>
        <v>n/a</v>
      </c>
      <c r="K438" s="69" t="str">
        <f>IF(A29taxstdlife="n/a","n/a",IF(K$3&gt;(A29taxstdlife+$E438),(Input!$H$171-Input!$H$205)-SUM($H438:J438),(Input!$H$171-Input!$H$205)/A29taxstdlife))</f>
        <v>n/a</v>
      </c>
      <c r="L438" s="69" t="str">
        <f>IF(A29taxstdlife="n/a","n/a",IF(L$3&gt;(A29taxstdlife+$E438),(Input!$H$171-Input!$H$205)-SUM($H438:K438),(Input!$H$171-Input!$H$205)/A29taxstdlife))</f>
        <v>n/a</v>
      </c>
      <c r="M438" s="69" t="str">
        <f>IF(A29taxstdlife="n/a","n/a",IF(M$3&gt;(A29taxstdlife+$E438),(Input!$H$171-Input!$H$205)-SUM($H438:L438),(Input!$H$171-Input!$H$205)/A29taxstdlife))</f>
        <v>n/a</v>
      </c>
      <c r="N438" s="69" t="str">
        <f>IF(A29taxstdlife="n/a","n/a",IF(N$3&gt;(A29taxstdlife+$E438),(Input!$H$171-Input!$H$205)-SUM($H438:M438),(Input!$H$171-Input!$H$205)/A29taxstdlife))</f>
        <v>n/a</v>
      </c>
      <c r="O438" s="69" t="str">
        <f>IF(A29taxstdlife="n/a","n/a",IF(O$3&gt;(A29taxstdlife+$E438),(Input!$H$171-Input!$H$205)-SUM($H438:N438),(Input!$H$171-Input!$H$205)/A29taxstdlife))</f>
        <v>n/a</v>
      </c>
      <c r="P438" s="69" t="str">
        <f>IF(A29taxstdlife="n/a","n/a",IF(P$3&gt;(A29taxstdlife+$E438),(Input!$H$171-Input!$H$205)-SUM($H438:O438),(Input!$H$171-Input!$H$205)/A29taxstdlife))</f>
        <v>n/a</v>
      </c>
      <c r="Q438" s="69" t="str">
        <f>IF(A29taxstdlife="n/a","n/a",IF(Q$3&gt;(A29taxstdlife+$E438),(Input!$H$171-Input!$H$205)-SUM($H438:P438),(Input!$H$171-Input!$H$205)/A29taxstdlife))</f>
        <v>n/a</v>
      </c>
      <c r="R438" s="69"/>
      <c r="S438" s="103"/>
      <c r="T438" s="103"/>
      <c r="U438" s="103"/>
      <c r="V438" s="103"/>
      <c r="W438" s="103"/>
      <c r="X438" s="103"/>
      <c r="Y438" s="103"/>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198"/>
      <c r="BJ438" s="198"/>
      <c r="BK438" s="198"/>
      <c r="BL438" s="198"/>
      <c r="BM438" s="198"/>
      <c r="BN438" s="19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2.75" hidden="1" customHeight="1" outlineLevel="2">
      <c r="A439" s="9"/>
      <c r="B439" s="9"/>
      <c r="C439" s="26"/>
      <c r="D439" s="392"/>
      <c r="E439" s="87">
        <v>2</v>
      </c>
      <c r="F439" s="27"/>
      <c r="G439" s="27"/>
      <c r="H439" s="146"/>
      <c r="I439" s="147"/>
      <c r="J439" s="69" t="str">
        <f>IF(A29taxstdlife="n/a","n/a",IF(J$3&gt;(A29taxstdlife+$E439),(Input!$I$171-Input!$I$205)-SUM($I439:I439),(Input!$I$171-Input!$I$205)/A29taxstdlife))</f>
        <v>n/a</v>
      </c>
      <c r="K439" s="69" t="str">
        <f>IF(A29taxstdlife="n/a","n/a",IF(K$3&gt;(A29taxstdlife+$E439),(Input!$I$171-Input!$I$205)-SUM($I439:J439),(Input!$I$171-Input!$I$205)/A29taxstdlife))</f>
        <v>n/a</v>
      </c>
      <c r="L439" s="69" t="str">
        <f>IF(A29taxstdlife="n/a","n/a",IF(L$3&gt;(A29taxstdlife+$E439),(Input!$I$171-Input!$I$205)-SUM($I439:K439),(Input!$I$171-Input!$I$205)/A29taxstdlife))</f>
        <v>n/a</v>
      </c>
      <c r="M439" s="69" t="str">
        <f>IF(A29taxstdlife="n/a","n/a",IF(M$3&gt;(A29taxstdlife+$E439),(Input!$I$171-Input!$I$205)-SUM($I439:L439),(Input!$I$171-Input!$I$205)/A29taxstdlife))</f>
        <v>n/a</v>
      </c>
      <c r="N439" s="69" t="str">
        <f>IF(A29taxstdlife="n/a","n/a",IF(N$3&gt;(A29taxstdlife+$E439),(Input!$I$171-Input!$I$205)-SUM($I439:M439),(Input!$I$171-Input!$I$205)/A29taxstdlife))</f>
        <v>n/a</v>
      </c>
      <c r="O439" s="69" t="str">
        <f>IF(A29taxstdlife="n/a","n/a",IF(O$3&gt;(A29taxstdlife+$E439),(Input!$I$171-Input!$I$205)-SUM($I439:N439),(Input!$I$171-Input!$I$205)/A29taxstdlife))</f>
        <v>n/a</v>
      </c>
      <c r="P439" s="69" t="str">
        <f>IF(A29taxstdlife="n/a","n/a",IF(P$3&gt;(A29taxstdlife+$E439),(Input!$I$171-Input!$I$205)-SUM($I439:O439),(Input!$I$171-Input!$I$205)/A29taxstdlife))</f>
        <v>n/a</v>
      </c>
      <c r="Q439" s="69" t="str">
        <f>IF(A29taxstdlife="n/a","n/a",IF(Q$3&gt;(A29taxstdlife+$E439),(Input!$I$171-Input!$I$205)-SUM($I439:P439),(Input!$I$171-Input!$I$205)/A29taxstdlife))</f>
        <v>n/a</v>
      </c>
      <c r="R439" s="69"/>
      <c r="S439" s="103"/>
      <c r="T439" s="103"/>
      <c r="U439" s="103"/>
      <c r="V439" s="103"/>
      <c r="W439" s="103"/>
      <c r="X439" s="103"/>
      <c r="Y439" s="103"/>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198"/>
      <c r="BJ439" s="198"/>
      <c r="BK439" s="198"/>
      <c r="BL439" s="198"/>
      <c r="BM439" s="198"/>
      <c r="BN439" s="198"/>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2.75" hidden="1" customHeight="1" outlineLevel="2">
      <c r="A440" s="9"/>
      <c r="B440" s="9"/>
      <c r="C440" s="26"/>
      <c r="D440" s="392"/>
      <c r="E440" s="87">
        <v>3</v>
      </c>
      <c r="F440" s="27"/>
      <c r="G440" s="27"/>
      <c r="H440" s="146"/>
      <c r="I440" s="148"/>
      <c r="J440" s="147"/>
      <c r="K440" s="69" t="str">
        <f>IF(A29taxstdlife="n/a","n/a",IF(K$3&gt;(A29taxstdlife+$E440),(Input!$J$171-Input!$J$205)-SUM($J440:J440),(Input!$J$171-Input!$J$205)/A29taxstdlife))</f>
        <v>n/a</v>
      </c>
      <c r="L440" s="69" t="str">
        <f>IF(A29taxstdlife="n/a","n/a",IF(L$3&gt;(A29taxstdlife+$E440),(Input!$J$171-Input!$J$205)-SUM($J440:K440),(Input!$J$171-Input!$J$205)/A29taxstdlife))</f>
        <v>n/a</v>
      </c>
      <c r="M440" s="69" t="str">
        <f>IF(A29taxstdlife="n/a","n/a",IF(M$3&gt;(A29taxstdlife+$E440),(Input!$J$171-Input!$J$205)-SUM($J440:L440),(Input!$J$171-Input!$J$205)/A29taxstdlife))</f>
        <v>n/a</v>
      </c>
      <c r="N440" s="69" t="str">
        <f>IF(A29taxstdlife="n/a","n/a",IF(N$3&gt;(A29taxstdlife+$E440),(Input!$J$171-Input!$J$205)-SUM($J440:M440),(Input!$J$171-Input!$J$205)/A29taxstdlife))</f>
        <v>n/a</v>
      </c>
      <c r="O440" s="69" t="str">
        <f>IF(A29taxstdlife="n/a","n/a",IF(O$3&gt;(A29taxstdlife+$E440),(Input!$J$171-Input!$J$205)-SUM($J440:N440),(Input!$J$171-Input!$J$205)/A29taxstdlife))</f>
        <v>n/a</v>
      </c>
      <c r="P440" s="69" t="str">
        <f>IF(A29taxstdlife="n/a","n/a",IF(P$3&gt;(A29taxstdlife+$E440),(Input!$J$171-Input!$J$205)-SUM($J440:O440),(Input!$J$171-Input!$J$205)/A29taxstdlife))</f>
        <v>n/a</v>
      </c>
      <c r="Q440" s="69" t="str">
        <f>IF(A29taxstdlife="n/a","n/a",IF(Q$3&gt;(A29taxstdlife+$E440),(Input!$J$171-Input!$J$205)-SUM($J440:P440),(Input!$J$171-Input!$J$205)/A29taxstdlife))</f>
        <v>n/a</v>
      </c>
      <c r="R440" s="69"/>
      <c r="S440" s="103"/>
      <c r="T440" s="103"/>
      <c r="U440" s="103"/>
      <c r="V440" s="103"/>
      <c r="W440" s="103"/>
      <c r="X440" s="103"/>
      <c r="Y440" s="103"/>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9"/>
      <c r="BJ440" s="198"/>
      <c r="BK440" s="198"/>
      <c r="BL440" s="198"/>
      <c r="BM440" s="198"/>
      <c r="BN440" s="198"/>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2.75" hidden="1" customHeight="1" outlineLevel="2">
      <c r="A441" s="9"/>
      <c r="B441" s="9"/>
      <c r="C441" s="26"/>
      <c r="D441" s="392"/>
      <c r="E441" s="87">
        <v>4</v>
      </c>
      <c r="F441" s="27"/>
      <c r="G441" s="27"/>
      <c r="H441" s="146"/>
      <c r="I441" s="148"/>
      <c r="J441" s="148"/>
      <c r="K441" s="147"/>
      <c r="L441" s="69" t="str">
        <f>IF(A29taxstdlife="n/a","n/a",IF(L$3&gt;(A29taxstdlife+$E441),(Input!$K$171-Input!$K$205)-SUM($K441:K441),(Input!$K$171-Input!$K$205)/A29taxstdlife))</f>
        <v>n/a</v>
      </c>
      <c r="M441" s="69" t="str">
        <f>IF(A29taxstdlife="n/a","n/a",IF(M$3&gt;(A29taxstdlife+$E441),(Input!$K$171-Input!$K$205)-SUM($K441:L441),(Input!$K$171-Input!$K$205)/A29taxstdlife))</f>
        <v>n/a</v>
      </c>
      <c r="N441" s="69" t="str">
        <f>IF(A29taxstdlife="n/a","n/a",IF(N$3&gt;(A29taxstdlife+$E441),(Input!$K$171-Input!$K$205)-SUM($K441:M441),(Input!$K$171-Input!$K$205)/A29taxstdlife))</f>
        <v>n/a</v>
      </c>
      <c r="O441" s="69" t="str">
        <f>IF(A29taxstdlife="n/a","n/a",IF(O$3&gt;(A29taxstdlife+$E441),(Input!$K$171-Input!$K$205)-SUM($K441:N441),(Input!$K$171-Input!$K$205)/A29taxstdlife))</f>
        <v>n/a</v>
      </c>
      <c r="P441" s="69" t="str">
        <f>IF(A29taxstdlife="n/a","n/a",IF(P$3&gt;(A29taxstdlife+$E441),(Input!$K$171-Input!$K$205)-SUM($K441:O441),(Input!$K$171-Input!$K$205)/A29taxstdlife))</f>
        <v>n/a</v>
      </c>
      <c r="Q441" s="69" t="str">
        <f>IF(A29taxstdlife="n/a","n/a",IF(Q$3&gt;(A29taxstdlife+$E441),(Input!$K$171-Input!$K$205)-SUM($K441:P441),(Input!$K$171-Input!$K$205)/A29taxstdlife))</f>
        <v>n/a</v>
      </c>
      <c r="R441" s="69"/>
      <c r="S441" s="103"/>
      <c r="T441" s="103"/>
      <c r="U441" s="103"/>
      <c r="V441" s="103"/>
      <c r="W441" s="103"/>
      <c r="X441" s="103"/>
      <c r="Y441" s="103"/>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198"/>
      <c r="BJ441" s="198"/>
      <c r="BK441" s="198"/>
      <c r="BL441" s="198"/>
      <c r="BM441" s="198"/>
      <c r="BN441" s="198"/>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2.75" hidden="1" customHeight="1" outlineLevel="2">
      <c r="A442" s="9"/>
      <c r="B442" s="9"/>
      <c r="C442" s="26"/>
      <c r="D442" s="392"/>
      <c r="E442" s="87">
        <v>5</v>
      </c>
      <c r="F442" s="27"/>
      <c r="G442" s="27"/>
      <c r="H442" s="146"/>
      <c r="I442" s="148"/>
      <c r="J442" s="148"/>
      <c r="K442" s="148"/>
      <c r="L442" s="147"/>
      <c r="M442" s="69" t="str">
        <f>IF(A29taxstdlife="n/a","n/a",IF(M$3&gt;(A29taxstdlife+$E442),(Input!$L$171-Input!$L$205)-SUM($L442:L442),(Input!$L$171-Input!$L$205)/A29taxstdlife))</f>
        <v>n/a</v>
      </c>
      <c r="N442" s="69" t="str">
        <f>IF(A29taxstdlife="n/a","n/a",IF(N$3&gt;(A29taxstdlife+$E442),(Input!$L$171-Input!$L$205)-SUM($L442:M442),(Input!$L$171-Input!$L$205)/A29taxstdlife))</f>
        <v>n/a</v>
      </c>
      <c r="O442" s="69" t="str">
        <f>IF(A29taxstdlife="n/a","n/a",IF(O$3&gt;(A29taxstdlife+$E442),(Input!$L$171-Input!$L$205)-SUM($L442:N442),(Input!$L$171-Input!$L$205)/A29taxstdlife))</f>
        <v>n/a</v>
      </c>
      <c r="P442" s="69" t="str">
        <f>IF(A29taxstdlife="n/a","n/a",IF(P$3&gt;(A29taxstdlife+$E442),(Input!$L$171-Input!$L$205)-SUM($L442:O442),(Input!$L$171-Input!$L$205)/A29taxstdlife))</f>
        <v>n/a</v>
      </c>
      <c r="Q442" s="69" t="str">
        <f>IF(A29taxstdlife="n/a","n/a",IF(Q$3&gt;(A29taxstdlife+$E442),(Input!$L$171-Input!$L$205)-SUM($L442:P442),(Input!$L$171-Input!$L$205)/A29taxstdlife))</f>
        <v>n/a</v>
      </c>
      <c r="R442" s="69"/>
      <c r="S442" s="103"/>
      <c r="T442" s="103"/>
      <c r="U442" s="103"/>
      <c r="V442" s="103"/>
      <c r="W442" s="103"/>
      <c r="X442" s="103"/>
      <c r="Y442" s="103"/>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198"/>
      <c r="BJ442" s="198"/>
      <c r="BK442" s="198"/>
      <c r="BL442" s="198"/>
      <c r="BM442" s="198"/>
      <c r="BN442" s="198"/>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2.75" hidden="1" customHeight="1" outlineLevel="2">
      <c r="A443" s="9"/>
      <c r="B443" s="9"/>
      <c r="C443" s="26"/>
      <c r="D443" s="392"/>
      <c r="E443" s="87">
        <v>6</v>
      </c>
      <c r="F443" s="27"/>
      <c r="G443" s="27"/>
      <c r="H443" s="146"/>
      <c r="I443" s="148"/>
      <c r="J443" s="148"/>
      <c r="K443" s="148"/>
      <c r="L443" s="148"/>
      <c r="M443" s="147"/>
      <c r="N443" s="69" t="str">
        <f>IF(A29taxstdlife="n/a","n/a",IF(N$3&gt;(A29taxstdlife+$E443),(Input!$M$171-Input!$M$205)-SUM($M443:M443),(Input!$M$171-Input!$M$205)/A29taxstdlife))</f>
        <v>n/a</v>
      </c>
      <c r="O443" s="69" t="str">
        <f>IF(A29taxstdlife="n/a","n/a",IF(O$3&gt;(A29taxstdlife+$E443),(Input!$M$171-Input!$M$205)-SUM($M443:N443),(Input!$M$171-Input!$M$205)/A29taxstdlife))</f>
        <v>n/a</v>
      </c>
      <c r="P443" s="69" t="str">
        <f>IF(A29taxstdlife="n/a","n/a",IF(P$3&gt;(A29taxstdlife+$E443),(Input!$M$171-Input!$M$205)-SUM($M443:O443),(Input!$M$171-Input!$M$205)/A29taxstdlife))</f>
        <v>n/a</v>
      </c>
      <c r="Q443" s="69" t="str">
        <f>IF(A29taxstdlife="n/a","n/a",IF(Q$3&gt;(A29taxstdlife+$E443),(Input!$M$171-Input!$M$205)-SUM($M443:P443),(Input!$M$171-Input!$M$205)/A29taxstdlife))</f>
        <v>n/a</v>
      </c>
      <c r="R443" s="69"/>
      <c r="S443" s="103"/>
      <c r="T443" s="103"/>
      <c r="U443" s="103"/>
      <c r="V443" s="103"/>
      <c r="W443" s="103"/>
      <c r="X443" s="103"/>
      <c r="Y443" s="103"/>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198"/>
      <c r="BJ443" s="198"/>
      <c r="BK443" s="198"/>
      <c r="BL443" s="198"/>
      <c r="BM443" s="198"/>
      <c r="BN443" s="198"/>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2.75" hidden="1" customHeight="1" outlineLevel="2">
      <c r="A444" s="9"/>
      <c r="B444" s="9"/>
      <c r="C444" s="26"/>
      <c r="D444" s="392"/>
      <c r="E444" s="87">
        <v>7</v>
      </c>
      <c r="F444" s="27"/>
      <c r="G444" s="27"/>
      <c r="H444" s="146"/>
      <c r="I444" s="148"/>
      <c r="J444" s="148"/>
      <c r="K444" s="148"/>
      <c r="L444" s="148"/>
      <c r="M444" s="148"/>
      <c r="N444" s="147"/>
      <c r="O444" s="69" t="str">
        <f>IF(A29taxstdlife="n/a","n/a",IF(O$3&gt;(A29taxstdlife+$E444),(Input!$N$171-Input!$N$205)-SUM($N444:N444),(Input!$N$171-Input!$N$205)/A29taxstdlife))</f>
        <v>n/a</v>
      </c>
      <c r="P444" s="69" t="str">
        <f>IF(A29taxstdlife="n/a","n/a",IF(P$3&gt;(A29taxstdlife+$E444),(Input!$N$171-Input!$N$205)-SUM($N444:O444),(Input!$N$171-Input!$N$205)/A29taxstdlife))</f>
        <v>n/a</v>
      </c>
      <c r="Q444" s="69" t="str">
        <f>IF(A29taxstdlife="n/a","n/a",IF(Q$3&gt;(A29taxstdlife+$E444),(Input!$N$171-Input!$N$205)-SUM($N444:P444),(Input!$N$171-Input!$N$205)/A29taxstdlife))</f>
        <v>n/a</v>
      </c>
      <c r="R444" s="69"/>
      <c r="S444" s="103"/>
      <c r="T444" s="103"/>
      <c r="U444" s="103"/>
      <c r="V444" s="103"/>
      <c r="W444" s="103"/>
      <c r="X444" s="103"/>
      <c r="Y444" s="103"/>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198"/>
      <c r="BJ444" s="198"/>
      <c r="BK444" s="198"/>
      <c r="BL444" s="198"/>
      <c r="BM444" s="198"/>
      <c r="BN444" s="198"/>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2.75" hidden="1" customHeight="1" outlineLevel="2">
      <c r="A445" s="9"/>
      <c r="B445" s="9"/>
      <c r="C445" s="26"/>
      <c r="D445" s="392"/>
      <c r="E445" s="87">
        <v>8</v>
      </c>
      <c r="F445" s="27"/>
      <c r="G445" s="27"/>
      <c r="H445" s="146"/>
      <c r="I445" s="148"/>
      <c r="J445" s="148"/>
      <c r="K445" s="148"/>
      <c r="L445" s="148"/>
      <c r="M445" s="148"/>
      <c r="N445" s="148"/>
      <c r="O445" s="147"/>
      <c r="P445" s="69" t="str">
        <f>IF(A29taxstdlife="n/a","n/a",IF(P$3&gt;(A29taxstdlife+$E445),(Input!$O$171-Input!$O$205)-SUM($O445:O445),(Input!$O$171-Input!$O$205)/A29taxstdlife))</f>
        <v>n/a</v>
      </c>
      <c r="Q445" s="69" t="str">
        <f>IF(A29taxstdlife="n/a","n/a",IF(Q$3&gt;(A29taxstdlife+$E445),(Input!$O$171-Input!$O$205)-SUM($O445:P445),(Input!$O$171-Input!$O$205)/A29taxstdlife))</f>
        <v>n/a</v>
      </c>
      <c r="R445" s="69"/>
      <c r="S445" s="103"/>
      <c r="T445" s="103"/>
      <c r="U445" s="103"/>
      <c r="V445" s="103"/>
      <c r="W445" s="103"/>
      <c r="X445" s="103"/>
      <c r="Y445" s="103"/>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198"/>
      <c r="BJ445" s="198"/>
      <c r="BK445" s="198"/>
      <c r="BL445" s="198"/>
      <c r="BM445" s="198"/>
      <c r="BN445" s="198"/>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2.75" hidden="1" customHeight="1" outlineLevel="2">
      <c r="A446" s="9"/>
      <c r="B446" s="9"/>
      <c r="C446" s="26"/>
      <c r="D446" s="392"/>
      <c r="E446" s="87">
        <v>9</v>
      </c>
      <c r="F446" s="27"/>
      <c r="G446" s="27"/>
      <c r="H446" s="146"/>
      <c r="I446" s="148"/>
      <c r="J446" s="148"/>
      <c r="K446" s="148"/>
      <c r="L446" s="148"/>
      <c r="M446" s="148"/>
      <c r="N446" s="148"/>
      <c r="O446" s="148"/>
      <c r="P446" s="147"/>
      <c r="Q446" s="69" t="str">
        <f>IF(A29taxstdlife="n/a","n/a",IF(Q$3&gt;(A29taxstdlife+$E446),(Input!$P$171-Input!$P$205)-SUM($P446:P446),(Input!$P$171-Input!$P$205)/A29taxstdlife))</f>
        <v>n/a</v>
      </c>
      <c r="R446" s="69"/>
      <c r="S446" s="103"/>
      <c r="T446" s="103"/>
      <c r="U446" s="103"/>
      <c r="V446" s="103"/>
      <c r="W446" s="103"/>
      <c r="X446" s="103"/>
      <c r="Y446" s="103"/>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198"/>
      <c r="BJ446" s="198"/>
      <c r="BK446" s="198"/>
      <c r="BL446" s="198"/>
      <c r="BM446" s="198"/>
      <c r="BN446" s="198"/>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2.75" hidden="1" customHeight="1" outlineLevel="2">
      <c r="A447" s="9"/>
      <c r="B447" s="9"/>
      <c r="C447" s="26"/>
      <c r="D447" s="392"/>
      <c r="E447" s="88">
        <v>10</v>
      </c>
      <c r="F447" s="27"/>
      <c r="G447" s="27"/>
      <c r="H447" s="146"/>
      <c r="I447" s="148"/>
      <c r="J447" s="148"/>
      <c r="K447" s="148"/>
      <c r="L447" s="148"/>
      <c r="M447" s="148"/>
      <c r="N447" s="148"/>
      <c r="O447" s="148"/>
      <c r="P447" s="148"/>
      <c r="Q447" s="147"/>
      <c r="R447" s="69"/>
      <c r="S447" s="103"/>
      <c r="T447" s="103"/>
      <c r="U447" s="103"/>
      <c r="V447" s="103"/>
      <c r="W447" s="103"/>
      <c r="X447" s="103"/>
      <c r="Y447" s="103"/>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198"/>
      <c r="BJ447" s="198"/>
      <c r="BK447" s="198"/>
      <c r="BL447" s="198"/>
      <c r="BM447" s="198"/>
      <c r="BN447" s="198"/>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idden="1" outlineLevel="1" collapsed="1">
      <c r="A448" s="9"/>
      <c r="B448" s="9"/>
      <c r="C448" s="271">
        <f>Asset29</f>
        <v>0</v>
      </c>
      <c r="D448" s="9"/>
      <c r="E448" s="9"/>
      <c r="F448" s="23"/>
      <c r="G448" s="23"/>
      <c r="H448" s="297">
        <f>-SUM(H436:H447)</f>
        <v>0</v>
      </c>
      <c r="I448" s="161">
        <f>-SUM(I436:I447)</f>
        <v>0</v>
      </c>
      <c r="J448" s="161">
        <f>-SUM(J436:J447)</f>
        <v>0</v>
      </c>
      <c r="K448" s="161">
        <f>-SUM(K436:K447)</f>
        <v>0</v>
      </c>
      <c r="L448" s="161">
        <f>-SUM(L436:L447)</f>
        <v>0</v>
      </c>
      <c r="M448" s="161">
        <f>IF(COUNT($H448:L448)&gt;=Input!$Y$7,0, -SUM(M436:M447))</f>
        <v>0</v>
      </c>
      <c r="N448" s="161">
        <f>IF(COUNT($H448:M448)&gt;=Input!$Y$7,0, -SUM(N436:N447))</f>
        <v>0</v>
      </c>
      <c r="O448" s="161">
        <f>IF(COUNT($H448:N448)&gt;=Input!$Y$7,0, -SUM(O436:O447))</f>
        <v>0</v>
      </c>
      <c r="P448" s="161">
        <f>IF(COUNT($H448:O448)&gt;=Input!$Y$7,0, -SUM(P436:P447))</f>
        <v>0</v>
      </c>
      <c r="Q448" s="161">
        <f>IF(COUNT($H448:P448)&gt;=Input!$Y$7,0, -SUM(Q436:Q447))</f>
        <v>0</v>
      </c>
      <c r="R448" s="161"/>
      <c r="S448" s="102"/>
      <c r="T448" s="102"/>
      <c r="U448" s="102"/>
      <c r="V448" s="102"/>
      <c r="W448" s="102"/>
      <c r="X448" s="102"/>
      <c r="Y448" s="102"/>
      <c r="Z448" s="218"/>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198"/>
      <c r="BJ448" s="198"/>
      <c r="BK448" s="198"/>
      <c r="BL448" s="198"/>
      <c r="BM448" s="198"/>
      <c r="BN448" s="19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2.75" hidden="1" customHeight="1" outlineLevel="2">
      <c r="A449" s="9"/>
      <c r="B449" s="272">
        <f>Asset30</f>
        <v>0</v>
      </c>
      <c r="C449" s="31"/>
      <c r="D449" s="32" t="s">
        <v>66</v>
      </c>
      <c r="E449" s="31"/>
      <c r="F449" s="300"/>
      <c r="G449" s="300"/>
      <c r="H449" s="68" t="str">
        <f>IF(H$3&gt;A30taxremlife,A30taxvalue-SUM($F449:F449),IF(A30taxremlife="N/A","n/a",A30taxvalue/A30taxremlife))</f>
        <v>n/a</v>
      </c>
      <c r="I449" s="68" t="str">
        <f>IF(I$3&gt;A30taxremlife,A30taxvalue-SUM($F449:H449),IF(A30taxremlife="N/A","n/a",A30taxvalue/A30taxremlife))</f>
        <v>n/a</v>
      </c>
      <c r="J449" s="68" t="str">
        <f>IF(J$3&gt;A30taxremlife,A30taxvalue-SUM($F449:I449),IF(A30taxremlife="N/A","n/a",A30taxvalue/A30taxremlife))</f>
        <v>n/a</v>
      </c>
      <c r="K449" s="68" t="str">
        <f>IF(K$3&gt;A30taxremlife,A30taxvalue-SUM($F449:J449),IF(A30taxremlife="N/A","n/a",A30taxvalue/A30taxremlife))</f>
        <v>n/a</v>
      </c>
      <c r="L449" s="68" t="str">
        <f>IF(L$3&gt;A30taxremlife,A30taxvalue-SUM($F449:K449),IF(A30taxremlife="N/A","n/a",A30taxvalue/A30taxremlife))</f>
        <v>n/a</v>
      </c>
      <c r="M449" s="68" t="str">
        <f>IF(M$3&gt;A30taxremlife,A30taxvalue-SUM($F449:L449),IF(A30taxremlife="N/A","n/a",A30taxvalue/A30taxremlife))</f>
        <v>n/a</v>
      </c>
      <c r="N449" s="68" t="str">
        <f>IF(N$3&gt;A30taxremlife,A30taxvalue-SUM($F449:M449),IF(A30taxremlife="N/A","n/a",A30taxvalue/A30taxremlife))</f>
        <v>n/a</v>
      </c>
      <c r="O449" s="68" t="str">
        <f>IF(O$3&gt;A30taxremlife,A30taxvalue-SUM($F449:N449),IF(A30taxremlife="N/A","n/a",A30taxvalue/A30taxremlife))</f>
        <v>n/a</v>
      </c>
      <c r="P449" s="68" t="str">
        <f>IF(P$3&gt;A30taxremlife,A30taxvalue-SUM($F449:O449),IF(A30taxremlife="N/A","n/a",A30taxvalue/A30taxremlife))</f>
        <v>n/a</v>
      </c>
      <c r="Q449" s="68" t="str">
        <f>IF(Q$3&gt;A30taxremlife,A30taxvalue-SUM($F449:P449),IF(A30taxremlife="N/A","n/a",A30taxvalue/A30taxremlife))</f>
        <v>n/a</v>
      </c>
      <c r="R449" s="68"/>
      <c r="S449" s="103"/>
      <c r="T449" s="103"/>
      <c r="U449" s="103"/>
      <c r="V449" s="103"/>
      <c r="W449" s="103"/>
      <c r="X449" s="103"/>
      <c r="Y449" s="103"/>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198"/>
      <c r="BJ449" s="198"/>
      <c r="BK449" s="198"/>
      <c r="BL449" s="198"/>
      <c r="BM449" s="198"/>
      <c r="BN449" s="198"/>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2.75" hidden="1" customHeight="1" outlineLevel="2">
      <c r="A450" s="9"/>
      <c r="B450" s="9"/>
      <c r="C450" s="26"/>
      <c r="D450" s="391" t="s">
        <v>82</v>
      </c>
      <c r="E450" s="87"/>
      <c r="F450" s="27"/>
      <c r="G450" s="27"/>
      <c r="H450" s="103"/>
      <c r="I450" s="69"/>
      <c r="J450" s="69"/>
      <c r="K450" s="69"/>
      <c r="L450" s="69"/>
      <c r="M450" s="69"/>
      <c r="N450" s="69"/>
      <c r="O450" s="69"/>
      <c r="P450" s="69"/>
      <c r="Q450" s="69"/>
      <c r="R450" s="69"/>
      <c r="S450" s="103"/>
      <c r="T450" s="103"/>
      <c r="U450" s="103"/>
      <c r="V450" s="103"/>
      <c r="W450" s="103"/>
      <c r="X450" s="103"/>
      <c r="Y450" s="103"/>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198"/>
      <c r="BJ450" s="198"/>
      <c r="BK450" s="198"/>
      <c r="BL450" s="198"/>
      <c r="BM450" s="198"/>
      <c r="BN450" s="198"/>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2.75" hidden="1" customHeight="1" outlineLevel="2">
      <c r="A451" s="9"/>
      <c r="B451" s="9"/>
      <c r="C451" s="26"/>
      <c r="D451" s="392"/>
      <c r="E451" s="87">
        <v>1</v>
      </c>
      <c r="F451" s="27"/>
      <c r="G451" s="27"/>
      <c r="H451" s="145"/>
      <c r="I451" s="69" t="str">
        <f>IF(A30taxstdlife="n/a","n/a",IF(I$3&gt;(A30taxstdlife+$E451),(Input!$H$172-Input!$H$206)-SUM($H451:H451),(Input!$H$172-Input!$H$206)/A30taxstdlife))</f>
        <v>n/a</v>
      </c>
      <c r="J451" s="69" t="str">
        <f>IF(A30taxstdlife="n/a","n/a",IF(J$3&gt;(A30taxstdlife+$E451),(Input!$H$172-Input!$H$206)-SUM($H451:I451),(Input!$H$172-Input!$H$206)/A30taxstdlife))</f>
        <v>n/a</v>
      </c>
      <c r="K451" s="69" t="str">
        <f>IF(A30taxstdlife="n/a","n/a",IF(K$3&gt;(A30taxstdlife+$E451),(Input!$H$172-Input!$H$206)-SUM($H451:J451),(Input!$H$172-Input!$H$206)/A30taxstdlife))</f>
        <v>n/a</v>
      </c>
      <c r="L451" s="69" t="str">
        <f>IF(A30taxstdlife="n/a","n/a",IF(L$3&gt;(A30taxstdlife+$E451),(Input!$H$172-Input!$H$206)-SUM($H451:K451),(Input!$H$172-Input!$H$206)/A30taxstdlife))</f>
        <v>n/a</v>
      </c>
      <c r="M451" s="69" t="str">
        <f>IF(A30taxstdlife="n/a","n/a",IF(M$3&gt;(A30taxstdlife+$E451),(Input!$H$172-Input!$H$206)-SUM($H451:L451),(Input!$H$172-Input!$H$206)/A30taxstdlife))</f>
        <v>n/a</v>
      </c>
      <c r="N451" s="69" t="str">
        <f>IF(A30taxstdlife="n/a","n/a",IF(N$3&gt;(A30taxstdlife+$E451),(Input!$H$172-Input!$H$206)-SUM($H451:M451),(Input!$H$172-Input!$H$206)/A30taxstdlife))</f>
        <v>n/a</v>
      </c>
      <c r="O451" s="69" t="str">
        <f>IF(A30taxstdlife="n/a","n/a",IF(O$3&gt;(A30taxstdlife+$E451),(Input!$H$172-Input!$H$206)-SUM($H451:N451),(Input!$H$172-Input!$H$206)/A30taxstdlife))</f>
        <v>n/a</v>
      </c>
      <c r="P451" s="69" t="str">
        <f>IF(A30taxstdlife="n/a","n/a",IF(P$3&gt;(A30taxstdlife+$E451),(Input!$H$172-Input!$H$206)-SUM($H451:O451),(Input!$H$172-Input!$H$206)/A30taxstdlife))</f>
        <v>n/a</v>
      </c>
      <c r="Q451" s="69" t="str">
        <f>IF(A30taxstdlife="n/a","n/a",IF(Q$3&gt;(A30taxstdlife+$E451),(Input!$H$172-Input!$H$206)-SUM($H451:P451),(Input!$H$172-Input!$H$206)/A30taxstdlife))</f>
        <v>n/a</v>
      </c>
      <c r="R451" s="69"/>
      <c r="S451" s="103"/>
      <c r="T451" s="103"/>
      <c r="U451" s="103"/>
      <c r="V451" s="103"/>
      <c r="W451" s="103"/>
      <c r="X451" s="103"/>
      <c r="Y451" s="103"/>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198"/>
      <c r="BJ451" s="198"/>
      <c r="BK451" s="198"/>
      <c r="BL451" s="198"/>
      <c r="BM451" s="198"/>
      <c r="BN451" s="198"/>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2.75" hidden="1" customHeight="1" outlineLevel="2">
      <c r="A452" s="9"/>
      <c r="B452" s="9"/>
      <c r="C452" s="26"/>
      <c r="D452" s="392"/>
      <c r="E452" s="87">
        <v>2</v>
      </c>
      <c r="F452" s="27"/>
      <c r="G452" s="27"/>
      <c r="H452" s="146"/>
      <c r="I452" s="147"/>
      <c r="J452" s="69" t="str">
        <f>IF(A30taxstdlife="n/a","n/a",IF(J$3&gt;(A30taxstdlife+$E452),(Input!$I$172-Input!$I$206)-SUM($I452:I452),(Input!$I$172-Input!$I$206)/A30taxstdlife))</f>
        <v>n/a</v>
      </c>
      <c r="K452" s="69" t="str">
        <f>IF(A30taxstdlife="n/a","n/a",IF(K$3&gt;(A30taxstdlife+$E452),(Input!$I$172-Input!$I$206)-SUM($I452:J452),(Input!$I$172-Input!$I$206)/A30taxstdlife))</f>
        <v>n/a</v>
      </c>
      <c r="L452" s="69" t="str">
        <f>IF(A30taxstdlife="n/a","n/a",IF(L$3&gt;(A30taxstdlife+$E452),(Input!$I$172-Input!$I$206)-SUM($I452:K452),(Input!$I$172-Input!$I$206)/A30taxstdlife))</f>
        <v>n/a</v>
      </c>
      <c r="M452" s="69" t="str">
        <f>IF(A30taxstdlife="n/a","n/a",IF(M$3&gt;(A30taxstdlife+$E452),(Input!$I$172-Input!$I$206)-SUM($I452:L452),(Input!$I$172-Input!$I$206)/A30taxstdlife))</f>
        <v>n/a</v>
      </c>
      <c r="N452" s="69" t="str">
        <f>IF(A30taxstdlife="n/a","n/a",IF(N$3&gt;(A30taxstdlife+$E452),(Input!$I$172-Input!$I$206)-SUM($I452:M452),(Input!$I$172-Input!$I$206)/A30taxstdlife))</f>
        <v>n/a</v>
      </c>
      <c r="O452" s="69" t="str">
        <f>IF(A30taxstdlife="n/a","n/a",IF(O$3&gt;(A30taxstdlife+$E452),(Input!$I$172-Input!$I$206)-SUM($I452:N452),(Input!$I$172-Input!$I$206)/A30taxstdlife))</f>
        <v>n/a</v>
      </c>
      <c r="P452" s="69" t="str">
        <f>IF(A30taxstdlife="n/a","n/a",IF(P$3&gt;(A30taxstdlife+$E452),(Input!$I$172-Input!$I$206)-SUM($I452:O452),(Input!$I$172-Input!$I$206)/A30taxstdlife))</f>
        <v>n/a</v>
      </c>
      <c r="Q452" s="69" t="str">
        <f>IF(A30taxstdlife="n/a","n/a",IF(Q$3&gt;(A30taxstdlife+$E452),(Input!$I$172-Input!$I$206)-SUM($I452:P452),(Input!$I$172-Input!$I$206)/A30taxstdlife))</f>
        <v>n/a</v>
      </c>
      <c r="R452" s="69"/>
      <c r="S452" s="103"/>
      <c r="T452" s="103"/>
      <c r="U452" s="103"/>
      <c r="V452" s="103"/>
      <c r="W452" s="103"/>
      <c r="X452" s="103"/>
      <c r="Y452" s="103"/>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198"/>
      <c r="BJ452" s="198"/>
      <c r="BK452" s="198"/>
      <c r="BL452" s="198"/>
      <c r="BM452" s="198"/>
      <c r="BN452" s="198"/>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2.75" hidden="1" customHeight="1" outlineLevel="2">
      <c r="A453" s="9"/>
      <c r="B453" s="9"/>
      <c r="C453" s="26"/>
      <c r="D453" s="392"/>
      <c r="E453" s="87">
        <v>3</v>
      </c>
      <c r="F453" s="27"/>
      <c r="G453" s="27"/>
      <c r="H453" s="146"/>
      <c r="I453" s="148"/>
      <c r="J453" s="147"/>
      <c r="K453" s="69" t="str">
        <f>IF(A30taxstdlife="n/a","n/a",IF(K$3&gt;(A30taxstdlife+$E453),(Input!$J$172-Input!$J$206)-SUM($J453:J453),(Input!$J$172-Input!$J$206)/A30taxstdlife))</f>
        <v>n/a</v>
      </c>
      <c r="L453" s="69" t="str">
        <f>IF(A30taxstdlife="n/a","n/a",IF(L$3&gt;(A30taxstdlife+$E453),(Input!$J$172-Input!$J$206)-SUM($J453:K453),(Input!$J$172-Input!$J$206)/A30taxstdlife))</f>
        <v>n/a</v>
      </c>
      <c r="M453" s="69" t="str">
        <f>IF(A30taxstdlife="n/a","n/a",IF(M$3&gt;(A30taxstdlife+$E453),(Input!$J$172-Input!$J$206)-SUM($J453:L453),(Input!$J$172-Input!$J$206)/A30taxstdlife))</f>
        <v>n/a</v>
      </c>
      <c r="N453" s="69" t="str">
        <f>IF(A30taxstdlife="n/a","n/a",IF(N$3&gt;(A30taxstdlife+$E453),(Input!$J$172-Input!$J$206)-SUM($J453:M453),(Input!$J$172-Input!$J$206)/A30taxstdlife))</f>
        <v>n/a</v>
      </c>
      <c r="O453" s="69" t="str">
        <f>IF(A30taxstdlife="n/a","n/a",IF(O$3&gt;(A30taxstdlife+$E453),(Input!$J$172-Input!$J$206)-SUM($J453:N453),(Input!$J$172-Input!$J$206)/A30taxstdlife))</f>
        <v>n/a</v>
      </c>
      <c r="P453" s="69" t="str">
        <f>IF(A30taxstdlife="n/a","n/a",IF(P$3&gt;(A30taxstdlife+$E453),(Input!$J$172-Input!$J$206)-SUM($J453:O453),(Input!$J$172-Input!$J$206)/A30taxstdlife))</f>
        <v>n/a</v>
      </c>
      <c r="Q453" s="69" t="str">
        <f>IF(A30taxstdlife="n/a","n/a",IF(Q$3&gt;(A30taxstdlife+$E453),(Input!$J$172-Input!$J$206)-SUM($J453:P453),(Input!$J$172-Input!$J$206)/A30taxstdlife))</f>
        <v>n/a</v>
      </c>
      <c r="R453" s="69"/>
      <c r="S453" s="103"/>
      <c r="T453" s="103"/>
      <c r="U453" s="103"/>
      <c r="V453" s="103"/>
      <c r="W453" s="103"/>
      <c r="X453" s="103"/>
      <c r="Y453" s="103"/>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9"/>
      <c r="BJ453" s="198"/>
      <c r="BK453" s="198"/>
      <c r="BL453" s="198"/>
      <c r="BM453" s="198"/>
      <c r="BN453" s="198"/>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2.75" hidden="1" customHeight="1" outlineLevel="2">
      <c r="A454" s="9"/>
      <c r="B454" s="9"/>
      <c r="C454" s="26"/>
      <c r="D454" s="392"/>
      <c r="E454" s="87">
        <v>4</v>
      </c>
      <c r="F454" s="27"/>
      <c r="G454" s="27"/>
      <c r="H454" s="146"/>
      <c r="I454" s="148"/>
      <c r="J454" s="148"/>
      <c r="K454" s="147"/>
      <c r="L454" s="69" t="str">
        <f>IF(A30taxstdlife="n/a","n/a",IF(L$3&gt;(A30taxstdlife+$E454),(Input!$K$172-Input!$K$206)-SUM($K454:K454),(Input!$K$172-Input!$K$206)/A30taxstdlife))</f>
        <v>n/a</v>
      </c>
      <c r="M454" s="69" t="str">
        <f>IF(A30taxstdlife="n/a","n/a",IF(M$3&gt;(A30taxstdlife+$E454),(Input!$K$172-Input!$K$206)-SUM($K454:L454),(Input!$K$172-Input!$K$206)/A30taxstdlife))</f>
        <v>n/a</v>
      </c>
      <c r="N454" s="69" t="str">
        <f>IF(A30taxstdlife="n/a","n/a",IF(N$3&gt;(A30taxstdlife+$E454),(Input!$K$172-Input!$K$206)-SUM($K454:M454),(Input!$K$172-Input!$K$206)/A30taxstdlife))</f>
        <v>n/a</v>
      </c>
      <c r="O454" s="69" t="str">
        <f>IF(A30taxstdlife="n/a","n/a",IF(O$3&gt;(A30taxstdlife+$E454),(Input!$K$172-Input!$K$206)-SUM($K454:N454),(Input!$K$172-Input!$K$206)/A30taxstdlife))</f>
        <v>n/a</v>
      </c>
      <c r="P454" s="69" t="str">
        <f>IF(A30taxstdlife="n/a","n/a",IF(P$3&gt;(A30taxstdlife+$E454),(Input!$K$172-Input!$K$206)-SUM($K454:O454),(Input!$K$172-Input!$K$206)/A30taxstdlife))</f>
        <v>n/a</v>
      </c>
      <c r="Q454" s="69" t="str">
        <f>IF(A30taxstdlife="n/a","n/a",IF(Q$3&gt;(A30taxstdlife+$E454),(Input!$K$172-Input!$K$206)-SUM($K454:P454),(Input!$K$172-Input!$K$206)/A30taxstdlife))</f>
        <v>n/a</v>
      </c>
      <c r="R454" s="69"/>
      <c r="S454" s="103"/>
      <c r="T454" s="103"/>
      <c r="U454" s="103"/>
      <c r="V454" s="103"/>
      <c r="W454" s="103"/>
      <c r="X454" s="103"/>
      <c r="Y454" s="103"/>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198"/>
      <c r="BJ454" s="198"/>
      <c r="BK454" s="198"/>
      <c r="BL454" s="198"/>
      <c r="BM454" s="198"/>
      <c r="BN454" s="198"/>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2.75" hidden="1" customHeight="1" outlineLevel="2">
      <c r="A455" s="9"/>
      <c r="B455" s="9"/>
      <c r="C455" s="26"/>
      <c r="D455" s="392"/>
      <c r="E455" s="87">
        <v>5</v>
      </c>
      <c r="F455" s="27"/>
      <c r="G455" s="27"/>
      <c r="H455" s="146"/>
      <c r="I455" s="148"/>
      <c r="J455" s="148"/>
      <c r="K455" s="148"/>
      <c r="L455" s="147"/>
      <c r="M455" s="69" t="str">
        <f>IF(A30taxstdlife="n/a","n/a",IF(M$3&gt;(A30taxstdlife+$E455),(Input!$L$172-Input!$L$206)-SUM($L455:L455),(Input!$L$172-Input!$L$206)/A30taxstdlife))</f>
        <v>n/a</v>
      </c>
      <c r="N455" s="69" t="str">
        <f>IF(A30taxstdlife="n/a","n/a",IF(N$3&gt;(A30taxstdlife+$E455),(Input!$L$172-Input!$L$206)-SUM($L455:M455),(Input!$L$172-Input!$L$206)/A30taxstdlife))</f>
        <v>n/a</v>
      </c>
      <c r="O455" s="69" t="str">
        <f>IF(A30taxstdlife="n/a","n/a",IF(O$3&gt;(A30taxstdlife+$E455),(Input!$L$172-Input!$L$206)-SUM($L455:N455),(Input!$L$172-Input!$L$206)/A30taxstdlife))</f>
        <v>n/a</v>
      </c>
      <c r="P455" s="69" t="str">
        <f>IF(A30taxstdlife="n/a","n/a",IF(P$3&gt;(A30taxstdlife+$E455),(Input!$L$172-Input!$L$206)-SUM($L455:O455),(Input!$L$172-Input!$L$206)/A30taxstdlife))</f>
        <v>n/a</v>
      </c>
      <c r="Q455" s="69" t="str">
        <f>IF(A30taxstdlife="n/a","n/a",IF(Q$3&gt;(A30taxstdlife+$E455),(Input!$L$172-Input!$L$206)-SUM($L455:P455),(Input!$L$172-Input!$L$206)/A30taxstdlife))</f>
        <v>n/a</v>
      </c>
      <c r="R455" s="69"/>
      <c r="S455" s="103"/>
      <c r="T455" s="103"/>
      <c r="U455" s="103"/>
      <c r="V455" s="103"/>
      <c r="W455" s="103"/>
      <c r="X455" s="103"/>
      <c r="Y455" s="103"/>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198"/>
      <c r="BJ455" s="198"/>
      <c r="BK455" s="198"/>
      <c r="BL455" s="198"/>
      <c r="BM455" s="198"/>
      <c r="BN455" s="198"/>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2.75" hidden="1" customHeight="1" outlineLevel="2">
      <c r="A456" s="9"/>
      <c r="B456" s="9"/>
      <c r="C456" s="26"/>
      <c r="D456" s="392"/>
      <c r="E456" s="87">
        <v>6</v>
      </c>
      <c r="F456" s="27"/>
      <c r="G456" s="27"/>
      <c r="H456" s="146"/>
      <c r="I456" s="148"/>
      <c r="J456" s="148"/>
      <c r="K456" s="148"/>
      <c r="L456" s="148"/>
      <c r="M456" s="147"/>
      <c r="N456" s="69" t="str">
        <f>IF(A30taxstdlife="n/a","n/a",IF(N$3&gt;(A30taxstdlife+$E456),(Input!$M$172-Input!$M$206)-SUM($M456:M456),(Input!$M$172-Input!$M$206)/A30taxstdlife))</f>
        <v>n/a</v>
      </c>
      <c r="O456" s="69" t="str">
        <f>IF(A30taxstdlife="n/a","n/a",IF(O$3&gt;(A30taxstdlife+$E456),(Input!$M$172-Input!$M$206)-SUM($M456:N456),(Input!$M$172-Input!$M$206)/A30taxstdlife))</f>
        <v>n/a</v>
      </c>
      <c r="P456" s="69" t="str">
        <f>IF(A30taxstdlife="n/a","n/a",IF(P$3&gt;(A30taxstdlife+$E456),(Input!$M$172-Input!$M$206)-SUM($M456:O456),(Input!$M$172-Input!$M$206)/A30taxstdlife))</f>
        <v>n/a</v>
      </c>
      <c r="Q456" s="69" t="str">
        <f>IF(A30taxstdlife="n/a","n/a",IF(Q$3&gt;(A30taxstdlife+$E456),(Input!$M$172-Input!$M$206)-SUM($M456:P456),(Input!$M$172-Input!$M$206)/A30taxstdlife))</f>
        <v>n/a</v>
      </c>
      <c r="R456" s="69"/>
      <c r="S456" s="103"/>
      <c r="T456" s="103"/>
      <c r="U456" s="103"/>
      <c r="V456" s="103"/>
      <c r="W456" s="103"/>
      <c r="X456" s="103"/>
      <c r="Y456" s="103"/>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198"/>
      <c r="BJ456" s="198"/>
      <c r="BK456" s="198"/>
      <c r="BL456" s="198"/>
      <c r="BM456" s="198"/>
      <c r="BN456" s="198"/>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2.75" hidden="1" customHeight="1" outlineLevel="2">
      <c r="A457" s="9"/>
      <c r="B457" s="9"/>
      <c r="C457" s="26"/>
      <c r="D457" s="392"/>
      <c r="E457" s="87">
        <v>7</v>
      </c>
      <c r="F457" s="27"/>
      <c r="G457" s="27"/>
      <c r="H457" s="146"/>
      <c r="I457" s="148"/>
      <c r="J457" s="148"/>
      <c r="K457" s="148"/>
      <c r="L457" s="148"/>
      <c r="M457" s="148"/>
      <c r="N457" s="147"/>
      <c r="O457" s="69" t="str">
        <f>IF(A30taxstdlife="n/a","n/a",IF(O$3&gt;(A30taxstdlife+$E457),(Input!$N$172-Input!$N$206)-SUM($N457:N457),(Input!$N$172-Input!$N$206)/A30taxstdlife))</f>
        <v>n/a</v>
      </c>
      <c r="P457" s="69" t="str">
        <f>IF(A30taxstdlife="n/a","n/a",IF(P$3&gt;(A30taxstdlife+$E457),(Input!$N$172-Input!$N$206)-SUM($N457:O457),(Input!$N$172-Input!$N$206)/A30taxstdlife))</f>
        <v>n/a</v>
      </c>
      <c r="Q457" s="69" t="str">
        <f>IF(A30taxstdlife="n/a","n/a",IF(Q$3&gt;(A30taxstdlife+$E457),(Input!$N$172-Input!$N$206)-SUM($N457:P457),(Input!$N$172-Input!$N$206)/A30taxstdlife))</f>
        <v>n/a</v>
      </c>
      <c r="R457" s="69"/>
      <c r="S457" s="103"/>
      <c r="T457" s="103"/>
      <c r="U457" s="103"/>
      <c r="V457" s="103"/>
      <c r="W457" s="103"/>
      <c r="X457" s="103"/>
      <c r="Y457" s="103"/>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198"/>
      <c r="BJ457" s="198"/>
      <c r="BK457" s="198"/>
      <c r="BL457" s="198"/>
      <c r="BM457" s="198"/>
      <c r="BN457" s="198"/>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2.75" hidden="1" customHeight="1" outlineLevel="2">
      <c r="A458" s="9"/>
      <c r="B458" s="9"/>
      <c r="C458" s="26"/>
      <c r="D458" s="392"/>
      <c r="E458" s="87">
        <v>8</v>
      </c>
      <c r="F458" s="27"/>
      <c r="G458" s="27"/>
      <c r="H458" s="146"/>
      <c r="I458" s="148"/>
      <c r="J458" s="148"/>
      <c r="K458" s="148"/>
      <c r="L458" s="148"/>
      <c r="M458" s="148"/>
      <c r="N458" s="148"/>
      <c r="O458" s="147"/>
      <c r="P458" s="69" t="str">
        <f>IF(A30taxstdlife="n/a","n/a",IF(P$3&gt;(A30taxstdlife+$E458),(Input!$O$172-Input!$O$206)-SUM($O458:O458),(Input!$O$172-Input!$O$206)/A30taxstdlife))</f>
        <v>n/a</v>
      </c>
      <c r="Q458" s="69" t="str">
        <f>IF(A30taxstdlife="n/a","n/a",IF(Q$3&gt;(A30taxstdlife+$E458),(Input!$O$172-Input!$O$206)-SUM($O458:P458),(Input!$O$172-Input!$O$206)/A30taxstdlife))</f>
        <v>n/a</v>
      </c>
      <c r="R458" s="69"/>
      <c r="S458" s="103"/>
      <c r="T458" s="103"/>
      <c r="U458" s="103"/>
      <c r="V458" s="103"/>
      <c r="W458" s="103"/>
      <c r="X458" s="103"/>
      <c r="Y458" s="103"/>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198"/>
      <c r="BJ458" s="198"/>
      <c r="BK458" s="198"/>
      <c r="BL458" s="198"/>
      <c r="BM458" s="198"/>
      <c r="BN458" s="19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2.75" hidden="1" customHeight="1" outlineLevel="2">
      <c r="A459" s="9"/>
      <c r="B459" s="9"/>
      <c r="C459" s="26"/>
      <c r="D459" s="392"/>
      <c r="E459" s="87">
        <v>9</v>
      </c>
      <c r="F459" s="27"/>
      <c r="G459" s="27"/>
      <c r="H459" s="146"/>
      <c r="I459" s="148"/>
      <c r="J459" s="148"/>
      <c r="K459" s="148"/>
      <c r="L459" s="148"/>
      <c r="M459" s="148"/>
      <c r="N459" s="148"/>
      <c r="O459" s="148"/>
      <c r="P459" s="147"/>
      <c r="Q459" s="69" t="str">
        <f>IF(A30taxstdlife="n/a","n/a",IF(Q$3&gt;(A30taxstdlife+$E459),(Input!$P$172-Input!$P$206)-SUM($P459:P459),(Input!$P$172-Input!$P$206)/A30taxstdlife))</f>
        <v>n/a</v>
      </c>
      <c r="R459" s="69"/>
      <c r="S459" s="103"/>
      <c r="T459" s="103"/>
      <c r="U459" s="103"/>
      <c r="V459" s="103"/>
      <c r="W459" s="103"/>
      <c r="X459" s="103"/>
      <c r="Y459" s="103"/>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198"/>
      <c r="BJ459" s="198"/>
      <c r="BK459" s="198"/>
      <c r="BL459" s="198"/>
      <c r="BM459" s="198"/>
      <c r="BN459" s="198"/>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2.75" hidden="1" customHeight="1" outlineLevel="2">
      <c r="A460" s="9"/>
      <c r="B460" s="9"/>
      <c r="C460" s="26"/>
      <c r="D460" s="392"/>
      <c r="E460" s="88">
        <v>10</v>
      </c>
      <c r="F460" s="27"/>
      <c r="G460" s="27"/>
      <c r="H460" s="146"/>
      <c r="I460" s="148"/>
      <c r="J460" s="148"/>
      <c r="K460" s="148"/>
      <c r="L460" s="148"/>
      <c r="M460" s="148"/>
      <c r="N460" s="148"/>
      <c r="O460" s="148"/>
      <c r="P460" s="148"/>
      <c r="Q460" s="147"/>
      <c r="R460" s="69"/>
      <c r="S460" s="103"/>
      <c r="T460" s="103"/>
      <c r="U460" s="103"/>
      <c r="V460" s="103"/>
      <c r="W460" s="103"/>
      <c r="X460" s="103"/>
      <c r="Y460" s="103"/>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198"/>
      <c r="BJ460" s="198"/>
      <c r="BK460" s="198"/>
      <c r="BL460" s="198"/>
      <c r="BM460" s="198"/>
      <c r="BN460" s="198"/>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idden="1" outlineLevel="1" collapsed="1">
      <c r="A461" s="9"/>
      <c r="B461" s="9"/>
      <c r="C461" s="271">
        <f>Asset30</f>
        <v>0</v>
      </c>
      <c r="D461" s="9"/>
      <c r="E461" s="9"/>
      <c r="F461" s="23"/>
      <c r="G461" s="23"/>
      <c r="H461" s="297">
        <f>-SUM(H449:H460)</f>
        <v>0</v>
      </c>
      <c r="I461" s="161">
        <f>-SUM(I449:I460)</f>
        <v>0</v>
      </c>
      <c r="J461" s="161">
        <f>-SUM(J449:J460)</f>
        <v>0</v>
      </c>
      <c r="K461" s="161">
        <f>-SUM(K449:K460)</f>
        <v>0</v>
      </c>
      <c r="L461" s="161">
        <f>-SUM(L449:L460)</f>
        <v>0</v>
      </c>
      <c r="M461" s="161">
        <f>IF(COUNT($H461:L461)&gt;=Input!$Y$7,0, -SUM(M449:M460))</f>
        <v>0</v>
      </c>
      <c r="N461" s="161">
        <f>IF(COUNT($H461:M461)&gt;=Input!$Y$7,0, -SUM(N449:N460))</f>
        <v>0</v>
      </c>
      <c r="O461" s="161">
        <f>IF(COUNT($H461:N461)&gt;=Input!$Y$7,0, -SUM(O449:O460))</f>
        <v>0</v>
      </c>
      <c r="P461" s="161">
        <f>IF(COUNT($H461:O461)&gt;=Input!$Y$7,0, -SUM(P449:P460))</f>
        <v>0</v>
      </c>
      <c r="Q461" s="161">
        <f>IF(COUNT($H461:P461)&gt;=Input!$Y$7,0, -SUM(Q449:Q460))</f>
        <v>0</v>
      </c>
      <c r="R461" s="161"/>
      <c r="S461" s="102"/>
      <c r="T461" s="102"/>
      <c r="U461" s="102"/>
      <c r="V461" s="102"/>
      <c r="W461" s="102"/>
      <c r="X461" s="102"/>
      <c r="Y461" s="102"/>
      <c r="Z461" s="218"/>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198"/>
      <c r="BJ461" s="198"/>
      <c r="BK461" s="198"/>
      <c r="BL461" s="198"/>
      <c r="BM461" s="198"/>
      <c r="BN461" s="198"/>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ht="12" customHeight="1" collapsed="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c r="BM462" s="198"/>
      <c r="BN462" s="198"/>
    </row>
    <row r="463" spans="1:255"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c r="BM463" s="198"/>
      <c r="BN463" s="198"/>
    </row>
    <row r="464" spans="1:255"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c r="BM464" s="198"/>
      <c r="BN464" s="198"/>
    </row>
    <row r="465" spans="1:6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c r="BN465" s="198"/>
    </row>
    <row r="466" spans="1:6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c r="BN466" s="198"/>
    </row>
    <row r="467" spans="1:6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c r="BN467" s="198"/>
    </row>
    <row r="468" spans="1:6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c r="BN468" s="198"/>
    </row>
    <row r="469" spans="1:6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c r="BM469" s="198"/>
      <c r="BN469" s="198"/>
    </row>
    <row r="470" spans="1:6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c r="BM470" s="198"/>
      <c r="BN470" s="198"/>
    </row>
    <row r="471" spans="1:6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198"/>
      <c r="AU471" s="198"/>
      <c r="AV471" s="198"/>
      <c r="AW471" s="198"/>
      <c r="AX471" s="198"/>
      <c r="AY471" s="198"/>
      <c r="AZ471" s="198"/>
      <c r="BA471" s="198"/>
      <c r="BB471" s="198"/>
      <c r="BC471" s="198"/>
      <c r="BD471" s="198"/>
      <c r="BE471" s="198"/>
      <c r="BF471" s="198"/>
      <c r="BG471" s="198"/>
      <c r="BH471" s="198"/>
      <c r="BI471" s="198"/>
      <c r="BJ471" s="198"/>
      <c r="BK471" s="198"/>
      <c r="BL471" s="198"/>
      <c r="BM471" s="198"/>
      <c r="BN471" s="198"/>
    </row>
    <row r="472" spans="1:6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198"/>
      <c r="AU472" s="198"/>
      <c r="AV472" s="198"/>
      <c r="AW472" s="198"/>
      <c r="AX472" s="198"/>
      <c r="AY472" s="198"/>
      <c r="AZ472" s="198"/>
      <c r="BA472" s="198"/>
      <c r="BB472" s="198"/>
      <c r="BC472" s="198"/>
      <c r="BD472" s="198"/>
      <c r="BE472" s="198"/>
      <c r="BF472" s="198"/>
      <c r="BG472" s="198"/>
      <c r="BH472" s="198"/>
      <c r="BI472" s="198"/>
      <c r="BJ472" s="198"/>
      <c r="BK472" s="198"/>
      <c r="BL472" s="198"/>
      <c r="BM472" s="198"/>
      <c r="BN472" s="198"/>
    </row>
    <row r="473" spans="1:6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198"/>
      <c r="AA473" s="198"/>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c r="BM473" s="198"/>
      <c r="BN473" s="198"/>
    </row>
    <row r="474" spans="1:6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198"/>
      <c r="AA474" s="198"/>
      <c r="AB474" s="198"/>
      <c r="AC474" s="198"/>
      <c r="AD474" s="198"/>
      <c r="AE474" s="198"/>
      <c r="AF474" s="198"/>
      <c r="AG474" s="198"/>
      <c r="AH474" s="198"/>
      <c r="AI474" s="198"/>
      <c r="AJ474" s="198"/>
      <c r="AK474" s="198"/>
      <c r="AL474" s="198"/>
      <c r="AM474" s="198"/>
      <c r="AN474" s="198"/>
      <c r="AO474" s="198"/>
      <c r="AP474" s="198"/>
      <c r="AQ474" s="198"/>
      <c r="AR474" s="198"/>
      <c r="AS474" s="198"/>
      <c r="AT474" s="198"/>
      <c r="AU474" s="198"/>
      <c r="AV474" s="198"/>
      <c r="AW474" s="198"/>
      <c r="AX474" s="198"/>
      <c r="AY474" s="198"/>
      <c r="AZ474" s="198"/>
      <c r="BA474" s="198"/>
      <c r="BB474" s="198"/>
      <c r="BC474" s="198"/>
      <c r="BD474" s="198"/>
      <c r="BE474" s="198"/>
      <c r="BF474" s="198"/>
      <c r="BG474" s="198"/>
      <c r="BH474" s="198"/>
      <c r="BI474" s="198"/>
      <c r="BJ474" s="198"/>
      <c r="BK474" s="198"/>
      <c r="BL474" s="198"/>
      <c r="BM474" s="198"/>
      <c r="BN474" s="198"/>
    </row>
    <row r="475" spans="1:6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198"/>
      <c r="AA475" s="198"/>
      <c r="AB475" s="198"/>
      <c r="AC475" s="198"/>
      <c r="AD475" s="198"/>
      <c r="AE475" s="198"/>
      <c r="AF475" s="198"/>
      <c r="AG475" s="198"/>
      <c r="AH475" s="198"/>
      <c r="AI475" s="198"/>
      <c r="AJ475" s="198"/>
      <c r="AK475" s="198"/>
      <c r="AL475" s="198"/>
      <c r="AM475" s="198"/>
      <c r="AN475" s="198"/>
      <c r="AO475" s="198"/>
      <c r="AP475" s="198"/>
      <c r="AQ475" s="198"/>
      <c r="AR475" s="198"/>
      <c r="AS475" s="198"/>
      <c r="AT475" s="198"/>
      <c r="AU475" s="198"/>
      <c r="AV475" s="198"/>
      <c r="AW475" s="198"/>
      <c r="AX475" s="198"/>
      <c r="AY475" s="198"/>
      <c r="AZ475" s="198"/>
      <c r="BA475" s="198"/>
      <c r="BB475" s="198"/>
      <c r="BC475" s="198"/>
      <c r="BD475" s="198"/>
      <c r="BE475" s="198"/>
      <c r="BF475" s="198"/>
      <c r="BG475" s="198"/>
      <c r="BH475" s="198"/>
      <c r="BI475" s="198"/>
      <c r="BJ475" s="198"/>
      <c r="BK475" s="198"/>
      <c r="BL475" s="198"/>
      <c r="BM475" s="198"/>
      <c r="BN475" s="198"/>
    </row>
    <row r="476" spans="1:6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198"/>
      <c r="AA476" s="198"/>
      <c r="AB476" s="198"/>
      <c r="AC476" s="198"/>
      <c r="AD476" s="198"/>
      <c r="AE476" s="198"/>
      <c r="AF476" s="198"/>
      <c r="AG476" s="198"/>
      <c r="AH476" s="198"/>
      <c r="AI476" s="198"/>
      <c r="AJ476" s="198"/>
      <c r="AK476" s="198"/>
      <c r="AL476" s="198"/>
      <c r="AM476" s="198"/>
      <c r="AN476" s="198"/>
      <c r="AO476" s="198"/>
      <c r="AP476" s="198"/>
      <c r="AQ476" s="198"/>
      <c r="AR476" s="198"/>
      <c r="AS476" s="198"/>
      <c r="AT476" s="198"/>
      <c r="AU476" s="198"/>
      <c r="AV476" s="198"/>
      <c r="AW476" s="198"/>
      <c r="AX476" s="198"/>
      <c r="AY476" s="198"/>
      <c r="AZ476" s="198"/>
      <c r="BA476" s="198"/>
      <c r="BB476" s="198"/>
      <c r="BC476" s="198"/>
      <c r="BD476" s="198"/>
      <c r="BE476" s="198"/>
      <c r="BF476" s="198"/>
      <c r="BG476" s="198"/>
      <c r="BH476" s="198"/>
      <c r="BI476" s="198"/>
      <c r="BJ476" s="198"/>
      <c r="BK476" s="198"/>
      <c r="BL476" s="198"/>
      <c r="BM476" s="198"/>
      <c r="BN476" s="198"/>
    </row>
    <row r="477" spans="1:6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c r="AX477" s="198"/>
      <c r="AY477" s="198"/>
      <c r="AZ477" s="198"/>
      <c r="BA477" s="198"/>
      <c r="BB477" s="198"/>
      <c r="BC477" s="198"/>
      <c r="BD477" s="198"/>
      <c r="BE477" s="198"/>
      <c r="BF477" s="198"/>
      <c r="BG477" s="198"/>
      <c r="BH477" s="198"/>
      <c r="BI477" s="198"/>
      <c r="BJ477" s="198"/>
      <c r="BK477" s="198"/>
      <c r="BL477" s="198"/>
      <c r="BM477" s="198"/>
      <c r="BN477" s="198"/>
    </row>
    <row r="478" spans="1:6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198"/>
      <c r="AU478" s="198"/>
      <c r="AV478" s="198"/>
      <c r="AW478" s="198"/>
      <c r="AX478" s="198"/>
      <c r="AY478" s="198"/>
      <c r="AZ478" s="198"/>
      <c r="BA478" s="198"/>
      <c r="BB478" s="198"/>
      <c r="BC478" s="198"/>
      <c r="BD478" s="198"/>
      <c r="BE478" s="198"/>
      <c r="BF478" s="198"/>
      <c r="BG478" s="198"/>
      <c r="BH478" s="198"/>
      <c r="BI478" s="198"/>
      <c r="BJ478" s="198"/>
      <c r="BK478" s="198"/>
      <c r="BL478" s="198"/>
      <c r="BM478" s="198"/>
      <c r="BN478" s="198"/>
    </row>
    <row r="479" spans="1:6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198"/>
      <c r="AU479" s="198"/>
      <c r="AV479" s="198"/>
      <c r="AW479" s="198"/>
      <c r="AX479" s="198"/>
      <c r="AY479" s="198"/>
      <c r="AZ479" s="198"/>
      <c r="BA479" s="198"/>
      <c r="BB479" s="198"/>
      <c r="BC479" s="198"/>
      <c r="BD479" s="198"/>
      <c r="BE479" s="198"/>
      <c r="BF479" s="198"/>
      <c r="BG479" s="198"/>
      <c r="BH479" s="198"/>
      <c r="BI479" s="198"/>
      <c r="BJ479" s="198"/>
      <c r="BK479" s="198"/>
      <c r="BL479" s="198"/>
      <c r="BM479" s="198"/>
      <c r="BN479" s="198"/>
    </row>
    <row r="480" spans="1:6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198"/>
      <c r="AU480" s="198"/>
      <c r="AV480" s="198"/>
      <c r="AW480" s="198"/>
      <c r="AX480" s="198"/>
      <c r="AY480" s="198"/>
      <c r="AZ480" s="198"/>
      <c r="BA480" s="198"/>
      <c r="BB480" s="198"/>
      <c r="BC480" s="198"/>
      <c r="BD480" s="198"/>
      <c r="BE480" s="198"/>
      <c r="BF480" s="198"/>
      <c r="BG480" s="198"/>
      <c r="BH480" s="198"/>
      <c r="BI480" s="198"/>
      <c r="BJ480" s="198"/>
      <c r="BK480" s="198"/>
      <c r="BL480" s="198"/>
      <c r="BM480" s="198"/>
      <c r="BN480" s="198"/>
    </row>
    <row r="481" spans="1:6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c r="BN481" s="198"/>
    </row>
    <row r="482" spans="1:6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c r="BN482" s="198"/>
    </row>
    <row r="483" spans="1:6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8"/>
      <c r="AY483" s="198"/>
      <c r="AZ483" s="198"/>
      <c r="BA483" s="198"/>
      <c r="BB483" s="198"/>
      <c r="BC483" s="198"/>
      <c r="BD483" s="198"/>
      <c r="BE483" s="198"/>
      <c r="BF483" s="198"/>
      <c r="BG483" s="198"/>
      <c r="BH483" s="198"/>
      <c r="BI483" s="198"/>
      <c r="BJ483" s="198"/>
      <c r="BK483" s="198"/>
      <c r="BL483" s="198"/>
      <c r="BM483" s="198"/>
      <c r="BN483" s="198"/>
    </row>
    <row r="484" spans="1:6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198"/>
      <c r="AU484" s="198"/>
      <c r="AV484" s="198"/>
      <c r="AW484" s="198"/>
      <c r="AX484" s="198"/>
      <c r="AY484" s="198"/>
      <c r="AZ484" s="198"/>
      <c r="BA484" s="198"/>
      <c r="BB484" s="198"/>
      <c r="BC484" s="198"/>
      <c r="BD484" s="198"/>
      <c r="BE484" s="198"/>
      <c r="BF484" s="198"/>
      <c r="BG484" s="198"/>
      <c r="BH484" s="198"/>
      <c r="BI484" s="198"/>
      <c r="BJ484" s="198"/>
      <c r="BK484" s="198"/>
      <c r="BL484" s="198"/>
      <c r="BM484" s="198"/>
      <c r="BN484" s="198"/>
    </row>
    <row r="485" spans="1:6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198"/>
      <c r="AU485" s="198"/>
      <c r="AV485" s="198"/>
      <c r="AW485" s="198"/>
      <c r="AX485" s="198"/>
      <c r="AY485" s="198"/>
      <c r="AZ485" s="198"/>
      <c r="BA485" s="198"/>
      <c r="BB485" s="198"/>
      <c r="BC485" s="198"/>
      <c r="BD485" s="198"/>
      <c r="BE485" s="198"/>
      <c r="BF485" s="198"/>
      <c r="BG485" s="198"/>
      <c r="BH485" s="198"/>
      <c r="BI485" s="198"/>
      <c r="BJ485" s="198"/>
      <c r="BK485" s="198"/>
      <c r="BL485" s="198"/>
      <c r="BM485" s="198"/>
      <c r="BN485" s="198"/>
    </row>
    <row r="486" spans="1:6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198"/>
      <c r="AU486" s="198"/>
      <c r="AV486" s="198"/>
      <c r="AW486" s="198"/>
      <c r="AX486" s="198"/>
      <c r="AY486" s="198"/>
      <c r="AZ486" s="198"/>
      <c r="BA486" s="198"/>
      <c r="BB486" s="198"/>
      <c r="BC486" s="198"/>
      <c r="BD486" s="198"/>
      <c r="BE486" s="198"/>
      <c r="BF486" s="198"/>
      <c r="BG486" s="198"/>
      <c r="BH486" s="198"/>
      <c r="BI486" s="198"/>
      <c r="BJ486" s="198"/>
      <c r="BK486" s="198"/>
      <c r="BL486" s="198"/>
      <c r="BM486" s="198"/>
      <c r="BN486" s="198"/>
    </row>
    <row r="487" spans="1:6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198"/>
      <c r="AU487" s="198"/>
      <c r="AV487" s="198"/>
      <c r="AW487" s="198"/>
      <c r="AX487" s="198"/>
      <c r="AY487" s="198"/>
      <c r="AZ487" s="198"/>
      <c r="BA487" s="198"/>
      <c r="BB487" s="198"/>
      <c r="BC487" s="198"/>
      <c r="BD487" s="198"/>
      <c r="BE487" s="198"/>
      <c r="BF487" s="198"/>
      <c r="BG487" s="198"/>
      <c r="BH487" s="198"/>
      <c r="BI487" s="198"/>
      <c r="BJ487" s="198"/>
      <c r="BK487" s="198"/>
      <c r="BL487" s="198"/>
      <c r="BM487" s="198"/>
      <c r="BN487" s="198"/>
    </row>
    <row r="488" spans="1:6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c r="BN488" s="198"/>
    </row>
    <row r="489" spans="1:6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198"/>
      <c r="AU489" s="198"/>
      <c r="AV489" s="198"/>
      <c r="AW489" s="198"/>
      <c r="AX489" s="198"/>
      <c r="AY489" s="198"/>
      <c r="AZ489" s="198"/>
      <c r="BA489" s="198"/>
      <c r="BB489" s="198"/>
      <c r="BC489" s="198"/>
      <c r="BD489" s="198"/>
      <c r="BE489" s="198"/>
      <c r="BF489" s="198"/>
      <c r="BG489" s="198"/>
      <c r="BH489" s="198"/>
      <c r="BI489" s="198"/>
      <c r="BJ489" s="198"/>
    </row>
    <row r="490" spans="1:66">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66">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66">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66">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66">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66">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6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sheetData>
  <mergeCells count="30">
    <mergeCell ref="D73:D83"/>
    <mergeCell ref="D281:D291"/>
    <mergeCell ref="D294:D304"/>
    <mergeCell ref="D86:D96"/>
    <mergeCell ref="D99:D109"/>
    <mergeCell ref="D112:D122"/>
    <mergeCell ref="D177:D187"/>
    <mergeCell ref="D190:D200"/>
    <mergeCell ref="D125:D135"/>
    <mergeCell ref="D138:D148"/>
    <mergeCell ref="D151:D161"/>
    <mergeCell ref="D164:D174"/>
    <mergeCell ref="D307:D317"/>
    <mergeCell ref="D320:D330"/>
    <mergeCell ref="D203:D213"/>
    <mergeCell ref="D216:D226"/>
    <mergeCell ref="D255:D265"/>
    <mergeCell ref="D268:D278"/>
    <mergeCell ref="D229:D239"/>
    <mergeCell ref="D242:D252"/>
    <mergeCell ref="D450:D460"/>
    <mergeCell ref="D385:D395"/>
    <mergeCell ref="D398:D408"/>
    <mergeCell ref="D411:D421"/>
    <mergeCell ref="D424:D434"/>
    <mergeCell ref="D333:D343"/>
    <mergeCell ref="D346:D356"/>
    <mergeCell ref="D359:D369"/>
    <mergeCell ref="D372:D382"/>
    <mergeCell ref="D437:D447"/>
  </mergeCells>
  <phoneticPr fontId="0" type="noConversion"/>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8.xml><?xml version="1.0" encoding="utf-8"?>
<worksheet xmlns="http://schemas.openxmlformats.org/spreadsheetml/2006/main" xmlns:r="http://schemas.openxmlformats.org/officeDocument/2006/relationships">
  <sheetPr codeName="Sheet7"/>
  <dimension ref="A1:Z660"/>
  <sheetViews>
    <sheetView topLeftCell="A4" zoomScaleNormal="100" workbookViewId="0">
      <selection activeCell="O427" sqref="O427"/>
    </sheetView>
  </sheetViews>
  <sheetFormatPr defaultRowHeight="12.75" outlineLevelRow="1"/>
  <cols>
    <col min="1" max="1" width="4.140625" customWidth="1"/>
    <col min="2" max="2" width="25.42578125" customWidth="1"/>
    <col min="3" max="3" width="12" customWidth="1"/>
    <col min="4" max="4" width="5.42578125" customWidth="1"/>
    <col min="5" max="5" width="18.140625" style="254" customWidth="1"/>
    <col min="6" max="6" width="21" style="254" customWidth="1"/>
    <col min="7" max="7" width="4.140625" style="263" customWidth="1"/>
    <col min="8" max="8" width="6.85546875" style="266" customWidth="1"/>
    <col min="9" max="9" width="6.85546875" style="264" customWidth="1"/>
    <col min="10" max="10" width="16.140625" style="266" customWidth="1"/>
    <col min="11" max="11" width="24.5703125" style="264" customWidth="1"/>
    <col min="12" max="12" width="9.140625" style="279"/>
  </cols>
  <sheetData>
    <row r="1" spans="1:26" ht="15.75">
      <c r="A1" s="252"/>
      <c r="B1" s="362" t="str">
        <f>'SP AusNet record of changes'!$B$2</f>
        <v>SP AusNet  - RFM - data as at 28-February-2013</v>
      </c>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5.75">
      <c r="A2" s="252"/>
      <c r="B2" s="57" t="str">
        <f>"Average Remaining Asset Lives Roll Forward - RFM "&amp;Intro!L4</f>
        <v>Average Remaining Asset Lives Roll Forward - RFM Version: 2.0</v>
      </c>
      <c r="C2" s="253"/>
      <c r="D2" s="253"/>
      <c r="E2" s="253"/>
      <c r="F2" s="253"/>
      <c r="G2" s="253"/>
      <c r="H2" s="253"/>
      <c r="I2" s="253"/>
      <c r="J2" s="253"/>
      <c r="K2" s="253"/>
      <c r="L2" s="253"/>
      <c r="M2" s="253"/>
      <c r="N2" s="253"/>
      <c r="O2" s="253"/>
      <c r="P2" s="253"/>
      <c r="Q2" s="253"/>
      <c r="R2" s="253"/>
      <c r="S2" s="253"/>
      <c r="T2" s="253"/>
      <c r="U2" s="253"/>
      <c r="V2" s="253"/>
      <c r="W2" s="253"/>
      <c r="X2" s="253"/>
      <c r="Y2" s="253"/>
      <c r="Z2" s="253"/>
    </row>
    <row r="3" spans="1:26">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row>
    <row r="4" spans="1:26" ht="16.5" customHeight="1">
      <c r="A4" s="82"/>
      <c r="B4" s="83"/>
      <c r="C4" s="82"/>
      <c r="D4" s="82"/>
      <c r="E4" s="82"/>
      <c r="F4" s="82"/>
      <c r="G4" s="144"/>
      <c r="H4" s="144"/>
      <c r="I4" s="144"/>
      <c r="J4" s="144"/>
      <c r="K4" s="144"/>
      <c r="L4" s="144"/>
      <c r="M4" s="144"/>
      <c r="N4" s="144"/>
      <c r="O4" s="144"/>
      <c r="P4" s="144"/>
      <c r="Q4" s="144"/>
      <c r="R4" s="144"/>
      <c r="S4" s="253"/>
      <c r="T4" s="253"/>
      <c r="U4" s="253"/>
      <c r="V4" s="253"/>
      <c r="W4" s="253"/>
      <c r="X4" s="253"/>
      <c r="Y4" s="253"/>
      <c r="Z4" s="253"/>
    </row>
    <row r="5" spans="1:26">
      <c r="A5" s="74"/>
      <c r="B5" s="81" t="s">
        <v>103</v>
      </c>
      <c r="C5" s="74"/>
      <c r="D5" s="74"/>
      <c r="E5" s="275" t="str">
        <f>"($m Real "&amp;'Tax value roll forward'!H4&amp;")"</f>
        <v>($m Real 2008-09)</v>
      </c>
      <c r="F5" s="275" t="s">
        <v>105</v>
      </c>
      <c r="G5" s="276"/>
      <c r="H5" s="275"/>
      <c r="I5" s="275"/>
      <c r="J5" s="275" t="s">
        <v>104</v>
      </c>
      <c r="K5" s="275" t="s">
        <v>105</v>
      </c>
      <c r="L5" s="74"/>
      <c r="M5" s="74"/>
      <c r="N5" s="74"/>
      <c r="O5" s="74"/>
      <c r="P5" s="74"/>
      <c r="Q5" s="74"/>
      <c r="R5" s="74"/>
      <c r="S5" s="253"/>
      <c r="T5" s="253"/>
      <c r="U5" s="253"/>
      <c r="V5" s="253"/>
      <c r="W5" s="253"/>
      <c r="X5" s="253"/>
      <c r="Y5" s="253"/>
      <c r="Z5" s="253"/>
    </row>
    <row r="6" spans="1:26" s="198" customFormat="1" ht="12.75" customHeight="1">
      <c r="A6" s="12"/>
      <c r="B6" s="12"/>
      <c r="C6" s="12"/>
      <c r="D6" s="262"/>
      <c r="E6" s="277" t="s">
        <v>106</v>
      </c>
      <c r="F6" s="277" t="s">
        <v>99</v>
      </c>
      <c r="G6" s="12"/>
      <c r="H6" s="9"/>
      <c r="I6" s="9"/>
      <c r="J6" s="278" t="s">
        <v>107</v>
      </c>
      <c r="K6" s="277" t="s">
        <v>102</v>
      </c>
      <c r="L6" s="12"/>
      <c r="M6" s="12"/>
      <c r="N6" s="12"/>
      <c r="O6" s="12"/>
      <c r="P6" s="12"/>
      <c r="Q6" s="12"/>
      <c r="R6" s="12"/>
      <c r="S6" s="253"/>
      <c r="T6" s="253"/>
      <c r="U6" s="253"/>
      <c r="V6" s="253"/>
      <c r="W6" s="253"/>
      <c r="X6" s="253"/>
      <c r="Y6" s="253"/>
      <c r="Z6" s="253"/>
    </row>
    <row r="7" spans="1:26" s="198" customFormat="1" hidden="1" outlineLevel="1">
      <c r="A7" s="12"/>
      <c r="B7" s="272" t="str">
        <f>Asset1</f>
        <v>Secondary</v>
      </c>
      <c r="C7" s="12"/>
      <c r="D7" s="12"/>
      <c r="E7" s="277"/>
      <c r="F7" s="277"/>
      <c r="G7" s="12"/>
      <c r="H7" s="9"/>
      <c r="I7" s="9"/>
      <c r="J7" s="9"/>
      <c r="L7" s="12"/>
      <c r="M7" s="12"/>
      <c r="N7" s="12"/>
      <c r="O7" s="12"/>
      <c r="P7" s="12"/>
      <c r="Q7" s="12"/>
      <c r="R7" s="12"/>
      <c r="S7" s="253"/>
      <c r="T7" s="253"/>
      <c r="U7" s="253"/>
      <c r="V7" s="253"/>
      <c r="W7" s="253"/>
      <c r="X7" s="253"/>
      <c r="Y7" s="253"/>
      <c r="Z7" s="253"/>
    </row>
    <row r="8" spans="1:26" ht="12.75" hidden="1" customHeight="1" outlineLevel="1">
      <c r="A8" s="9"/>
      <c r="B8" s="9"/>
      <c r="C8" s="393" t="s">
        <v>26</v>
      </c>
      <c r="D8" s="394"/>
      <c r="E8" s="260">
        <f ca="1">A1value-SUM('Actual RAB roll forward'!H76:OFFSET('Actual RAB roll forward'!H76,0,Input!$Y$7-1))</f>
        <v>62.901603674714082</v>
      </c>
      <c r="F8" s="260">
        <f>IF(A1remlife="N/A","n/a",A1remlife-Input!$Y$7)</f>
        <v>3.9330276168729341</v>
      </c>
      <c r="G8" s="256"/>
      <c r="H8" s="298" t="s">
        <v>66</v>
      </c>
      <c r="I8" s="299"/>
      <c r="J8" s="260">
        <f ca="1">A1taxvalue-SUM('Tax value roll forward'!H72:OFFSET('Tax value roll forward'!H72,0,Input!$Y$7-1))</f>
        <v>94.680012767984977</v>
      </c>
      <c r="K8" s="260">
        <f>IF(A1taxremlife="N/A","n/a",A1taxremlife-Input!$Y$7)</f>
        <v>14.639745307999554</v>
      </c>
      <c r="L8" s="111"/>
      <c r="M8" s="9"/>
      <c r="N8" s="9"/>
      <c r="O8" s="9"/>
      <c r="P8" s="9"/>
      <c r="Q8" s="9"/>
      <c r="R8" s="9"/>
      <c r="S8" s="253"/>
      <c r="T8" s="253"/>
      <c r="U8" s="253"/>
      <c r="V8" s="253"/>
      <c r="W8" s="253"/>
      <c r="X8" s="253"/>
      <c r="Y8" s="253"/>
      <c r="Z8" s="253"/>
    </row>
    <row r="9" spans="1:26" hidden="1" outlineLevel="1">
      <c r="A9" s="9"/>
      <c r="B9" s="9"/>
      <c r="C9" s="395" t="s">
        <v>82</v>
      </c>
      <c r="D9" s="87">
        <v>1</v>
      </c>
      <c r="E9" s="260">
        <f ca="1">OFFSET('Actual RAB roll forward'!H$44,0,D9-1)-SUM('Actual RAB roll forward'!H78:OFFSET('Actual RAB roll forward'!H78,0,Input!$Y$7-1))</f>
        <v>4.8640335412220841</v>
      </c>
      <c r="F9" s="260">
        <f ca="1">IF(A1stdlife="N/A","n/a",IF(E9=0,0,A1stdlife+D9-Input!$Y$7))</f>
        <v>10</v>
      </c>
      <c r="G9" s="256"/>
      <c r="H9" s="395" t="s">
        <v>82</v>
      </c>
      <c r="I9" s="87">
        <v>1</v>
      </c>
      <c r="J9" s="260">
        <f ca="1">OFFSET('Tax value roll forward'!H$40,0,I9-1)-SUM('Tax value roll forward'!H74:OFFSET('Tax value roll forward'!H74,0,Input!$Y$7-1))</f>
        <v>4.2792016315892791</v>
      </c>
      <c r="K9" s="260">
        <f ca="1">IF(A1taxstdlife="N/A","n/a",IF(J9=0,0,A1taxstdlife+I9-Input!$Y$7))</f>
        <v>7.5</v>
      </c>
      <c r="L9" s="111"/>
      <c r="M9" s="9"/>
      <c r="N9" s="9"/>
      <c r="O9" s="9"/>
      <c r="P9" s="9"/>
      <c r="Q9" s="9"/>
      <c r="R9" s="9"/>
      <c r="S9" s="253"/>
      <c r="T9" s="253"/>
      <c r="U9" s="253"/>
      <c r="V9" s="253"/>
      <c r="W9" s="253"/>
      <c r="X9" s="253"/>
      <c r="Y9" s="253"/>
      <c r="Z9" s="253"/>
    </row>
    <row r="10" spans="1:26" hidden="1" outlineLevel="1">
      <c r="A10" s="9"/>
      <c r="B10" s="9"/>
      <c r="C10" s="396"/>
      <c r="D10" s="87">
        <v>2</v>
      </c>
      <c r="E10" s="260">
        <f ca="1">OFFSET('Actual RAB roll forward'!H$44,0,D10-1)-SUM('Actual RAB roll forward'!H79:OFFSET('Actual RAB roll forward'!H79,0,Input!$Y$7-1))</f>
        <v>2.1070687412004734</v>
      </c>
      <c r="F10" s="260">
        <f ca="1">IF(A1stdlife="N/A","n/a",IF(E10=0,0,A1stdlife+D10-Input!$Y$7))</f>
        <v>11</v>
      </c>
      <c r="G10" s="256"/>
      <c r="H10" s="396"/>
      <c r="I10" s="87">
        <v>2</v>
      </c>
      <c r="J10" s="260">
        <f ca="1">OFFSET('Tax value roll forward'!H$40,0,I10-1)-SUM('Tax value roll forward'!H75:OFFSET('Tax value roll forward'!H75,0,Input!$Y$7-1))</f>
        <v>1.9955113293920004</v>
      </c>
      <c r="K10" s="260">
        <f ca="1">IF(A1taxstdlife="N/A","n/a",IF(J10=0,0,A1taxstdlife+I10-Input!$Y$7))</f>
        <v>8.5</v>
      </c>
      <c r="L10" s="111"/>
      <c r="M10" s="9"/>
      <c r="N10" s="9"/>
      <c r="O10" s="9"/>
      <c r="P10" s="9"/>
      <c r="Q10" s="9"/>
      <c r="R10" s="9"/>
      <c r="S10" s="253"/>
      <c r="T10" s="253"/>
      <c r="U10" s="253"/>
      <c r="V10" s="253"/>
      <c r="W10" s="253"/>
      <c r="X10" s="253"/>
      <c r="Y10" s="253"/>
      <c r="Z10" s="253"/>
    </row>
    <row r="11" spans="1:26" hidden="1" outlineLevel="1">
      <c r="A11" s="9"/>
      <c r="B11" s="9"/>
      <c r="C11" s="396"/>
      <c r="D11" s="87">
        <v>3</v>
      </c>
      <c r="E11" s="260">
        <f ca="1">OFFSET('Actual RAB roll forward'!H$44,0,D11-1)-SUM('Actual RAB roll forward'!H80:OFFSET('Actual RAB roll forward'!H80,0,Input!$Y$7-1))</f>
        <v>8.2257747904991909</v>
      </c>
      <c r="F11" s="260">
        <f ca="1">IF(A1stdlife="N/A","n/a",IF(E11=0,0,A1stdlife+D11-Input!$Y$7))</f>
        <v>12</v>
      </c>
      <c r="G11" s="256"/>
      <c r="H11" s="396"/>
      <c r="I11" s="87">
        <v>3</v>
      </c>
      <c r="J11" s="260">
        <f ca="1">OFFSET('Tax value roll forward'!H$40,0,I11-1)-SUM('Tax value roll forward'!H76:OFFSET('Tax value roll forward'!H76,0,Input!$Y$7-1))</f>
        <v>8.1277638359999997</v>
      </c>
      <c r="K11" s="260">
        <f ca="1">IF(A1taxstdlife="N/A","n/a",IF(J11=0,0,A1taxstdlife+I11-Input!$Y$7))</f>
        <v>9.5</v>
      </c>
      <c r="L11" s="111"/>
      <c r="M11" s="9"/>
      <c r="N11" s="9"/>
      <c r="O11" s="9"/>
      <c r="P11" s="9"/>
      <c r="Q11" s="9"/>
      <c r="R11" s="9"/>
      <c r="S11" s="253"/>
      <c r="T11" s="253"/>
      <c r="U11" s="253"/>
      <c r="V11" s="253"/>
      <c r="W11" s="253"/>
      <c r="X11" s="253"/>
      <c r="Y11" s="253"/>
      <c r="Z11" s="253"/>
    </row>
    <row r="12" spans="1:26" hidden="1" outlineLevel="1">
      <c r="A12" s="9"/>
      <c r="B12" s="9"/>
      <c r="C12" s="396"/>
      <c r="D12" s="87">
        <v>4</v>
      </c>
      <c r="E12" s="260">
        <f ca="1">OFFSET('Actual RAB roll forward'!H$44,0,D12-1)-SUM('Actual RAB roll forward'!H81:OFFSET('Actual RAB roll forward'!H81,0,Input!$Y$7-1))</f>
        <v>9.6527628519514828</v>
      </c>
      <c r="F12" s="260">
        <f ca="1">IF(A1stdlife="N/A","n/a",IF(E12=0,0,A1stdlife+D12-Input!$Y$7))</f>
        <v>13</v>
      </c>
      <c r="G12" s="256"/>
      <c r="H12" s="396"/>
      <c r="I12" s="87">
        <v>4</v>
      </c>
      <c r="J12" s="260">
        <f ca="1">OFFSET('Tax value roll forward'!H$40,0,I12-1)-SUM('Tax value roll forward'!H77:OFFSET('Tax value roll forward'!H77,0,Input!$Y$7-1))</f>
        <v>9.967407376509108</v>
      </c>
      <c r="K12" s="260">
        <f ca="1">IF(A1taxstdlife="N/A","n/a",IF(J12=0,0,A1taxstdlife+I12-Input!$Y$7))</f>
        <v>10.5</v>
      </c>
      <c r="L12" s="111"/>
      <c r="M12" s="9"/>
      <c r="N12" s="9"/>
      <c r="O12" s="9"/>
      <c r="P12" s="9"/>
      <c r="Q12" s="9"/>
      <c r="R12" s="9"/>
      <c r="S12" s="253"/>
      <c r="T12" s="253"/>
      <c r="U12" s="253"/>
      <c r="V12" s="253"/>
      <c r="W12" s="253"/>
      <c r="X12" s="253"/>
      <c r="Y12" s="253"/>
      <c r="Z12" s="253"/>
    </row>
    <row r="13" spans="1:26" hidden="1" outlineLevel="1">
      <c r="A13" s="9"/>
      <c r="B13" s="9"/>
      <c r="C13" s="396"/>
      <c r="D13" s="87">
        <v>5</v>
      </c>
      <c r="E13" s="260">
        <f ca="1">OFFSET('Actual RAB roll forward'!H$44,0,D13-1)-SUM('Actual RAB roll forward'!H82:OFFSET('Actual RAB roll forward'!H82,0,Input!$Y$7-1))</f>
        <v>24.737890102544405</v>
      </c>
      <c r="F13" s="260">
        <f ca="1">IF(A1stdlife="N/A","n/a",IF(E13=0,0,A1stdlife+D13-Input!$Y$7))</f>
        <v>14</v>
      </c>
      <c r="G13" s="256"/>
      <c r="H13" s="396"/>
      <c r="I13" s="87">
        <v>5</v>
      </c>
      <c r="J13" s="260">
        <f ca="1">OFFSET('Tax value roll forward'!H$40,0,I13-1)-SUM('Tax value roll forward'!H78:OFFSET('Tax value roll forward'!H78,0,Input!$Y$7-1))</f>
        <v>26.902463829200006</v>
      </c>
      <c r="K13" s="260">
        <f ca="1">IF(A1taxstdlife="N/A","n/a",IF(J13=0,0,A1taxstdlife+I13-Input!$Y$7))</f>
        <v>11.5</v>
      </c>
      <c r="L13" s="111"/>
      <c r="M13" s="9"/>
      <c r="N13" s="9"/>
      <c r="O13" s="9"/>
      <c r="P13" s="9"/>
      <c r="Q13" s="9"/>
      <c r="R13" s="9"/>
      <c r="S13" s="253"/>
      <c r="T13" s="253"/>
      <c r="U13" s="253"/>
      <c r="V13" s="253"/>
      <c r="W13" s="253"/>
      <c r="X13" s="253"/>
      <c r="Y13" s="253"/>
      <c r="Z13" s="253"/>
    </row>
    <row r="14" spans="1:26" hidden="1" outlineLevel="1">
      <c r="A14" s="9"/>
      <c r="B14" s="9"/>
      <c r="C14" s="396"/>
      <c r="D14" s="87">
        <v>6</v>
      </c>
      <c r="E14" s="260">
        <f ca="1">OFFSET('Actual RAB roll forward'!H$44,0,D14-1)-SUM('Actual RAB roll forward'!H83:OFFSET('Actual RAB roll forward'!H83,0,Input!$Y$7-1))</f>
        <v>17.362936868491428</v>
      </c>
      <c r="F14" s="260">
        <f ca="1">IF(A1stdlife="N/A","n/a",IF(E14=0,0,A1stdlife+D14-Input!$Y$7))</f>
        <v>15</v>
      </c>
      <c r="G14" s="256"/>
      <c r="H14" s="396"/>
      <c r="I14" s="87">
        <v>6</v>
      </c>
      <c r="J14" s="317">
        <f ca="1">OFFSET('Tax value roll forward'!H$40,0,I14-1)-SUM('Tax value roll forward'!H79:OFFSET('Tax value roll forward'!H79,0,Input!$Y$7-1))</f>
        <v>19.549877874291326</v>
      </c>
      <c r="K14" s="260">
        <f ca="1">IF(A1taxstdlife="N/A","n/a",IF(J14=0,0,A1taxstdlife+I14-Input!$Y$7))</f>
        <v>12.5</v>
      </c>
      <c r="L14" s="111"/>
      <c r="M14" s="9"/>
      <c r="N14" s="9"/>
      <c r="O14" s="9"/>
      <c r="P14" s="9"/>
      <c r="Q14" s="9"/>
      <c r="R14" s="9"/>
      <c r="S14" s="253"/>
      <c r="T14" s="253"/>
      <c r="U14" s="253"/>
      <c r="V14" s="253"/>
      <c r="W14" s="253"/>
      <c r="X14" s="253"/>
      <c r="Y14" s="253"/>
      <c r="Z14" s="253"/>
    </row>
    <row r="15" spans="1:26" hidden="1" outlineLevel="1">
      <c r="A15" s="9"/>
      <c r="B15" s="9"/>
      <c r="C15" s="396"/>
      <c r="D15" s="87">
        <v>7</v>
      </c>
      <c r="E15" s="260">
        <f ca="1">OFFSET('Actual RAB roll forward'!H$44,0,D15-1)-SUM('Actual RAB roll forward'!H84:OFFSET('Actual RAB roll forward'!H84,0,Input!$Y$7-1))</f>
        <v>0</v>
      </c>
      <c r="F15" s="260">
        <f ca="1">IF(A1stdlife="N/A","n/a",IF(E15=0,0,A1stdlife+D15-Input!$Y$7))</f>
        <v>0</v>
      </c>
      <c r="G15" s="256"/>
      <c r="H15" s="396"/>
      <c r="I15" s="87">
        <v>7</v>
      </c>
      <c r="J15" s="260">
        <f ca="1">OFFSET('Tax value roll forward'!H$40,0,I15-1)-SUM('Tax value roll forward'!H80:OFFSET('Tax value roll forward'!H80,0,Input!$Y$7-1))</f>
        <v>0</v>
      </c>
      <c r="K15" s="260">
        <f ca="1">IF(A1taxstdlife="N/A","n/a",IF(J15=0,0,A1taxstdlife+I15-Input!$Y$7))</f>
        <v>0</v>
      </c>
      <c r="L15" s="111"/>
      <c r="M15" s="9"/>
      <c r="N15" s="9"/>
      <c r="O15" s="9"/>
      <c r="P15" s="9"/>
      <c r="Q15" s="9"/>
      <c r="R15" s="9"/>
      <c r="S15" s="253"/>
      <c r="T15" s="253"/>
      <c r="U15" s="253"/>
      <c r="V15" s="253"/>
      <c r="W15" s="253"/>
      <c r="X15" s="253"/>
      <c r="Y15" s="253"/>
      <c r="Z15" s="253"/>
    </row>
    <row r="16" spans="1:26" hidden="1" outlineLevel="1">
      <c r="A16" s="9"/>
      <c r="B16" s="9"/>
      <c r="C16" s="396"/>
      <c r="D16" s="87">
        <v>8</v>
      </c>
      <c r="E16" s="260">
        <f ca="1">OFFSET('Actual RAB roll forward'!H$44,0,D16-1)-SUM('Actual RAB roll forward'!H85:OFFSET('Actual RAB roll forward'!H85,0,Input!$Y$7-1))</f>
        <v>0</v>
      </c>
      <c r="F16" s="260">
        <f ca="1">IF(A1stdlife="N/A","n/a",IF(E16=0,0,A1stdlife+D16-Input!$Y$7))</f>
        <v>0</v>
      </c>
      <c r="G16" s="256"/>
      <c r="H16" s="396"/>
      <c r="I16" s="87">
        <v>8</v>
      </c>
      <c r="J16" s="260">
        <f ca="1">OFFSET('Tax value roll forward'!H$40,0,I16-1)-SUM('Tax value roll forward'!H81:OFFSET('Tax value roll forward'!H81,0,Input!$Y$7-1))</f>
        <v>0</v>
      </c>
      <c r="K16" s="260">
        <f ca="1">IF(A1taxstdlife="N/A","n/a",IF(J16=0,0,A1taxstdlife+I16-Input!$Y$7))</f>
        <v>0</v>
      </c>
      <c r="L16" s="111"/>
      <c r="M16" s="9"/>
      <c r="N16" s="9"/>
      <c r="O16" s="9"/>
      <c r="P16" s="9"/>
      <c r="Q16" s="9"/>
      <c r="R16" s="9"/>
      <c r="S16" s="253"/>
      <c r="T16" s="253"/>
      <c r="U16" s="253"/>
      <c r="V16" s="253"/>
      <c r="W16" s="253"/>
      <c r="X16" s="253"/>
      <c r="Y16" s="253"/>
      <c r="Z16" s="253"/>
    </row>
    <row r="17" spans="1:26" hidden="1" outlineLevel="1">
      <c r="A17" s="9"/>
      <c r="B17" s="9"/>
      <c r="C17" s="396"/>
      <c r="D17" s="87">
        <v>9</v>
      </c>
      <c r="E17" s="260">
        <f ca="1">OFFSET('Actual RAB roll forward'!H$44,0,D17-1)-SUM('Actual RAB roll forward'!H86:OFFSET('Actual RAB roll forward'!H86,0,Input!$Y$7-1))</f>
        <v>0</v>
      </c>
      <c r="F17" s="260">
        <f ca="1">IF(A1stdlife="N/A","n/a",IF(E17=0,0,A1stdlife+D17-Input!$Y$7))</f>
        <v>0</v>
      </c>
      <c r="G17" s="256"/>
      <c r="H17" s="396"/>
      <c r="I17" s="87">
        <v>9</v>
      </c>
      <c r="J17" s="260">
        <f ca="1">OFFSET('Tax value roll forward'!H$40,0,I17-1)-SUM('Tax value roll forward'!H82:OFFSET('Tax value roll forward'!H82,0,Input!$Y$7-1))</f>
        <v>0</v>
      </c>
      <c r="K17" s="260">
        <f ca="1">IF(A1taxstdlife="N/A","n/a",IF(J17=0,0,A1taxstdlife+I17-Input!$Y$7))</f>
        <v>0</v>
      </c>
      <c r="L17" s="111"/>
      <c r="M17" s="9"/>
      <c r="N17" s="9"/>
      <c r="O17" s="9"/>
      <c r="P17" s="9"/>
      <c r="Q17" s="9"/>
      <c r="R17" s="9"/>
      <c r="S17" s="253"/>
      <c r="T17" s="253"/>
      <c r="U17" s="253"/>
      <c r="V17" s="253"/>
      <c r="W17" s="253"/>
      <c r="X17" s="253"/>
      <c r="Y17" s="253"/>
      <c r="Z17" s="253"/>
    </row>
    <row r="18" spans="1:26" hidden="1" outlineLevel="1">
      <c r="A18" s="9"/>
      <c r="B18" s="9"/>
      <c r="C18" s="397"/>
      <c r="D18" s="88">
        <v>10</v>
      </c>
      <c r="E18" s="260">
        <f ca="1">OFFSET('Actual RAB roll forward'!H$44,0,D18-1)-SUM('Actual RAB roll forward'!H87:OFFSET('Actual RAB roll forward'!H87,0,Input!$Y$7-1))</f>
        <v>0</v>
      </c>
      <c r="F18" s="260">
        <f ca="1">IF(A1stdlife="N/A","n/a",IF(E18=0,0,A1stdlife+D18-Input!$Y$7))</f>
        <v>0</v>
      </c>
      <c r="G18" s="256"/>
      <c r="H18" s="397"/>
      <c r="I18" s="88">
        <v>10</v>
      </c>
      <c r="J18" s="260">
        <f ca="1">OFFSET('Tax value roll forward'!H$40,0,I18-1)-SUM('Tax value roll forward'!H83:OFFSET('Tax value roll forward'!H83,0,Input!$Y$7-1))</f>
        <v>0</v>
      </c>
      <c r="K18" s="260">
        <f ca="1">IF(A1taxstdlife="N/A","n/a",IF(J18=0,0,A1taxstdlife+I18-Input!$Y$7))</f>
        <v>0</v>
      </c>
      <c r="L18" s="111"/>
      <c r="M18" s="9"/>
      <c r="N18" s="9"/>
      <c r="O18" s="9"/>
      <c r="P18" s="9"/>
      <c r="Q18" s="9"/>
      <c r="R18" s="9"/>
      <c r="S18" s="253"/>
      <c r="T18" s="253"/>
      <c r="U18" s="253"/>
      <c r="V18" s="253"/>
      <c r="W18" s="253"/>
      <c r="X18" s="253"/>
      <c r="Y18" s="253"/>
      <c r="Z18" s="253"/>
    </row>
    <row r="19" spans="1:26" collapsed="1">
      <c r="A19" s="9"/>
      <c r="B19" s="9"/>
      <c r="C19" s="111" t="str">
        <f>Asset1</f>
        <v>Secondary</v>
      </c>
      <c r="D19" s="9"/>
      <c r="E19" s="260">
        <f ca="1">SUM(E8:E18)</f>
        <v>129.85207057062314</v>
      </c>
      <c r="F19" s="260">
        <f ca="1">IF(E19=0,0,SUMPRODUCT(E8:E18,F8:F18)/E19)</f>
        <v>8.8576297623415385</v>
      </c>
      <c r="G19" s="256"/>
      <c r="H19" s="43"/>
      <c r="I19" s="260"/>
      <c r="J19" s="260">
        <f ca="1">SUM(J8:J18)</f>
        <v>165.5022386449667</v>
      </c>
      <c r="K19" s="260">
        <f ca="1">IF(J19=0,0,SUMPRODUCT(J8:J18,K8:K18)/J19)</f>
        <v>13.116260482945453</v>
      </c>
      <c r="L19" s="111"/>
      <c r="M19" s="9"/>
      <c r="N19" s="9"/>
      <c r="O19" s="9"/>
      <c r="P19" s="9"/>
      <c r="Q19" s="9"/>
      <c r="R19" s="9"/>
      <c r="S19" s="253"/>
      <c r="T19" s="253"/>
      <c r="U19" s="253"/>
      <c r="V19" s="253"/>
      <c r="W19" s="253"/>
      <c r="X19" s="253"/>
      <c r="Y19" s="253"/>
      <c r="Z19" s="253"/>
    </row>
    <row r="20" spans="1:26" hidden="1" outlineLevel="1">
      <c r="A20" s="9"/>
      <c r="B20" s="255"/>
      <c r="C20" s="111"/>
      <c r="D20" s="9"/>
      <c r="E20" s="260"/>
      <c r="F20" s="260"/>
      <c r="G20" s="256"/>
      <c r="H20" s="260"/>
      <c r="I20" s="260"/>
      <c r="J20" s="260"/>
      <c r="K20" s="260"/>
      <c r="L20" s="111"/>
      <c r="M20" s="9"/>
      <c r="N20" s="9"/>
      <c r="O20" s="9"/>
      <c r="P20" s="9"/>
      <c r="Q20" s="9"/>
      <c r="R20" s="9"/>
      <c r="S20" s="253"/>
      <c r="T20" s="253"/>
      <c r="U20" s="253"/>
      <c r="V20" s="253"/>
      <c r="W20" s="253"/>
      <c r="X20" s="253"/>
      <c r="Y20" s="253"/>
      <c r="Z20" s="253"/>
    </row>
    <row r="21" spans="1:26" hidden="1" outlineLevel="1">
      <c r="A21" s="9"/>
      <c r="B21" s="272" t="str">
        <f>Asset2</f>
        <v>Switchgear</v>
      </c>
      <c r="C21" s="257"/>
      <c r="D21" s="258"/>
      <c r="E21" s="261"/>
      <c r="F21" s="260"/>
      <c r="G21" s="256"/>
      <c r="H21" s="260"/>
      <c r="I21" s="260"/>
      <c r="J21" s="260"/>
      <c r="K21" s="260"/>
      <c r="L21" s="111"/>
      <c r="M21" s="9"/>
      <c r="N21" s="9"/>
      <c r="O21" s="9"/>
      <c r="P21" s="9"/>
      <c r="Q21" s="9"/>
      <c r="R21" s="9"/>
      <c r="S21" s="253"/>
      <c r="T21" s="253"/>
      <c r="U21" s="253"/>
      <c r="V21" s="253"/>
      <c r="W21" s="253"/>
      <c r="X21" s="253"/>
      <c r="Y21" s="253"/>
      <c r="Z21" s="253"/>
    </row>
    <row r="22" spans="1:26" ht="12.75" hidden="1" customHeight="1" outlineLevel="1">
      <c r="A22" s="9"/>
      <c r="B22" s="9"/>
      <c r="C22" s="393" t="s">
        <v>26</v>
      </c>
      <c r="D22" s="394"/>
      <c r="E22" s="260">
        <f ca="1">A2value-SUM('Actual RAB roll forward'!H89:OFFSET('Actual RAB roll forward'!H89,0,Input!$Y$7-1))</f>
        <v>279.65051572200133</v>
      </c>
      <c r="F22" s="260">
        <f>IF(A2remlife="N/A","n/a",A2remlife-Input!$Y$7)</f>
        <v>21.96367273783239</v>
      </c>
      <c r="G22" s="256"/>
      <c r="H22" s="298" t="s">
        <v>66</v>
      </c>
      <c r="I22" s="299"/>
      <c r="J22" s="260">
        <f ca="1">A2taxvalue-SUM('Tax value roll forward'!H85:OFFSET('Tax value roll forward'!H85,0,Input!$Y$7-1))</f>
        <v>242.73727745983885</v>
      </c>
      <c r="K22" s="260">
        <f>IF(A2taxremlife="N/A","n/a",A2taxremlife-Input!$Y$7)</f>
        <v>21.88650027890861</v>
      </c>
      <c r="L22" s="111"/>
      <c r="M22" s="9"/>
      <c r="N22" s="9"/>
      <c r="O22" s="9"/>
      <c r="P22" s="9"/>
      <c r="Q22" s="9"/>
      <c r="R22" s="9"/>
      <c r="S22" s="253"/>
      <c r="T22" s="253"/>
      <c r="U22" s="253"/>
      <c r="V22" s="253"/>
      <c r="W22" s="253"/>
      <c r="X22" s="253"/>
      <c r="Y22" s="253"/>
      <c r="Z22" s="253"/>
    </row>
    <row r="23" spans="1:26" hidden="1" outlineLevel="1">
      <c r="A23" s="9"/>
      <c r="B23" s="9"/>
      <c r="C23" s="395" t="s">
        <v>82</v>
      </c>
      <c r="D23" s="87">
        <v>1</v>
      </c>
      <c r="E23" s="260">
        <f ca="1">OFFSET('Actual RAB roll forward'!H$45,0,D23-1)-SUM('Actual RAB roll forward'!H91:OFFSET('Actual RAB roll forward'!H91,0,Input!$Y$7-1))</f>
        <v>5.6654094236757304</v>
      </c>
      <c r="F23" s="260">
        <f ca="1">IF(A2stdlife="N/A","n/a",IF(E23=0,0,A2stdlife+D23-Input!$Y$7))</f>
        <v>40</v>
      </c>
      <c r="G23" s="256"/>
      <c r="H23" s="395" t="s">
        <v>82</v>
      </c>
      <c r="I23" s="87">
        <v>1</v>
      </c>
      <c r="J23" s="260">
        <f ca="1">OFFSET('Tax value roll forward'!H$41,0,I23-1)-SUM('Tax value roll forward'!H87:OFFSET('Tax value roll forward'!H87,0,Input!$Y$7-1))</f>
        <v>5.4514942211695532</v>
      </c>
      <c r="K23" s="260">
        <f ca="1">IF(A2taxstdlife="N/A","n/a",IF(J23=0,0,A2taxstdlife+I23-Input!$Y$7))</f>
        <v>35</v>
      </c>
      <c r="L23" s="111"/>
      <c r="M23" s="9"/>
      <c r="N23" s="9"/>
      <c r="O23" s="9"/>
      <c r="P23" s="9"/>
      <c r="Q23" s="9"/>
      <c r="R23" s="9"/>
      <c r="S23" s="253"/>
      <c r="T23" s="253"/>
      <c r="U23" s="253"/>
      <c r="V23" s="253"/>
      <c r="W23" s="253"/>
      <c r="X23" s="253"/>
      <c r="Y23" s="253"/>
      <c r="Z23" s="253"/>
    </row>
    <row r="24" spans="1:26" hidden="1" outlineLevel="1">
      <c r="A24" s="9"/>
      <c r="B24" s="9"/>
      <c r="C24" s="396"/>
      <c r="D24" s="87">
        <v>2</v>
      </c>
      <c r="E24" s="260">
        <f ca="1">OFFSET('Actual RAB roll forward'!H$45,0,D24-1)-SUM('Actual RAB roll forward'!H92:OFFSET('Actual RAB roll forward'!H92,0,Input!$Y$7-1))</f>
        <v>23.337948487999974</v>
      </c>
      <c r="F24" s="260">
        <f ca="1">IF(A2stdlife="N/A","n/a",IF(E24=0,0,A2stdlife+D24-Input!$Y$7))</f>
        <v>41</v>
      </c>
      <c r="G24" s="256"/>
      <c r="H24" s="396"/>
      <c r="I24" s="87">
        <v>2</v>
      </c>
      <c r="J24" s="260">
        <f ca="1">OFFSET('Tax value roll forward'!H$41,0,I24-1)-SUM('Tax value roll forward'!H88:OFFSET('Tax value roll forward'!H88,0,Input!$Y$7-1))</f>
        <v>23.54517107630998</v>
      </c>
      <c r="K24" s="260">
        <f ca="1">IF(A2taxstdlife="N/A","n/a",IF(J24=0,0,A2taxstdlife+I24-Input!$Y$7))</f>
        <v>36</v>
      </c>
      <c r="L24" s="111"/>
      <c r="M24" s="9"/>
      <c r="N24" s="9"/>
      <c r="O24" s="9"/>
      <c r="P24" s="9"/>
      <c r="Q24" s="9"/>
      <c r="R24" s="9"/>
      <c r="S24" s="253"/>
      <c r="T24" s="253"/>
      <c r="U24" s="253"/>
      <c r="V24" s="253"/>
      <c r="W24" s="253"/>
      <c r="X24" s="253"/>
      <c r="Y24" s="253"/>
      <c r="Z24" s="253"/>
    </row>
    <row r="25" spans="1:26" hidden="1" outlineLevel="1">
      <c r="A25" s="9"/>
      <c r="B25" s="9"/>
      <c r="C25" s="396"/>
      <c r="D25" s="87">
        <v>3</v>
      </c>
      <c r="E25" s="260">
        <f ca="1">OFFSET('Actual RAB roll forward'!H$45,0,D25-1)-SUM('Actual RAB roll forward'!H93:OFFSET('Actual RAB roll forward'!H93,0,Input!$Y$7-1))</f>
        <v>43.79988465695353</v>
      </c>
      <c r="F25" s="260">
        <f ca="1">IF(A2stdlife="N/A","n/a",IF(E25=0,0,A2stdlife+D25-Input!$Y$7))</f>
        <v>42</v>
      </c>
      <c r="G25" s="256"/>
      <c r="H25" s="396"/>
      <c r="I25" s="87">
        <v>3</v>
      </c>
      <c r="J25" s="260">
        <f ca="1">OFFSET('Tax value roll forward'!H$41,0,I25-1)-SUM('Tax value roll forward'!H89:OFFSET('Tax value roll forward'!H89,0,Input!$Y$7-1))</f>
        <v>45.149046065249976</v>
      </c>
      <c r="K25" s="260">
        <f ca="1">IF(A2taxstdlife="N/A","n/a",IF(J25=0,0,A2taxstdlife+I25-Input!$Y$7))</f>
        <v>37</v>
      </c>
      <c r="L25" s="111"/>
      <c r="M25" s="9"/>
      <c r="N25" s="9"/>
      <c r="O25" s="9"/>
      <c r="P25" s="9"/>
      <c r="Q25" s="9"/>
      <c r="R25" s="9"/>
      <c r="S25" s="253"/>
      <c r="T25" s="253"/>
      <c r="U25" s="253"/>
      <c r="V25" s="253"/>
      <c r="W25" s="253"/>
      <c r="X25" s="253"/>
      <c r="Y25" s="253"/>
      <c r="Z25" s="253"/>
    </row>
    <row r="26" spans="1:26" hidden="1" outlineLevel="1">
      <c r="A26" s="9"/>
      <c r="B26" s="9"/>
      <c r="C26" s="396"/>
      <c r="D26" s="87">
        <v>4</v>
      </c>
      <c r="E26" s="260">
        <f ca="1">OFFSET('Actual RAB roll forward'!H$45,0,D26-1)-SUM('Actual RAB roll forward'!H94:OFFSET('Actual RAB roll forward'!H94,0,Input!$Y$7-1))</f>
        <v>29.4748798808576</v>
      </c>
      <c r="F26" s="260">
        <f ca="1">IF(A2stdlife="N/A","n/a",IF(E26=0,0,A2stdlife+D26-Input!$Y$7))</f>
        <v>43</v>
      </c>
      <c r="G26" s="256"/>
      <c r="H26" s="396"/>
      <c r="I26" s="87">
        <v>4</v>
      </c>
      <c r="J26" s="260">
        <f ca="1">OFFSET('Tax value roll forward'!H$41,0,I26-1)-SUM('Tax value roll forward'!H90:OFFSET('Tax value roll forward'!H90,0,Input!$Y$7-1))</f>
        <v>31.219294643194626</v>
      </c>
      <c r="K26" s="260">
        <f ca="1">IF(A2taxstdlife="N/A","n/a",IF(J26=0,0,A2taxstdlife+I26-Input!$Y$7))</f>
        <v>38</v>
      </c>
      <c r="L26" s="111"/>
      <c r="M26" s="9"/>
      <c r="N26" s="9"/>
      <c r="O26" s="9"/>
      <c r="P26" s="9"/>
      <c r="Q26" s="9"/>
      <c r="R26" s="9"/>
      <c r="S26" s="253"/>
      <c r="T26" s="253"/>
      <c r="U26" s="253"/>
      <c r="V26" s="253"/>
      <c r="W26" s="253"/>
      <c r="X26" s="253"/>
      <c r="Y26" s="253"/>
      <c r="Z26" s="253"/>
    </row>
    <row r="27" spans="1:26" hidden="1" outlineLevel="1">
      <c r="A27" s="9"/>
      <c r="B27" s="9"/>
      <c r="C27" s="396"/>
      <c r="D27" s="87">
        <v>5</v>
      </c>
      <c r="E27" s="260">
        <f ca="1">OFFSET('Actual RAB roll forward'!H$45,0,D27-1)-SUM('Actual RAB roll forward'!H95:OFFSET('Actual RAB roll forward'!H95,0,Input!$Y$7-1))</f>
        <v>24.375404328162897</v>
      </c>
      <c r="F27" s="260">
        <f ca="1">IF(A2stdlife="N/A","n/a",IF(E27=0,0,A2stdlife+D27-Input!$Y$7))</f>
        <v>44</v>
      </c>
      <c r="G27" s="256"/>
      <c r="H27" s="396"/>
      <c r="I27" s="87">
        <v>5</v>
      </c>
      <c r="J27" s="260">
        <f ca="1">OFFSET('Tax value roll forward'!H$41,0,I27-1)-SUM('Tax value roll forward'!H91:OFFSET('Tax value roll forward'!H91,0,Input!$Y$7-1))</f>
        <v>26.816039142750004</v>
      </c>
      <c r="K27" s="260">
        <f ca="1">IF(A2taxstdlife="N/A","n/a",IF(J27=0,0,A2taxstdlife+I27-Input!$Y$7))</f>
        <v>39</v>
      </c>
      <c r="L27" s="111"/>
      <c r="M27" s="9"/>
      <c r="N27" s="9"/>
      <c r="O27" s="9"/>
      <c r="P27" s="9"/>
      <c r="Q27" s="9"/>
      <c r="R27" s="9"/>
      <c r="S27" s="253"/>
      <c r="T27" s="253"/>
      <c r="U27" s="253"/>
      <c r="V27" s="253"/>
      <c r="W27" s="253"/>
      <c r="X27" s="253"/>
      <c r="Y27" s="253"/>
      <c r="Z27" s="253"/>
    </row>
    <row r="28" spans="1:26" hidden="1" outlineLevel="1">
      <c r="A28" s="9"/>
      <c r="B28" s="9"/>
      <c r="C28" s="396"/>
      <c r="D28" s="87">
        <v>6</v>
      </c>
      <c r="E28" s="260">
        <f ca="1">OFFSET('Actual RAB roll forward'!H$45,0,D28-1)-SUM('Actual RAB roll forward'!H96:OFFSET('Actual RAB roll forward'!H96,0,Input!$Y$7-1))</f>
        <v>38.012335080887979</v>
      </c>
      <c r="F28" s="260">
        <f ca="1">IF(A2stdlife="N/A","n/a",IF(E28=0,0,A2stdlife+D28-Input!$Y$7))</f>
        <v>45</v>
      </c>
      <c r="G28" s="256"/>
      <c r="H28" s="396"/>
      <c r="I28" s="87">
        <v>6</v>
      </c>
      <c r="J28" s="260">
        <f ca="1">OFFSET('Tax value roll forward'!H$41,0,I28-1)-SUM('Tax value roll forward'!H92:OFFSET('Tax value roll forward'!H92,0,Input!$Y$7-1))</f>
        <v>42.800161872187175</v>
      </c>
      <c r="K28" s="260">
        <f ca="1">IF(A2taxstdlife="N/A","n/a",IF(J28=0,0,A2taxstdlife+I28-Input!$Y$7))</f>
        <v>40</v>
      </c>
      <c r="L28" s="111"/>
      <c r="M28" s="9"/>
      <c r="N28" s="9"/>
      <c r="O28" s="9"/>
      <c r="P28" s="9"/>
      <c r="Q28" s="9"/>
      <c r="R28" s="9"/>
      <c r="S28" s="253"/>
      <c r="T28" s="253"/>
      <c r="U28" s="253"/>
      <c r="V28" s="253"/>
      <c r="W28" s="253"/>
      <c r="X28" s="253"/>
      <c r="Y28" s="253"/>
      <c r="Z28" s="253"/>
    </row>
    <row r="29" spans="1:26" hidden="1" outlineLevel="1">
      <c r="A29" s="9"/>
      <c r="B29" s="9"/>
      <c r="C29" s="396"/>
      <c r="D29" s="87">
        <v>7</v>
      </c>
      <c r="E29" s="260">
        <f ca="1">OFFSET('Actual RAB roll forward'!H$45,0,D29-1)-SUM('Actual RAB roll forward'!H97:OFFSET('Actual RAB roll forward'!H97,0,Input!$Y$7-1))</f>
        <v>0</v>
      </c>
      <c r="F29" s="260">
        <f ca="1">IF(A2stdlife="N/A","n/a",IF(E29=0,0,A2stdlife+D29-Input!$Y$7))</f>
        <v>0</v>
      </c>
      <c r="G29" s="256"/>
      <c r="H29" s="396"/>
      <c r="I29" s="87">
        <v>7</v>
      </c>
      <c r="J29" s="260">
        <f ca="1">OFFSET('Tax value roll forward'!H$41,0,I29-1)-SUM('Tax value roll forward'!H93:OFFSET('Tax value roll forward'!H93,0,Input!$Y$7-1))</f>
        <v>0</v>
      </c>
      <c r="K29" s="260">
        <f ca="1">IF(A2taxstdlife="N/A","n/a",IF(J29=0,0,A2taxstdlife+I29-Input!$Y$7))</f>
        <v>0</v>
      </c>
      <c r="L29" s="111"/>
      <c r="M29" s="9"/>
      <c r="N29" s="9"/>
      <c r="O29" s="9"/>
      <c r="P29" s="9"/>
      <c r="Q29" s="9"/>
      <c r="R29" s="9"/>
      <c r="S29" s="253"/>
      <c r="T29" s="253"/>
      <c r="U29" s="253"/>
      <c r="V29" s="253"/>
      <c r="W29" s="253"/>
      <c r="X29" s="253"/>
      <c r="Y29" s="253"/>
      <c r="Z29" s="253"/>
    </row>
    <row r="30" spans="1:26" hidden="1" outlineLevel="1">
      <c r="A30" s="9"/>
      <c r="B30" s="9"/>
      <c r="C30" s="396"/>
      <c r="D30" s="87">
        <v>8</v>
      </c>
      <c r="E30" s="260">
        <f ca="1">OFFSET('Actual RAB roll forward'!H$45,0,D30-1)-SUM('Actual RAB roll forward'!H98:OFFSET('Actual RAB roll forward'!H98,0,Input!$Y$7-1))</f>
        <v>0</v>
      </c>
      <c r="F30" s="260">
        <f ca="1">IF(A2stdlife="N/A","n/a",IF(E30=0,0,A2stdlife+D30-Input!$Y$7))</f>
        <v>0</v>
      </c>
      <c r="G30" s="256"/>
      <c r="H30" s="396"/>
      <c r="I30" s="87">
        <v>8</v>
      </c>
      <c r="J30" s="260">
        <f ca="1">OFFSET('Tax value roll forward'!H$41,0,I30-1)-SUM('Tax value roll forward'!H94:OFFSET('Tax value roll forward'!H94,0,Input!$Y$7-1))</f>
        <v>0</v>
      </c>
      <c r="K30" s="260">
        <f ca="1">IF(A2taxstdlife="N/A","n/a",IF(J30=0,0,A2taxstdlife+I30-Input!$Y$7))</f>
        <v>0</v>
      </c>
      <c r="M30" s="9"/>
      <c r="N30" s="9"/>
      <c r="O30" s="9"/>
      <c r="P30" s="9"/>
      <c r="Q30" s="9"/>
      <c r="R30" s="9"/>
      <c r="S30" s="253"/>
      <c r="T30" s="253"/>
      <c r="U30" s="253"/>
      <c r="V30" s="253"/>
      <c r="W30" s="253"/>
      <c r="X30" s="253"/>
      <c r="Y30" s="253"/>
      <c r="Z30" s="253"/>
    </row>
    <row r="31" spans="1:26" hidden="1" outlineLevel="1">
      <c r="A31" s="9"/>
      <c r="B31" s="9"/>
      <c r="C31" s="396"/>
      <c r="D31" s="87">
        <v>9</v>
      </c>
      <c r="E31" s="260">
        <f ca="1">OFFSET('Actual RAB roll forward'!H$45,0,D31-1)-SUM('Actual RAB roll forward'!H99:OFFSET('Actual RAB roll forward'!H99,0,Input!$Y$7-1))</f>
        <v>0</v>
      </c>
      <c r="F31" s="260">
        <f ca="1">IF(A2stdlife="N/A","n/a",IF(E31=0,0,A2stdlife+D31-Input!$Y$7))</f>
        <v>0</v>
      </c>
      <c r="G31" s="256"/>
      <c r="H31" s="396"/>
      <c r="I31" s="87">
        <v>9</v>
      </c>
      <c r="J31" s="260">
        <f ca="1">OFFSET('Tax value roll forward'!H$41,0,I31-1)-SUM('Tax value roll forward'!H95:OFFSET('Tax value roll forward'!H95,0,Input!$Y$7-1))</f>
        <v>0</v>
      </c>
      <c r="K31" s="260">
        <f ca="1">IF(A2taxstdlife="N/A","n/a",IF(J31=0,0,A2taxstdlife+I31-Input!$Y$7))</f>
        <v>0</v>
      </c>
      <c r="L31" s="111"/>
      <c r="M31" s="9"/>
      <c r="N31" s="9"/>
      <c r="O31" s="9"/>
      <c r="P31" s="9"/>
      <c r="Q31" s="9"/>
      <c r="R31" s="9"/>
      <c r="S31" s="253"/>
      <c r="T31" s="253"/>
      <c r="U31" s="253"/>
      <c r="V31" s="253"/>
      <c r="W31" s="253"/>
      <c r="X31" s="253"/>
      <c r="Y31" s="253"/>
      <c r="Z31" s="253"/>
    </row>
    <row r="32" spans="1:26" hidden="1" outlineLevel="1">
      <c r="A32" s="9"/>
      <c r="B32" s="9"/>
      <c r="C32" s="397"/>
      <c r="D32" s="88">
        <v>10</v>
      </c>
      <c r="E32" s="260">
        <f ca="1">OFFSET('Actual RAB roll forward'!H$45,0,D32-1)-SUM('Actual RAB roll forward'!H100:OFFSET('Actual RAB roll forward'!H100,0,Input!$Y$7-1))</f>
        <v>0</v>
      </c>
      <c r="F32" s="260">
        <f ca="1">IF(A2stdlife="N/A","n/a",IF(E32=0,0,A2stdlife+D32-Input!$Y$7))</f>
        <v>0</v>
      </c>
      <c r="G32" s="256"/>
      <c r="H32" s="397"/>
      <c r="I32" s="88">
        <v>10</v>
      </c>
      <c r="J32" s="260">
        <f ca="1">OFFSET('Tax value roll forward'!H$41,0,I32-1)-SUM('Tax value roll forward'!H96:OFFSET('Tax value roll forward'!H96,0,Input!$Y$7-1))</f>
        <v>0</v>
      </c>
      <c r="K32" s="260">
        <f ca="1">IF(A2taxstdlife="N/A","n/a",IF(J32=0,0,A2taxstdlife+I32-Input!$Y$7))</f>
        <v>0</v>
      </c>
      <c r="L32" s="111"/>
      <c r="M32" s="9"/>
      <c r="N32" s="9"/>
      <c r="O32" s="9"/>
      <c r="P32" s="9"/>
      <c r="Q32" s="9"/>
      <c r="R32" s="9"/>
      <c r="S32" s="253"/>
      <c r="T32" s="253"/>
      <c r="U32" s="253"/>
      <c r="V32" s="253"/>
      <c r="W32" s="253"/>
      <c r="X32" s="253"/>
      <c r="Y32" s="253"/>
      <c r="Z32" s="253"/>
    </row>
    <row r="33" spans="1:26" collapsed="1">
      <c r="A33" s="9"/>
      <c r="B33" s="9"/>
      <c r="C33" s="111" t="str">
        <f>Asset2</f>
        <v>Switchgear</v>
      </c>
      <c r="D33" s="9"/>
      <c r="E33" s="260">
        <f ca="1">SUM(E22:E32)</f>
        <v>444.31637758053904</v>
      </c>
      <c r="F33" s="260">
        <f ca="1">IF(E33=0,0,SUMPRODUCT(E22:E32,F22:F32)/E33)</f>
        <v>29.743923923649703</v>
      </c>
      <c r="G33" s="256"/>
      <c r="H33" s="43"/>
      <c r="J33" s="260">
        <f ca="1">SUM(J22:J32)</f>
        <v>417.71848448070023</v>
      </c>
      <c r="K33" s="260">
        <f ca="1">IF(J33=0,0,SUMPRODUCT(J22:J32,K22:K32)/J33)</f>
        <v>28.645555066830202</v>
      </c>
      <c r="L33" s="111"/>
      <c r="M33" s="9"/>
      <c r="N33" s="9"/>
      <c r="O33" s="9"/>
      <c r="P33" s="9"/>
      <c r="Q33" s="9"/>
      <c r="R33" s="9"/>
      <c r="S33" s="253"/>
      <c r="T33" s="253"/>
      <c r="U33" s="253"/>
      <c r="V33" s="253"/>
      <c r="W33" s="253"/>
      <c r="X33" s="253"/>
      <c r="Y33" s="253"/>
      <c r="Z33" s="253"/>
    </row>
    <row r="34" spans="1:26" hidden="1" outlineLevel="1">
      <c r="A34" s="9"/>
      <c r="B34" s="9"/>
      <c r="C34" s="111"/>
      <c r="D34" s="9"/>
      <c r="E34" s="260"/>
      <c r="F34" s="260"/>
      <c r="G34" s="256"/>
      <c r="H34" s="260"/>
      <c r="I34" s="260"/>
      <c r="J34" s="265"/>
      <c r="K34" s="260"/>
      <c r="L34" s="111"/>
      <c r="M34" s="9"/>
      <c r="N34" s="9"/>
      <c r="O34" s="9"/>
      <c r="P34" s="9"/>
      <c r="Q34" s="9"/>
      <c r="R34" s="9"/>
      <c r="S34" s="253"/>
      <c r="T34" s="253"/>
      <c r="U34" s="253"/>
      <c r="V34" s="253"/>
      <c r="W34" s="253"/>
      <c r="X34" s="253"/>
      <c r="Y34" s="253"/>
      <c r="Z34" s="253"/>
    </row>
    <row r="35" spans="1:26" hidden="1" outlineLevel="1">
      <c r="A35" s="9"/>
      <c r="B35" s="272" t="str">
        <f>Asset3</f>
        <v>Transformers</v>
      </c>
      <c r="C35" s="259"/>
      <c r="D35" s="12"/>
      <c r="E35" s="261"/>
      <c r="F35" s="260"/>
      <c r="G35" s="256"/>
      <c r="H35" s="260"/>
      <c r="I35" s="260"/>
      <c r="J35" s="265"/>
      <c r="K35" s="260"/>
      <c r="L35" s="111"/>
      <c r="M35" s="9"/>
      <c r="N35" s="9"/>
      <c r="O35" s="9"/>
      <c r="P35" s="9"/>
      <c r="Q35" s="9"/>
      <c r="R35" s="9"/>
      <c r="S35" s="253"/>
      <c r="T35" s="253"/>
      <c r="U35" s="253"/>
      <c r="V35" s="253"/>
      <c r="W35" s="253"/>
      <c r="X35" s="253"/>
      <c r="Y35" s="253"/>
      <c r="Z35" s="253"/>
    </row>
    <row r="36" spans="1:26" ht="12.75" hidden="1" customHeight="1" outlineLevel="1">
      <c r="A36" s="9"/>
      <c r="B36" s="9"/>
      <c r="C36" s="393" t="s">
        <v>26</v>
      </c>
      <c r="D36" s="394"/>
      <c r="E36" s="260">
        <f ca="1">A3value-SUM('Actual RAB roll forward'!H102:OFFSET('Actual RAB roll forward'!H102,0,Input!$Y$7-1))</f>
        <v>119.10668702979757</v>
      </c>
      <c r="F36" s="260">
        <f>IF(A3remlife="N/A","n/a",A3remlife-Input!$Y$7)</f>
        <v>14.903465153381525</v>
      </c>
      <c r="G36" s="256"/>
      <c r="H36" s="298" t="s">
        <v>66</v>
      </c>
      <c r="I36" s="299"/>
      <c r="J36" s="260">
        <f ca="1">A3taxvalue-SUM('Tax value roll forward'!H98:OFFSET('Tax value roll forward'!H98,0,Input!$Y$7-1))</f>
        <v>104.47447909660261</v>
      </c>
      <c r="K36" s="260">
        <f>IF(A3taxremlife="N/A","n/a",A3taxremlife-Input!$Y$7)</f>
        <v>15.058400522840657</v>
      </c>
      <c r="L36" s="111"/>
      <c r="M36" s="9"/>
      <c r="N36" s="9"/>
      <c r="O36" s="9"/>
      <c r="P36" s="9"/>
      <c r="Q36" s="9"/>
      <c r="R36" s="9"/>
      <c r="S36" s="253"/>
      <c r="T36" s="253"/>
      <c r="U36" s="253"/>
      <c r="V36" s="253"/>
      <c r="W36" s="253"/>
      <c r="X36" s="253"/>
      <c r="Y36" s="253"/>
      <c r="Z36" s="253"/>
    </row>
    <row r="37" spans="1:26" hidden="1" outlineLevel="1">
      <c r="A37" s="9"/>
      <c r="B37" s="9"/>
      <c r="C37" s="395" t="s">
        <v>82</v>
      </c>
      <c r="D37" s="87">
        <v>1</v>
      </c>
      <c r="E37" s="260">
        <f ca="1">OFFSET('Actual RAB roll forward'!H$46,0,D37-1)-SUM('Actual RAB roll forward'!H104:OFFSET('Actual RAB roll forward'!H104,0,Input!$Y$7-1))</f>
        <v>4.3330955998259366</v>
      </c>
      <c r="F37" s="260">
        <f ca="1">IF(A3stdlife="N/A","n/a",IF(E37=0,0,A3stdlife+D37-Input!$Y$7))</f>
        <v>40</v>
      </c>
      <c r="G37" s="256"/>
      <c r="H37" s="395" t="s">
        <v>82</v>
      </c>
      <c r="I37" s="87">
        <v>1</v>
      </c>
      <c r="J37" s="260">
        <f ca="1">OFFSET('Tax value roll forward'!H$42,0,I37-1)-SUM('Tax value roll forward'!H100:OFFSET('Tax value roll forward'!H100,0,Input!$Y$7-1))</f>
        <v>4.1694860610621864</v>
      </c>
      <c r="K37" s="260">
        <f ca="1">IF(A3taxstdlife="N/A","n/a",IF(J37=0,0,A3taxstdlife+I37-Input!$Y$7))</f>
        <v>35</v>
      </c>
      <c r="L37" s="111"/>
      <c r="M37" s="9"/>
      <c r="N37" s="9"/>
      <c r="O37" s="9"/>
      <c r="P37" s="9"/>
      <c r="Q37" s="9"/>
      <c r="R37" s="9"/>
      <c r="S37" s="253"/>
      <c r="T37" s="253"/>
      <c r="U37" s="253"/>
      <c r="V37" s="253"/>
      <c r="W37" s="253"/>
      <c r="X37" s="253"/>
      <c r="Y37" s="253"/>
      <c r="Z37" s="253"/>
    </row>
    <row r="38" spans="1:26" hidden="1" outlineLevel="1">
      <c r="A38" s="9"/>
      <c r="B38" s="9"/>
      <c r="C38" s="396"/>
      <c r="D38" s="87">
        <v>2</v>
      </c>
      <c r="E38" s="260">
        <f ca="1">OFFSET('Actual RAB roll forward'!H$46,0,D38-1)-SUM('Actual RAB roll forward'!H105:OFFSET('Actual RAB roll forward'!H105,0,Input!$Y$7-1))</f>
        <v>5.4233718918476885</v>
      </c>
      <c r="F38" s="260">
        <f ca="1">IF(A3stdlife="N/A","n/a",IF(E38=0,0,A3stdlife+D38-Input!$Y$7))</f>
        <v>41</v>
      </c>
      <c r="G38" s="256"/>
      <c r="H38" s="396"/>
      <c r="I38" s="87">
        <v>2</v>
      </c>
      <c r="J38" s="260">
        <f ca="1">OFFSET('Tax value roll forward'!H$42,0,I38-1)-SUM('Tax value roll forward'!H101:OFFSET('Tax value roll forward'!H101,0,Input!$Y$7-1))</f>
        <v>5.4715271597099981</v>
      </c>
      <c r="K38" s="260">
        <f ca="1">IF(A3taxstdlife="N/A","n/a",IF(J38=0,0,A3taxstdlife+I38-Input!$Y$7))</f>
        <v>36</v>
      </c>
      <c r="L38" s="111"/>
      <c r="M38" s="9"/>
      <c r="N38" s="9"/>
      <c r="O38" s="9"/>
      <c r="P38" s="9"/>
      <c r="Q38" s="9"/>
      <c r="R38" s="9"/>
      <c r="S38" s="253"/>
      <c r="T38" s="253"/>
      <c r="U38" s="253"/>
      <c r="V38" s="253"/>
      <c r="W38" s="253"/>
      <c r="X38" s="253"/>
      <c r="Y38" s="253"/>
      <c r="Z38" s="253"/>
    </row>
    <row r="39" spans="1:26" hidden="1" outlineLevel="1">
      <c r="A39" s="9"/>
      <c r="B39" s="9"/>
      <c r="C39" s="396"/>
      <c r="D39" s="87">
        <v>3</v>
      </c>
      <c r="E39" s="260">
        <f ca="1">OFFSET('Actual RAB roll forward'!H$46,0,D39-1)-SUM('Actual RAB roll forward'!H106:OFFSET('Actual RAB roll forward'!H106,0,Input!$Y$7-1))</f>
        <v>9.6629238913699869</v>
      </c>
      <c r="F39" s="260">
        <f ca="1">IF(A3stdlife="N/A","n/a",IF(E39=0,0,A3stdlife+D39-Input!$Y$7))</f>
        <v>42</v>
      </c>
      <c r="G39" s="256"/>
      <c r="H39" s="396"/>
      <c r="I39" s="87">
        <v>3</v>
      </c>
      <c r="J39" s="260">
        <f ca="1">OFFSET('Tax value roll forward'!H$42,0,I39-1)-SUM('Tax value roll forward'!H102:OFFSET('Tax value roll forward'!H102,0,Input!$Y$7-1))</f>
        <v>9.960569515500012</v>
      </c>
      <c r="K39" s="260">
        <f ca="1">IF(A3taxstdlife="N/A","n/a",IF(J39=0,0,A3taxstdlife+I39-Input!$Y$7))</f>
        <v>37</v>
      </c>
      <c r="L39" s="111"/>
      <c r="M39" s="9"/>
      <c r="N39" s="9"/>
      <c r="O39" s="9"/>
      <c r="P39" s="9"/>
      <c r="Q39" s="9"/>
      <c r="R39" s="9"/>
      <c r="S39" s="253"/>
      <c r="T39" s="253"/>
      <c r="U39" s="253"/>
      <c r="V39" s="253"/>
      <c r="W39" s="253"/>
      <c r="X39" s="253"/>
      <c r="Y39" s="253"/>
      <c r="Z39" s="253"/>
    </row>
    <row r="40" spans="1:26" hidden="1" outlineLevel="1">
      <c r="A40" s="9"/>
      <c r="B40" s="9"/>
      <c r="C40" s="396"/>
      <c r="D40" s="87">
        <v>4</v>
      </c>
      <c r="E40" s="260">
        <f ca="1">OFFSET('Actual RAB roll forward'!H$46,0,D40-1)-SUM('Actual RAB roll forward'!H107:OFFSET('Actual RAB roll forward'!H107,0,Input!$Y$7-1))</f>
        <v>8.053597795503169</v>
      </c>
      <c r="F40" s="260">
        <f ca="1">IF(A3stdlife="N/A","n/a",IF(E40=0,0,A3stdlife+D40-Input!$Y$7))</f>
        <v>43</v>
      </c>
      <c r="G40" s="256"/>
      <c r="H40" s="396"/>
      <c r="I40" s="87">
        <v>4</v>
      </c>
      <c r="J40" s="260">
        <f ca="1">OFFSET('Tax value roll forward'!H$42,0,I40-1)-SUM('Tax value roll forward'!H103:OFFSET('Tax value roll forward'!H103,0,Input!$Y$7-1))</f>
        <v>8.5302346788827883</v>
      </c>
      <c r="K40" s="260">
        <f ca="1">IF(A3taxstdlife="N/A","n/a",IF(J40=0,0,A3taxstdlife+I40-Input!$Y$7))</f>
        <v>38</v>
      </c>
      <c r="L40" s="111"/>
      <c r="M40" s="9"/>
      <c r="N40" s="9"/>
      <c r="O40" s="9"/>
      <c r="P40" s="9"/>
      <c r="Q40" s="9"/>
      <c r="R40" s="9"/>
      <c r="S40" s="253"/>
      <c r="T40" s="253"/>
      <c r="U40" s="253"/>
      <c r="V40" s="253"/>
      <c r="W40" s="253"/>
      <c r="X40" s="253"/>
      <c r="Y40" s="253"/>
      <c r="Z40" s="253"/>
    </row>
    <row r="41" spans="1:26" hidden="1" outlineLevel="1">
      <c r="A41" s="9"/>
      <c r="B41" s="9"/>
      <c r="C41" s="396"/>
      <c r="D41" s="87">
        <v>5</v>
      </c>
      <c r="E41" s="260">
        <f ca="1">OFFSET('Actual RAB roll forward'!H$46,0,D41-1)-SUM('Actual RAB roll forward'!H108:OFFSET('Actual RAB roll forward'!H108,0,Input!$Y$7-1))</f>
        <v>21.8646330668929</v>
      </c>
      <c r="F41" s="260">
        <f ca="1">IF(A3stdlife="N/A","n/a",IF(E41=0,0,A3stdlife+D41-Input!$Y$7))</f>
        <v>44</v>
      </c>
      <c r="G41" s="256"/>
      <c r="H41" s="396"/>
      <c r="I41" s="87">
        <v>5</v>
      </c>
      <c r="J41" s="260">
        <f ca="1">OFFSET('Tax value roll forward'!H$42,0,I41-1)-SUM('Tax value roll forward'!H104:OFFSET('Tax value roll forward'!H104,0,Input!$Y$7-1))</f>
        <v>24.053872020750006</v>
      </c>
      <c r="K41" s="260">
        <f ca="1">IF(A3taxstdlife="N/A","n/a",IF(J41=0,0,A3taxstdlife+I41-Input!$Y$7))</f>
        <v>39</v>
      </c>
      <c r="L41" s="111"/>
      <c r="M41" s="9"/>
      <c r="N41" s="9"/>
      <c r="O41" s="9"/>
      <c r="P41" s="9"/>
      <c r="Q41" s="9"/>
      <c r="R41" s="9"/>
      <c r="S41" s="253"/>
      <c r="T41" s="253"/>
      <c r="U41" s="253"/>
      <c r="V41" s="253"/>
      <c r="W41" s="253"/>
      <c r="X41" s="253"/>
      <c r="Y41" s="253"/>
      <c r="Z41" s="253"/>
    </row>
    <row r="42" spans="1:26" hidden="1" outlineLevel="1">
      <c r="A42" s="9"/>
      <c r="B42" s="9"/>
      <c r="C42" s="396"/>
      <c r="D42" s="87">
        <v>6</v>
      </c>
      <c r="E42" s="260">
        <f ca="1">OFFSET('Actual RAB roll forward'!H$46,0,D42-1)-SUM('Actual RAB roll forward'!H109:OFFSET('Actual RAB roll forward'!H109,0,Input!$Y$7-1))</f>
        <v>30.018654032345133</v>
      </c>
      <c r="F42" s="260">
        <f ca="1">IF(A3stdlife="N/A","n/a",IF(E42=0,0,A3stdlife+D42-Input!$Y$7))</f>
        <v>45</v>
      </c>
      <c r="G42" s="256"/>
      <c r="H42" s="396"/>
      <c r="I42" s="87">
        <v>6</v>
      </c>
      <c r="J42" s="260">
        <f ca="1">OFFSET('Tax value roll forward'!H$42,0,I42-1)-SUM('Tax value roll forward'!H105:OFFSET('Tax value roll forward'!H105,0,Input!$Y$7-1))</f>
        <v>33.799640275599259</v>
      </c>
      <c r="K42" s="260">
        <f ca="1">IF(A3taxstdlife="N/A","n/a",IF(J42=0,0,A3taxstdlife+I42-Input!$Y$7))</f>
        <v>40</v>
      </c>
      <c r="L42" s="111"/>
      <c r="M42" s="9"/>
      <c r="N42" s="9"/>
      <c r="O42" s="9"/>
      <c r="P42" s="9"/>
      <c r="Q42" s="9"/>
      <c r="R42" s="9"/>
      <c r="S42" s="253"/>
      <c r="T42" s="253"/>
      <c r="U42" s="253"/>
      <c r="V42" s="253"/>
      <c r="W42" s="253"/>
      <c r="X42" s="253"/>
      <c r="Y42" s="253"/>
      <c r="Z42" s="253"/>
    </row>
    <row r="43" spans="1:26" hidden="1" outlineLevel="1">
      <c r="A43" s="9"/>
      <c r="B43" s="9"/>
      <c r="C43" s="396"/>
      <c r="D43" s="87">
        <v>7</v>
      </c>
      <c r="E43" s="260">
        <f ca="1">OFFSET('Actual RAB roll forward'!H$46,0,D43-1)-SUM('Actual RAB roll forward'!H110:OFFSET('Actual RAB roll forward'!H110,0,Input!$Y$7-1))</f>
        <v>0</v>
      </c>
      <c r="F43" s="260">
        <f ca="1">IF(A3stdlife="N/A","n/a",IF(E43=0,0,A3stdlife+D43-Input!$Y$7))</f>
        <v>0</v>
      </c>
      <c r="G43" s="256"/>
      <c r="H43" s="396"/>
      <c r="I43" s="87">
        <v>7</v>
      </c>
      <c r="J43" s="260">
        <f ca="1">OFFSET('Tax value roll forward'!H$42,0,I43-1)-SUM('Tax value roll forward'!H106:OFFSET('Tax value roll forward'!H106,0,Input!$Y$7-1))</f>
        <v>0</v>
      </c>
      <c r="K43" s="260">
        <f ca="1">IF(A3taxstdlife="N/A","n/a",IF(J43=0,0,A3taxstdlife+I43-Input!$Y$7))</f>
        <v>0</v>
      </c>
      <c r="L43" s="111"/>
      <c r="M43" s="9"/>
      <c r="N43" s="9"/>
      <c r="O43" s="9"/>
      <c r="P43" s="9"/>
      <c r="Q43" s="9"/>
      <c r="R43" s="9"/>
      <c r="S43" s="253"/>
      <c r="T43" s="253"/>
      <c r="U43" s="253"/>
      <c r="V43" s="253"/>
      <c r="W43" s="253"/>
      <c r="X43" s="253"/>
      <c r="Y43" s="253"/>
      <c r="Z43" s="253"/>
    </row>
    <row r="44" spans="1:26" hidden="1" outlineLevel="1">
      <c r="A44" s="9"/>
      <c r="B44" s="9"/>
      <c r="C44" s="396"/>
      <c r="D44" s="87">
        <v>8</v>
      </c>
      <c r="E44" s="260">
        <f ca="1">OFFSET('Actual RAB roll forward'!H$46,0,D44-1)-SUM('Actual RAB roll forward'!H111:OFFSET('Actual RAB roll forward'!H111,0,Input!$Y$7-1))</f>
        <v>0</v>
      </c>
      <c r="F44" s="260">
        <f ca="1">IF(A3stdlife="N/A","n/a",IF(E44=0,0,A3stdlife+D44-Input!$Y$7))</f>
        <v>0</v>
      </c>
      <c r="G44" s="256"/>
      <c r="H44" s="396"/>
      <c r="I44" s="87">
        <v>8</v>
      </c>
      <c r="J44" s="260">
        <f ca="1">OFFSET('Tax value roll forward'!H$42,0,I44-1)-SUM('Tax value roll forward'!H107:OFFSET('Tax value roll forward'!H107,0,Input!$Y$7-1))</f>
        <v>0</v>
      </c>
      <c r="K44" s="260">
        <f ca="1">IF(A3taxstdlife="N/A","n/a",IF(J44=0,0,A3taxstdlife+I44-Input!$Y$7))</f>
        <v>0</v>
      </c>
      <c r="L44" s="111"/>
      <c r="M44" s="9"/>
      <c r="N44" s="9"/>
      <c r="O44" s="9"/>
      <c r="P44" s="9"/>
      <c r="Q44" s="9"/>
      <c r="R44" s="9"/>
      <c r="S44" s="253"/>
      <c r="T44" s="253"/>
      <c r="U44" s="253"/>
      <c r="V44" s="253"/>
      <c r="W44" s="253"/>
      <c r="X44" s="253"/>
      <c r="Y44" s="253"/>
      <c r="Z44" s="253"/>
    </row>
    <row r="45" spans="1:26" hidden="1" outlineLevel="1">
      <c r="A45" s="9"/>
      <c r="B45" s="9"/>
      <c r="C45" s="396"/>
      <c r="D45" s="87">
        <v>9</v>
      </c>
      <c r="E45" s="260">
        <f ca="1">OFFSET('Actual RAB roll forward'!H$46,0,D45-1)-SUM('Actual RAB roll forward'!H112:OFFSET('Actual RAB roll forward'!H112,0,Input!$Y$7-1))</f>
        <v>0</v>
      </c>
      <c r="F45" s="260">
        <f ca="1">IF(A3stdlife="N/A","n/a",IF(E45=0,0,A3stdlife+D45-Input!$Y$7))</f>
        <v>0</v>
      </c>
      <c r="G45" s="256"/>
      <c r="H45" s="396"/>
      <c r="I45" s="87">
        <v>9</v>
      </c>
      <c r="J45" s="260">
        <f ca="1">OFFSET('Tax value roll forward'!H$42,0,I45-1)-SUM('Tax value roll forward'!H108:OFFSET('Tax value roll forward'!H108,0,Input!$Y$7-1))</f>
        <v>0</v>
      </c>
      <c r="K45" s="260">
        <f ca="1">IF(A3taxstdlife="N/A","n/a",IF(J45=0,0,A3taxstdlife+I45-Input!$Y$7))</f>
        <v>0</v>
      </c>
      <c r="L45" s="111"/>
      <c r="M45" s="9"/>
      <c r="N45" s="9"/>
      <c r="O45" s="9"/>
      <c r="P45" s="9"/>
      <c r="Q45" s="9"/>
      <c r="R45" s="9"/>
      <c r="S45" s="253"/>
      <c r="T45" s="253"/>
      <c r="U45" s="253"/>
      <c r="V45" s="253"/>
      <c r="W45" s="253"/>
      <c r="X45" s="253"/>
      <c r="Y45" s="253"/>
      <c r="Z45" s="253"/>
    </row>
    <row r="46" spans="1:26" hidden="1" outlineLevel="1">
      <c r="A46" s="9"/>
      <c r="B46" s="9"/>
      <c r="C46" s="397"/>
      <c r="D46" s="88">
        <v>10</v>
      </c>
      <c r="E46" s="260">
        <f ca="1">OFFSET('Actual RAB roll forward'!H$46,0,D46-1)-SUM('Actual RAB roll forward'!H113:OFFSET('Actual RAB roll forward'!H113,0,Input!$Y$7-1))</f>
        <v>0</v>
      </c>
      <c r="F46" s="260">
        <f ca="1">IF(A3stdlife="N/A","n/a",IF(E46=0,0,A3stdlife+D46-Input!$Y$7))</f>
        <v>0</v>
      </c>
      <c r="G46" s="256"/>
      <c r="H46" s="397"/>
      <c r="I46" s="88">
        <v>10</v>
      </c>
      <c r="J46" s="260">
        <f ca="1">OFFSET('Tax value roll forward'!H$42,0,I46-1)-SUM('Tax value roll forward'!H109:OFFSET('Tax value roll forward'!H109,0,Input!$Y$7-1))</f>
        <v>0</v>
      </c>
      <c r="K46" s="260">
        <f ca="1">IF(A3taxstdlife="N/A","n/a",IF(J46=0,0,A3taxstdlife+I46-Input!$Y$7))</f>
        <v>0</v>
      </c>
      <c r="L46" s="111"/>
      <c r="M46" s="9"/>
      <c r="N46" s="9"/>
      <c r="O46" s="9"/>
      <c r="P46" s="9"/>
      <c r="Q46" s="9"/>
      <c r="R46" s="9"/>
      <c r="S46" s="253"/>
      <c r="T46" s="253"/>
      <c r="U46" s="253"/>
      <c r="V46" s="253"/>
      <c r="W46" s="253"/>
      <c r="X46" s="253"/>
      <c r="Y46" s="253"/>
      <c r="Z46" s="253"/>
    </row>
    <row r="47" spans="1:26" collapsed="1">
      <c r="A47" s="9"/>
      <c r="B47" s="9"/>
      <c r="C47" s="111" t="str">
        <f>Asset3</f>
        <v>Transformers</v>
      </c>
      <c r="D47" s="9"/>
      <c r="E47" s="260">
        <f ca="1">SUM(E36:E46)</f>
        <v>198.46296330758238</v>
      </c>
      <c r="F47" s="260">
        <f ca="1">IF(E47=0,0,SUMPRODUCT(E36:E46,F36:F46)/E47)</f>
        <v>26.381825298912371</v>
      </c>
      <c r="G47" s="256"/>
      <c r="H47" s="43"/>
      <c r="I47" s="260"/>
      <c r="J47" s="260">
        <f ca="1">SUM(J36:J46)</f>
        <v>190.45980880810686</v>
      </c>
      <c r="K47" s="260">
        <f ca="1">IF(J47=0,0,SUMPRODUCT(J36:J46,K36:K46)/J47)</f>
        <v>25.721448429986395</v>
      </c>
      <c r="L47" s="111"/>
      <c r="M47" s="9"/>
      <c r="N47" s="9"/>
      <c r="O47" s="9"/>
      <c r="P47" s="9"/>
      <c r="Q47" s="9"/>
      <c r="R47" s="9"/>
      <c r="S47" s="253"/>
      <c r="T47" s="253"/>
      <c r="U47" s="253"/>
      <c r="V47" s="253"/>
      <c r="W47" s="253"/>
      <c r="X47" s="253"/>
      <c r="Y47" s="253"/>
      <c r="Z47" s="253"/>
    </row>
    <row r="48" spans="1:26" hidden="1" outlineLevel="1">
      <c r="A48" s="9"/>
      <c r="B48" s="9"/>
      <c r="C48" s="111"/>
      <c r="D48" s="9"/>
      <c r="E48" s="260"/>
      <c r="F48" s="260"/>
      <c r="G48" s="256"/>
      <c r="H48" s="260"/>
      <c r="I48" s="260"/>
      <c r="J48" s="265"/>
      <c r="K48" s="260"/>
      <c r="L48" s="111"/>
      <c r="M48" s="9"/>
      <c r="N48" s="9"/>
      <c r="O48" s="9"/>
      <c r="P48" s="9"/>
      <c r="Q48" s="9"/>
      <c r="R48" s="9"/>
      <c r="S48" s="253"/>
      <c r="T48" s="253"/>
      <c r="U48" s="253"/>
      <c r="V48" s="253"/>
      <c r="W48" s="253"/>
      <c r="X48" s="253"/>
      <c r="Y48" s="253"/>
      <c r="Z48" s="253"/>
    </row>
    <row r="49" spans="1:26" hidden="1" outlineLevel="1">
      <c r="A49" s="9"/>
      <c r="B49" s="272" t="str">
        <f>Asset4</f>
        <v>Reactive</v>
      </c>
      <c r="C49" s="9"/>
      <c r="D49" s="9"/>
      <c r="E49" s="260"/>
      <c r="F49" s="260"/>
      <c r="G49" s="256"/>
      <c r="H49" s="260"/>
      <c r="I49" s="260"/>
      <c r="J49" s="265"/>
      <c r="K49" s="260"/>
      <c r="L49" s="111"/>
      <c r="M49" s="9"/>
      <c r="N49" s="9"/>
      <c r="O49" s="9"/>
      <c r="P49" s="9"/>
      <c r="Q49" s="9"/>
      <c r="R49" s="9"/>
      <c r="S49" s="253"/>
      <c r="T49" s="253"/>
      <c r="U49" s="253"/>
      <c r="V49" s="253"/>
      <c r="W49" s="253"/>
      <c r="X49" s="253"/>
      <c r="Y49" s="253"/>
      <c r="Z49" s="253"/>
    </row>
    <row r="50" spans="1:26" ht="12.75" hidden="1" customHeight="1" outlineLevel="1">
      <c r="A50" s="9"/>
      <c r="B50" s="9"/>
      <c r="C50" s="398" t="s">
        <v>26</v>
      </c>
      <c r="D50" s="399"/>
      <c r="E50" s="260">
        <f ca="1">A4value-SUM('Actual RAB roll forward'!H115:OFFSET('Actual RAB roll forward'!H115,0,Input!$Y$7-1))</f>
        <v>64.100680800441282</v>
      </c>
      <c r="F50" s="260">
        <f>IF(A4remlife="N/A","n/a",A4remlife-Input!$Y$7)</f>
        <v>16.312433705115868</v>
      </c>
      <c r="G50" s="256"/>
      <c r="H50" s="298" t="s">
        <v>66</v>
      </c>
      <c r="I50" s="299"/>
      <c r="J50" s="260">
        <f ca="1">A4taxvalue-SUM('Tax value roll forward'!H111:OFFSET('Tax value roll forward'!H111,0,Input!$Y$7-1))</f>
        <v>55.433914520000386</v>
      </c>
      <c r="K50" s="260">
        <f>IF(A4taxremlife="N/A","n/a",A4taxremlife-Input!$Y$7)</f>
        <v>16.046435092661003</v>
      </c>
      <c r="L50" s="111"/>
      <c r="M50" s="9"/>
      <c r="N50" s="9"/>
      <c r="O50" s="9"/>
      <c r="P50" s="9"/>
      <c r="Q50" s="9"/>
      <c r="R50" s="9"/>
      <c r="S50" s="253"/>
      <c r="T50" s="253"/>
      <c r="U50" s="253"/>
      <c r="V50" s="253"/>
      <c r="W50" s="253"/>
      <c r="X50" s="253"/>
      <c r="Y50" s="253"/>
      <c r="Z50" s="253"/>
    </row>
    <row r="51" spans="1:26" hidden="1" outlineLevel="1">
      <c r="A51" s="9"/>
      <c r="B51" s="9"/>
      <c r="C51" s="395" t="s">
        <v>82</v>
      </c>
      <c r="D51" s="87">
        <v>1</v>
      </c>
      <c r="E51" s="260">
        <f ca="1">OFFSET('Actual RAB roll forward'!H$47,0,D51-1)-SUM('Actual RAB roll forward'!H117:OFFSET('Actual RAB roll forward'!H117,0,Input!$Y$7-1))</f>
        <v>5.3970752040165097E-3</v>
      </c>
      <c r="F51" s="260">
        <f ca="1">IF(A4stdlife="N/A","n/a",IF(E51=0,0,A4stdlife+D51-Input!$Y$7))</f>
        <v>35</v>
      </c>
      <c r="G51" s="256"/>
      <c r="H51" s="395" t="s">
        <v>82</v>
      </c>
      <c r="I51" s="87">
        <v>1</v>
      </c>
      <c r="J51" s="260">
        <f ca="1">OFFSET('Tax value roll forward'!H$43,0,I51-1)-SUM('Tax value roll forward'!H113:OFFSET('Tax value roll forward'!H113,0,Input!$Y$7-1))</f>
        <v>5.2757250000000002E-3</v>
      </c>
      <c r="K51" s="260">
        <f ca="1">IF(A4taxstdlife="N/A","n/a",IF(J51=0,0,A4taxstdlife+I51-Input!$Y$7))</f>
        <v>35</v>
      </c>
      <c r="L51" s="111"/>
      <c r="M51" s="9"/>
      <c r="N51" s="9"/>
      <c r="O51" s="9"/>
      <c r="P51" s="9"/>
      <c r="Q51" s="9"/>
      <c r="R51" s="9"/>
      <c r="S51" s="253"/>
      <c r="T51" s="253"/>
      <c r="U51" s="253"/>
      <c r="V51" s="253"/>
      <c r="W51" s="253"/>
      <c r="X51" s="253"/>
      <c r="Y51" s="253"/>
      <c r="Z51" s="253"/>
    </row>
    <row r="52" spans="1:26" hidden="1" outlineLevel="1">
      <c r="A52" s="9"/>
      <c r="B52" s="9"/>
      <c r="C52" s="396"/>
      <c r="D52" s="87">
        <v>2</v>
      </c>
      <c r="E52" s="260">
        <f ca="1">OFFSET('Actual RAB roll forward'!H$47,0,D52-1)-SUM('Actual RAB roll forward'!H118:OFFSET('Actual RAB roll forward'!H118,0,Input!$Y$7-1))</f>
        <v>0.86620762609641389</v>
      </c>
      <c r="F52" s="260">
        <f ca="1">IF(A4stdlife="N/A","n/a",IF(E52=0,0,A4stdlife+D52-Input!$Y$7))</f>
        <v>36</v>
      </c>
      <c r="G52" s="256"/>
      <c r="H52" s="396"/>
      <c r="I52" s="87">
        <v>2</v>
      </c>
      <c r="J52" s="260">
        <f ca="1">OFFSET('Tax value roll forward'!H$43,0,I52-1)-SUM('Tax value roll forward'!H114:OFFSET('Tax value roll forward'!H114,0,Input!$Y$7-1))</f>
        <v>0.884687742</v>
      </c>
      <c r="K52" s="260">
        <f ca="1">IF(A4taxstdlife="N/A","n/a",IF(J52=0,0,A4taxstdlife+I52-Input!$Y$7))</f>
        <v>36</v>
      </c>
      <c r="L52" s="111"/>
      <c r="M52" s="9"/>
      <c r="N52" s="9"/>
      <c r="O52" s="9"/>
      <c r="P52" s="9"/>
      <c r="Q52" s="9"/>
      <c r="R52" s="9"/>
      <c r="S52" s="253"/>
      <c r="T52" s="253"/>
      <c r="U52" s="253"/>
      <c r="V52" s="253"/>
      <c r="W52" s="253"/>
      <c r="X52" s="253"/>
      <c r="Y52" s="253"/>
      <c r="Z52" s="253"/>
    </row>
    <row r="53" spans="1:26" hidden="1" outlineLevel="1">
      <c r="A53" s="9"/>
      <c r="B53" s="9"/>
      <c r="C53" s="396"/>
      <c r="D53" s="87">
        <v>3</v>
      </c>
      <c r="E53" s="260">
        <f ca="1">OFFSET('Actual RAB roll forward'!H$47,0,D53-1)-SUM('Actual RAB roll forward'!H119:OFFSET('Actual RAB roll forward'!H119,0,Input!$Y$7-1))</f>
        <v>4.1953461126164403E-2</v>
      </c>
      <c r="F53" s="325">
        <f ca="1">IF(A4stdlife="N/A","n/a",IF(E53=0,0,A4stdlife+D53-Input!$Y$7))</f>
        <v>37</v>
      </c>
      <c r="G53" s="256"/>
      <c r="H53" s="396"/>
      <c r="I53" s="87">
        <v>3</v>
      </c>
      <c r="J53" s="260">
        <f ca="1">OFFSET('Tax value roll forward'!H$43,0,I53-1)-SUM('Tax value roll forward'!H115:OFFSET('Tax value roll forward'!H115,0,Input!$Y$7-1))</f>
        <v>4.3635348750000004E-2</v>
      </c>
      <c r="K53" s="260">
        <f ca="1">IF(A4taxstdlife="N/A","n/a",IF(J53=0,0,A4taxstdlife+I53-Input!$Y$7))</f>
        <v>37</v>
      </c>
      <c r="L53" s="111"/>
      <c r="M53" s="9"/>
      <c r="N53" s="9"/>
      <c r="O53" s="9"/>
      <c r="P53" s="9"/>
      <c r="Q53" s="9"/>
      <c r="R53" s="9"/>
      <c r="S53" s="253"/>
      <c r="T53" s="253"/>
      <c r="U53" s="253"/>
      <c r="V53" s="253"/>
      <c r="W53" s="253"/>
      <c r="X53" s="253"/>
      <c r="Y53" s="253"/>
      <c r="Z53" s="253"/>
    </row>
    <row r="54" spans="1:26" hidden="1" outlineLevel="1">
      <c r="A54" s="9"/>
      <c r="B54" s="9"/>
      <c r="C54" s="396"/>
      <c r="D54" s="87">
        <v>4</v>
      </c>
      <c r="E54" s="260">
        <f ca="1">OFFSET('Actual RAB roll forward'!H$47,0,D54-1)-SUM('Actual RAB roll forward'!H120:OFFSET('Actual RAB roll forward'!H120,0,Input!$Y$7-1))</f>
        <v>0.46759985070733134</v>
      </c>
      <c r="F54" s="260">
        <f ca="1">IF(A4stdlife="N/A","n/a",IF(E54=0,0,A4stdlife+D54-Input!$Y$7))</f>
        <v>38</v>
      </c>
      <c r="G54" s="256"/>
      <c r="H54" s="396"/>
      <c r="I54" s="87">
        <v>4</v>
      </c>
      <c r="J54" s="260">
        <f ca="1">OFFSET('Tax value roll forward'!H$43,0,I54-1)-SUM('Tax value roll forward'!H116:OFFSET('Tax value roll forward'!H116,0,Input!$Y$7-1))</f>
        <v>0.49817019777279115</v>
      </c>
      <c r="K54" s="260">
        <f ca="1">IF(A4taxstdlife="N/A","n/a",IF(J54=0,0,A4taxstdlife+I54-Input!$Y$7))</f>
        <v>38</v>
      </c>
      <c r="L54" s="111"/>
      <c r="M54" s="9"/>
      <c r="N54" s="9"/>
      <c r="O54" s="9"/>
      <c r="P54" s="9"/>
      <c r="Q54" s="9"/>
      <c r="R54" s="9"/>
      <c r="S54" s="253"/>
      <c r="T54" s="253"/>
      <c r="U54" s="253"/>
      <c r="V54" s="253"/>
      <c r="W54" s="253"/>
      <c r="X54" s="253"/>
      <c r="Y54" s="253"/>
      <c r="Z54" s="253"/>
    </row>
    <row r="55" spans="1:26" hidden="1" outlineLevel="1">
      <c r="A55" s="9"/>
      <c r="B55" s="9"/>
      <c r="C55" s="396"/>
      <c r="D55" s="87">
        <v>5</v>
      </c>
      <c r="E55" s="260">
        <f ca="1">OFFSET('Actual RAB roll forward'!H$47,0,D55-1)-SUM('Actual RAB roll forward'!H121:OFFSET('Actual RAB roll forward'!H121,0,Input!$Y$7-1))</f>
        <v>0.83454612945622098</v>
      </c>
      <c r="F55" s="260">
        <f ca="1">IF(A4stdlife="N/A","n/a",IF(E55=0,0,A4stdlife+D55-Input!$Y$7))</f>
        <v>39</v>
      </c>
      <c r="G55" s="256"/>
      <c r="H55" s="396"/>
      <c r="I55" s="87">
        <v>5</v>
      </c>
      <c r="J55" s="260">
        <f ca="1">OFFSET('Tax value roll forward'!H$43,0,I55-1)-SUM('Tax value roll forward'!H117:OFFSET('Tax value roll forward'!H117,0,Input!$Y$7-1))</f>
        <v>0.92072237400000012</v>
      </c>
      <c r="K55" s="260">
        <f ca="1">IF(A4taxstdlife="N/A","n/a",IF(J55=0,0,A4taxstdlife+I55-Input!$Y$7))</f>
        <v>39</v>
      </c>
      <c r="L55" s="111"/>
      <c r="M55" s="9"/>
      <c r="N55" s="9"/>
      <c r="O55" s="9"/>
      <c r="P55" s="9"/>
      <c r="Q55" s="9"/>
      <c r="R55" s="9"/>
      <c r="S55" s="253"/>
      <c r="T55" s="253"/>
      <c r="U55" s="253"/>
      <c r="V55" s="253"/>
      <c r="W55" s="253"/>
      <c r="X55" s="253"/>
      <c r="Y55" s="253"/>
      <c r="Z55" s="253"/>
    </row>
    <row r="56" spans="1:26" hidden="1" outlineLevel="1">
      <c r="A56" s="9"/>
      <c r="B56" s="9"/>
      <c r="C56" s="396"/>
      <c r="D56" s="87">
        <v>6</v>
      </c>
      <c r="E56" s="260">
        <f ca="1">OFFSET('Actual RAB roll forward'!H$47,0,D56-1)-SUM('Actual RAB roll forward'!H122:OFFSET('Actual RAB roll forward'!H122,0,Input!$Y$7-1))</f>
        <v>0.75459817121399209</v>
      </c>
      <c r="F56" s="260">
        <f ca="1">IF(A4stdlife="N/A","n/a",IF(E56=0,0,A4stdlife+D56-Input!$Y$7))</f>
        <v>40</v>
      </c>
      <c r="G56" s="256"/>
      <c r="H56" s="396"/>
      <c r="I56" s="87">
        <v>6</v>
      </c>
      <c r="J56" s="260">
        <f ca="1">OFFSET('Tax value roll forward'!H$43,0,I56-1)-SUM('Tax value roll forward'!H118:OFFSET('Tax value roll forward'!H118,0,Input!$Y$7-1))</f>
        <v>0.84964324890037268</v>
      </c>
      <c r="K56" s="260">
        <f ca="1">IF(A4taxstdlife="N/A","n/a",IF(J56=0,0,A4taxstdlife+I56-Input!$Y$7))</f>
        <v>40</v>
      </c>
      <c r="L56" s="111"/>
      <c r="M56" s="9"/>
      <c r="N56" s="9"/>
      <c r="O56" s="9"/>
      <c r="P56" s="9"/>
      <c r="Q56" s="9"/>
      <c r="R56" s="9"/>
      <c r="S56" s="253"/>
      <c r="T56" s="253"/>
      <c r="U56" s="253"/>
      <c r="V56" s="253"/>
      <c r="W56" s="253"/>
      <c r="X56" s="253"/>
      <c r="Y56" s="253"/>
      <c r="Z56" s="253"/>
    </row>
    <row r="57" spans="1:26" hidden="1" outlineLevel="1">
      <c r="A57" s="9"/>
      <c r="B57" s="9"/>
      <c r="C57" s="396"/>
      <c r="D57" s="87">
        <v>7</v>
      </c>
      <c r="E57" s="260">
        <f ca="1">OFFSET('Actual RAB roll forward'!H$47,0,D57-1)-SUM('Actual RAB roll forward'!H123:OFFSET('Actual RAB roll forward'!H123,0,Input!$Y$7-1))</f>
        <v>0</v>
      </c>
      <c r="F57" s="260">
        <f ca="1">IF(A4stdlife="N/A","n/a",IF(E57=0,0,A4stdlife+D57-Input!$Y$7))</f>
        <v>0</v>
      </c>
      <c r="G57" s="256"/>
      <c r="H57" s="396"/>
      <c r="I57" s="87">
        <v>7</v>
      </c>
      <c r="J57" s="260">
        <f ca="1">OFFSET('Tax value roll forward'!H$43,0,I57-1)-SUM('Tax value roll forward'!H119:OFFSET('Tax value roll forward'!H119,0,Input!$Y$7-1))</f>
        <v>0</v>
      </c>
      <c r="K57" s="260">
        <f ca="1">IF(A4taxstdlife="N/A","n/a",IF(J57=0,0,A4taxstdlife+I57-Input!$Y$7))</f>
        <v>0</v>
      </c>
      <c r="L57" s="111"/>
      <c r="M57" s="9"/>
      <c r="N57" s="9"/>
      <c r="O57" s="9"/>
      <c r="P57" s="9"/>
      <c r="Q57" s="9"/>
      <c r="R57" s="9"/>
      <c r="S57" s="253"/>
      <c r="T57" s="253"/>
      <c r="U57" s="253"/>
      <c r="V57" s="253"/>
      <c r="W57" s="253"/>
      <c r="X57" s="253"/>
      <c r="Y57" s="253"/>
      <c r="Z57" s="253"/>
    </row>
    <row r="58" spans="1:26" hidden="1" outlineLevel="1">
      <c r="A58" s="9"/>
      <c r="B58" s="9"/>
      <c r="C58" s="396"/>
      <c r="D58" s="87">
        <v>8</v>
      </c>
      <c r="E58" s="260">
        <f ca="1">OFFSET('Actual RAB roll forward'!H$47,0,D58-1)-SUM('Actual RAB roll forward'!H124:OFFSET('Actual RAB roll forward'!H124,0,Input!$Y$7-1))</f>
        <v>0</v>
      </c>
      <c r="F58" s="260">
        <f ca="1">IF(A4stdlife="N/A","n/a",IF(E58=0,0,A4stdlife+D58-Input!$Y$7))</f>
        <v>0</v>
      </c>
      <c r="G58" s="256"/>
      <c r="H58" s="396"/>
      <c r="I58" s="87">
        <v>8</v>
      </c>
      <c r="J58" s="260">
        <f ca="1">OFFSET('Tax value roll forward'!H$43,0,I58-1)-SUM('Tax value roll forward'!H120:OFFSET('Tax value roll forward'!H120,0,Input!$Y$7-1))</f>
        <v>0</v>
      </c>
      <c r="K58" s="260">
        <f ca="1">IF(A4taxstdlife="N/A","n/a",IF(J58=0,0,A4taxstdlife+I58-Input!$Y$7))</f>
        <v>0</v>
      </c>
      <c r="L58" s="111"/>
      <c r="M58" s="9"/>
      <c r="N58" s="9"/>
      <c r="O58" s="9"/>
      <c r="P58" s="9"/>
      <c r="Q58" s="9"/>
      <c r="R58" s="9"/>
      <c r="S58" s="253"/>
      <c r="T58" s="253"/>
      <c r="U58" s="253"/>
      <c r="V58" s="253"/>
      <c r="W58" s="253"/>
      <c r="X58" s="253"/>
      <c r="Y58" s="253"/>
      <c r="Z58" s="253"/>
    </row>
    <row r="59" spans="1:26" hidden="1" outlineLevel="1">
      <c r="A59" s="9"/>
      <c r="B59" s="9"/>
      <c r="C59" s="396"/>
      <c r="D59" s="87">
        <v>9</v>
      </c>
      <c r="E59" s="260">
        <f ca="1">OFFSET('Actual RAB roll forward'!H$47,0,D59-1)-SUM('Actual RAB roll forward'!H125:OFFSET('Actual RAB roll forward'!H125,0,Input!$Y$7-1))</f>
        <v>0</v>
      </c>
      <c r="F59" s="260">
        <f ca="1">IF(A4stdlife="N/A","n/a",IF(E59=0,0,A4stdlife+D59-Input!$Y$7))</f>
        <v>0</v>
      </c>
      <c r="G59" s="256"/>
      <c r="H59" s="396"/>
      <c r="I59" s="87">
        <v>9</v>
      </c>
      <c r="J59" s="260">
        <f ca="1">OFFSET('Tax value roll forward'!H$43,0,I59-1)-SUM('Tax value roll forward'!H121:OFFSET('Tax value roll forward'!H121,0,Input!$Y$7-1))</f>
        <v>0</v>
      </c>
      <c r="K59" s="260">
        <f ca="1">IF(A4taxstdlife="N/A","n/a",IF(J59=0,0,A4taxstdlife+I59-Input!$Y$7))</f>
        <v>0</v>
      </c>
      <c r="L59" s="111"/>
      <c r="M59" s="9"/>
      <c r="N59" s="9"/>
      <c r="O59" s="9"/>
      <c r="P59" s="9"/>
      <c r="Q59" s="9"/>
      <c r="R59" s="9"/>
      <c r="S59" s="253"/>
      <c r="T59" s="253"/>
      <c r="U59" s="253"/>
      <c r="V59" s="253"/>
      <c r="W59" s="253"/>
      <c r="X59" s="253"/>
      <c r="Y59" s="253"/>
      <c r="Z59" s="253"/>
    </row>
    <row r="60" spans="1:26" hidden="1" outlineLevel="1">
      <c r="A60" s="9"/>
      <c r="B60" s="9"/>
      <c r="C60" s="397"/>
      <c r="D60" s="88">
        <v>10</v>
      </c>
      <c r="E60" s="260">
        <f ca="1">OFFSET('Actual RAB roll forward'!H$47,0,D60-1)-SUM('Actual RAB roll forward'!H126:OFFSET('Actual RAB roll forward'!H126,0,Input!$Y$7-1))</f>
        <v>0</v>
      </c>
      <c r="F60" s="260">
        <f ca="1">IF(A4stdlife="N/A","n/a",IF(E60=0,0,A4stdlife+D60-Input!$Y$7))</f>
        <v>0</v>
      </c>
      <c r="G60" s="256"/>
      <c r="H60" s="397"/>
      <c r="I60" s="88">
        <v>10</v>
      </c>
      <c r="J60" s="260">
        <f ca="1">OFFSET('Tax value roll forward'!H$43,0,I60-1)-SUM('Tax value roll forward'!H122:OFFSET('Tax value roll forward'!H122,0,Input!$Y$7-1))</f>
        <v>0</v>
      </c>
      <c r="K60" s="260">
        <f ca="1">IF(A4taxstdlife="N/A","n/a",IF(J60=0,0,A4taxstdlife+I60-Input!$Y$7))</f>
        <v>0</v>
      </c>
      <c r="L60" s="111"/>
      <c r="M60" s="9"/>
      <c r="N60" s="9"/>
      <c r="O60" s="9"/>
      <c r="P60" s="9"/>
      <c r="Q60" s="9"/>
      <c r="R60" s="9"/>
      <c r="S60" s="253"/>
      <c r="T60" s="253"/>
      <c r="U60" s="253"/>
      <c r="V60" s="253"/>
      <c r="W60" s="253"/>
      <c r="X60" s="253"/>
      <c r="Y60" s="253"/>
      <c r="Z60" s="253"/>
    </row>
    <row r="61" spans="1:26" collapsed="1">
      <c r="A61" s="9"/>
      <c r="B61" s="9"/>
      <c r="C61" s="274" t="str">
        <f>Asset4</f>
        <v>Reactive</v>
      </c>
      <c r="D61" s="9"/>
      <c r="E61" s="260">
        <f ca="1">SUM(E50:E60)</f>
        <v>67.070983114245422</v>
      </c>
      <c r="F61" s="260">
        <f ca="1">IF(E61=0,0,SUMPRODUCT(E50:E60,F50:F60)/E61)</f>
        <v>17.281135934644226</v>
      </c>
      <c r="G61" s="256"/>
      <c r="H61" s="43"/>
      <c r="I61" s="260"/>
      <c r="J61" s="260">
        <f ca="1">SUM(J50:J60)</f>
        <v>58.636049156423546</v>
      </c>
      <c r="K61" s="260">
        <f ca="1">IF(J61=0,0,SUMPRODUCT(J50:J60,K50:K60)/J61)</f>
        <v>17.258819666136606</v>
      </c>
      <c r="L61" s="111"/>
      <c r="M61" s="9"/>
      <c r="N61" s="9"/>
      <c r="O61" s="9"/>
      <c r="P61" s="9"/>
      <c r="Q61" s="9"/>
      <c r="R61" s="9"/>
      <c r="S61" s="253"/>
      <c r="T61" s="253"/>
      <c r="U61" s="253"/>
      <c r="V61" s="253"/>
      <c r="W61" s="253"/>
      <c r="X61" s="253"/>
      <c r="Y61" s="253"/>
      <c r="Z61" s="253"/>
    </row>
    <row r="62" spans="1:26" hidden="1" outlineLevel="1">
      <c r="A62" s="9"/>
      <c r="B62" s="9"/>
      <c r="C62" s="274"/>
      <c r="D62" s="9"/>
      <c r="E62" s="260"/>
      <c r="F62" s="260"/>
      <c r="G62" s="256"/>
      <c r="H62" s="260"/>
      <c r="I62" s="260"/>
      <c r="J62" s="265"/>
      <c r="K62" s="260"/>
      <c r="L62" s="111"/>
      <c r="M62" s="9"/>
      <c r="N62" s="9"/>
      <c r="O62" s="9"/>
      <c r="P62" s="9"/>
      <c r="Q62" s="9"/>
      <c r="R62" s="9"/>
      <c r="S62" s="253"/>
      <c r="T62" s="253"/>
      <c r="U62" s="253"/>
      <c r="V62" s="253"/>
      <c r="W62" s="253"/>
      <c r="X62" s="253"/>
      <c r="Y62" s="253"/>
      <c r="Z62" s="253"/>
    </row>
    <row r="63" spans="1:26" hidden="1" outlineLevel="1">
      <c r="A63" s="9"/>
      <c r="B63" s="272" t="str">
        <f>Asset5</f>
        <v>Towers and Conductor</v>
      </c>
      <c r="C63" s="9"/>
      <c r="D63" s="9"/>
      <c r="E63" s="260"/>
      <c r="F63" s="260"/>
      <c r="G63" s="256"/>
      <c r="H63" s="260"/>
      <c r="I63" s="260"/>
      <c r="J63" s="265"/>
      <c r="K63" s="260"/>
      <c r="L63" s="111"/>
      <c r="M63" s="9"/>
      <c r="N63" s="9"/>
      <c r="O63" s="9"/>
      <c r="P63" s="9"/>
      <c r="Q63" s="9"/>
      <c r="R63" s="9"/>
      <c r="S63" s="253"/>
      <c r="T63" s="253"/>
      <c r="U63" s="253"/>
      <c r="V63" s="253"/>
      <c r="W63" s="253"/>
      <c r="X63" s="253"/>
      <c r="Y63" s="253"/>
      <c r="Z63" s="253"/>
    </row>
    <row r="64" spans="1:26" ht="12.75" hidden="1" customHeight="1" outlineLevel="1">
      <c r="A64" s="9"/>
      <c r="B64" s="9"/>
      <c r="C64" s="398" t="s">
        <v>26</v>
      </c>
      <c r="D64" s="399"/>
      <c r="E64" s="260">
        <f ca="1">A5value-SUM('Actual RAB roll forward'!H128:OFFSET('Actual RAB roll forward'!H128,0,Input!$Y$7-1))</f>
        <v>832.63914929986277</v>
      </c>
      <c r="F64" s="260">
        <f>IF(A5remlife="N/A","n/a",A5remlife-Input!$Y$7)</f>
        <v>23.468257345719277</v>
      </c>
      <c r="G64" s="256"/>
      <c r="H64" s="298" t="s">
        <v>66</v>
      </c>
      <c r="I64" s="299"/>
      <c r="J64" s="260">
        <f ca="1">A5taxvalue-SUM('Tax value roll forward'!H124:OFFSET('Tax value roll forward'!H124,0,Input!$Y$7-1))</f>
        <v>701.44464483282786</v>
      </c>
      <c r="K64" s="260">
        <f>IF(A5taxremlife="N/A","n/a",A5taxremlife-Input!$Y$7)</f>
        <v>23.328707930027814</v>
      </c>
      <c r="L64" s="111"/>
      <c r="M64" s="9"/>
      <c r="N64" s="9"/>
      <c r="O64" s="9"/>
      <c r="P64" s="9"/>
      <c r="Q64" s="9"/>
      <c r="R64" s="9"/>
      <c r="S64" s="253"/>
      <c r="T64" s="253"/>
      <c r="U64" s="253"/>
      <c r="V64" s="253"/>
      <c r="W64" s="253"/>
      <c r="X64" s="253"/>
      <c r="Y64" s="253"/>
      <c r="Z64" s="253"/>
    </row>
    <row r="65" spans="1:26" hidden="1" outlineLevel="1">
      <c r="A65" s="9"/>
      <c r="B65" s="9"/>
      <c r="C65" s="395" t="s">
        <v>82</v>
      </c>
      <c r="D65" s="87">
        <v>1</v>
      </c>
      <c r="E65" s="260">
        <f ca="1">OFFSET('Actual RAB roll forward'!H$48,0,D65-1)-SUM('Actual RAB roll forward'!H130:OFFSET('Actual RAB roll forward'!H130,0,Input!$Y$7-1))</f>
        <v>5.0501139598934541</v>
      </c>
      <c r="F65" s="260">
        <f ca="1">IF(A5stdlife="N/A","n/a",IF(E65=0,0,A5stdlife+D65-Input!$Y$7))</f>
        <v>55</v>
      </c>
      <c r="G65" s="256"/>
      <c r="H65" s="395" t="s">
        <v>82</v>
      </c>
      <c r="I65" s="87">
        <v>1</v>
      </c>
      <c r="J65" s="260">
        <f ca="1">OFFSET('Tax value roll forward'!H$44,0,I65-1)-SUM('Tax value roll forward'!H126:OFFSET('Tax value roll forward'!H126,0,Input!$Y$7-1))</f>
        <v>4.8184653437582599</v>
      </c>
      <c r="K65" s="260">
        <f ca="1">IF(A5taxstdlife="N/A","n/a",IF(J65=0,0,A5taxstdlife+I65-Input!$Y$7))</f>
        <v>42.5</v>
      </c>
      <c r="L65" s="111"/>
      <c r="M65" s="9"/>
      <c r="N65" s="9"/>
      <c r="O65" s="9"/>
      <c r="P65" s="9"/>
      <c r="Q65" s="9"/>
      <c r="R65" s="9"/>
      <c r="S65" s="253"/>
      <c r="T65" s="253"/>
      <c r="U65" s="253"/>
      <c r="V65" s="253"/>
      <c r="W65" s="253"/>
      <c r="X65" s="253"/>
      <c r="Y65" s="253"/>
      <c r="Z65" s="253"/>
    </row>
    <row r="66" spans="1:26" hidden="1" outlineLevel="1">
      <c r="A66" s="9"/>
      <c r="B66" s="9"/>
      <c r="C66" s="396"/>
      <c r="D66" s="87">
        <v>2</v>
      </c>
      <c r="E66" s="260">
        <f ca="1">OFFSET('Actual RAB roll forward'!H$48,0,D66-1)-SUM('Actual RAB roll forward'!H131:OFFSET('Actual RAB roll forward'!H131,0,Input!$Y$7-1))</f>
        <v>17.26801589343194</v>
      </c>
      <c r="F66" s="260">
        <f ca="1">IF(A5stdlife="N/A","n/a",IF(E66=0,0,A5stdlife+D66-Input!$Y$7))</f>
        <v>56</v>
      </c>
      <c r="G66" s="256"/>
      <c r="H66" s="396"/>
      <c r="I66" s="87">
        <v>2</v>
      </c>
      <c r="J66" s="260">
        <f ca="1">OFFSET('Tax value roll forward'!H$44,0,I66-1)-SUM('Tax value roll forward'!H127:OFFSET('Tax value roll forward'!H127,0,Input!$Y$7-1))</f>
        <v>17.304908899263161</v>
      </c>
      <c r="K66" s="260">
        <f ca="1">IF(A5taxstdlife="N/A","n/a",IF(J66=0,0,A5taxstdlife+I66-Input!$Y$7))</f>
        <v>43.5</v>
      </c>
      <c r="L66" s="111"/>
      <c r="M66" s="9"/>
      <c r="N66" s="9"/>
      <c r="O66" s="9"/>
      <c r="P66" s="9"/>
      <c r="Q66" s="9"/>
      <c r="R66" s="9"/>
      <c r="S66" s="253"/>
      <c r="T66" s="253"/>
      <c r="U66" s="253"/>
      <c r="V66" s="253"/>
      <c r="W66" s="253"/>
      <c r="X66" s="253"/>
      <c r="Y66" s="253"/>
      <c r="Z66" s="253"/>
    </row>
    <row r="67" spans="1:26" hidden="1" outlineLevel="1">
      <c r="A67" s="9"/>
      <c r="B67" s="9"/>
      <c r="C67" s="396"/>
      <c r="D67" s="87">
        <v>3</v>
      </c>
      <c r="E67" s="260">
        <f ca="1">OFFSET('Actual RAB roll forward'!H$48,0,D67-1)-SUM('Actual RAB roll forward'!H132:OFFSET('Actual RAB roll forward'!H132,0,Input!$Y$7-1))</f>
        <v>8.2959212523727395</v>
      </c>
      <c r="F67" s="260">
        <f ca="1">IF(A5stdlife="N/A","n/a",IF(E67=0,0,A5stdlife+D67-Input!$Y$7))</f>
        <v>57</v>
      </c>
      <c r="G67" s="256"/>
      <c r="H67" s="396"/>
      <c r="I67" s="87">
        <v>3</v>
      </c>
      <c r="J67" s="260">
        <f ca="1">OFFSET('Tax value roll forward'!H$44,0,I67-1)-SUM('Tax value roll forward'!H128:OFFSET('Tax value roll forward'!H128,0,Input!$Y$7-1))</f>
        <v>8.5089911661052522</v>
      </c>
      <c r="K67" s="260">
        <f ca="1">IF(A5taxstdlife="N/A","n/a",IF(J67=0,0,A5taxstdlife+I67-Input!$Y$7))</f>
        <v>44.5</v>
      </c>
      <c r="L67" s="111"/>
      <c r="M67" s="9"/>
      <c r="N67" s="9"/>
      <c r="O67" s="9"/>
      <c r="P67" s="9"/>
      <c r="Q67" s="9"/>
      <c r="R67" s="9"/>
      <c r="S67" s="253"/>
      <c r="T67" s="253"/>
      <c r="U67" s="253"/>
      <c r="V67" s="253"/>
      <c r="W67" s="253"/>
      <c r="X67" s="253"/>
      <c r="Y67" s="253"/>
      <c r="Z67" s="253"/>
    </row>
    <row r="68" spans="1:26" hidden="1" outlineLevel="1">
      <c r="A68" s="9"/>
      <c r="B68" s="9"/>
      <c r="C68" s="396"/>
      <c r="D68" s="87">
        <v>4</v>
      </c>
      <c r="E68" s="260">
        <f ca="1">OFFSET('Actual RAB roll forward'!H$48,0,D68-1)-SUM('Actual RAB roll forward'!H133:OFFSET('Actual RAB roll forward'!H133,0,Input!$Y$7-1))</f>
        <v>36.793268197276873</v>
      </c>
      <c r="F68" s="260">
        <f ca="1">IF(A5stdlife="N/A","n/a",IF(E68=0,0,A5stdlife+D68-Input!$Y$7))</f>
        <v>58</v>
      </c>
      <c r="G68" s="256"/>
      <c r="H68" s="396"/>
      <c r="I68" s="87">
        <v>4</v>
      </c>
      <c r="J68" s="260">
        <f ca="1">OFFSET('Tax value roll forward'!H$44,0,I68-1)-SUM('Tax value roll forward'!H129:OFFSET('Tax value roll forward'!H129,0,Input!$Y$7-1))</f>
        <v>38.84300217994236</v>
      </c>
      <c r="K68" s="260">
        <f ca="1">IF(A5taxstdlife="N/A","n/a",IF(J68=0,0,A5taxstdlife+I68-Input!$Y$7))</f>
        <v>45.5</v>
      </c>
      <c r="L68" s="111"/>
      <c r="M68" s="9"/>
      <c r="N68" s="9"/>
      <c r="O68" s="9"/>
      <c r="P68" s="9"/>
      <c r="Q68" s="9"/>
      <c r="R68" s="9"/>
      <c r="S68" s="253"/>
      <c r="T68" s="253"/>
      <c r="U68" s="253"/>
      <c r="V68" s="253"/>
      <c r="W68" s="253"/>
      <c r="X68" s="253"/>
      <c r="Y68" s="253"/>
      <c r="Z68" s="253"/>
    </row>
    <row r="69" spans="1:26" hidden="1" outlineLevel="1">
      <c r="A69" s="9"/>
      <c r="B69" s="9"/>
      <c r="C69" s="396"/>
      <c r="D69" s="87">
        <v>5</v>
      </c>
      <c r="E69" s="260">
        <f ca="1">OFFSET('Actual RAB roll forward'!H$48,0,D69-1)-SUM('Actual RAB roll forward'!H134:OFFSET('Actual RAB roll forward'!H134,0,Input!$Y$7-1))</f>
        <v>21.147184934233596</v>
      </c>
      <c r="F69" s="260">
        <f ca="1">IF(A5stdlife="N/A","n/a",IF(E69=0,0,A5stdlife+D69-Input!$Y$7))</f>
        <v>59</v>
      </c>
      <c r="G69" s="256"/>
      <c r="H69" s="396"/>
      <c r="I69" s="87">
        <v>5</v>
      </c>
      <c r="J69" s="260">
        <f ca="1">OFFSET('Tax value roll forward'!H$44,0,I69-1)-SUM('Tax value roll forward'!H130:OFFSET('Tax value roll forward'!H130,0,Input!$Y$7-1))</f>
        <v>23.226806123052633</v>
      </c>
      <c r="K69" s="260">
        <f ca="1">IF(A5taxstdlife="N/A","n/a",IF(J69=0,0,A5taxstdlife+I69-Input!$Y$7))</f>
        <v>46.5</v>
      </c>
      <c r="L69" s="111"/>
      <c r="M69" s="9"/>
      <c r="N69" s="9"/>
      <c r="O69" s="9"/>
      <c r="P69" s="9"/>
      <c r="Q69" s="9"/>
      <c r="R69" s="9"/>
      <c r="S69" s="253"/>
      <c r="T69" s="253"/>
      <c r="U69" s="253"/>
      <c r="V69" s="253"/>
      <c r="W69" s="253"/>
      <c r="X69" s="253"/>
      <c r="Y69" s="253"/>
      <c r="Z69" s="253"/>
    </row>
    <row r="70" spans="1:26" hidden="1" outlineLevel="1">
      <c r="A70" s="9"/>
      <c r="B70" s="9"/>
      <c r="C70" s="396"/>
      <c r="D70" s="87">
        <v>6</v>
      </c>
      <c r="E70" s="260">
        <f ca="1">OFFSET('Actual RAB roll forward'!H$48,0,D70-1)-SUM('Actual RAB roll forward'!H135:OFFSET('Actual RAB roll forward'!H135,0,Input!$Y$7-1))</f>
        <v>4.3124747434380541</v>
      </c>
      <c r="F70" s="260">
        <f ca="1">IF(A5stdlife="N/A","n/a",IF(E70=0,0,A5stdlife+D70-Input!$Y$7))</f>
        <v>60</v>
      </c>
      <c r="G70" s="256"/>
      <c r="H70" s="396"/>
      <c r="I70" s="87">
        <v>6</v>
      </c>
      <c r="J70" s="260">
        <f ca="1">OFFSET('Tax value roll forward'!H$44,0,I70-1)-SUM('Tax value roll forward'!H131:OFFSET('Tax value roll forward'!H131,0,Input!$Y$7-1))</f>
        <v>4.8556505854245415</v>
      </c>
      <c r="K70" s="260">
        <f ca="1">IF(A5taxstdlife="N/A","n/a",IF(J70=0,0,A5taxstdlife+I70-Input!$Y$7))</f>
        <v>47.5</v>
      </c>
      <c r="L70" s="111"/>
      <c r="M70" s="9"/>
      <c r="N70" s="9"/>
      <c r="O70" s="9"/>
      <c r="P70" s="9"/>
      <c r="Q70" s="9"/>
      <c r="R70" s="9"/>
      <c r="S70" s="253"/>
      <c r="T70" s="253"/>
      <c r="U70" s="253"/>
      <c r="V70" s="253"/>
      <c r="W70" s="253"/>
      <c r="X70" s="253"/>
      <c r="Y70" s="253"/>
      <c r="Z70" s="253"/>
    </row>
    <row r="71" spans="1:26" hidden="1" outlineLevel="1">
      <c r="A71" s="9"/>
      <c r="B71" s="9"/>
      <c r="C71" s="396"/>
      <c r="D71" s="87">
        <v>7</v>
      </c>
      <c r="E71" s="260">
        <f ca="1">OFFSET('Actual RAB roll forward'!H$48,0,D71-1)-SUM('Actual RAB roll forward'!H136:OFFSET('Actual RAB roll forward'!H136,0,Input!$Y$7-1))</f>
        <v>0</v>
      </c>
      <c r="F71" s="260">
        <f ca="1">IF(A5stdlife="N/A","n/a",IF(E71=0,0,A5stdlife+D71-Input!$Y$7))</f>
        <v>0</v>
      </c>
      <c r="G71" s="256"/>
      <c r="H71" s="396"/>
      <c r="I71" s="87">
        <v>7</v>
      </c>
      <c r="J71" s="260">
        <f ca="1">OFFSET('Tax value roll forward'!H$44,0,I71-1)-SUM('Tax value roll forward'!H132:OFFSET('Tax value roll forward'!H132,0,Input!$Y$7-1))</f>
        <v>0</v>
      </c>
      <c r="K71" s="260">
        <f ca="1">IF(A5taxstdlife="N/A","n/a",IF(J71=0,0,A5taxstdlife+I71-Input!$Y$7))</f>
        <v>0</v>
      </c>
      <c r="L71" s="111"/>
      <c r="M71" s="9"/>
      <c r="N71" s="9"/>
      <c r="O71" s="9"/>
      <c r="P71" s="9"/>
      <c r="Q71" s="9"/>
      <c r="R71" s="9"/>
      <c r="S71" s="253"/>
      <c r="T71" s="253"/>
      <c r="U71" s="253"/>
      <c r="V71" s="253"/>
      <c r="W71" s="253"/>
      <c r="X71" s="253"/>
      <c r="Y71" s="253"/>
      <c r="Z71" s="253"/>
    </row>
    <row r="72" spans="1:26" hidden="1" outlineLevel="1">
      <c r="A72" s="9"/>
      <c r="B72" s="9"/>
      <c r="C72" s="396"/>
      <c r="D72" s="87">
        <v>8</v>
      </c>
      <c r="E72" s="260">
        <f ca="1">OFFSET('Actual RAB roll forward'!H$48,0,D72-1)-SUM('Actual RAB roll forward'!H137:OFFSET('Actual RAB roll forward'!H137,0,Input!$Y$7-1))</f>
        <v>0</v>
      </c>
      <c r="F72" s="260">
        <f ca="1">IF(A5stdlife="N/A","n/a",IF(E72=0,0,A5stdlife+D72-Input!$Y$7))</f>
        <v>0</v>
      </c>
      <c r="G72" s="256"/>
      <c r="H72" s="396"/>
      <c r="I72" s="87">
        <v>8</v>
      </c>
      <c r="J72" s="260">
        <f ca="1">OFFSET('Tax value roll forward'!H$44,0,I72-1)-SUM('Tax value roll forward'!H133:OFFSET('Tax value roll forward'!H133,0,Input!$Y$7-1))</f>
        <v>0</v>
      </c>
      <c r="K72" s="260">
        <f ca="1">IF(A5taxstdlife="N/A","n/a",IF(J72=0,0,A5taxstdlife+I72-Input!$Y$7))</f>
        <v>0</v>
      </c>
      <c r="L72" s="111"/>
      <c r="M72" s="9"/>
      <c r="N72" s="9"/>
      <c r="O72" s="9"/>
      <c r="P72" s="9"/>
      <c r="Q72" s="9"/>
      <c r="R72" s="9"/>
      <c r="S72" s="253"/>
      <c r="T72" s="253"/>
      <c r="U72" s="253"/>
      <c r="V72" s="253"/>
      <c r="W72" s="253"/>
      <c r="X72" s="253"/>
      <c r="Y72" s="253"/>
      <c r="Z72" s="253"/>
    </row>
    <row r="73" spans="1:26" hidden="1" outlineLevel="1">
      <c r="A73" s="9"/>
      <c r="B73" s="9"/>
      <c r="C73" s="396"/>
      <c r="D73" s="87">
        <v>9</v>
      </c>
      <c r="E73" s="260">
        <f ca="1">OFFSET('Actual RAB roll forward'!H$48,0,D73-1)-SUM('Actual RAB roll forward'!H138:OFFSET('Actual RAB roll forward'!H138,0,Input!$Y$7-1))</f>
        <v>0</v>
      </c>
      <c r="F73" s="260">
        <f ca="1">IF(A5stdlife="N/A","n/a",IF(E73=0,0,A5stdlife+D73-Input!$Y$7))</f>
        <v>0</v>
      </c>
      <c r="G73" s="256"/>
      <c r="H73" s="396"/>
      <c r="I73" s="87">
        <v>9</v>
      </c>
      <c r="J73" s="260">
        <f ca="1">OFFSET('Tax value roll forward'!H$44,0,I73-1)-SUM('Tax value roll forward'!H134:OFFSET('Tax value roll forward'!H134,0,Input!$Y$7-1))</f>
        <v>0</v>
      </c>
      <c r="K73" s="260">
        <f ca="1">IF(A5taxstdlife="N/A","n/a",IF(J73=0,0,A5taxstdlife+I73-Input!$Y$7))</f>
        <v>0</v>
      </c>
      <c r="L73" s="111"/>
      <c r="M73" s="9"/>
      <c r="N73" s="9"/>
      <c r="O73" s="9"/>
      <c r="P73" s="9"/>
      <c r="Q73" s="9"/>
      <c r="R73" s="9"/>
      <c r="S73" s="253"/>
      <c r="T73" s="253"/>
      <c r="U73" s="253"/>
      <c r="V73" s="253"/>
      <c r="W73" s="253"/>
      <c r="X73" s="253"/>
      <c r="Y73" s="253"/>
      <c r="Z73" s="253"/>
    </row>
    <row r="74" spans="1:26" hidden="1" outlineLevel="1">
      <c r="A74" s="9"/>
      <c r="B74" s="9"/>
      <c r="C74" s="397"/>
      <c r="D74" s="88">
        <v>10</v>
      </c>
      <c r="E74" s="260">
        <f ca="1">OFFSET('Actual RAB roll forward'!H$48,0,D74-1)-SUM('Actual RAB roll forward'!H139:OFFSET('Actual RAB roll forward'!H139,0,Input!$Y$7-1))</f>
        <v>0</v>
      </c>
      <c r="F74" s="260">
        <f ca="1">IF(A5stdlife="N/A","n/a",IF(E74=0,0,A5stdlife+D74-Input!$Y$7))</f>
        <v>0</v>
      </c>
      <c r="G74" s="256"/>
      <c r="H74" s="397"/>
      <c r="I74" s="88">
        <v>10</v>
      </c>
      <c r="J74" s="260">
        <f ca="1">OFFSET('Tax value roll forward'!H$44,0,I74-1)-SUM('Tax value roll forward'!H135:OFFSET('Tax value roll forward'!H135,0,Input!$Y$7-1))</f>
        <v>0</v>
      </c>
      <c r="K74" s="260">
        <f ca="1">IF(A5taxstdlife="N/A","n/a",IF(J74=0,0,A5taxstdlife+I74-Input!$Y$7))</f>
        <v>0</v>
      </c>
      <c r="L74" s="111"/>
      <c r="M74" s="9"/>
      <c r="N74" s="9"/>
      <c r="O74" s="9"/>
      <c r="P74" s="9"/>
      <c r="Q74" s="9"/>
      <c r="R74" s="9"/>
      <c r="S74" s="253"/>
      <c r="T74" s="253"/>
      <c r="U74" s="253"/>
      <c r="V74" s="253"/>
      <c r="W74" s="253"/>
      <c r="X74" s="253"/>
      <c r="Y74" s="253"/>
      <c r="Z74" s="253"/>
    </row>
    <row r="75" spans="1:26" collapsed="1">
      <c r="A75" s="9"/>
      <c r="B75" s="9"/>
      <c r="C75" s="274" t="str">
        <f>Asset5</f>
        <v>Towers and Conductor</v>
      </c>
      <c r="D75" s="9"/>
      <c r="E75" s="260">
        <f ca="1">SUM(E64:E74)</f>
        <v>925.50612828050953</v>
      </c>
      <c r="F75" s="260">
        <f ca="1">IF(E75=0,0,SUMPRODUCT(E64:E74,F64:F74)/E75)</f>
        <v>26.902754818629546</v>
      </c>
      <c r="G75" s="256"/>
      <c r="H75" s="43"/>
      <c r="I75" s="260"/>
      <c r="J75" s="260">
        <f ca="1">SUM(J64:J74)</f>
        <v>799.00246913037404</v>
      </c>
      <c r="K75" s="260">
        <f ca="1">IF(J75=0,0,SUMPRODUCT(J64:J74,K64:K74)/J75)</f>
        <v>26.004978656496625</v>
      </c>
      <c r="L75" s="111"/>
      <c r="M75" s="9"/>
      <c r="N75" s="9"/>
      <c r="O75" s="9"/>
      <c r="P75" s="9"/>
      <c r="Q75" s="9"/>
      <c r="R75" s="9"/>
      <c r="S75" s="253"/>
      <c r="T75" s="253"/>
      <c r="U75" s="253"/>
      <c r="V75" s="253"/>
      <c r="W75" s="253"/>
      <c r="X75" s="253"/>
      <c r="Y75" s="253"/>
      <c r="Z75" s="253"/>
    </row>
    <row r="76" spans="1:26" hidden="1" outlineLevel="1">
      <c r="A76" s="9"/>
      <c r="B76" s="9"/>
      <c r="C76" s="274"/>
      <c r="D76" s="9"/>
      <c r="E76" s="260"/>
      <c r="F76" s="260"/>
      <c r="G76" s="256"/>
      <c r="H76" s="260"/>
      <c r="I76" s="260"/>
      <c r="J76" s="265"/>
      <c r="K76" s="260"/>
      <c r="L76" s="111"/>
      <c r="M76" s="9"/>
      <c r="N76" s="9"/>
      <c r="O76" s="9"/>
      <c r="P76" s="9"/>
      <c r="Q76" s="9"/>
      <c r="R76" s="9"/>
      <c r="S76" s="253"/>
      <c r="T76" s="253"/>
      <c r="U76" s="253"/>
      <c r="V76" s="253"/>
      <c r="W76" s="253"/>
      <c r="X76" s="253"/>
      <c r="Y76" s="253"/>
      <c r="Z76" s="253"/>
    </row>
    <row r="77" spans="1:26" hidden="1" outlineLevel="1">
      <c r="A77" s="9"/>
      <c r="B77" s="272" t="str">
        <f>Asset6</f>
        <v>Establishment</v>
      </c>
      <c r="C77" s="9"/>
      <c r="D77" s="9"/>
      <c r="E77" s="260"/>
      <c r="F77" s="260"/>
      <c r="G77" s="256"/>
      <c r="H77" s="260"/>
      <c r="I77" s="260"/>
      <c r="J77" s="265"/>
      <c r="K77" s="260"/>
      <c r="L77" s="111"/>
      <c r="M77" s="9"/>
      <c r="N77" s="9"/>
      <c r="O77" s="9"/>
      <c r="P77" s="9"/>
      <c r="Q77" s="9"/>
      <c r="R77" s="9"/>
      <c r="S77" s="253"/>
      <c r="T77" s="253"/>
      <c r="U77" s="253"/>
      <c r="V77" s="253"/>
      <c r="W77" s="253"/>
      <c r="X77" s="253"/>
      <c r="Y77" s="253"/>
      <c r="Z77" s="253"/>
    </row>
    <row r="78" spans="1:26" ht="12.75" hidden="1" customHeight="1" outlineLevel="1">
      <c r="A78" s="9"/>
      <c r="B78" s="9"/>
      <c r="C78" s="393" t="s">
        <v>26</v>
      </c>
      <c r="D78" s="394"/>
      <c r="E78" s="260">
        <f ca="1">A6value-SUM('Actual RAB roll forward'!H141:OFFSET('Actual RAB roll forward'!H141,0,Input!$Y$7-1))</f>
        <v>82.544374109666876</v>
      </c>
      <c r="F78" s="260">
        <f>IF(A6remlife="N/A","n/a",A6remlife-Input!$Y$7)</f>
        <v>28.678784161311349</v>
      </c>
      <c r="G78" s="256"/>
      <c r="H78" s="298" t="s">
        <v>66</v>
      </c>
      <c r="I78" s="299"/>
      <c r="J78" s="260">
        <f ca="1">A6taxvalue-SUM('Tax value roll forward'!H137:OFFSET('Tax value roll forward'!H137,0,Input!$Y$7-1))</f>
        <v>75.629958084601256</v>
      </c>
      <c r="K78" s="260">
        <f>IF(A6taxremlife="N/A","n/a",A6taxremlife-Input!$Y$7)</f>
        <v>29.483872178078329</v>
      </c>
      <c r="L78" s="111"/>
      <c r="M78" s="9"/>
      <c r="N78" s="9"/>
      <c r="O78" s="9"/>
      <c r="P78" s="9"/>
      <c r="Q78" s="9"/>
      <c r="R78" s="9"/>
      <c r="S78" s="253"/>
      <c r="T78" s="253"/>
      <c r="U78" s="253"/>
      <c r="V78" s="253"/>
      <c r="W78" s="253"/>
      <c r="X78" s="253"/>
      <c r="Y78" s="253"/>
      <c r="Z78" s="253"/>
    </row>
    <row r="79" spans="1:26" hidden="1" outlineLevel="1">
      <c r="A79" s="9"/>
      <c r="B79" s="9"/>
      <c r="C79" s="395" t="s">
        <v>82</v>
      </c>
      <c r="D79" s="87">
        <v>1</v>
      </c>
      <c r="E79" s="260">
        <f ca="1">OFFSET('Actual RAB roll forward'!H$49,0,D79-1)-SUM('Actual RAB roll forward'!H143:OFFSET('Actual RAB roll forward'!H143,0,Input!$Y$7-1))</f>
        <v>11.129562589062298</v>
      </c>
      <c r="F79" s="260">
        <f ca="1">IF(A6stdlife="N/A","n/a",IF(E79=0,0,A6stdlife+D79-Input!$Y$7))</f>
        <v>40</v>
      </c>
      <c r="G79" s="256"/>
      <c r="H79" s="395" t="s">
        <v>82</v>
      </c>
      <c r="I79" s="87">
        <v>1</v>
      </c>
      <c r="J79" s="260">
        <f ca="1">OFFSET('Tax value roll forward'!H$45,0,I79-1)-SUM('Tax value roll forward'!H139:OFFSET('Tax value roll forward'!H139,0,Input!$Y$7-1))</f>
        <v>10.709331241775171</v>
      </c>
      <c r="K79" s="260">
        <f ca="1">IF(A6taxstdlife="N/A","n/a",IF(J79=0,0,A6taxstdlife+I79-Input!$Y$7))</f>
        <v>35</v>
      </c>
      <c r="L79" s="111"/>
      <c r="M79" s="9"/>
      <c r="N79" s="9"/>
      <c r="O79" s="9"/>
      <c r="P79" s="9"/>
      <c r="Q79" s="9"/>
      <c r="R79" s="9"/>
      <c r="S79" s="253"/>
      <c r="T79" s="253"/>
      <c r="U79" s="253"/>
      <c r="V79" s="253"/>
      <c r="W79" s="253"/>
      <c r="X79" s="253"/>
      <c r="Y79" s="253"/>
      <c r="Z79" s="253"/>
    </row>
    <row r="80" spans="1:26" hidden="1" outlineLevel="1">
      <c r="A80" s="9"/>
      <c r="B80" s="9"/>
      <c r="C80" s="396"/>
      <c r="D80" s="87">
        <v>2</v>
      </c>
      <c r="E80" s="260">
        <f ca="1">OFFSET('Actual RAB roll forward'!H$49,0,D80-1)-SUM('Actual RAB roll forward'!H144:OFFSET('Actual RAB roll forward'!H144,0,Input!$Y$7-1))</f>
        <v>9.8907817892458247</v>
      </c>
      <c r="F80" s="260">
        <f ca="1">IF(A6stdlife="N/A","n/a",IF(E80=0,0,A6stdlife+D80-Input!$Y$7))</f>
        <v>41</v>
      </c>
      <c r="G80" s="256"/>
      <c r="H80" s="396"/>
      <c r="I80" s="87">
        <v>2</v>
      </c>
      <c r="J80" s="260">
        <f ca="1">OFFSET('Tax value roll forward'!H$45,0,I80-1)-SUM('Tax value roll forward'!H140:OFFSET('Tax value roll forward'!H140,0,Input!$Y$7-1))</f>
        <v>9.9786041359199942</v>
      </c>
      <c r="K80" s="260">
        <f ca="1">IF(A6taxstdlife="N/A","n/a",IF(J80=0,0,A6taxstdlife+I80-Input!$Y$7))</f>
        <v>36</v>
      </c>
      <c r="L80" s="111"/>
      <c r="M80" s="9"/>
      <c r="N80" s="9"/>
      <c r="O80" s="9"/>
      <c r="P80" s="9"/>
      <c r="Q80" s="9"/>
      <c r="R80" s="9"/>
      <c r="S80" s="253"/>
      <c r="T80" s="253"/>
      <c r="U80" s="253"/>
      <c r="V80" s="253"/>
      <c r="W80" s="253"/>
      <c r="X80" s="253"/>
      <c r="Y80" s="253"/>
      <c r="Z80" s="253"/>
    </row>
    <row r="81" spans="1:26" hidden="1" outlineLevel="1">
      <c r="A81" s="9"/>
      <c r="B81" s="9"/>
      <c r="C81" s="396"/>
      <c r="D81" s="87">
        <v>3</v>
      </c>
      <c r="E81" s="260">
        <f ca="1">OFFSET('Actual RAB roll forward'!H$49,0,D81-1)-SUM('Actual RAB roll forward'!H145:OFFSET('Actual RAB roll forward'!H145,0,Input!$Y$7-1))</f>
        <v>5.8465694092116101</v>
      </c>
      <c r="F81" s="260">
        <f ca="1">IF(A6stdlife="N/A","n/a",IF(E81=0,0,A6stdlife+D81-Input!$Y$7))</f>
        <v>42</v>
      </c>
      <c r="G81" s="256"/>
      <c r="H81" s="396"/>
      <c r="I81" s="87">
        <v>3</v>
      </c>
      <c r="J81" s="260">
        <f ca="1">OFFSET('Tax value roll forward'!H$45,0,I81-1)-SUM('Tax value roll forward'!H141:OFFSET('Tax value roll forward'!H141,0,Input!$Y$7-1))</f>
        <v>6.0266604272500004</v>
      </c>
      <c r="K81" s="260">
        <f ca="1">IF(A6taxstdlife="N/A","n/a",IF(J81=0,0,A6taxstdlife+I81-Input!$Y$7))</f>
        <v>37</v>
      </c>
      <c r="L81" s="111"/>
      <c r="M81" s="9"/>
      <c r="N81" s="9"/>
      <c r="O81" s="9"/>
      <c r="P81" s="9"/>
      <c r="Q81" s="9"/>
      <c r="R81" s="9"/>
      <c r="S81" s="253"/>
      <c r="T81" s="253"/>
      <c r="U81" s="253"/>
      <c r="V81" s="253"/>
      <c r="W81" s="253"/>
      <c r="X81" s="253"/>
      <c r="Y81" s="253"/>
      <c r="Z81" s="253"/>
    </row>
    <row r="82" spans="1:26" hidden="1" outlineLevel="1">
      <c r="A82" s="9"/>
      <c r="B82" s="9"/>
      <c r="C82" s="396"/>
      <c r="D82" s="87">
        <v>4</v>
      </c>
      <c r="E82" s="260">
        <f ca="1">OFFSET('Actual RAB roll forward'!H$49,0,D82-1)-SUM('Actual RAB roll forward'!H146:OFFSET('Actual RAB roll forward'!H146,0,Input!$Y$7-1))</f>
        <v>4.6671371583834969</v>
      </c>
      <c r="F82" s="260">
        <f ca="1">IF(A6stdlife="N/A","n/a",IF(E82=0,0,A6stdlife+D82-Input!$Y$7))</f>
        <v>43</v>
      </c>
      <c r="G82" s="256"/>
      <c r="H82" s="396"/>
      <c r="I82" s="87">
        <v>4</v>
      </c>
      <c r="J82" s="260">
        <f ca="1">OFFSET('Tax value roll forward'!H$45,0,I82-1)-SUM('Tax value roll forward'!H142:OFFSET('Tax value roll forward'!H142,0,Input!$Y$7-1))</f>
        <v>4.9433528033613507</v>
      </c>
      <c r="K82" s="260">
        <f ca="1">IF(A6taxstdlife="N/A","n/a",IF(J82=0,0,A6taxstdlife+I82-Input!$Y$7))</f>
        <v>38</v>
      </c>
      <c r="L82" s="111"/>
      <c r="M82" s="9"/>
      <c r="N82" s="9"/>
      <c r="O82" s="9"/>
      <c r="P82" s="9"/>
      <c r="Q82" s="9"/>
      <c r="R82" s="9"/>
      <c r="S82" s="253"/>
      <c r="T82" s="253"/>
      <c r="U82" s="253"/>
      <c r="V82" s="253"/>
      <c r="W82" s="253"/>
      <c r="X82" s="253"/>
      <c r="Y82" s="253"/>
      <c r="Z82" s="253"/>
    </row>
    <row r="83" spans="1:26" hidden="1" outlineLevel="1">
      <c r="A83" s="9"/>
      <c r="B83" s="9"/>
      <c r="C83" s="396"/>
      <c r="D83" s="87">
        <v>5</v>
      </c>
      <c r="E83" s="260">
        <f ca="1">OFFSET('Actual RAB roll forward'!H$49,0,D83-1)-SUM('Actual RAB roll forward'!H147:OFFSET('Actual RAB roll forward'!H147,0,Input!$Y$7-1))</f>
        <v>6.6953900300533276</v>
      </c>
      <c r="F83" s="260">
        <f ca="1">IF(A6stdlife="N/A","n/a",IF(E83=0,0,A6stdlife+D83-Input!$Y$7))</f>
        <v>44</v>
      </c>
      <c r="G83" s="256"/>
      <c r="H83" s="396"/>
      <c r="I83" s="87">
        <v>5</v>
      </c>
      <c r="J83" s="260">
        <f ca="1">OFFSET('Tax value roll forward'!H$45,0,I83-1)-SUM('Tax value roll forward'!H143:OFFSET('Tax value roll forward'!H143,0,Input!$Y$7-1))</f>
        <v>7.365778992000001</v>
      </c>
      <c r="K83" s="260">
        <f ca="1">IF(A6taxstdlife="N/A","n/a",IF(J83=0,0,A6taxstdlife+I83-Input!$Y$7))</f>
        <v>39</v>
      </c>
      <c r="L83" s="111"/>
      <c r="M83" s="9"/>
      <c r="N83" s="9"/>
      <c r="O83" s="9"/>
      <c r="P83" s="9"/>
      <c r="Q83" s="9"/>
      <c r="R83" s="9"/>
      <c r="S83" s="253"/>
      <c r="T83" s="253"/>
      <c r="U83" s="253"/>
      <c r="V83" s="253"/>
      <c r="W83" s="253"/>
      <c r="X83" s="253"/>
      <c r="Y83" s="253"/>
      <c r="Z83" s="253"/>
    </row>
    <row r="84" spans="1:26" hidden="1" outlineLevel="1">
      <c r="A84" s="9"/>
      <c r="B84" s="9"/>
      <c r="C84" s="396"/>
      <c r="D84" s="87">
        <v>6</v>
      </c>
      <c r="E84" s="260">
        <f ca="1">OFFSET('Actual RAB roll forward'!H$49,0,D84-1)-SUM('Actual RAB roll forward'!H148:OFFSET('Actual RAB roll forward'!H148,0,Input!$Y$7-1))</f>
        <v>8.2116330839208604</v>
      </c>
      <c r="F84" s="260">
        <f ca="1">IF(A6stdlife="N/A","n/a",IF(E84=0,0,A6stdlife+D84-Input!$Y$7))</f>
        <v>45</v>
      </c>
      <c r="G84" s="256"/>
      <c r="H84" s="396"/>
      <c r="I84" s="87">
        <v>6</v>
      </c>
      <c r="J84" s="260">
        <f ca="1">OFFSET('Tax value roll forward'!H$45,0,I84-1)-SUM('Tax value roll forward'!H144:OFFSET('Tax value roll forward'!H144,0,Input!$Y$7-1))</f>
        <v>9.2459256838322652</v>
      </c>
      <c r="K84" s="260">
        <f ca="1">IF(A6taxstdlife="N/A","n/a",IF(J84=0,0,A6taxstdlife+I84-Input!$Y$7))</f>
        <v>40</v>
      </c>
      <c r="L84" s="111"/>
      <c r="M84" s="9"/>
      <c r="N84" s="9"/>
      <c r="O84" s="9"/>
      <c r="P84" s="9"/>
      <c r="Q84" s="9"/>
      <c r="R84" s="9"/>
      <c r="S84" s="253"/>
      <c r="T84" s="253"/>
      <c r="U84" s="253"/>
      <c r="V84" s="253"/>
      <c r="W84" s="253"/>
      <c r="X84" s="253"/>
      <c r="Y84" s="253"/>
      <c r="Z84" s="253"/>
    </row>
    <row r="85" spans="1:26" hidden="1" outlineLevel="1">
      <c r="A85" s="9"/>
      <c r="B85" s="9"/>
      <c r="C85" s="396"/>
      <c r="D85" s="87">
        <v>7</v>
      </c>
      <c r="E85" s="260">
        <f ca="1">OFFSET('Actual RAB roll forward'!H$49,0,D85-1)-SUM('Actual RAB roll forward'!H149:OFFSET('Actual RAB roll forward'!H149,0,Input!$Y$7-1))</f>
        <v>0</v>
      </c>
      <c r="F85" s="260">
        <f ca="1">IF(A6stdlife="N/A","n/a",IF(E85=0,0,A6stdlife+D85-Input!$Y$7))</f>
        <v>0</v>
      </c>
      <c r="G85" s="256"/>
      <c r="H85" s="396"/>
      <c r="I85" s="87">
        <v>7</v>
      </c>
      <c r="J85" s="260">
        <f ca="1">OFFSET('Tax value roll forward'!H$45,0,I85-1)-SUM('Tax value roll forward'!H145:OFFSET('Tax value roll forward'!H145,0,Input!$Y$7-1))</f>
        <v>0</v>
      </c>
      <c r="K85" s="260">
        <f ca="1">IF(A6taxstdlife="N/A","n/a",IF(J85=0,0,A6taxstdlife+I85-Input!$Y$7))</f>
        <v>0</v>
      </c>
      <c r="L85" s="111"/>
      <c r="M85" s="9"/>
      <c r="N85" s="9"/>
      <c r="O85" s="9"/>
      <c r="P85" s="9"/>
      <c r="Q85" s="9"/>
      <c r="R85" s="9"/>
      <c r="S85" s="253"/>
      <c r="T85" s="253"/>
      <c r="U85" s="253"/>
      <c r="V85" s="253"/>
      <c r="W85" s="253"/>
      <c r="X85" s="253"/>
      <c r="Y85" s="253"/>
      <c r="Z85" s="253"/>
    </row>
    <row r="86" spans="1:26" hidden="1" outlineLevel="1">
      <c r="A86" s="9"/>
      <c r="B86" s="9"/>
      <c r="C86" s="396"/>
      <c r="D86" s="87">
        <v>8</v>
      </c>
      <c r="E86" s="260">
        <f ca="1">OFFSET('Actual RAB roll forward'!H$49,0,D86-1)-SUM('Actual RAB roll forward'!H150:OFFSET('Actual RAB roll forward'!H150,0,Input!$Y$7-1))</f>
        <v>0</v>
      </c>
      <c r="F86" s="260">
        <f ca="1">IF(A6stdlife="N/A","n/a",IF(E86=0,0,A6stdlife+D86-Input!$Y$7))</f>
        <v>0</v>
      </c>
      <c r="G86" s="256"/>
      <c r="H86" s="396"/>
      <c r="I86" s="87">
        <v>8</v>
      </c>
      <c r="J86" s="260">
        <f ca="1">OFFSET('Tax value roll forward'!H$45,0,I86-1)-SUM('Tax value roll forward'!H146:OFFSET('Tax value roll forward'!H146,0,Input!$Y$7-1))</f>
        <v>0</v>
      </c>
      <c r="K86" s="260">
        <f ca="1">IF(A6taxstdlife="N/A","n/a",IF(J86=0,0,A6taxstdlife+I86-Input!$Y$7))</f>
        <v>0</v>
      </c>
      <c r="L86" s="111"/>
      <c r="M86" s="9"/>
      <c r="N86" s="9"/>
      <c r="O86" s="9"/>
      <c r="P86" s="9"/>
      <c r="Q86" s="9"/>
      <c r="R86" s="9"/>
      <c r="S86" s="253"/>
      <c r="T86" s="253"/>
      <c r="U86" s="253"/>
      <c r="V86" s="253"/>
      <c r="W86" s="253"/>
      <c r="X86" s="253"/>
      <c r="Y86" s="253"/>
      <c r="Z86" s="253"/>
    </row>
    <row r="87" spans="1:26" hidden="1" outlineLevel="1">
      <c r="A87" s="9"/>
      <c r="B87" s="9"/>
      <c r="C87" s="396"/>
      <c r="D87" s="87">
        <v>9</v>
      </c>
      <c r="E87" s="260">
        <f ca="1">OFFSET('Actual RAB roll forward'!H$49,0,D87-1)-SUM('Actual RAB roll forward'!H151:OFFSET('Actual RAB roll forward'!H151,0,Input!$Y$7-1))</f>
        <v>0</v>
      </c>
      <c r="F87" s="260">
        <f ca="1">IF(A6stdlife="N/A","n/a",IF(E87=0,0,A6stdlife+D87-Input!$Y$7))</f>
        <v>0</v>
      </c>
      <c r="G87" s="256"/>
      <c r="H87" s="396"/>
      <c r="I87" s="87">
        <v>9</v>
      </c>
      <c r="J87" s="260">
        <f ca="1">OFFSET('Tax value roll forward'!H$45,0,I87-1)-SUM('Tax value roll forward'!H147:OFFSET('Tax value roll forward'!H147,0,Input!$Y$7-1))</f>
        <v>0</v>
      </c>
      <c r="K87" s="260">
        <f ca="1">IF(A6taxstdlife="N/A","n/a",IF(J87=0,0,A6taxstdlife+I87-Input!$Y$7))</f>
        <v>0</v>
      </c>
      <c r="L87" s="111"/>
      <c r="M87" s="9"/>
      <c r="N87" s="9"/>
      <c r="O87" s="9"/>
      <c r="P87" s="9"/>
      <c r="Q87" s="9"/>
      <c r="R87" s="9"/>
      <c r="S87" s="253"/>
      <c r="T87" s="253"/>
      <c r="U87" s="253"/>
      <c r="V87" s="253"/>
      <c r="W87" s="253"/>
      <c r="X87" s="253"/>
      <c r="Y87" s="253"/>
      <c r="Z87" s="253"/>
    </row>
    <row r="88" spans="1:26" hidden="1" outlineLevel="1">
      <c r="A88" s="9"/>
      <c r="B88" s="9"/>
      <c r="C88" s="397"/>
      <c r="D88" s="88">
        <v>10</v>
      </c>
      <c r="E88" s="260">
        <f ca="1">OFFSET('Actual RAB roll forward'!H$49,0,D88-1)-SUM('Actual RAB roll forward'!H152:OFFSET('Actual RAB roll forward'!H152,0,Input!$Y$7-1))</f>
        <v>0</v>
      </c>
      <c r="F88" s="260">
        <f ca="1">IF(A6stdlife="N/A","n/a",IF(E88=0,0,A6stdlife+D88-Input!$Y$7))</f>
        <v>0</v>
      </c>
      <c r="G88" s="256"/>
      <c r="H88" s="397"/>
      <c r="I88" s="88">
        <v>10</v>
      </c>
      <c r="J88" s="260">
        <f ca="1">OFFSET('Tax value roll forward'!H$45,0,I88-1)-SUM('Tax value roll forward'!H148:OFFSET('Tax value roll forward'!H148,0,Input!$Y$7-1))</f>
        <v>0</v>
      </c>
      <c r="K88" s="260">
        <f ca="1">IF(A6taxstdlife="N/A","n/a",IF(J88=0,0,A6taxstdlife+I88-Input!$Y$7))</f>
        <v>0</v>
      </c>
      <c r="L88" s="111"/>
      <c r="M88" s="9"/>
      <c r="N88" s="9"/>
      <c r="O88" s="9"/>
      <c r="P88" s="9"/>
      <c r="Q88" s="9"/>
      <c r="R88" s="9"/>
      <c r="S88" s="253"/>
      <c r="T88" s="253"/>
      <c r="U88" s="253"/>
      <c r="V88" s="253"/>
      <c r="W88" s="253"/>
      <c r="X88" s="253"/>
      <c r="Y88" s="253"/>
      <c r="Z88" s="253"/>
    </row>
    <row r="89" spans="1:26" collapsed="1">
      <c r="A89" s="9"/>
      <c r="B89" s="9"/>
      <c r="C89" s="274" t="str">
        <f>Asset6</f>
        <v>Establishment</v>
      </c>
      <c r="D89" s="9"/>
      <c r="E89" s="260">
        <f ca="1">SUM(E78:E88)</f>
        <v>128.9854481695443</v>
      </c>
      <c r="F89" s="260">
        <f ca="1">IF(E89=0,0,SUMPRODUCT(E78:E88,F78:F88)/E89)</f>
        <v>33.556811022201828</v>
      </c>
      <c r="G89" s="256"/>
      <c r="H89" s="43"/>
      <c r="I89" s="260"/>
      <c r="J89" s="260">
        <f ca="1">SUM(J78:J88)</f>
        <v>123.89961136874005</v>
      </c>
      <c r="K89" s="260">
        <f ca="1">IF(J89=0,0,SUMPRODUCT(J78:J88,K78:K88)/J89)</f>
        <v>32.54131764572724</v>
      </c>
      <c r="L89" s="111"/>
      <c r="M89" s="9"/>
      <c r="N89" s="9"/>
      <c r="O89" s="9"/>
      <c r="P89" s="9"/>
      <c r="Q89" s="9"/>
      <c r="R89" s="9"/>
      <c r="S89" s="253"/>
      <c r="T89" s="253"/>
      <c r="U89" s="253"/>
      <c r="V89" s="253"/>
      <c r="W89" s="253"/>
      <c r="X89" s="253"/>
      <c r="Y89" s="253"/>
      <c r="Z89" s="253"/>
    </row>
    <row r="90" spans="1:26" hidden="1" outlineLevel="1">
      <c r="A90" s="9"/>
      <c r="B90" s="9"/>
      <c r="C90" s="274"/>
      <c r="D90" s="9"/>
      <c r="E90" s="260"/>
      <c r="F90" s="260"/>
      <c r="G90" s="256"/>
      <c r="H90" s="260"/>
      <c r="I90" s="260"/>
      <c r="J90" s="265"/>
      <c r="K90" s="260"/>
      <c r="L90" s="111"/>
      <c r="M90" s="9"/>
      <c r="N90" s="9"/>
      <c r="O90" s="9"/>
      <c r="P90" s="9"/>
      <c r="Q90" s="9"/>
      <c r="R90" s="9"/>
      <c r="S90" s="253"/>
      <c r="T90" s="253"/>
      <c r="U90" s="253"/>
      <c r="V90" s="253"/>
      <c r="W90" s="253"/>
      <c r="X90" s="253"/>
      <c r="Y90" s="253"/>
      <c r="Z90" s="253"/>
    </row>
    <row r="91" spans="1:26" hidden="1" outlineLevel="1">
      <c r="A91" s="9"/>
      <c r="B91" s="272" t="str">
        <f>Asset7</f>
        <v>Communications</v>
      </c>
      <c r="C91" s="9"/>
      <c r="D91" s="12"/>
      <c r="E91" s="260"/>
      <c r="F91" s="260"/>
      <c r="G91" s="256"/>
      <c r="H91" s="260"/>
      <c r="I91" s="260"/>
      <c r="J91" s="265"/>
      <c r="K91" s="260"/>
      <c r="L91" s="111"/>
      <c r="M91" s="9"/>
      <c r="N91" s="9"/>
      <c r="O91" s="9"/>
      <c r="P91" s="9"/>
      <c r="Q91" s="9"/>
      <c r="R91" s="9"/>
      <c r="S91" s="253"/>
      <c r="T91" s="253"/>
      <c r="U91" s="253"/>
      <c r="V91" s="253"/>
      <c r="W91" s="253"/>
      <c r="X91" s="253"/>
      <c r="Y91" s="253"/>
      <c r="Z91" s="253"/>
    </row>
    <row r="92" spans="1:26" ht="12.75" hidden="1" customHeight="1" outlineLevel="1">
      <c r="A92" s="9"/>
      <c r="B92" s="9"/>
      <c r="C92" s="393" t="s">
        <v>26</v>
      </c>
      <c r="D92" s="394"/>
      <c r="E92" s="260">
        <f ca="1">A7value-SUM('Actual RAB roll forward'!H154:OFFSET('Actual RAB roll forward'!H154,0,Input!$Y$7-1))</f>
        <v>3.3765252146332116</v>
      </c>
      <c r="F92" s="260">
        <f>IF(A7remlife="N/A","n/a",A7remlife-Input!$Y$7)</f>
        <v>2.5505941352824451</v>
      </c>
      <c r="G92" s="256"/>
      <c r="H92" s="298" t="s">
        <v>66</v>
      </c>
      <c r="I92" s="299"/>
      <c r="J92" s="260">
        <f ca="1">A7taxvalue-SUM('Tax value roll forward'!H150:OFFSET('Tax value roll forward'!H150,0,Input!$Y$7-1))</f>
        <v>4.7923126582650006</v>
      </c>
      <c r="K92" s="260">
        <f>IF(A7taxremlife="N/A","n/a",A7taxremlife-Input!$Y$7)</f>
        <v>4.0286377656851542</v>
      </c>
      <c r="L92" s="111"/>
      <c r="M92" s="9"/>
      <c r="N92" s="9"/>
      <c r="O92" s="9"/>
      <c r="P92" s="9"/>
      <c r="Q92" s="9"/>
      <c r="R92" s="9"/>
      <c r="S92" s="253"/>
      <c r="T92" s="253"/>
      <c r="U92" s="253"/>
      <c r="V92" s="253"/>
      <c r="W92" s="253"/>
      <c r="X92" s="253"/>
      <c r="Y92" s="253"/>
      <c r="Z92" s="253"/>
    </row>
    <row r="93" spans="1:26" hidden="1" outlineLevel="1">
      <c r="A93" s="9"/>
      <c r="B93" s="9"/>
      <c r="C93" s="395" t="s">
        <v>82</v>
      </c>
      <c r="D93" s="87">
        <v>1</v>
      </c>
      <c r="E93" s="260">
        <f ca="1">OFFSET('Actual RAB roll forward'!H$50,0,D93-1)-SUM('Actual RAB roll forward'!H156:OFFSET('Actual RAB roll forward'!H156,0,Input!$Y$7-1))</f>
        <v>0.23102444144871953</v>
      </c>
      <c r="F93" s="260">
        <f ca="1">IF(A7stdlife="N/A","n/a",IF(E93=0,0,A7stdlife+D93-Input!$Y$7))</f>
        <v>10</v>
      </c>
      <c r="G93" s="256"/>
      <c r="H93" s="395" t="s">
        <v>82</v>
      </c>
      <c r="I93" s="87">
        <v>1</v>
      </c>
      <c r="J93" s="260">
        <f ca="1">OFFSET('Tax value roll forward'!H$46,0,I93-1)-SUM('Tax value roll forward'!H152:OFFSET('Tax value roll forward'!H152,0,Input!$Y$7-1))</f>
        <v>0.20324698799999999</v>
      </c>
      <c r="K93" s="260">
        <f ca="1">IF(A7taxstdlife="N/A","n/a",IF(J93=0,0,A7taxstdlife+I93-Input!$Y$7))</f>
        <v>7.5</v>
      </c>
      <c r="L93" s="111"/>
      <c r="M93" s="9"/>
      <c r="N93" s="9"/>
      <c r="O93" s="9"/>
      <c r="P93" s="9"/>
      <c r="Q93" s="9"/>
      <c r="R93" s="9"/>
      <c r="S93" s="253"/>
      <c r="T93" s="253"/>
      <c r="U93" s="253"/>
      <c r="V93" s="253"/>
      <c r="W93" s="253"/>
      <c r="X93" s="253"/>
      <c r="Y93" s="253"/>
      <c r="Z93" s="253"/>
    </row>
    <row r="94" spans="1:26" hidden="1" outlineLevel="1">
      <c r="A94" s="9"/>
      <c r="B94" s="9"/>
      <c r="C94" s="396"/>
      <c r="D94" s="87">
        <v>2</v>
      </c>
      <c r="E94" s="260">
        <f ca="1">OFFSET('Actual RAB roll forward'!H$50,0,D94-1)-SUM('Actual RAB roll forward'!H157:OFFSET('Actual RAB roll forward'!H157,0,Input!$Y$7-1))</f>
        <v>1.4765644850657327</v>
      </c>
      <c r="F94" s="260">
        <f ca="1">IF(A7stdlife="N/A","n/a",IF(E94=0,0,A7stdlife+D94-Input!$Y$7))</f>
        <v>11</v>
      </c>
      <c r="G94" s="256"/>
      <c r="H94" s="396"/>
      <c r="I94" s="87">
        <v>2</v>
      </c>
      <c r="J94" s="260">
        <f ca="1">OFFSET('Tax value roll forward'!H$46,0,I94-1)-SUM('Tax value roll forward'!H153:OFFSET('Tax value roll forward'!H153,0,Input!$Y$7-1))</f>
        <v>1.39838871932</v>
      </c>
      <c r="K94" s="260">
        <f ca="1">IF(A7taxstdlife="N/A","n/a",IF(J94=0,0,A7taxstdlife+I94-Input!$Y$7))</f>
        <v>8.5</v>
      </c>
      <c r="L94" s="111"/>
      <c r="M94" s="9"/>
      <c r="N94" s="9"/>
      <c r="O94" s="9"/>
      <c r="P94" s="9"/>
      <c r="Q94" s="9"/>
      <c r="R94" s="9"/>
      <c r="S94" s="253"/>
      <c r="T94" s="253"/>
      <c r="U94" s="253"/>
      <c r="V94" s="253"/>
      <c r="W94" s="253"/>
      <c r="X94" s="253"/>
      <c r="Y94" s="253"/>
      <c r="Z94" s="253"/>
    </row>
    <row r="95" spans="1:26" hidden="1" outlineLevel="1">
      <c r="A95" s="9"/>
      <c r="B95" s="9"/>
      <c r="C95" s="396"/>
      <c r="D95" s="87">
        <v>3</v>
      </c>
      <c r="E95" s="260">
        <f ca="1">OFFSET('Actual RAB roll forward'!H$50,0,D95-1)-SUM('Actual RAB roll forward'!H158:OFFSET('Actual RAB roll forward'!H158,0,Input!$Y$7-1))</f>
        <v>9.0729007139950077</v>
      </c>
      <c r="F95" s="260">
        <f ca="1">IF(A7stdlife="N/A","n/a",IF(E95=0,0,A7stdlife+D95-Input!$Y$7))</f>
        <v>12</v>
      </c>
      <c r="G95" s="256"/>
      <c r="H95" s="396"/>
      <c r="I95" s="87">
        <v>3</v>
      </c>
      <c r="J95" s="260">
        <f ca="1">OFFSET('Tax value roll forward'!H$46,0,I95-1)-SUM('Tax value roll forward'!H154:OFFSET('Tax value roll forward'!H154,0,Input!$Y$7-1))</f>
        <v>8.9647961667999994</v>
      </c>
      <c r="K95" s="260">
        <f ca="1">IF(A7taxstdlife="N/A","n/a",IF(J95=0,0,A7taxstdlife+I95-Input!$Y$7))</f>
        <v>9.5</v>
      </c>
      <c r="L95" s="111"/>
      <c r="M95" s="9"/>
      <c r="N95" s="9"/>
      <c r="O95" s="9"/>
      <c r="P95" s="9"/>
      <c r="Q95" s="9"/>
      <c r="R95" s="9"/>
      <c r="S95" s="253"/>
      <c r="T95" s="253"/>
      <c r="U95" s="253"/>
      <c r="V95" s="253"/>
      <c r="W95" s="253"/>
      <c r="X95" s="253"/>
      <c r="Y95" s="253"/>
      <c r="Z95" s="253"/>
    </row>
    <row r="96" spans="1:26" hidden="1" outlineLevel="1">
      <c r="A96" s="9"/>
      <c r="B96" s="9"/>
      <c r="C96" s="396"/>
      <c r="D96" s="87">
        <v>4</v>
      </c>
      <c r="E96" s="260">
        <f ca="1">OFFSET('Actual RAB roll forward'!H$50,0,D96-1)-SUM('Actual RAB roll forward'!H159:OFFSET('Actual RAB roll forward'!H159,0,Input!$Y$7-1))</f>
        <v>5.3857207014001114</v>
      </c>
      <c r="F96" s="260">
        <f ca="1">IF(A7stdlife="N/A","n/a",IF(E96=0,0,A7stdlife+D96-Input!$Y$7))</f>
        <v>13</v>
      </c>
      <c r="G96" s="256"/>
      <c r="H96" s="396"/>
      <c r="I96" s="87">
        <v>4</v>
      </c>
      <c r="J96" s="260">
        <f ca="1">OFFSET('Tax value roll forward'!H$46,0,I96-1)-SUM('Tax value roll forward'!H155:OFFSET('Tax value roll forward'!H155,0,Input!$Y$7-1))</f>
        <v>5.5612753644000019</v>
      </c>
      <c r="K96" s="260">
        <f ca="1">IF(A7taxstdlife="N/A","n/a",IF(J96=0,0,A7taxstdlife+I96-Input!$Y$7))</f>
        <v>10.5</v>
      </c>
      <c r="L96" s="111"/>
      <c r="M96" s="9"/>
      <c r="N96" s="9"/>
      <c r="O96" s="9"/>
      <c r="P96" s="9"/>
      <c r="Q96" s="9"/>
      <c r="R96" s="9"/>
      <c r="S96" s="253"/>
      <c r="T96" s="253"/>
      <c r="U96" s="253"/>
      <c r="V96" s="253"/>
      <c r="W96" s="253"/>
      <c r="X96" s="253"/>
      <c r="Y96" s="253"/>
      <c r="Z96" s="253"/>
    </row>
    <row r="97" spans="1:26" hidden="1" outlineLevel="1">
      <c r="A97" s="9"/>
      <c r="B97" s="9"/>
      <c r="C97" s="396"/>
      <c r="D97" s="87">
        <v>5</v>
      </c>
      <c r="E97" s="260">
        <f ca="1">OFFSET('Actual RAB roll forward'!H$50,0,D97-1)-SUM('Actual RAB roll forward'!H160:OFFSET('Actual RAB roll forward'!H160,0,Input!$Y$7-1))</f>
        <v>3.794688383510338</v>
      </c>
      <c r="F97" s="260">
        <f ca="1">IF(A7stdlife="N/A","n/a",IF(E97=0,0,A7stdlife+D97-Input!$Y$7))</f>
        <v>14</v>
      </c>
      <c r="G97" s="256"/>
      <c r="H97" s="396"/>
      <c r="I97" s="87">
        <v>5</v>
      </c>
      <c r="J97" s="260">
        <f ca="1">OFFSET('Tax value roll forward'!H$46,0,I97-1)-SUM('Tax value roll forward'!H156:OFFSET('Tax value roll forward'!H156,0,Input!$Y$7-1))</f>
        <v>4.1267248968000008</v>
      </c>
      <c r="K97" s="260">
        <f ca="1">IF(A7taxstdlife="N/A","n/a",IF(J97=0,0,A7taxstdlife+I97-Input!$Y$7))</f>
        <v>11.5</v>
      </c>
      <c r="L97" s="111"/>
      <c r="M97" s="9"/>
      <c r="N97" s="9"/>
      <c r="O97" s="9"/>
      <c r="P97" s="9"/>
      <c r="Q97" s="9"/>
      <c r="R97" s="9"/>
      <c r="S97" s="253"/>
      <c r="T97" s="253"/>
      <c r="U97" s="253"/>
      <c r="V97" s="253"/>
      <c r="W97" s="253"/>
      <c r="X97" s="253"/>
      <c r="Y97" s="253"/>
      <c r="Z97" s="253"/>
    </row>
    <row r="98" spans="1:26" hidden="1" outlineLevel="1">
      <c r="A98" s="9"/>
      <c r="B98" s="9"/>
      <c r="C98" s="396"/>
      <c r="D98" s="87">
        <v>6</v>
      </c>
      <c r="E98" s="260">
        <f ca="1">OFFSET('Actual RAB roll forward'!H$50,0,D98-1)-SUM('Actual RAB roll forward'!H161:OFFSET('Actual RAB roll forward'!H161,0,Input!$Y$7-1))</f>
        <v>4.8150151722325072</v>
      </c>
      <c r="F98" s="260">
        <f ca="1">IF(A7stdlife="N/A","n/a",IF(E98=0,0,A7stdlife+D98-Input!$Y$7))</f>
        <v>15</v>
      </c>
      <c r="G98" s="256"/>
      <c r="H98" s="396"/>
      <c r="I98" s="87">
        <v>6</v>
      </c>
      <c r="J98" s="260">
        <f ca="1">OFFSET('Tax value roll forward'!H$46,0,I98-1)-SUM('Tax value roll forward'!H157:OFFSET('Tax value roll forward'!H157,0,Input!$Y$7-1))</f>
        <v>5.4214882708482728</v>
      </c>
      <c r="K98" s="260">
        <f ca="1">IF(A7taxstdlife="N/A","n/a",IF(J98=0,0,A7taxstdlife+I98-Input!$Y$7))</f>
        <v>12.5</v>
      </c>
      <c r="L98" s="111"/>
      <c r="M98" s="9"/>
      <c r="N98" s="9"/>
      <c r="O98" s="9"/>
      <c r="P98" s="9"/>
      <c r="Q98" s="9"/>
      <c r="R98" s="9"/>
      <c r="S98" s="253"/>
      <c r="T98" s="253"/>
      <c r="U98" s="253"/>
      <c r="V98" s="253"/>
      <c r="W98" s="253"/>
      <c r="X98" s="253"/>
      <c r="Y98" s="253"/>
      <c r="Z98" s="253"/>
    </row>
    <row r="99" spans="1:26" hidden="1" outlineLevel="1">
      <c r="A99" s="9"/>
      <c r="B99" s="9"/>
      <c r="C99" s="396"/>
      <c r="D99" s="87">
        <v>7</v>
      </c>
      <c r="E99" s="260">
        <f ca="1">OFFSET('Actual RAB roll forward'!H$50,0,D99-1)-SUM('Actual RAB roll forward'!H162:OFFSET('Actual RAB roll forward'!H162,0,Input!$Y$7-1))</f>
        <v>0</v>
      </c>
      <c r="F99" s="260">
        <f ca="1">IF(A7stdlife="N/A","n/a",IF(E99=0,0,A7stdlife+D99-Input!$Y$7))</f>
        <v>0</v>
      </c>
      <c r="G99" s="256"/>
      <c r="H99" s="396"/>
      <c r="I99" s="87">
        <v>7</v>
      </c>
      <c r="J99" s="260">
        <f ca="1">OFFSET('Tax value roll forward'!H$46,0,I99-1)-SUM('Tax value roll forward'!H158:OFFSET('Tax value roll forward'!H158,0,Input!$Y$7-1))</f>
        <v>0</v>
      </c>
      <c r="K99" s="260">
        <f ca="1">IF(A7taxstdlife="N/A","n/a",IF(J99=0,0,A7taxstdlife+I99-Input!$Y$7))</f>
        <v>0</v>
      </c>
      <c r="L99" s="111"/>
      <c r="M99" s="9"/>
      <c r="N99" s="9"/>
      <c r="O99" s="9"/>
      <c r="P99" s="9"/>
      <c r="Q99" s="9"/>
      <c r="R99" s="9"/>
      <c r="S99" s="253"/>
      <c r="T99" s="253"/>
      <c r="U99" s="253"/>
      <c r="V99" s="253"/>
      <c r="W99" s="253"/>
      <c r="X99" s="253"/>
      <c r="Y99" s="253"/>
      <c r="Z99" s="253"/>
    </row>
    <row r="100" spans="1:26" hidden="1" outlineLevel="1">
      <c r="A100" s="9"/>
      <c r="B100" s="9"/>
      <c r="C100" s="396"/>
      <c r="D100" s="87">
        <v>8</v>
      </c>
      <c r="E100" s="260">
        <f ca="1">OFFSET('Actual RAB roll forward'!H$50,0,D100-1)-SUM('Actual RAB roll forward'!H163:OFFSET('Actual RAB roll forward'!H163,0,Input!$Y$7-1))</f>
        <v>0</v>
      </c>
      <c r="F100" s="260">
        <f ca="1">IF(A7stdlife="N/A","n/a",IF(E100=0,0,A7stdlife+D100-Input!$Y$7))</f>
        <v>0</v>
      </c>
      <c r="G100" s="256"/>
      <c r="H100" s="396"/>
      <c r="I100" s="87">
        <v>8</v>
      </c>
      <c r="J100" s="260">
        <f ca="1">OFFSET('Tax value roll forward'!H$46,0,I100-1)-SUM('Tax value roll forward'!H159:OFFSET('Tax value roll forward'!H159,0,Input!$Y$7-1))</f>
        <v>0</v>
      </c>
      <c r="K100" s="260">
        <f ca="1">IF(A7taxstdlife="N/A","n/a",IF(J100=0,0,A7taxstdlife+I100-Input!$Y$7))</f>
        <v>0</v>
      </c>
      <c r="L100" s="111"/>
      <c r="M100" s="9"/>
      <c r="N100" s="9"/>
      <c r="O100" s="9"/>
      <c r="P100" s="9"/>
      <c r="Q100" s="9"/>
      <c r="R100" s="9"/>
      <c r="S100" s="253"/>
      <c r="T100" s="253"/>
      <c r="U100" s="253"/>
      <c r="V100" s="253"/>
      <c r="W100" s="253"/>
      <c r="X100" s="253"/>
      <c r="Y100" s="253"/>
      <c r="Z100" s="253"/>
    </row>
    <row r="101" spans="1:26" hidden="1" outlineLevel="1">
      <c r="A101" s="9"/>
      <c r="B101" s="9"/>
      <c r="C101" s="396"/>
      <c r="D101" s="87">
        <v>9</v>
      </c>
      <c r="E101" s="260">
        <f ca="1">OFFSET('Actual RAB roll forward'!H$50,0,D101-1)-SUM('Actual RAB roll forward'!H164:OFFSET('Actual RAB roll forward'!H164,0,Input!$Y$7-1))</f>
        <v>0</v>
      </c>
      <c r="F101" s="260">
        <f ca="1">IF(A7stdlife="N/A","n/a",IF(E101=0,0,A7stdlife+D101-Input!$Y$7))</f>
        <v>0</v>
      </c>
      <c r="G101" s="256"/>
      <c r="H101" s="396"/>
      <c r="I101" s="87">
        <v>9</v>
      </c>
      <c r="J101" s="260">
        <f ca="1">OFFSET('Tax value roll forward'!H$46,0,I101-1)-SUM('Tax value roll forward'!H160:OFFSET('Tax value roll forward'!H160,0,Input!$Y$7-1))</f>
        <v>0</v>
      </c>
      <c r="K101" s="260">
        <f ca="1">IF(A7taxstdlife="N/A","n/a",IF(J101=0,0,A7taxstdlife+I101-Input!$Y$7))</f>
        <v>0</v>
      </c>
      <c r="L101" s="111"/>
      <c r="M101" s="9"/>
      <c r="N101" s="9"/>
      <c r="O101" s="9"/>
      <c r="P101" s="9"/>
      <c r="Q101" s="9"/>
      <c r="R101" s="9"/>
      <c r="S101" s="253"/>
      <c r="T101" s="253"/>
      <c r="U101" s="253"/>
      <c r="V101" s="253"/>
      <c r="W101" s="253"/>
      <c r="X101" s="253"/>
      <c r="Y101" s="253"/>
      <c r="Z101" s="253"/>
    </row>
    <row r="102" spans="1:26" hidden="1" outlineLevel="1">
      <c r="A102" s="9"/>
      <c r="B102" s="9"/>
      <c r="C102" s="397"/>
      <c r="D102" s="88">
        <v>10</v>
      </c>
      <c r="E102" s="260">
        <f ca="1">OFFSET('Actual RAB roll forward'!H$50,0,D102-1)-SUM('Actual RAB roll forward'!H165:OFFSET('Actual RAB roll forward'!H165,0,Input!$Y$7-1))</f>
        <v>0</v>
      </c>
      <c r="F102" s="260">
        <f ca="1">IF(A7stdlife="N/A","n/a",IF(E102=0,0,A7stdlife+D102-Input!$Y$7))</f>
        <v>0</v>
      </c>
      <c r="G102" s="256"/>
      <c r="H102" s="397"/>
      <c r="I102" s="88">
        <v>10</v>
      </c>
      <c r="J102" s="260">
        <f ca="1">OFFSET('Tax value roll forward'!H$46,0,I102-1)-SUM('Tax value roll forward'!H161:OFFSET('Tax value roll forward'!H161,0,Input!$Y$7-1))</f>
        <v>0</v>
      </c>
      <c r="K102" s="260">
        <f ca="1">IF(A7taxstdlife="N/A","n/a",IF(J102=0,0,A7taxstdlife+I102-Input!$Y$7))</f>
        <v>0</v>
      </c>
      <c r="L102" s="111"/>
      <c r="M102" s="9"/>
      <c r="N102" s="9"/>
      <c r="O102" s="9"/>
      <c r="P102" s="9"/>
      <c r="Q102" s="9"/>
      <c r="R102" s="9"/>
      <c r="S102" s="253"/>
      <c r="T102" s="253"/>
      <c r="U102" s="253"/>
      <c r="V102" s="253"/>
      <c r="W102" s="253"/>
      <c r="X102" s="253"/>
      <c r="Y102" s="253"/>
      <c r="Z102" s="253"/>
    </row>
    <row r="103" spans="1:26" collapsed="1">
      <c r="A103" s="9"/>
      <c r="B103" s="9"/>
      <c r="C103" s="274" t="str">
        <f>Asset7</f>
        <v>Communications</v>
      </c>
      <c r="D103" s="9"/>
      <c r="E103" s="260">
        <f ca="1">SUM(E92:E102)</f>
        <v>28.152439112285627</v>
      </c>
      <c r="F103" s="260">
        <f ca="1">IF(E103=0,0,SUMPRODUCT(E92:E102,F92:F102)/E103)</f>
        <v>11.771791441489595</v>
      </c>
      <c r="G103" s="256"/>
      <c r="H103" s="43"/>
      <c r="I103" s="260"/>
      <c r="J103" s="260">
        <f ca="1">SUM(J92:J102)</f>
        <v>30.468233064433271</v>
      </c>
      <c r="K103" s="260">
        <f ca="1">IF(J103=0,0,SUMPRODUCT(J92:J102,K92:K102)/J103)</f>
        <v>9.567408857527818</v>
      </c>
      <c r="L103" s="111"/>
      <c r="M103" s="9"/>
      <c r="N103" s="9"/>
      <c r="O103" s="9"/>
      <c r="P103" s="9"/>
      <c r="Q103" s="9"/>
      <c r="R103" s="9"/>
      <c r="S103" s="253"/>
      <c r="T103" s="253"/>
      <c r="U103" s="253"/>
      <c r="V103" s="253"/>
      <c r="W103" s="253"/>
      <c r="X103" s="253"/>
      <c r="Y103" s="253"/>
      <c r="Z103" s="253"/>
    </row>
    <row r="104" spans="1:26" hidden="1" outlineLevel="1">
      <c r="A104" s="9"/>
      <c r="B104" s="9"/>
      <c r="C104" s="274"/>
      <c r="D104" s="9"/>
      <c r="E104" s="260"/>
      <c r="F104" s="260"/>
      <c r="G104" s="256"/>
      <c r="H104" s="260"/>
      <c r="I104" s="260"/>
      <c r="J104" s="265"/>
      <c r="K104" s="260"/>
      <c r="L104" s="111"/>
      <c r="M104" s="9"/>
      <c r="N104" s="9"/>
      <c r="O104" s="9"/>
      <c r="P104" s="9"/>
      <c r="Q104" s="9"/>
      <c r="R104" s="9"/>
      <c r="S104" s="253"/>
      <c r="T104" s="253"/>
      <c r="U104" s="253"/>
      <c r="V104" s="253"/>
      <c r="W104" s="253"/>
      <c r="X104" s="253"/>
      <c r="Y104" s="253"/>
      <c r="Z104" s="253"/>
    </row>
    <row r="105" spans="1:26" hidden="1" outlineLevel="1">
      <c r="A105" s="9"/>
      <c r="B105" s="272" t="str">
        <f>Asset8</f>
        <v>Inventory</v>
      </c>
      <c r="C105" s="9"/>
      <c r="D105" s="9"/>
      <c r="E105" s="260"/>
      <c r="F105" s="260"/>
      <c r="G105" s="256"/>
      <c r="H105" s="260"/>
      <c r="I105" s="260"/>
      <c r="J105" s="265"/>
      <c r="K105" s="260"/>
      <c r="L105" s="111"/>
      <c r="M105" s="9"/>
      <c r="N105" s="9"/>
      <c r="O105" s="9"/>
      <c r="P105" s="9"/>
      <c r="Q105" s="9"/>
      <c r="R105" s="9"/>
      <c r="S105" s="253"/>
      <c r="T105" s="253"/>
      <c r="U105" s="253"/>
      <c r="V105" s="253"/>
      <c r="W105" s="253"/>
      <c r="X105" s="253"/>
      <c r="Y105" s="253"/>
      <c r="Z105" s="253"/>
    </row>
    <row r="106" spans="1:26" ht="12.75" hidden="1" customHeight="1" outlineLevel="1">
      <c r="A106" s="9"/>
      <c r="B106" s="9"/>
      <c r="C106" s="393" t="s">
        <v>26</v>
      </c>
      <c r="D106" s="394"/>
      <c r="E106" s="260">
        <f ca="1">A8value-SUM('Actual RAB roll forward'!H167:OFFSET('Actual RAB roll forward'!H167,0,Input!$Y$7-1))</f>
        <v>7.3396858953920949</v>
      </c>
      <c r="F106" s="260" t="str">
        <f>IF(A8remlife="N/A","n/a",A8remlife-Input!$Y$7)</f>
        <v>n/a</v>
      </c>
      <c r="G106" s="256"/>
      <c r="H106" s="298" t="s">
        <v>66</v>
      </c>
      <c r="I106" s="299"/>
      <c r="J106" s="260">
        <f ca="1">A8taxvalue-SUM('Tax value roll forward'!H163:OFFSET('Tax value roll forward'!H163,0,Input!$Y$7-1))</f>
        <v>5.9841243136739095</v>
      </c>
      <c r="K106" s="260" t="str">
        <f>IF(A8taxremlife="N/A","n/a",A8taxremlife-Input!$Y$7)</f>
        <v>n/a</v>
      </c>
      <c r="L106" s="111"/>
      <c r="M106" s="9"/>
      <c r="N106" s="9"/>
      <c r="O106" s="9"/>
      <c r="P106" s="9"/>
      <c r="Q106" s="9"/>
      <c r="R106" s="9"/>
      <c r="S106" s="253"/>
      <c r="T106" s="253"/>
      <c r="U106" s="253"/>
      <c r="V106" s="253"/>
      <c r="W106" s="253"/>
      <c r="X106" s="253"/>
      <c r="Y106" s="253"/>
      <c r="Z106" s="253"/>
    </row>
    <row r="107" spans="1:26" hidden="1" outlineLevel="1">
      <c r="A107" s="9"/>
      <c r="B107" s="9"/>
      <c r="C107" s="395" t="s">
        <v>82</v>
      </c>
      <c r="D107" s="87">
        <v>1</v>
      </c>
      <c r="E107" s="260">
        <f ca="1">OFFSET('Actual RAB roll forward'!H$51,0,D107-1)-SUM('Actual RAB roll forward'!H169:OFFSET('Actual RAB roll forward'!H169,0,Input!$Y$7-1))</f>
        <v>0</v>
      </c>
      <c r="F107" s="260" t="str">
        <f>IF(A8stdlife="N/A","n/a",IF(E107=0,0,A8stdlife+D107-Input!$Y$7))</f>
        <v>n/a</v>
      </c>
      <c r="G107" s="256"/>
      <c r="H107" s="395" t="s">
        <v>82</v>
      </c>
      <c r="I107" s="87">
        <v>1</v>
      </c>
      <c r="J107" s="260">
        <f ca="1">OFFSET('Tax value roll forward'!H$47,0,I107-1)-SUM('Tax value roll forward'!H165:OFFSET('Tax value roll forward'!H165,0,Input!$Y$7-1))</f>
        <v>0</v>
      </c>
      <c r="K107" s="260" t="str">
        <f>IF(A8taxstdlife="N/A","n/a",IF(J107=0,0,A8taxstdlife+I107-Input!$Y$7))</f>
        <v>n/a</v>
      </c>
      <c r="L107" s="111"/>
      <c r="M107" s="9"/>
      <c r="N107" s="9"/>
      <c r="O107" s="9"/>
      <c r="P107" s="9"/>
      <c r="Q107" s="9"/>
      <c r="R107" s="9"/>
      <c r="S107" s="253"/>
      <c r="T107" s="253"/>
      <c r="U107" s="253"/>
      <c r="V107" s="253"/>
      <c r="W107" s="253"/>
      <c r="X107" s="253"/>
      <c r="Y107" s="253"/>
      <c r="Z107" s="253"/>
    </row>
    <row r="108" spans="1:26" hidden="1" outlineLevel="1">
      <c r="A108" s="9"/>
      <c r="B108" s="9"/>
      <c r="C108" s="396"/>
      <c r="D108" s="87">
        <v>2</v>
      </c>
      <c r="E108" s="260">
        <f ca="1">OFFSET('Actual RAB roll forward'!H$51,0,D108-1)-SUM('Actual RAB roll forward'!H170:OFFSET('Actual RAB roll forward'!H170,0,Input!$Y$7-1))</f>
        <v>0</v>
      </c>
      <c r="F108" s="260" t="str">
        <f>IF(A8stdlife="N/A","n/a",IF(E108=0,0,A8stdlife+D108-Input!$Y$7))</f>
        <v>n/a</v>
      </c>
      <c r="G108" s="256"/>
      <c r="H108" s="396"/>
      <c r="I108" s="87">
        <v>2</v>
      </c>
      <c r="J108" s="260">
        <f ca="1">OFFSET('Tax value roll forward'!H$47,0,I108-1)-SUM('Tax value roll forward'!H166:OFFSET('Tax value roll forward'!H166,0,Input!$Y$7-1))</f>
        <v>0</v>
      </c>
      <c r="K108" s="260" t="str">
        <f>IF(A8taxstdlife="N/A","n/a",IF(J108=0,0,A8taxstdlife+I108-Input!$Y$7))</f>
        <v>n/a</v>
      </c>
      <c r="L108" s="111"/>
      <c r="M108" s="9"/>
      <c r="N108" s="9"/>
      <c r="O108" s="9"/>
      <c r="P108" s="9"/>
      <c r="Q108" s="9"/>
      <c r="R108" s="9"/>
      <c r="S108" s="253"/>
      <c r="T108" s="253"/>
      <c r="U108" s="253"/>
      <c r="V108" s="253"/>
      <c r="W108" s="253"/>
      <c r="X108" s="253"/>
      <c r="Y108" s="253"/>
      <c r="Z108" s="253"/>
    </row>
    <row r="109" spans="1:26" hidden="1" outlineLevel="1">
      <c r="A109" s="9"/>
      <c r="B109" s="9"/>
      <c r="C109" s="396"/>
      <c r="D109" s="87">
        <v>3</v>
      </c>
      <c r="E109" s="260">
        <f ca="1">OFFSET('Actual RAB roll forward'!H$51,0,D109-1)-SUM('Actual RAB roll forward'!H171:OFFSET('Actual RAB roll forward'!H171,0,Input!$Y$7-1))</f>
        <v>0</v>
      </c>
      <c r="F109" s="260" t="str">
        <f>IF(A8stdlife="N/A","n/a",IF(E109=0,0,A8stdlife+D109-Input!$Y$7))</f>
        <v>n/a</v>
      </c>
      <c r="G109" s="256"/>
      <c r="H109" s="396"/>
      <c r="I109" s="87">
        <v>3</v>
      </c>
      <c r="J109" s="260">
        <f ca="1">OFFSET('Tax value roll forward'!H$47,0,I109-1)-SUM('Tax value roll forward'!H167:OFFSET('Tax value roll forward'!H167,0,Input!$Y$7-1))</f>
        <v>0</v>
      </c>
      <c r="K109" s="260" t="str">
        <f>IF(A8taxstdlife="N/A","n/a",IF(J109=0,0,A8taxstdlife+I109-Input!$Y$7))</f>
        <v>n/a</v>
      </c>
      <c r="L109" s="111"/>
      <c r="M109" s="9"/>
      <c r="N109" s="9"/>
      <c r="O109" s="9"/>
      <c r="P109" s="9"/>
      <c r="Q109" s="9"/>
      <c r="R109" s="9"/>
      <c r="S109" s="253"/>
      <c r="T109" s="253"/>
      <c r="U109" s="253"/>
      <c r="V109" s="253"/>
      <c r="W109" s="253"/>
      <c r="X109" s="253"/>
      <c r="Y109" s="253"/>
      <c r="Z109" s="253"/>
    </row>
    <row r="110" spans="1:26" hidden="1" outlineLevel="1">
      <c r="A110" s="9"/>
      <c r="B110" s="9"/>
      <c r="C110" s="396"/>
      <c r="D110" s="87">
        <v>4</v>
      </c>
      <c r="E110" s="260">
        <f ca="1">OFFSET('Actual RAB roll forward'!H$51,0,D110-1)-SUM('Actual RAB roll forward'!H172:OFFSET('Actual RAB roll forward'!H172,0,Input!$Y$7-1))</f>
        <v>0</v>
      </c>
      <c r="F110" s="260" t="str">
        <f>IF(A8stdlife="N/A","n/a",IF(E110=0,0,A8stdlife+D110-Input!$Y$7))</f>
        <v>n/a</v>
      </c>
      <c r="G110" s="256"/>
      <c r="H110" s="396"/>
      <c r="I110" s="87">
        <v>4</v>
      </c>
      <c r="J110" s="260">
        <f ca="1">OFFSET('Tax value roll forward'!H$47,0,I110-1)-SUM('Tax value roll forward'!H168:OFFSET('Tax value roll forward'!H168,0,Input!$Y$7-1))</f>
        <v>0</v>
      </c>
      <c r="K110" s="260" t="str">
        <f>IF(A8taxstdlife="N/A","n/a",IF(J110=0,0,A8taxstdlife+I110-Input!$Y$7))</f>
        <v>n/a</v>
      </c>
      <c r="L110" s="111"/>
      <c r="M110" s="9"/>
      <c r="N110" s="9"/>
      <c r="O110" s="9"/>
      <c r="P110" s="9"/>
      <c r="Q110" s="9"/>
      <c r="R110" s="9"/>
      <c r="S110" s="253"/>
      <c r="T110" s="253"/>
      <c r="U110" s="253"/>
      <c r="V110" s="253"/>
      <c r="W110" s="253"/>
      <c r="X110" s="253"/>
      <c r="Y110" s="253"/>
      <c r="Z110" s="253"/>
    </row>
    <row r="111" spans="1:26" hidden="1" outlineLevel="1">
      <c r="A111" s="9"/>
      <c r="B111" s="9"/>
      <c r="C111" s="396"/>
      <c r="D111" s="87">
        <v>5</v>
      </c>
      <c r="E111" s="260">
        <f ca="1">OFFSET('Actual RAB roll forward'!H$51,0,D111-1)-SUM('Actual RAB roll forward'!H173:OFFSET('Actual RAB roll forward'!H173,0,Input!$Y$7-1))</f>
        <v>0</v>
      </c>
      <c r="F111" s="260" t="str">
        <f>IF(A8stdlife="N/A","n/a",IF(E111=0,0,A8stdlife+D111-Input!$Y$7))</f>
        <v>n/a</v>
      </c>
      <c r="G111" s="256"/>
      <c r="H111" s="396"/>
      <c r="I111" s="87">
        <v>5</v>
      </c>
      <c r="J111" s="260">
        <f ca="1">OFFSET('Tax value roll forward'!H$47,0,I111-1)-SUM('Tax value roll forward'!H169:OFFSET('Tax value roll forward'!H169,0,Input!$Y$7-1))</f>
        <v>0</v>
      </c>
      <c r="K111" s="260" t="str">
        <f>IF(A8taxstdlife="N/A","n/a",IF(J111=0,0,A8taxstdlife+I111-Input!$Y$7))</f>
        <v>n/a</v>
      </c>
      <c r="L111" s="111"/>
      <c r="M111" s="9"/>
      <c r="N111" s="9"/>
      <c r="O111" s="9"/>
      <c r="P111" s="9"/>
      <c r="Q111" s="9"/>
      <c r="R111" s="9"/>
      <c r="S111" s="253"/>
      <c r="T111" s="253"/>
      <c r="U111" s="253"/>
      <c r="V111" s="253"/>
      <c r="W111" s="253"/>
      <c r="X111" s="253"/>
      <c r="Y111" s="253"/>
      <c r="Z111" s="253"/>
    </row>
    <row r="112" spans="1:26" hidden="1" outlineLevel="1">
      <c r="A112" s="9"/>
      <c r="B112" s="9"/>
      <c r="C112" s="396"/>
      <c r="D112" s="87">
        <v>6</v>
      </c>
      <c r="E112" s="260">
        <f ca="1">OFFSET('Actual RAB roll forward'!H$51,0,D112-1)-SUM('Actual RAB roll forward'!H174:OFFSET('Actual RAB roll forward'!H174,0,Input!$Y$7-1))</f>
        <v>0</v>
      </c>
      <c r="F112" s="260" t="str">
        <f>IF(A8stdlife="N/A","n/a",IF(E112=0,0,A8stdlife+D112-Input!$Y$7))</f>
        <v>n/a</v>
      </c>
      <c r="G112" s="256"/>
      <c r="H112" s="396"/>
      <c r="I112" s="87">
        <v>6</v>
      </c>
      <c r="J112" s="260">
        <f ca="1">OFFSET('Tax value roll forward'!H$47,0,I112-1)-SUM('Tax value roll forward'!H170:OFFSET('Tax value roll forward'!H170,0,Input!$Y$7-1))</f>
        <v>0</v>
      </c>
      <c r="K112" s="260" t="str">
        <f>IF(A8taxstdlife="N/A","n/a",IF(J112=0,0,A8taxstdlife+I112-Input!$Y$7))</f>
        <v>n/a</v>
      </c>
      <c r="L112" s="111"/>
      <c r="M112" s="9"/>
      <c r="N112" s="9"/>
      <c r="O112" s="9"/>
      <c r="P112" s="9"/>
      <c r="Q112" s="9"/>
      <c r="R112" s="9"/>
      <c r="S112" s="253"/>
      <c r="T112" s="253"/>
      <c r="U112" s="253"/>
      <c r="V112" s="253"/>
      <c r="W112" s="253"/>
      <c r="X112" s="253"/>
      <c r="Y112" s="253"/>
      <c r="Z112" s="253"/>
    </row>
    <row r="113" spans="1:26" hidden="1" outlineLevel="1">
      <c r="A113" s="9"/>
      <c r="B113" s="9"/>
      <c r="C113" s="396"/>
      <c r="D113" s="87">
        <v>7</v>
      </c>
      <c r="E113" s="260">
        <f ca="1">OFFSET('Actual RAB roll forward'!H$51,0,D113-1)-SUM('Actual RAB roll forward'!H175:OFFSET('Actual RAB roll forward'!H175,0,Input!$Y$7-1))</f>
        <v>0</v>
      </c>
      <c r="F113" s="260" t="str">
        <f>IF(A8stdlife="N/A","n/a",IF(E113=0,0,A8stdlife+D113-Input!$Y$7))</f>
        <v>n/a</v>
      </c>
      <c r="G113" s="256"/>
      <c r="H113" s="396"/>
      <c r="I113" s="87">
        <v>7</v>
      </c>
      <c r="J113" s="260">
        <f ca="1">OFFSET('Tax value roll forward'!H$47,0,I113-1)-SUM('Tax value roll forward'!H171:OFFSET('Tax value roll forward'!H171,0,Input!$Y$7-1))</f>
        <v>0</v>
      </c>
      <c r="K113" s="260" t="str">
        <f>IF(A8taxstdlife="N/A","n/a",IF(J113=0,0,A8taxstdlife+I113-Input!$Y$7))</f>
        <v>n/a</v>
      </c>
      <c r="L113" s="111"/>
      <c r="M113" s="9"/>
      <c r="N113" s="9"/>
      <c r="O113" s="9"/>
      <c r="P113" s="9"/>
      <c r="Q113" s="9"/>
      <c r="R113" s="9"/>
      <c r="S113" s="253"/>
      <c r="T113" s="253"/>
      <c r="U113" s="253"/>
      <c r="V113" s="253"/>
      <c r="W113" s="253"/>
      <c r="X113" s="253"/>
      <c r="Y113" s="253"/>
      <c r="Z113" s="253"/>
    </row>
    <row r="114" spans="1:26" hidden="1" outlineLevel="1">
      <c r="A114" s="9"/>
      <c r="B114" s="9"/>
      <c r="C114" s="396"/>
      <c r="D114" s="87">
        <v>8</v>
      </c>
      <c r="E114" s="260">
        <f ca="1">OFFSET('Actual RAB roll forward'!H$51,0,D114-1)-SUM('Actual RAB roll forward'!H176:OFFSET('Actual RAB roll forward'!H176,0,Input!$Y$7-1))</f>
        <v>0</v>
      </c>
      <c r="F114" s="260" t="str">
        <f>IF(A8stdlife="N/A","n/a",IF(E114=0,0,A8stdlife+D114-Input!$Y$7))</f>
        <v>n/a</v>
      </c>
      <c r="G114" s="256"/>
      <c r="H114" s="396"/>
      <c r="I114" s="87">
        <v>8</v>
      </c>
      <c r="J114" s="260">
        <f ca="1">OFFSET('Tax value roll forward'!H$47,0,I114-1)-SUM('Tax value roll forward'!H172:OFFSET('Tax value roll forward'!H172,0,Input!$Y$7-1))</f>
        <v>0</v>
      </c>
      <c r="K114" s="260" t="str">
        <f>IF(A8taxstdlife="N/A","n/a",IF(J114=0,0,A8taxstdlife+I114-Input!$Y$7))</f>
        <v>n/a</v>
      </c>
      <c r="L114" s="111"/>
      <c r="M114" s="9"/>
      <c r="N114" s="9"/>
      <c r="O114" s="9"/>
      <c r="P114" s="9"/>
      <c r="Q114" s="9"/>
      <c r="R114" s="9"/>
      <c r="S114" s="253"/>
      <c r="T114" s="253"/>
      <c r="U114" s="253"/>
      <c r="V114" s="253"/>
      <c r="W114" s="253"/>
      <c r="X114" s="253"/>
      <c r="Y114" s="253"/>
      <c r="Z114" s="253"/>
    </row>
    <row r="115" spans="1:26" hidden="1" outlineLevel="1">
      <c r="A115" s="9"/>
      <c r="B115" s="9"/>
      <c r="C115" s="396"/>
      <c r="D115" s="87">
        <v>9</v>
      </c>
      <c r="E115" s="260">
        <f ca="1">OFFSET('Actual RAB roll forward'!H$51,0,D115-1)-SUM('Actual RAB roll forward'!H177:OFFSET('Actual RAB roll forward'!H177,0,Input!$Y$7-1))</f>
        <v>0</v>
      </c>
      <c r="F115" s="260" t="str">
        <f>IF(A8stdlife="N/A","n/a",IF(E115=0,0,A8stdlife+D115-Input!$Y$7))</f>
        <v>n/a</v>
      </c>
      <c r="G115" s="256"/>
      <c r="H115" s="396"/>
      <c r="I115" s="87">
        <v>9</v>
      </c>
      <c r="J115" s="260">
        <f ca="1">OFFSET('Tax value roll forward'!H$47,0,I115-1)-SUM('Tax value roll forward'!H173:OFFSET('Tax value roll forward'!H173,0,Input!$Y$7-1))</f>
        <v>0</v>
      </c>
      <c r="K115" s="260" t="str">
        <f>IF(A8taxstdlife="N/A","n/a",IF(J115=0,0,A8taxstdlife+I115-Input!$Y$7))</f>
        <v>n/a</v>
      </c>
      <c r="L115" s="111"/>
      <c r="M115" s="9"/>
      <c r="N115" s="9"/>
      <c r="O115" s="9"/>
      <c r="P115" s="9"/>
      <c r="Q115" s="9"/>
      <c r="R115" s="9"/>
      <c r="S115" s="253"/>
      <c r="T115" s="253"/>
      <c r="U115" s="253"/>
      <c r="V115" s="253"/>
      <c r="W115" s="253"/>
      <c r="X115" s="253"/>
      <c r="Y115" s="253"/>
      <c r="Z115" s="253"/>
    </row>
    <row r="116" spans="1:26" hidden="1" outlineLevel="1">
      <c r="A116" s="9"/>
      <c r="B116" s="9"/>
      <c r="C116" s="397"/>
      <c r="D116" s="88">
        <v>10</v>
      </c>
      <c r="E116" s="260">
        <f ca="1">OFFSET('Actual RAB roll forward'!H$51,0,D116-1)-SUM('Actual RAB roll forward'!H178:OFFSET('Actual RAB roll forward'!H178,0,Input!$Y$7-1))</f>
        <v>0</v>
      </c>
      <c r="F116" s="260" t="str">
        <f>IF(A8stdlife="N/A","n/a",IF(E116=0,0,A8stdlife+D116-Input!$Y$7))</f>
        <v>n/a</v>
      </c>
      <c r="G116" s="256"/>
      <c r="H116" s="397"/>
      <c r="I116" s="88">
        <v>10</v>
      </c>
      <c r="J116" s="260">
        <f ca="1">OFFSET('Tax value roll forward'!H$47,0,I116-1)-SUM('Tax value roll forward'!H174:OFFSET('Tax value roll forward'!H174,0,Input!$Y$7-1))</f>
        <v>0</v>
      </c>
      <c r="K116" s="260" t="str">
        <f>IF(A8taxstdlife="N/A","n/a",IF(J116=0,0,A8taxstdlife+I116-Input!$Y$7))</f>
        <v>n/a</v>
      </c>
      <c r="L116" s="111"/>
      <c r="M116" s="9"/>
      <c r="N116" s="9"/>
      <c r="O116" s="9"/>
      <c r="P116" s="9"/>
      <c r="Q116" s="9"/>
      <c r="R116" s="9"/>
      <c r="S116" s="253"/>
      <c r="T116" s="253"/>
      <c r="U116" s="253"/>
      <c r="V116" s="253"/>
      <c r="W116" s="253"/>
      <c r="X116" s="253"/>
      <c r="Y116" s="253"/>
      <c r="Z116" s="253"/>
    </row>
    <row r="117" spans="1:26" collapsed="1">
      <c r="A117" s="9"/>
      <c r="B117" s="9"/>
      <c r="C117" s="274" t="str">
        <f>Asset8</f>
        <v>Inventory</v>
      </c>
      <c r="D117" s="9"/>
      <c r="E117" s="260">
        <f ca="1">SUM(E106:E116)</f>
        <v>7.3396858953920949</v>
      </c>
      <c r="F117" s="260">
        <f ca="1">IF(E117=0,0,SUMPRODUCT(E106:E116,F106:F116)/E117)</f>
        <v>0</v>
      </c>
      <c r="G117" s="256"/>
      <c r="H117" s="43"/>
      <c r="I117" s="260"/>
      <c r="J117" s="260">
        <f ca="1">SUM(J106:J116)</f>
        <v>5.9841243136739095</v>
      </c>
      <c r="K117" s="260">
        <f ca="1">IF(J117=0,0,SUMPRODUCT(J106:J116,K106:K116)/J117)</f>
        <v>0</v>
      </c>
      <c r="L117" s="111"/>
      <c r="M117" s="9"/>
      <c r="N117" s="9"/>
      <c r="O117" s="9"/>
      <c r="P117" s="9"/>
      <c r="Q117" s="9"/>
      <c r="R117" s="9"/>
      <c r="S117" s="253"/>
      <c r="T117" s="253"/>
      <c r="U117" s="253"/>
      <c r="V117" s="253"/>
      <c r="W117" s="253"/>
      <c r="X117" s="253"/>
      <c r="Y117" s="253"/>
      <c r="Z117" s="253"/>
    </row>
    <row r="118" spans="1:26" hidden="1" outlineLevel="1">
      <c r="A118" s="9"/>
      <c r="B118" s="9"/>
      <c r="C118" s="274"/>
      <c r="D118" s="9"/>
      <c r="E118" s="260"/>
      <c r="F118" s="260"/>
      <c r="G118" s="256"/>
      <c r="H118" s="260"/>
      <c r="I118" s="260"/>
      <c r="J118" s="265"/>
      <c r="K118" s="260"/>
      <c r="L118" s="111"/>
      <c r="M118" s="9"/>
      <c r="N118" s="9"/>
      <c r="O118" s="9"/>
      <c r="P118" s="9"/>
      <c r="Q118" s="9"/>
      <c r="R118" s="9"/>
      <c r="S118" s="253"/>
      <c r="T118" s="253"/>
      <c r="U118" s="253"/>
      <c r="V118" s="253"/>
      <c r="W118" s="253"/>
      <c r="X118" s="253"/>
      <c r="Y118" s="253"/>
      <c r="Z118" s="253"/>
    </row>
    <row r="119" spans="1:26" hidden="1" outlineLevel="1">
      <c r="A119" s="9"/>
      <c r="B119" s="272" t="str">
        <f>Asset9</f>
        <v>IT</v>
      </c>
      <c r="C119" s="9"/>
      <c r="D119" s="9"/>
      <c r="E119" s="111"/>
      <c r="F119" s="111"/>
      <c r="G119" s="256"/>
      <c r="H119" s="260"/>
      <c r="I119" s="260"/>
      <c r="J119" s="265"/>
      <c r="K119" s="260"/>
      <c r="L119" s="111"/>
      <c r="M119" s="9"/>
      <c r="N119" s="9"/>
      <c r="O119" s="9"/>
      <c r="P119" s="9"/>
      <c r="Q119" s="9"/>
      <c r="R119" s="9"/>
      <c r="S119" s="253"/>
      <c r="T119" s="253"/>
      <c r="U119" s="253"/>
      <c r="V119" s="253"/>
      <c r="W119" s="253"/>
      <c r="X119" s="253"/>
      <c r="Y119" s="253"/>
      <c r="Z119" s="253"/>
    </row>
    <row r="120" spans="1:26" ht="12.75" hidden="1" customHeight="1" outlineLevel="1">
      <c r="A120" s="9"/>
      <c r="B120" s="9"/>
      <c r="C120" s="393" t="s">
        <v>26</v>
      </c>
      <c r="D120" s="394"/>
      <c r="E120" s="260">
        <f ca="1">A9value-SUM('Actual RAB roll forward'!H180:OFFSET('Actual RAB roll forward'!H180,0,Input!$Y$7-1))</f>
        <v>7.7710975304754015</v>
      </c>
      <c r="F120" s="260">
        <f>IF(A9remlife="N/A","n/a",A9remlife-Input!$Y$7)</f>
        <v>1.3375441228443181</v>
      </c>
      <c r="G120" s="256"/>
      <c r="H120" s="298" t="s">
        <v>66</v>
      </c>
      <c r="I120" s="299"/>
      <c r="J120" s="260">
        <f ca="1">A9taxvalue-SUM('Tax value roll forward'!H176:OFFSET('Tax value roll forward'!H176,0,Input!$Y$7-1))</f>
        <v>7.3008004295420541</v>
      </c>
      <c r="K120" s="260">
        <f>IF(A9taxremlife="N/A","n/a",A9taxremlife-Input!$Y$7)</f>
        <v>1.5978153559953734</v>
      </c>
      <c r="L120" s="111"/>
      <c r="M120" s="9"/>
      <c r="N120" s="9"/>
      <c r="O120" s="9"/>
      <c r="P120" s="9"/>
      <c r="Q120" s="9"/>
      <c r="R120" s="9"/>
      <c r="S120" s="253"/>
      <c r="T120" s="253"/>
      <c r="U120" s="253"/>
      <c r="V120" s="253"/>
      <c r="W120" s="253"/>
      <c r="X120" s="253"/>
      <c r="Y120" s="253"/>
      <c r="Z120" s="253"/>
    </row>
    <row r="121" spans="1:26" hidden="1" outlineLevel="1">
      <c r="A121" s="9"/>
      <c r="B121" s="9"/>
      <c r="C121" s="395" t="s">
        <v>82</v>
      </c>
      <c r="D121" s="87">
        <v>1</v>
      </c>
      <c r="E121" s="260">
        <f ca="1">OFFSET('Actual RAB roll forward'!H$52,0,D121-1)-SUM('Actual RAB roll forward'!H182:OFFSET('Actual RAB roll forward'!H182,0,Input!$Y$7-1))</f>
        <v>0</v>
      </c>
      <c r="F121" s="260">
        <f ca="1">IF(A9stdlife="N/A","n/a",IF(E121=0,0,A9stdlife+D121-Input!$Y$7))</f>
        <v>0</v>
      </c>
      <c r="G121" s="256"/>
      <c r="H121" s="395" t="s">
        <v>82</v>
      </c>
      <c r="I121" s="87">
        <v>1</v>
      </c>
      <c r="J121" s="260">
        <f ca="1">OFFSET('Tax value roll forward'!H$48,0,I121-1)-SUM('Tax value roll forward'!H178:OFFSET('Tax value roll forward'!H178,0,Input!$Y$7-1))</f>
        <v>0</v>
      </c>
      <c r="K121" s="260">
        <f ca="1">IF(A9taxstdlife="N/A","n/a",IF(J121=0,0,A9taxstdlife+I121-Input!$Y$7))</f>
        <v>0</v>
      </c>
      <c r="L121" s="111"/>
      <c r="M121" s="9"/>
      <c r="N121" s="9"/>
      <c r="O121" s="9"/>
      <c r="P121" s="9"/>
      <c r="Q121" s="9"/>
      <c r="R121" s="9"/>
      <c r="S121" s="253"/>
      <c r="T121" s="253"/>
      <c r="U121" s="253"/>
      <c r="V121" s="253"/>
      <c r="W121" s="253"/>
      <c r="X121" s="253"/>
      <c r="Y121" s="253"/>
      <c r="Z121" s="253"/>
    </row>
    <row r="122" spans="1:26" hidden="1" outlineLevel="1">
      <c r="A122" s="9"/>
      <c r="B122" s="9"/>
      <c r="C122" s="396"/>
      <c r="D122" s="87">
        <v>2</v>
      </c>
      <c r="E122" s="260">
        <f ca="1">OFFSET('Actual RAB roll forward'!H$52,0,D122-1)-SUM('Actual RAB roll forward'!H183:OFFSET('Actual RAB roll forward'!H183,0,Input!$Y$7-1))</f>
        <v>2.3732510558754214</v>
      </c>
      <c r="F122" s="260">
        <f ca="1">IF(A9stdlife="N/A","n/a",IF(E122=0,0,A9stdlife+D122-Input!$Y$7))</f>
        <v>1</v>
      </c>
      <c r="G122" s="256"/>
      <c r="H122" s="396"/>
      <c r="I122" s="87">
        <v>2</v>
      </c>
      <c r="J122" s="260">
        <f ca="1">OFFSET('Tax value roll forward'!H$48,0,I122-1)-SUM('Tax value roll forward'!H179:OFFSET('Tax value roll forward'!H179,0,Input!$Y$7-1))</f>
        <v>0</v>
      </c>
      <c r="K122" s="260">
        <f ca="1">IF(A9taxstdlife="N/A","n/a",IF(J122=0,0,A9taxstdlife+I122-Input!$Y$7))</f>
        <v>0</v>
      </c>
      <c r="L122" s="111"/>
      <c r="M122" s="9"/>
      <c r="N122" s="9"/>
      <c r="O122" s="9"/>
      <c r="P122" s="9"/>
      <c r="Q122" s="9"/>
      <c r="R122" s="9"/>
      <c r="S122" s="253"/>
      <c r="T122" s="253"/>
      <c r="U122" s="253"/>
      <c r="V122" s="253"/>
      <c r="W122" s="253"/>
      <c r="X122" s="253"/>
      <c r="Y122" s="253"/>
      <c r="Z122" s="253"/>
    </row>
    <row r="123" spans="1:26" hidden="1" outlineLevel="1">
      <c r="A123" s="9"/>
      <c r="B123" s="9"/>
      <c r="C123" s="396"/>
      <c r="D123" s="87">
        <v>3</v>
      </c>
      <c r="E123" s="260">
        <f ca="1">OFFSET('Actual RAB roll forward'!H$52,0,D123-1)-SUM('Actual RAB roll forward'!H184:OFFSET('Actual RAB roll forward'!H184,0,Input!$Y$7-1))</f>
        <v>1.9082169036966841</v>
      </c>
      <c r="F123" s="260">
        <f ca="1">IF(A9stdlife="N/A","n/a",IF(E123=0,0,A9stdlife+D123-Input!$Y$7))</f>
        <v>2</v>
      </c>
      <c r="G123" s="256"/>
      <c r="H123" s="396"/>
      <c r="I123" s="87">
        <v>3</v>
      </c>
      <c r="J123" s="260">
        <f ca="1">OFFSET('Tax value roll forward'!H$48,0,I123-1)-SUM('Tax value roll forward'!H180:OFFSET('Tax value roll forward'!H180,0,Input!$Y$7-1))</f>
        <v>0.70882718142856849</v>
      </c>
      <c r="K123" s="260">
        <f ca="1">IF(A9taxstdlife="N/A","n/a",IF(J123=0,0,A9taxstdlife+I123-Input!$Y$7))</f>
        <v>0.5</v>
      </c>
      <c r="L123" s="111"/>
      <c r="M123" s="9"/>
      <c r="N123" s="9"/>
      <c r="O123" s="9"/>
      <c r="P123" s="9"/>
      <c r="Q123" s="9"/>
      <c r="R123" s="9"/>
      <c r="S123" s="253"/>
      <c r="T123" s="253"/>
      <c r="U123" s="253"/>
      <c r="V123" s="253"/>
      <c r="W123" s="253"/>
      <c r="X123" s="253"/>
      <c r="Y123" s="253"/>
      <c r="Z123" s="253"/>
    </row>
    <row r="124" spans="1:26" hidden="1" outlineLevel="1">
      <c r="A124" s="9"/>
      <c r="B124" s="9"/>
      <c r="C124" s="396"/>
      <c r="D124" s="87">
        <v>4</v>
      </c>
      <c r="E124" s="260">
        <f ca="1">OFFSET('Actual RAB roll forward'!H$52,0,D124-1)-SUM('Actual RAB roll forward'!H185:OFFSET('Actual RAB roll forward'!H185,0,Input!$Y$7-1))</f>
        <v>4.4990378174568502</v>
      </c>
      <c r="F124" s="260">
        <f ca="1">IF(A9stdlife="N/A","n/a",IF(E124=0,0,A9stdlife+D124-Input!$Y$7))</f>
        <v>3</v>
      </c>
      <c r="G124" s="256"/>
      <c r="H124" s="396"/>
      <c r="I124" s="87">
        <v>4</v>
      </c>
      <c r="J124" s="260">
        <f ca="1">OFFSET('Tax value roll forward'!H$48,0,I124-1)-SUM('Tax value roll forward'!H181:OFFSET('Tax value roll forward'!H181,0,Input!$Y$7-1))</f>
        <v>3.4236943585714288</v>
      </c>
      <c r="K124" s="260">
        <f ca="1">IF(A9taxstdlife="N/A","n/a",IF(J124=0,0,A9taxstdlife+I124-Input!$Y$7))</f>
        <v>1.5</v>
      </c>
      <c r="L124" s="111"/>
      <c r="M124" s="9"/>
      <c r="N124" s="9"/>
      <c r="O124" s="9"/>
      <c r="P124" s="9"/>
      <c r="Q124" s="9"/>
      <c r="R124" s="9"/>
      <c r="S124" s="253"/>
      <c r="T124" s="253"/>
      <c r="U124" s="253"/>
      <c r="V124" s="253"/>
      <c r="W124" s="253"/>
      <c r="X124" s="253"/>
      <c r="Y124" s="253"/>
      <c r="Z124" s="253"/>
    </row>
    <row r="125" spans="1:26" hidden="1" outlineLevel="1">
      <c r="A125" s="9"/>
      <c r="B125" s="9"/>
      <c r="C125" s="396"/>
      <c r="D125" s="87">
        <v>5</v>
      </c>
      <c r="E125" s="260">
        <f ca="1">OFFSET('Actual RAB roll forward'!H$52,0,D125-1)-SUM('Actual RAB roll forward'!H186:OFFSET('Actual RAB roll forward'!H186,0,Input!$Y$7-1))</f>
        <v>12.18206518775399</v>
      </c>
      <c r="F125" s="260">
        <f ca="1">IF(A9stdlife="N/A","n/a",IF(E125=0,0,A9stdlife+D125-Input!$Y$7))</f>
        <v>4</v>
      </c>
      <c r="G125" s="256"/>
      <c r="H125" s="396"/>
      <c r="I125" s="87">
        <v>5</v>
      </c>
      <c r="J125" s="260">
        <f ca="1">OFFSET('Tax value roll forward'!H$48,0,I125-1)-SUM('Tax value roll forward'!H182:OFFSET('Tax value roll forward'!H182,0,Input!$Y$7-1))</f>
        <v>12</v>
      </c>
      <c r="K125" s="260">
        <f ca="1">IF(A9taxstdlife="N/A","n/a",IF(J125=0,0,A9taxstdlife+I125-Input!$Y$7))</f>
        <v>2.5</v>
      </c>
      <c r="L125" s="111"/>
      <c r="M125" s="9"/>
      <c r="N125" s="9"/>
      <c r="O125" s="9"/>
      <c r="P125" s="9"/>
      <c r="Q125" s="9"/>
      <c r="R125" s="9"/>
      <c r="S125" s="253"/>
      <c r="T125" s="253"/>
      <c r="U125" s="253"/>
      <c r="V125" s="253"/>
      <c r="W125" s="253"/>
      <c r="X125" s="253"/>
      <c r="Y125" s="253"/>
      <c r="Z125" s="253"/>
    </row>
    <row r="126" spans="1:26" hidden="1" outlineLevel="1">
      <c r="A126" s="9"/>
      <c r="B126" s="9"/>
      <c r="C126" s="396"/>
      <c r="D126" s="87">
        <v>6</v>
      </c>
      <c r="E126" s="260">
        <f ca="1">OFFSET('Actual RAB roll forward'!H$52,0,D126-1)-SUM('Actual RAB roll forward'!H187:OFFSET('Actual RAB roll forward'!H187,0,Input!$Y$7-1))</f>
        <v>15.569827166427036</v>
      </c>
      <c r="F126" s="260">
        <f ca="1">IF(A9stdlife="N/A","n/a",IF(E126=0,0,A9stdlife+D126-Input!$Y$7))</f>
        <v>5</v>
      </c>
      <c r="G126" s="256"/>
      <c r="H126" s="396"/>
      <c r="I126" s="87">
        <v>6</v>
      </c>
      <c r="J126" s="260">
        <f ca="1">OFFSET('Tax value roll forward'!H$48,0,I126-1)-SUM('Tax value roll forward'!H183:OFFSET('Tax value roll forward'!H183,0,Input!$Y$7-1))</f>
        <v>17.530917835671342</v>
      </c>
      <c r="K126" s="260">
        <f ca="1">IF(A9taxstdlife="N/A","n/a",IF(J126=0,0,A9taxstdlife+I126-Input!$Y$7))</f>
        <v>3.5</v>
      </c>
      <c r="L126" s="111"/>
      <c r="M126" s="9"/>
      <c r="N126" s="9"/>
      <c r="O126" s="9"/>
      <c r="P126" s="9"/>
      <c r="Q126" s="9"/>
      <c r="R126" s="9"/>
      <c r="S126" s="253"/>
      <c r="T126" s="253"/>
      <c r="U126" s="253"/>
      <c r="V126" s="253"/>
      <c r="W126" s="253"/>
      <c r="X126" s="253"/>
      <c r="Y126" s="253"/>
      <c r="Z126" s="253"/>
    </row>
    <row r="127" spans="1:26" hidden="1" outlineLevel="1">
      <c r="A127" s="9"/>
      <c r="B127" s="9"/>
      <c r="C127" s="396"/>
      <c r="D127" s="87">
        <v>7</v>
      </c>
      <c r="E127" s="260">
        <f ca="1">OFFSET('Actual RAB roll forward'!H$52,0,D127-1)-SUM('Actual RAB roll forward'!H188:OFFSET('Actual RAB roll forward'!H188,0,Input!$Y$7-1))</f>
        <v>0</v>
      </c>
      <c r="F127" s="260">
        <f ca="1">IF(A9stdlife="N/A","n/a",IF(E127=0,0,A9stdlife+D127-Input!$Y$7))</f>
        <v>0</v>
      </c>
      <c r="G127" s="256"/>
      <c r="H127" s="396"/>
      <c r="I127" s="87">
        <v>7</v>
      </c>
      <c r="J127" s="260">
        <f ca="1">OFFSET('Tax value roll forward'!H$48,0,I127-1)-SUM('Tax value roll forward'!H184:OFFSET('Tax value roll forward'!H184,0,Input!$Y$7-1))</f>
        <v>0</v>
      </c>
      <c r="K127" s="260">
        <f ca="1">IF(A9taxstdlife="N/A","n/a",IF(J127=0,0,A9taxstdlife+I127-Input!$Y$7))</f>
        <v>0</v>
      </c>
      <c r="L127" s="111"/>
      <c r="M127" s="9"/>
      <c r="N127" s="9"/>
      <c r="O127" s="9"/>
      <c r="P127" s="9"/>
      <c r="Q127" s="9"/>
      <c r="R127" s="9"/>
      <c r="S127" s="253"/>
      <c r="T127" s="253"/>
      <c r="U127" s="253"/>
      <c r="V127" s="253"/>
      <c r="W127" s="253"/>
      <c r="X127" s="253"/>
      <c r="Y127" s="253"/>
      <c r="Z127" s="253"/>
    </row>
    <row r="128" spans="1:26" hidden="1" outlineLevel="1">
      <c r="A128" s="9"/>
      <c r="B128" s="9"/>
      <c r="C128" s="396"/>
      <c r="D128" s="87">
        <v>8</v>
      </c>
      <c r="E128" s="260">
        <f ca="1">OFFSET('Actual RAB roll forward'!H$52,0,D128-1)-SUM('Actual RAB roll forward'!H189:OFFSET('Actual RAB roll forward'!H189,0,Input!$Y$7-1))</f>
        <v>0</v>
      </c>
      <c r="F128" s="260">
        <f ca="1">IF(A9stdlife="N/A","n/a",IF(E128=0,0,A9stdlife+D128-Input!$Y$7))</f>
        <v>0</v>
      </c>
      <c r="G128" s="256"/>
      <c r="H128" s="396"/>
      <c r="I128" s="87">
        <v>8</v>
      </c>
      <c r="J128" s="260">
        <f ca="1">OFFSET('Tax value roll forward'!H$48,0,I128-1)-SUM('Tax value roll forward'!H185:OFFSET('Tax value roll forward'!H185,0,Input!$Y$7-1))</f>
        <v>0</v>
      </c>
      <c r="K128" s="260">
        <f ca="1">IF(A9taxstdlife="N/A","n/a",IF(J128=0,0,A9taxstdlife+I128-Input!$Y$7))</f>
        <v>0</v>
      </c>
      <c r="L128" s="111"/>
      <c r="M128" s="9"/>
      <c r="N128" s="9"/>
      <c r="O128" s="9"/>
      <c r="P128" s="9"/>
      <c r="Q128" s="9"/>
      <c r="R128" s="9"/>
      <c r="S128" s="253"/>
      <c r="T128" s="253"/>
      <c r="U128" s="253"/>
      <c r="V128" s="253"/>
      <c r="W128" s="253"/>
      <c r="X128" s="253"/>
      <c r="Y128" s="253"/>
      <c r="Z128" s="253"/>
    </row>
    <row r="129" spans="1:26" hidden="1" outlineLevel="1">
      <c r="A129" s="9"/>
      <c r="B129" s="9"/>
      <c r="C129" s="396"/>
      <c r="D129" s="87">
        <v>9</v>
      </c>
      <c r="E129" s="260">
        <f ca="1">OFFSET('Actual RAB roll forward'!H$52,0,D129-1)-SUM('Actual RAB roll forward'!H190:OFFSET('Actual RAB roll forward'!H190,0,Input!$Y$7-1))</f>
        <v>0</v>
      </c>
      <c r="F129" s="260">
        <f ca="1">IF(A9stdlife="N/A","n/a",IF(E129=0,0,A9stdlife+D129-Input!$Y$7))</f>
        <v>0</v>
      </c>
      <c r="G129" s="256"/>
      <c r="H129" s="396"/>
      <c r="I129" s="87">
        <v>9</v>
      </c>
      <c r="J129" s="260">
        <f ca="1">OFFSET('Tax value roll forward'!H$48,0,I129-1)-SUM('Tax value roll forward'!H186:OFFSET('Tax value roll forward'!H186,0,Input!$Y$7-1))</f>
        <v>0</v>
      </c>
      <c r="K129" s="260">
        <f ca="1">IF(A9taxstdlife="N/A","n/a",IF(J129=0,0,A9taxstdlife+I129-Input!$Y$7))</f>
        <v>0</v>
      </c>
      <c r="L129" s="111"/>
      <c r="M129" s="9"/>
      <c r="N129" s="9"/>
      <c r="O129" s="9"/>
      <c r="P129" s="9"/>
      <c r="Q129" s="9"/>
      <c r="R129" s="9"/>
      <c r="S129" s="253"/>
      <c r="T129" s="253"/>
      <c r="U129" s="253"/>
      <c r="V129" s="253"/>
      <c r="W129" s="253"/>
      <c r="X129" s="253"/>
      <c r="Y129" s="253"/>
      <c r="Z129" s="253"/>
    </row>
    <row r="130" spans="1:26" hidden="1" outlineLevel="1">
      <c r="A130" s="9"/>
      <c r="B130" s="9"/>
      <c r="C130" s="397"/>
      <c r="D130" s="88">
        <v>10</v>
      </c>
      <c r="E130" s="260">
        <f ca="1">OFFSET('Actual RAB roll forward'!H$52,0,D130-1)-SUM('Actual RAB roll forward'!H191:OFFSET('Actual RAB roll forward'!H191,0,Input!$Y$7-1))</f>
        <v>0</v>
      </c>
      <c r="F130" s="260">
        <f ca="1">IF(A9stdlife="N/A","n/a",IF(E130=0,0,A9stdlife+D130-Input!$Y$7))</f>
        <v>0</v>
      </c>
      <c r="G130" s="256"/>
      <c r="H130" s="397"/>
      <c r="I130" s="88">
        <v>10</v>
      </c>
      <c r="J130" s="260">
        <f ca="1">OFFSET('Tax value roll forward'!H$48,0,I130-1)-SUM('Tax value roll forward'!H187:OFFSET('Tax value roll forward'!H187,0,Input!$Y$7-1))</f>
        <v>0</v>
      </c>
      <c r="K130" s="260">
        <f ca="1">IF(A9taxstdlife="N/A","n/a",IF(J130=0,0,A9taxstdlife+I130-Input!$Y$7))</f>
        <v>0</v>
      </c>
      <c r="L130" s="111"/>
      <c r="M130" s="9"/>
      <c r="N130" s="9"/>
      <c r="O130" s="9"/>
      <c r="P130" s="9"/>
      <c r="Q130" s="9"/>
      <c r="R130" s="9"/>
      <c r="S130" s="253"/>
      <c r="T130" s="253"/>
      <c r="U130" s="253"/>
      <c r="V130" s="253"/>
      <c r="W130" s="253"/>
      <c r="X130" s="253"/>
      <c r="Y130" s="253"/>
      <c r="Z130" s="253"/>
    </row>
    <row r="131" spans="1:26" collapsed="1">
      <c r="A131" s="9"/>
      <c r="B131" s="9"/>
      <c r="C131" s="274" t="str">
        <f>Asset9</f>
        <v>IT</v>
      </c>
      <c r="D131" s="9"/>
      <c r="E131" s="260">
        <f ca="1">SUM(E120:E130)</f>
        <v>44.303495661685389</v>
      </c>
      <c r="F131" s="260">
        <f ca="1">IF(E131=0,0,SUMPRODUCT(E120:E130,F120:F130)/E131)</f>
        <v>3.536027538888074</v>
      </c>
      <c r="G131" s="256"/>
      <c r="H131" s="43"/>
      <c r="I131" s="260"/>
      <c r="J131" s="260">
        <f ca="1">SUM(J120:J130)</f>
        <v>40.964239805213396</v>
      </c>
      <c r="K131" s="260">
        <f ca="1">IF(J131=0,0,SUMPRODUCT(J120:J130,K120:K130)/J131)</f>
        <v>2.6489811383486446</v>
      </c>
      <c r="L131" s="111"/>
      <c r="M131" s="9"/>
      <c r="N131" s="9"/>
      <c r="O131" s="9"/>
      <c r="P131" s="9"/>
      <c r="Q131" s="9"/>
      <c r="R131" s="9"/>
      <c r="S131" s="253"/>
      <c r="T131" s="253"/>
      <c r="U131" s="253"/>
      <c r="V131" s="253"/>
      <c r="W131" s="253"/>
      <c r="X131" s="253"/>
      <c r="Y131" s="253"/>
      <c r="Z131" s="253"/>
    </row>
    <row r="132" spans="1:26" hidden="1" outlineLevel="1">
      <c r="A132" s="9"/>
      <c r="B132" s="9"/>
      <c r="C132" s="274"/>
      <c r="D132" s="9"/>
      <c r="E132" s="260"/>
      <c r="F132" s="260"/>
      <c r="G132" s="256"/>
      <c r="H132" s="260"/>
      <c r="I132" s="260"/>
      <c r="J132" s="265"/>
      <c r="K132" s="260"/>
      <c r="L132" s="111"/>
      <c r="M132" s="9"/>
      <c r="N132" s="9"/>
      <c r="O132" s="9"/>
      <c r="P132" s="9"/>
      <c r="Q132" s="9"/>
      <c r="R132" s="9"/>
      <c r="S132" s="253"/>
      <c r="T132" s="253"/>
      <c r="U132" s="253"/>
      <c r="V132" s="253"/>
      <c r="W132" s="253"/>
      <c r="X132" s="253"/>
      <c r="Y132" s="253"/>
      <c r="Z132" s="253"/>
    </row>
    <row r="133" spans="1:26" hidden="1" outlineLevel="1">
      <c r="A133" s="9"/>
      <c r="B133" s="272" t="str">
        <f>Asset10</f>
        <v>Vehicles</v>
      </c>
      <c r="C133" s="9"/>
      <c r="D133" s="9"/>
      <c r="E133" s="35"/>
      <c r="F133" s="35"/>
      <c r="G133" s="256"/>
      <c r="H133" s="260"/>
      <c r="I133" s="260"/>
      <c r="J133" s="265"/>
      <c r="K133" s="260"/>
      <c r="L133" s="111"/>
      <c r="M133" s="9"/>
      <c r="N133" s="9"/>
      <c r="O133" s="9"/>
      <c r="P133" s="9"/>
      <c r="Q133" s="9"/>
      <c r="R133" s="9"/>
      <c r="S133" s="253"/>
      <c r="T133" s="253"/>
      <c r="U133" s="253"/>
      <c r="V133" s="253"/>
      <c r="W133" s="253"/>
      <c r="X133" s="253"/>
      <c r="Y133" s="253"/>
      <c r="Z133" s="253"/>
    </row>
    <row r="134" spans="1:26" ht="12.75" hidden="1" customHeight="1" outlineLevel="1">
      <c r="A134" s="9"/>
      <c r="B134" s="9"/>
      <c r="C134" s="393" t="s">
        <v>26</v>
      </c>
      <c r="D134" s="394"/>
      <c r="E134" s="260">
        <f ca="1">A10value-SUM('Actual RAB roll forward'!H193:OFFSET('Actual RAB roll forward'!H193,0,Input!$Y$7-1))</f>
        <v>0.21834879809195451</v>
      </c>
      <c r="F134" s="260">
        <f>IF(A10remlife="N/A","n/a",A10remlife-Input!$Y$7)</f>
        <v>0.32945833431932137</v>
      </c>
      <c r="G134" s="256"/>
      <c r="H134" s="298" t="s">
        <v>66</v>
      </c>
      <c r="I134" s="299"/>
      <c r="J134" s="260">
        <f ca="1">A10taxvalue-SUM('Tax value roll forward'!H189:OFFSET('Tax value roll forward'!H189,0,Input!$Y$7-1))</f>
        <v>0.38529635225527503</v>
      </c>
      <c r="K134" s="260">
        <f>IF(A10taxremlife="N/A","n/a",A10taxremlife-Input!$Y$7)</f>
        <v>0.65158004590697693</v>
      </c>
      <c r="L134" s="111"/>
      <c r="M134" s="9"/>
      <c r="N134" s="9"/>
      <c r="O134" s="9"/>
      <c r="P134" s="9"/>
      <c r="Q134" s="9"/>
      <c r="R134" s="9"/>
      <c r="S134" s="253"/>
      <c r="T134" s="253"/>
      <c r="U134" s="253"/>
      <c r="V134" s="253"/>
      <c r="W134" s="253"/>
      <c r="X134" s="253"/>
      <c r="Y134" s="253"/>
      <c r="Z134" s="253"/>
    </row>
    <row r="135" spans="1:26" hidden="1" outlineLevel="1">
      <c r="A135" s="9"/>
      <c r="B135" s="9"/>
      <c r="C135" s="395" t="s">
        <v>82</v>
      </c>
      <c r="D135" s="87">
        <v>1</v>
      </c>
      <c r="E135" s="260">
        <f ca="1">OFFSET('Actual RAB roll forward'!H$53,0,D135-1)-SUM('Actual RAB roll forward'!H195:OFFSET('Actual RAB roll forward'!H195,0,Input!$Y$7-1))</f>
        <v>-1.4068857533899179E-2</v>
      </c>
      <c r="F135" s="260">
        <f ca="1">IF(A10stdlife="N/A","n/a",IF(E135=0,0,A10stdlife+D135-Input!$Y$7))</f>
        <v>2</v>
      </c>
      <c r="G135" s="256"/>
      <c r="H135" s="395" t="s">
        <v>82</v>
      </c>
      <c r="I135" s="87">
        <v>1</v>
      </c>
      <c r="J135" s="260">
        <f ca="1">OFFSET('Tax value roll forward'!H$49,0,I135-1)-SUM('Tax value roll forward'!H191:OFFSET('Tax value roll forward'!H191,0,Input!$Y$7-1))</f>
        <v>-1.8050191918227008E-2</v>
      </c>
      <c r="K135" s="260">
        <f ca="1">IF(A10taxstdlife="N/A","n/a",IF(J135=0,0,A10taxstdlife+I135-Input!$Y$7))</f>
        <v>3</v>
      </c>
      <c r="L135" s="111"/>
      <c r="M135" s="9"/>
      <c r="N135" s="9"/>
      <c r="O135" s="9"/>
      <c r="P135" s="9"/>
      <c r="Q135" s="9"/>
      <c r="R135" s="9"/>
      <c r="S135" s="253"/>
      <c r="T135" s="253"/>
      <c r="U135" s="253"/>
      <c r="V135" s="253"/>
      <c r="W135" s="253"/>
      <c r="X135" s="253"/>
      <c r="Y135" s="253"/>
      <c r="Z135" s="253"/>
    </row>
    <row r="136" spans="1:26" hidden="1" outlineLevel="1">
      <c r="A136" s="9"/>
      <c r="B136" s="9"/>
      <c r="C136" s="396"/>
      <c r="D136" s="87">
        <v>2</v>
      </c>
      <c r="E136" s="260">
        <f ca="1">OFFSET('Actual RAB roll forward'!H$53,0,D136-1)-SUM('Actual RAB roll forward'!H196:OFFSET('Actual RAB roll forward'!H196,0,Input!$Y$7-1))</f>
        <v>0.20672042436543586</v>
      </c>
      <c r="F136" s="260">
        <f ca="1">IF(A10stdlife="N/A","n/a",IF(E136=0,0,A10stdlife+D136-Input!$Y$7))</f>
        <v>3</v>
      </c>
      <c r="G136" s="256"/>
      <c r="H136" s="396"/>
      <c r="I136" s="87">
        <v>2</v>
      </c>
      <c r="J136" s="260">
        <f ca="1">OFFSET('Tax value roll forward'!H$49,0,I136-1)-SUM('Tax value roll forward'!H192:OFFSET('Tax value roll forward'!H192,0,Input!$Y$7-1))</f>
        <v>0.24631915405954558</v>
      </c>
      <c r="K136" s="260">
        <f ca="1">IF(A10taxstdlife="N/A","n/a",IF(J136=0,0,A10taxstdlife+I136-Input!$Y$7))</f>
        <v>4</v>
      </c>
      <c r="L136" s="111"/>
      <c r="M136" s="9"/>
      <c r="N136" s="9"/>
      <c r="O136" s="9"/>
      <c r="P136" s="9"/>
      <c r="Q136" s="9"/>
      <c r="R136" s="9"/>
      <c r="S136" s="253"/>
      <c r="T136" s="253"/>
      <c r="U136" s="253"/>
      <c r="V136" s="253"/>
      <c r="W136" s="253"/>
      <c r="X136" s="253"/>
      <c r="Y136" s="253"/>
      <c r="Z136" s="253"/>
    </row>
    <row r="137" spans="1:26" hidden="1" outlineLevel="1">
      <c r="A137" s="9"/>
      <c r="B137" s="9"/>
      <c r="C137" s="396"/>
      <c r="D137" s="87">
        <v>3</v>
      </c>
      <c r="E137" s="260">
        <f ca="1">OFFSET('Actual RAB roll forward'!H$53,0,D137-1)-SUM('Actual RAB roll forward'!H197:OFFSET('Actual RAB roll forward'!H197,0,Input!$Y$7-1))</f>
        <v>-8.3233891829034179E-2</v>
      </c>
      <c r="F137" s="260">
        <f ca="1">IF(A10stdlife="N/A","n/a",IF(E137=0,0,A10stdlife+D137-Input!$Y$7))</f>
        <v>4</v>
      </c>
      <c r="G137" s="256"/>
      <c r="H137" s="396"/>
      <c r="I137" s="87">
        <v>3</v>
      </c>
      <c r="J137" s="260">
        <f ca="1">OFFSET('Tax value roll forward'!H$49,0,I137-1)-SUM('Tax value roll forward'!H193:OFFSET('Tax value roll forward'!H193,0,Input!$Y$7-1))</f>
        <v>-9.4686687500000005E-2</v>
      </c>
      <c r="K137" s="260">
        <f ca="1">IF(A10taxstdlife="N/A","n/a",IF(J137=0,0,A10taxstdlife+I137-Input!$Y$7))</f>
        <v>5</v>
      </c>
      <c r="L137" s="111"/>
      <c r="M137" s="9"/>
      <c r="N137" s="9"/>
      <c r="O137" s="9"/>
      <c r="P137" s="9"/>
      <c r="Q137" s="9"/>
      <c r="R137" s="9"/>
      <c r="S137" s="253"/>
      <c r="T137" s="253"/>
      <c r="U137" s="253"/>
      <c r="V137" s="253"/>
      <c r="W137" s="253"/>
      <c r="X137" s="253"/>
      <c r="Y137" s="253"/>
      <c r="Z137" s="253"/>
    </row>
    <row r="138" spans="1:26" hidden="1" outlineLevel="1">
      <c r="A138" s="9"/>
      <c r="B138" s="9"/>
      <c r="C138" s="396"/>
      <c r="D138" s="87">
        <v>4</v>
      </c>
      <c r="E138" s="260">
        <f ca="1">OFFSET('Actual RAB roll forward'!H$53,0,D138-1)-SUM('Actual RAB roll forward'!H198:OFFSET('Actual RAB roll forward'!H198,0,Input!$Y$7-1))</f>
        <v>0.11912726967163409</v>
      </c>
      <c r="F138" s="260">
        <f ca="1">IF(A10stdlife="N/A","n/a",IF(E138=0,0,A10stdlife+D138-Input!$Y$7))</f>
        <v>5</v>
      </c>
      <c r="G138" s="256"/>
      <c r="H138" s="396"/>
      <c r="I138" s="87">
        <v>4</v>
      </c>
      <c r="J138" s="260">
        <f ca="1">OFFSET('Tax value roll forward'!H$49,0,I138-1)-SUM('Tax value roll forward'!H194:OFFSET('Tax value roll forward'!H194,0,Input!$Y$7-1))</f>
        <v>0.133261245</v>
      </c>
      <c r="K138" s="260">
        <f ca="1">IF(A10taxstdlife="N/A","n/a",IF(J138=0,0,A10taxstdlife+I138-Input!$Y$7))</f>
        <v>6</v>
      </c>
      <c r="L138" s="111"/>
      <c r="M138" s="9"/>
      <c r="N138" s="9"/>
      <c r="O138" s="9"/>
      <c r="P138" s="9"/>
      <c r="Q138" s="9"/>
      <c r="R138" s="9"/>
      <c r="S138" s="253"/>
      <c r="T138" s="253"/>
      <c r="U138" s="253"/>
      <c r="V138" s="253"/>
      <c r="W138" s="253"/>
      <c r="X138" s="253"/>
      <c r="Y138" s="253"/>
      <c r="Z138" s="253"/>
    </row>
    <row r="139" spans="1:26" hidden="1" outlineLevel="1">
      <c r="A139" s="9"/>
      <c r="B139" s="9"/>
      <c r="C139" s="396"/>
      <c r="D139" s="87">
        <v>5</v>
      </c>
      <c r="E139" s="260">
        <f ca="1">OFFSET('Actual RAB roll forward'!H$53,0,D139-1)-SUM('Actual RAB roll forward'!H199:OFFSET('Actual RAB roll forward'!H199,0,Input!$Y$7-1))</f>
        <v>1.2236449407342178</v>
      </c>
      <c r="F139" s="260">
        <f ca="1">IF(A10stdlife="N/A","n/a",IF(E139=0,0,A10stdlife+D139-Input!$Y$7))</f>
        <v>6</v>
      </c>
      <c r="G139" s="256"/>
      <c r="H139" s="396"/>
      <c r="I139" s="87">
        <v>5</v>
      </c>
      <c r="J139" s="260">
        <f ca="1">OFFSET('Tax value roll forward'!H$49,0,I139-1)-SUM('Tax value roll forward'!H195:OFFSET('Tax value roll forward'!H195,0,Input!$Y$7-1))</f>
        <v>1.3781250000000003</v>
      </c>
      <c r="K139" s="260">
        <f ca="1">IF(A10taxstdlife="N/A","n/a",IF(J139=0,0,A10taxstdlife+I139-Input!$Y$7))</f>
        <v>7</v>
      </c>
      <c r="L139" s="111"/>
      <c r="M139" s="9"/>
      <c r="N139" s="9"/>
      <c r="O139" s="9"/>
      <c r="P139" s="9"/>
      <c r="Q139" s="9"/>
      <c r="R139" s="9"/>
      <c r="S139" s="253"/>
      <c r="T139" s="253"/>
      <c r="U139" s="253"/>
      <c r="V139" s="253"/>
      <c r="W139" s="253"/>
      <c r="X139" s="253"/>
      <c r="Y139" s="253"/>
      <c r="Z139" s="253"/>
    </row>
    <row r="140" spans="1:26" hidden="1" outlineLevel="1">
      <c r="A140" s="9"/>
      <c r="B140" s="9"/>
      <c r="C140" s="396"/>
      <c r="D140" s="87">
        <v>6</v>
      </c>
      <c r="E140" s="260">
        <f ca="1">OFFSET('Actual RAB roll forward'!H$53,0,D140-1)-SUM('Actual RAB roll forward'!H200:OFFSET('Actual RAB roll forward'!H200,0,Input!$Y$7-1))</f>
        <v>1.4425155127563247</v>
      </c>
      <c r="F140" s="260">
        <f ca="1">IF(A10stdlife="N/A","n/a",IF(E140=0,0,A10stdlife+D140-Input!$Y$7))</f>
        <v>7</v>
      </c>
      <c r="G140" s="256"/>
      <c r="H140" s="396"/>
      <c r="I140" s="87">
        <v>6</v>
      </c>
      <c r="J140" s="260">
        <f ca="1">OFFSET('Tax value roll forward'!H$49,0,I140-1)-SUM('Tax value roll forward'!H196:OFFSET('Tax value roll forward'!H196,0,Input!$Y$7-1))</f>
        <v>1.6242069138276554</v>
      </c>
      <c r="K140" s="260">
        <f ca="1">IF(A10taxstdlife="N/A","n/a",IF(J140=0,0,A10taxstdlife+I140-Input!$Y$7))</f>
        <v>8</v>
      </c>
      <c r="L140" s="111"/>
      <c r="M140" s="9"/>
      <c r="N140" s="9"/>
      <c r="O140" s="9"/>
      <c r="P140" s="9"/>
      <c r="Q140" s="9"/>
      <c r="R140" s="9"/>
      <c r="S140" s="253"/>
      <c r="T140" s="253"/>
      <c r="U140" s="253"/>
      <c r="V140" s="253"/>
      <c r="W140" s="253"/>
      <c r="X140" s="253"/>
      <c r="Y140" s="253"/>
      <c r="Z140" s="253"/>
    </row>
    <row r="141" spans="1:26" hidden="1" outlineLevel="1">
      <c r="A141" s="9"/>
      <c r="B141" s="9"/>
      <c r="C141" s="396"/>
      <c r="D141" s="87">
        <v>7</v>
      </c>
      <c r="E141" s="260">
        <f ca="1">OFFSET('Actual RAB roll forward'!H$53,0,D141-1)-SUM('Actual RAB roll forward'!H201:OFFSET('Actual RAB roll forward'!H201,0,Input!$Y$7-1))</f>
        <v>0</v>
      </c>
      <c r="F141" s="260">
        <f ca="1">IF(A10stdlife="N/A","n/a",IF(E141=0,0,A10stdlife+D141-Input!$Y$7))</f>
        <v>0</v>
      </c>
      <c r="G141" s="256"/>
      <c r="H141" s="396"/>
      <c r="I141" s="87">
        <v>7</v>
      </c>
      <c r="J141" s="260">
        <f ca="1">OFFSET('Tax value roll forward'!H$49,0,I141-1)-SUM('Tax value roll forward'!H197:OFFSET('Tax value roll forward'!H197,0,Input!$Y$7-1))</f>
        <v>0</v>
      </c>
      <c r="K141" s="260">
        <f ca="1">IF(A10taxstdlife="N/A","n/a",IF(J141=0,0,A10taxstdlife+I141-Input!$Y$7))</f>
        <v>0</v>
      </c>
      <c r="L141" s="111"/>
      <c r="M141" s="9"/>
      <c r="N141" s="9"/>
      <c r="O141" s="9"/>
      <c r="P141" s="9"/>
      <c r="Q141" s="9"/>
      <c r="R141" s="9"/>
      <c r="S141" s="253"/>
      <c r="T141" s="253"/>
      <c r="U141" s="253"/>
      <c r="V141" s="253"/>
      <c r="W141" s="253"/>
      <c r="X141" s="253"/>
      <c r="Y141" s="253"/>
      <c r="Z141" s="253"/>
    </row>
    <row r="142" spans="1:26" hidden="1" outlineLevel="1">
      <c r="A142" s="9"/>
      <c r="B142" s="9"/>
      <c r="C142" s="396"/>
      <c r="D142" s="87">
        <v>8</v>
      </c>
      <c r="E142" s="260">
        <f ca="1">OFFSET('Actual RAB roll forward'!H$53,0,D142-1)-SUM('Actual RAB roll forward'!H202:OFFSET('Actual RAB roll forward'!H202,0,Input!$Y$7-1))</f>
        <v>0</v>
      </c>
      <c r="F142" s="260">
        <f ca="1">IF(A10stdlife="N/A","n/a",IF(E142=0,0,A10stdlife+D142-Input!$Y$7))</f>
        <v>0</v>
      </c>
      <c r="G142" s="256"/>
      <c r="H142" s="396"/>
      <c r="I142" s="87">
        <v>8</v>
      </c>
      <c r="J142" s="260">
        <f ca="1">OFFSET('Tax value roll forward'!H$49,0,I142-1)-SUM('Tax value roll forward'!H198:OFFSET('Tax value roll forward'!H198,0,Input!$Y$7-1))</f>
        <v>0</v>
      </c>
      <c r="K142" s="260">
        <f ca="1">IF(A10taxstdlife="N/A","n/a",IF(J142=0,0,A10taxstdlife+I142-Input!$Y$7))</f>
        <v>0</v>
      </c>
      <c r="L142" s="111"/>
      <c r="M142" s="9"/>
      <c r="N142" s="9"/>
      <c r="O142" s="9"/>
      <c r="P142" s="9"/>
      <c r="Q142" s="9"/>
      <c r="R142" s="9"/>
      <c r="S142" s="253"/>
      <c r="T142" s="253"/>
      <c r="U142" s="253"/>
      <c r="V142" s="253"/>
      <c r="W142" s="253"/>
      <c r="X142" s="253"/>
      <c r="Y142" s="253"/>
      <c r="Z142" s="253"/>
    </row>
    <row r="143" spans="1:26" hidden="1" outlineLevel="1">
      <c r="A143" s="9"/>
      <c r="B143" s="9"/>
      <c r="C143" s="396"/>
      <c r="D143" s="87">
        <v>9</v>
      </c>
      <c r="E143" s="260">
        <f ca="1">OFFSET('Actual RAB roll forward'!H$53,0,D143-1)-SUM('Actual RAB roll forward'!H203:OFFSET('Actual RAB roll forward'!H203,0,Input!$Y$7-1))</f>
        <v>0</v>
      </c>
      <c r="F143" s="260">
        <f ca="1">IF(A10stdlife="N/A","n/a",IF(E143=0,0,A10stdlife+D143-Input!$Y$7))</f>
        <v>0</v>
      </c>
      <c r="G143" s="256"/>
      <c r="H143" s="396"/>
      <c r="I143" s="87">
        <v>9</v>
      </c>
      <c r="J143" s="260">
        <f ca="1">OFFSET('Tax value roll forward'!H$49,0,I143-1)-SUM('Tax value roll forward'!H199:OFFSET('Tax value roll forward'!H199,0,Input!$Y$7-1))</f>
        <v>0</v>
      </c>
      <c r="K143" s="260">
        <f ca="1">IF(A10taxstdlife="N/A","n/a",IF(J143=0,0,A10taxstdlife+I143-Input!$Y$7))</f>
        <v>0</v>
      </c>
      <c r="L143" s="111"/>
      <c r="M143" s="9"/>
      <c r="N143" s="9"/>
      <c r="O143" s="9"/>
      <c r="P143" s="9"/>
      <c r="Q143" s="9"/>
      <c r="R143" s="9"/>
      <c r="S143" s="253"/>
      <c r="T143" s="253"/>
      <c r="U143" s="253"/>
      <c r="V143" s="253"/>
      <c r="W143" s="253"/>
      <c r="X143" s="253"/>
      <c r="Y143" s="253"/>
      <c r="Z143" s="253"/>
    </row>
    <row r="144" spans="1:26" hidden="1" outlineLevel="1">
      <c r="A144" s="9"/>
      <c r="B144" s="9"/>
      <c r="C144" s="397"/>
      <c r="D144" s="88">
        <v>10</v>
      </c>
      <c r="E144" s="260">
        <f ca="1">OFFSET('Actual RAB roll forward'!H$53,0,D144-1)-SUM('Actual RAB roll forward'!H204:OFFSET('Actual RAB roll forward'!H204,0,Input!$Y$7-1))</f>
        <v>0</v>
      </c>
      <c r="F144" s="260">
        <f ca="1">IF(A10stdlife="N/A","n/a",IF(E144=0,0,A10stdlife+D144-Input!$Y$7))</f>
        <v>0</v>
      </c>
      <c r="G144" s="256"/>
      <c r="H144" s="397"/>
      <c r="I144" s="88">
        <v>10</v>
      </c>
      <c r="J144" s="260">
        <f ca="1">OFFSET('Tax value roll forward'!H$49,0,I144-1)-SUM('Tax value roll forward'!H200:OFFSET('Tax value roll forward'!H200,0,Input!$Y$7-1))</f>
        <v>0</v>
      </c>
      <c r="K144" s="260">
        <f ca="1">IF(A10taxstdlife="N/A","n/a",IF(J144=0,0,A10taxstdlife+I144-Input!$Y$7))</f>
        <v>0</v>
      </c>
      <c r="L144" s="111"/>
      <c r="M144" s="9"/>
      <c r="N144" s="9"/>
      <c r="O144" s="9"/>
      <c r="P144" s="9"/>
      <c r="Q144" s="9"/>
      <c r="R144" s="9"/>
      <c r="S144" s="253"/>
      <c r="T144" s="253"/>
      <c r="U144" s="253"/>
      <c r="V144" s="253"/>
      <c r="W144" s="253"/>
      <c r="X144" s="253"/>
      <c r="Y144" s="253"/>
      <c r="Z144" s="253"/>
    </row>
    <row r="145" spans="1:26" collapsed="1">
      <c r="A145" s="9"/>
      <c r="B145" s="9"/>
      <c r="C145" s="274" t="str">
        <f>Asset10</f>
        <v>Vehicles</v>
      </c>
      <c r="D145" s="9"/>
      <c r="E145" s="260">
        <f ca="1">SUM(E134:E144)</f>
        <v>3.1130541962566336</v>
      </c>
      <c r="F145" s="260">
        <f ca="1">IF(E145=0,0,SUMPRODUCT(E134:E144,F134:F144)/E145)</f>
        <v>5.8997172057508429</v>
      </c>
      <c r="G145" s="256"/>
      <c r="H145" s="43"/>
      <c r="I145" s="260"/>
      <c r="J145" s="260">
        <f ca="1">SUM(J134:J144)</f>
        <v>3.6544717857242492</v>
      </c>
      <c r="K145" s="260">
        <f ca="1">IF(J145=0,0,SUMPRODUCT(J134:J144,K134:K144)/J145)</f>
        <v>6.6080252398799599</v>
      </c>
      <c r="L145" s="111"/>
      <c r="M145" s="9"/>
      <c r="N145" s="9"/>
      <c r="O145" s="9"/>
      <c r="P145" s="9"/>
      <c r="Q145" s="9"/>
      <c r="R145" s="9"/>
      <c r="S145" s="253"/>
      <c r="T145" s="253"/>
      <c r="U145" s="253"/>
      <c r="V145" s="253"/>
      <c r="W145" s="253"/>
      <c r="X145" s="253"/>
      <c r="Y145" s="253"/>
      <c r="Z145" s="253"/>
    </row>
    <row r="146" spans="1:26" hidden="1" outlineLevel="1">
      <c r="A146" s="9"/>
      <c r="B146" s="9"/>
      <c r="C146" s="274"/>
      <c r="D146" s="9"/>
      <c r="E146" s="260"/>
      <c r="F146" s="260"/>
      <c r="G146" s="256"/>
      <c r="H146" s="260"/>
      <c r="I146" s="260"/>
      <c r="J146" s="265"/>
      <c r="K146" s="260"/>
      <c r="L146" s="111"/>
      <c r="M146" s="9"/>
      <c r="N146" s="9"/>
      <c r="O146" s="9"/>
      <c r="P146" s="9"/>
      <c r="Q146" s="9"/>
      <c r="R146" s="9"/>
      <c r="S146" s="253"/>
      <c r="T146" s="253"/>
      <c r="U146" s="253"/>
      <c r="V146" s="253"/>
      <c r="W146" s="253"/>
      <c r="X146" s="253"/>
      <c r="Y146" s="253"/>
      <c r="Z146" s="253"/>
    </row>
    <row r="147" spans="1:26" hidden="1" outlineLevel="1">
      <c r="A147" s="9"/>
      <c r="B147" s="272" t="str">
        <f>Asset11</f>
        <v>other</v>
      </c>
      <c r="C147" s="9"/>
      <c r="D147" s="9"/>
      <c r="E147" s="35"/>
      <c r="F147" s="35"/>
      <c r="G147" s="256"/>
      <c r="H147" s="260"/>
      <c r="I147" s="260"/>
      <c r="J147" s="265"/>
      <c r="K147" s="260"/>
      <c r="L147" s="111"/>
      <c r="M147" s="9"/>
      <c r="N147" s="9"/>
      <c r="O147" s="9"/>
      <c r="P147" s="9"/>
      <c r="Q147" s="9"/>
      <c r="R147" s="9"/>
      <c r="S147" s="253"/>
      <c r="T147" s="253"/>
      <c r="U147" s="253"/>
      <c r="V147" s="253"/>
      <c r="W147" s="253"/>
      <c r="X147" s="253"/>
      <c r="Y147" s="253"/>
      <c r="Z147" s="253"/>
    </row>
    <row r="148" spans="1:26" ht="12.75" hidden="1" customHeight="1" outlineLevel="1">
      <c r="A148" s="9"/>
      <c r="B148" s="9"/>
      <c r="C148" s="393" t="s">
        <v>26</v>
      </c>
      <c r="D148" s="394"/>
      <c r="E148" s="260">
        <f ca="1">A11value-SUM('Actual RAB roll forward'!H206:OFFSET('Actual RAB roll forward'!H206,0,Input!$Y$7-1))</f>
        <v>2.1974319479662832</v>
      </c>
      <c r="F148" s="260">
        <f>IF(A11remlife="N/A","n/a",A11remlife-Input!$Y$7)</f>
        <v>0.99504321456326572</v>
      </c>
      <c r="G148" s="256"/>
      <c r="H148" s="298" t="s">
        <v>66</v>
      </c>
      <c r="I148" s="299"/>
      <c r="J148" s="260">
        <f ca="1">A11taxvalue-SUM('Tax value roll forward'!H202:OFFSET('Tax value roll forward'!H202,0,Input!$Y$7-1))</f>
        <v>1.6007645484158575</v>
      </c>
      <c r="K148" s="260">
        <f>IF(A11taxremlife="N/A","n/a",A11taxremlife-Input!$Y$7)</f>
        <v>1.2078319199699479</v>
      </c>
      <c r="L148" s="111"/>
      <c r="M148" s="9"/>
      <c r="N148" s="9"/>
      <c r="O148" s="9"/>
      <c r="P148" s="9"/>
      <c r="Q148" s="9"/>
      <c r="R148" s="9"/>
      <c r="S148" s="253"/>
      <c r="T148" s="253"/>
      <c r="U148" s="253"/>
      <c r="V148" s="253"/>
      <c r="W148" s="253"/>
      <c r="X148" s="253"/>
      <c r="Y148" s="253"/>
      <c r="Z148" s="253"/>
    </row>
    <row r="149" spans="1:26" hidden="1" outlineLevel="1">
      <c r="A149" s="9"/>
      <c r="B149" s="9"/>
      <c r="C149" s="395" t="s">
        <v>82</v>
      </c>
      <c r="D149" s="87">
        <v>1</v>
      </c>
      <c r="E149" s="260">
        <f ca="1">OFFSET('Actual RAB roll forward'!H$54,0,D149-1)-SUM('Actual RAB roll forward'!H208:OFFSET('Actual RAB roll forward'!H208,0,Input!$Y$7-1))</f>
        <v>0.20943428298640837</v>
      </c>
      <c r="F149" s="260">
        <f ca="1">IF(A11stdlife="N/A","n/a",IF(E149=0,0,A11stdlife+D149-Input!$Y$7))</f>
        <v>5</v>
      </c>
      <c r="G149" s="256"/>
      <c r="H149" s="395" t="s">
        <v>82</v>
      </c>
      <c r="I149" s="87">
        <v>1</v>
      </c>
      <c r="J149" s="260">
        <f ca="1">OFFSET('Tax value roll forward'!H$50,0,I149-1)-SUM('Tax value roll forward'!H204:OFFSET('Tax value roll forward'!H204,0,Input!$Y$7-1))</f>
        <v>0.20472527078855379</v>
      </c>
      <c r="K149" s="260">
        <f ca="1">IF(A11taxstdlife="N/A","n/a",IF(J149=0,0,A11taxstdlife+I149-Input!$Y$7))</f>
        <v>5</v>
      </c>
      <c r="L149" s="111"/>
      <c r="M149" s="9"/>
      <c r="N149" s="9"/>
      <c r="O149" s="9"/>
      <c r="P149" s="9"/>
      <c r="Q149" s="9"/>
      <c r="R149" s="9"/>
      <c r="S149" s="253"/>
      <c r="T149" s="253"/>
      <c r="U149" s="253"/>
      <c r="V149" s="253"/>
      <c r="W149" s="253"/>
      <c r="X149" s="253"/>
      <c r="Y149" s="253"/>
      <c r="Z149" s="253"/>
    </row>
    <row r="150" spans="1:26" hidden="1" outlineLevel="1">
      <c r="A150" s="9"/>
      <c r="B150" s="9"/>
      <c r="C150" s="396"/>
      <c r="D150" s="87">
        <v>2</v>
      </c>
      <c r="E150" s="260">
        <f ca="1">OFFSET('Actual RAB roll forward'!H$54,0,D150-1)-SUM('Actual RAB roll forward'!H209:OFFSET('Actual RAB roll forward'!H209,0,Input!$Y$7-1))</f>
        <v>1.0457644275275142</v>
      </c>
      <c r="F150" s="260">
        <f ca="1">IF(A11stdlife="N/A","n/a",IF(E150=0,0,A11stdlife+D150-Input!$Y$7))</f>
        <v>6</v>
      </c>
      <c r="G150" s="256"/>
      <c r="H150" s="396"/>
      <c r="I150" s="87">
        <v>2</v>
      </c>
      <c r="J150" s="260">
        <f ca="1">OFFSET('Tax value roll forward'!H$50,0,I150-1)-SUM('Tax value roll forward'!H205:OFFSET('Tax value roll forward'!H205,0,Input!$Y$7-1))</f>
        <v>1.0680752999399963</v>
      </c>
      <c r="K150" s="260">
        <f ca="1">IF(A11taxstdlife="N/A","n/a",IF(J150=0,0,A11taxstdlife+I150-Input!$Y$7))</f>
        <v>6</v>
      </c>
      <c r="L150" s="111"/>
      <c r="M150" s="9"/>
      <c r="N150" s="9"/>
      <c r="O150" s="9"/>
      <c r="P150" s="9"/>
      <c r="Q150" s="9"/>
      <c r="R150" s="9"/>
      <c r="S150" s="253"/>
      <c r="T150" s="253"/>
      <c r="U150" s="253"/>
      <c r="V150" s="253"/>
      <c r="W150" s="253"/>
      <c r="X150" s="253"/>
      <c r="Y150" s="253"/>
      <c r="Z150" s="253"/>
    </row>
    <row r="151" spans="1:26" hidden="1" outlineLevel="1">
      <c r="A151" s="9"/>
      <c r="B151" s="9"/>
      <c r="C151" s="396"/>
      <c r="D151" s="87">
        <v>3</v>
      </c>
      <c r="E151" s="260">
        <f ca="1">OFFSET('Actual RAB roll forward'!H$54,0,D151-1)-SUM('Actual RAB roll forward'!H210:OFFSET('Actual RAB roll forward'!H210,0,Input!$Y$7-1))</f>
        <v>2.1460933643949902</v>
      </c>
      <c r="F151" s="260">
        <f ca="1">IF(A11stdlife="N/A","n/a",IF(E151=0,0,A11stdlife+D151-Input!$Y$7))</f>
        <v>7</v>
      </c>
      <c r="G151" s="256"/>
      <c r="H151" s="396"/>
      <c r="I151" s="87">
        <v>3</v>
      </c>
      <c r="J151" s="260">
        <f ca="1">OFFSET('Tax value roll forward'!H$50,0,I151-1)-SUM('Tax value roll forward'!H206:OFFSET('Tax value roll forward'!H206,0,Input!$Y$7-1))</f>
        <v>2.2321288850000012</v>
      </c>
      <c r="K151" s="260">
        <f ca="1">IF(A11taxstdlife="N/A","n/a",IF(J151=0,0,A11taxstdlife+I151-Input!$Y$7))</f>
        <v>7</v>
      </c>
      <c r="L151" s="111"/>
      <c r="M151" s="9"/>
      <c r="N151" s="9"/>
      <c r="O151" s="9"/>
      <c r="P151" s="9"/>
      <c r="Q151" s="9"/>
      <c r="R151" s="9"/>
      <c r="S151" s="253"/>
      <c r="T151" s="253"/>
      <c r="U151" s="253"/>
      <c r="V151" s="253"/>
      <c r="W151" s="253"/>
      <c r="X151" s="253"/>
      <c r="Y151" s="253"/>
      <c r="Z151" s="253"/>
    </row>
    <row r="152" spans="1:26" hidden="1" outlineLevel="1">
      <c r="A152" s="9"/>
      <c r="B152" s="9"/>
      <c r="C152" s="396"/>
      <c r="D152" s="87">
        <v>4</v>
      </c>
      <c r="E152" s="260">
        <f ca="1">OFFSET('Actual RAB roll forward'!H$54,0,D152-1)-SUM('Actual RAB roll forward'!H211:OFFSET('Actual RAB roll forward'!H211,0,Input!$Y$7-1))</f>
        <v>2.4923189127277001</v>
      </c>
      <c r="F152" s="260">
        <f ca="1">IF(A11stdlife="N/A","n/a",IF(E152=0,0,A11stdlife+D152-Input!$Y$7))</f>
        <v>8</v>
      </c>
      <c r="G152" s="256"/>
      <c r="H152" s="396"/>
      <c r="I152" s="87">
        <v>4</v>
      </c>
      <c r="J152" s="260">
        <f ca="1">OFFSET('Tax value roll forward'!H$50,0,I152-1)-SUM('Tax value roll forward'!H207:OFFSET('Tax value roll forward'!H207,0,Input!$Y$7-1))</f>
        <v>2.6552596280522285</v>
      </c>
      <c r="K152" s="260">
        <f ca="1">IF(A11taxstdlife="N/A","n/a",IF(J152=0,0,A11taxstdlife+I152-Input!$Y$7))</f>
        <v>8</v>
      </c>
      <c r="L152" s="111"/>
      <c r="M152" s="9"/>
      <c r="N152" s="9"/>
      <c r="O152" s="9"/>
      <c r="P152" s="9"/>
      <c r="Q152" s="9"/>
      <c r="R152" s="9"/>
      <c r="S152" s="253"/>
      <c r="T152" s="253"/>
      <c r="U152" s="253"/>
      <c r="V152" s="253"/>
      <c r="W152" s="253"/>
      <c r="X152" s="253"/>
      <c r="Y152" s="253"/>
      <c r="Z152" s="253"/>
    </row>
    <row r="153" spans="1:26" hidden="1" outlineLevel="1">
      <c r="A153" s="9"/>
      <c r="B153" s="9"/>
      <c r="C153" s="396"/>
      <c r="D153" s="87">
        <v>5</v>
      </c>
      <c r="E153" s="260">
        <f ca="1">OFFSET('Actual RAB roll forward'!H$54,0,D153-1)-SUM('Actual RAB roll forward'!H212:OFFSET('Actual RAB roll forward'!H212,0,Input!$Y$7-1))</f>
        <v>1.7131029170279048</v>
      </c>
      <c r="F153" s="260">
        <f ca="1">IF(A11stdlife="N/A","n/a",IF(E153=0,0,A11stdlife+D153-Input!$Y$7))</f>
        <v>9</v>
      </c>
      <c r="G153" s="256"/>
      <c r="H153" s="396"/>
      <c r="I153" s="87">
        <v>5</v>
      </c>
      <c r="J153" s="260">
        <f ca="1">OFFSET('Tax value roll forward'!H$50,0,I153-1)-SUM('Tax value roll forward'!H208:OFFSET('Tax value roll forward'!H208,0,Input!$Y$7-1))</f>
        <v>1.8900000000000001</v>
      </c>
      <c r="K153" s="260">
        <f ca="1">IF(A11taxstdlife="N/A","n/a",IF(J153=0,0,A11taxstdlife+I153-Input!$Y$7))</f>
        <v>9</v>
      </c>
      <c r="L153" s="111"/>
      <c r="M153" s="9"/>
      <c r="N153" s="9"/>
      <c r="O153" s="9"/>
      <c r="P153" s="9"/>
      <c r="Q153" s="9"/>
      <c r="R153" s="9"/>
      <c r="S153" s="253"/>
      <c r="T153" s="253"/>
      <c r="U153" s="253"/>
      <c r="V153" s="253"/>
      <c r="W153" s="253"/>
      <c r="X153" s="253"/>
      <c r="Y153" s="253"/>
      <c r="Z153" s="253"/>
    </row>
    <row r="154" spans="1:26" hidden="1" outlineLevel="1">
      <c r="A154" s="9"/>
      <c r="B154" s="9"/>
      <c r="C154" s="396"/>
      <c r="D154" s="87">
        <v>6</v>
      </c>
      <c r="E154" s="260">
        <f ca="1">OFFSET('Actual RAB roll forward'!H$54,0,D154-1)-SUM('Actual RAB roll forward'!H213:OFFSET('Actual RAB roll forward'!H213,0,Input!$Y$7-1))</f>
        <v>1.4596712968525347</v>
      </c>
      <c r="F154" s="260">
        <f ca="1">IF(A11stdlife="N/A","n/a",IF(E154=0,0,A11stdlife+D154-Input!$Y$7))</f>
        <v>10</v>
      </c>
      <c r="G154" s="256"/>
      <c r="H154" s="396"/>
      <c r="I154" s="87">
        <v>6</v>
      </c>
      <c r="J154" s="260">
        <f ca="1">OFFSET('Tax value roll forward'!H$50,0,I154-1)-SUM('Tax value roll forward'!H209:OFFSET('Tax value roll forward'!H209,0,Input!$Y$7-1))</f>
        <v>1.6435235470941885</v>
      </c>
      <c r="K154" s="260">
        <f ca="1">IF(A11taxstdlife="N/A","n/a",IF(J154=0,0,A11taxstdlife+I154-Input!$Y$7))</f>
        <v>10</v>
      </c>
      <c r="L154" s="111"/>
      <c r="M154" s="9"/>
      <c r="N154" s="9"/>
      <c r="O154" s="9"/>
      <c r="P154" s="9"/>
      <c r="Q154" s="9"/>
      <c r="R154" s="9"/>
      <c r="S154" s="253"/>
      <c r="T154" s="253"/>
      <c r="U154" s="253"/>
      <c r="V154" s="253"/>
      <c r="W154" s="253"/>
      <c r="X154" s="253"/>
      <c r="Y154" s="253"/>
      <c r="Z154" s="253"/>
    </row>
    <row r="155" spans="1:26" hidden="1" outlineLevel="1">
      <c r="A155" s="9"/>
      <c r="B155" s="9"/>
      <c r="C155" s="396"/>
      <c r="D155" s="87">
        <v>7</v>
      </c>
      <c r="E155" s="260">
        <f ca="1">OFFSET('Actual RAB roll forward'!H$54,0,D155-1)-SUM('Actual RAB roll forward'!H214:OFFSET('Actual RAB roll forward'!H214,0,Input!$Y$7-1))</f>
        <v>0</v>
      </c>
      <c r="F155" s="260">
        <f ca="1">IF(A11stdlife="N/A","n/a",IF(E155=0,0,A11stdlife+D155-Input!$Y$7))</f>
        <v>0</v>
      </c>
      <c r="G155" s="256"/>
      <c r="H155" s="396"/>
      <c r="I155" s="87">
        <v>7</v>
      </c>
      <c r="J155" s="260">
        <f ca="1">OFFSET('Tax value roll forward'!H$50,0,I155-1)-SUM('Tax value roll forward'!H210:OFFSET('Tax value roll forward'!H210,0,Input!$Y$7-1))</f>
        <v>0</v>
      </c>
      <c r="K155" s="260">
        <f ca="1">IF(A11taxstdlife="N/A","n/a",IF(J155=0,0,A11taxstdlife+I155-Input!$Y$7))</f>
        <v>0</v>
      </c>
      <c r="L155" s="111"/>
      <c r="M155" s="9"/>
      <c r="N155" s="9"/>
      <c r="O155" s="9"/>
      <c r="P155" s="9"/>
      <c r="Q155" s="9"/>
      <c r="R155" s="9"/>
      <c r="S155" s="253"/>
      <c r="T155" s="253"/>
      <c r="U155" s="253"/>
      <c r="V155" s="253"/>
      <c r="W155" s="253"/>
      <c r="X155" s="253"/>
      <c r="Y155" s="253"/>
      <c r="Z155" s="253"/>
    </row>
    <row r="156" spans="1:26" hidden="1" outlineLevel="1">
      <c r="A156" s="9"/>
      <c r="B156" s="9"/>
      <c r="C156" s="396"/>
      <c r="D156" s="87">
        <v>8</v>
      </c>
      <c r="E156" s="260">
        <f ca="1">OFFSET('Actual RAB roll forward'!H$54,0,D156-1)-SUM('Actual RAB roll forward'!H215:OFFSET('Actual RAB roll forward'!H215,0,Input!$Y$7-1))</f>
        <v>0</v>
      </c>
      <c r="F156" s="260">
        <f ca="1">IF(A11stdlife="N/A","n/a",IF(E156=0,0,A11stdlife+D156-Input!$Y$7))</f>
        <v>0</v>
      </c>
      <c r="G156" s="256"/>
      <c r="H156" s="396"/>
      <c r="I156" s="87">
        <v>8</v>
      </c>
      <c r="J156" s="260">
        <f ca="1">OFFSET('Tax value roll forward'!H$50,0,I156-1)-SUM('Tax value roll forward'!H211:OFFSET('Tax value roll forward'!H211,0,Input!$Y$7-1))</f>
        <v>0</v>
      </c>
      <c r="K156" s="260">
        <f ca="1">IF(A11taxstdlife="N/A","n/a",IF(J156=0,0,A11taxstdlife+I156-Input!$Y$7))</f>
        <v>0</v>
      </c>
      <c r="L156" s="111"/>
      <c r="M156" s="9"/>
      <c r="N156" s="9"/>
      <c r="O156" s="9"/>
      <c r="P156" s="9"/>
      <c r="Q156" s="9"/>
      <c r="R156" s="9"/>
      <c r="S156" s="253"/>
      <c r="T156" s="253"/>
      <c r="U156" s="253"/>
      <c r="V156" s="253"/>
      <c r="W156" s="253"/>
      <c r="X156" s="253"/>
      <c r="Y156" s="253"/>
      <c r="Z156" s="253"/>
    </row>
    <row r="157" spans="1:26" hidden="1" outlineLevel="1">
      <c r="A157" s="9"/>
      <c r="B157" s="9"/>
      <c r="C157" s="396"/>
      <c r="D157" s="87">
        <v>9</v>
      </c>
      <c r="E157" s="260">
        <f ca="1">OFFSET('Actual RAB roll forward'!H$54,0,D157-1)-SUM('Actual RAB roll forward'!H216:OFFSET('Actual RAB roll forward'!H216,0,Input!$Y$7-1))</f>
        <v>0</v>
      </c>
      <c r="F157" s="260">
        <f ca="1">IF(A11stdlife="N/A","n/a",IF(E157=0,0,A11stdlife+D157-Input!$Y$7))</f>
        <v>0</v>
      </c>
      <c r="G157" s="256"/>
      <c r="H157" s="396"/>
      <c r="I157" s="87">
        <v>9</v>
      </c>
      <c r="J157" s="260">
        <f ca="1">OFFSET('Tax value roll forward'!H$50,0,I157-1)-SUM('Tax value roll forward'!H212:OFFSET('Tax value roll forward'!H212,0,Input!$Y$7-1))</f>
        <v>0</v>
      </c>
      <c r="K157" s="260">
        <f ca="1">IF(A11taxstdlife="N/A","n/a",IF(J157=0,0,A11taxstdlife+I157-Input!$Y$7))</f>
        <v>0</v>
      </c>
      <c r="L157" s="111"/>
      <c r="M157" s="9"/>
      <c r="N157" s="9"/>
      <c r="O157" s="9"/>
      <c r="P157" s="9"/>
      <c r="Q157" s="9"/>
      <c r="R157" s="9"/>
      <c r="S157" s="253"/>
      <c r="T157" s="253"/>
      <c r="U157" s="253"/>
      <c r="V157" s="253"/>
      <c r="W157" s="253"/>
      <c r="X157" s="253"/>
      <c r="Y157" s="253"/>
      <c r="Z157" s="253"/>
    </row>
    <row r="158" spans="1:26" hidden="1" outlineLevel="1">
      <c r="A158" s="9"/>
      <c r="B158" s="9"/>
      <c r="C158" s="397"/>
      <c r="D158" s="88">
        <v>10</v>
      </c>
      <c r="E158" s="260">
        <f ca="1">OFFSET('Actual RAB roll forward'!H$54,0,D158-1)-SUM('Actual RAB roll forward'!H217:OFFSET('Actual RAB roll forward'!H217,0,Input!$Y$7-1))</f>
        <v>0</v>
      </c>
      <c r="F158" s="260">
        <f ca="1">IF(A11stdlife="N/A","n/a",IF(E158=0,0,A11stdlife+D158-Input!$Y$7))</f>
        <v>0</v>
      </c>
      <c r="G158" s="256"/>
      <c r="H158" s="397"/>
      <c r="I158" s="88">
        <v>10</v>
      </c>
      <c r="J158" s="260">
        <f ca="1">OFFSET('Tax value roll forward'!H$50,0,I158-1)-SUM('Tax value roll forward'!H213:OFFSET('Tax value roll forward'!H213,0,Input!$Y$7-1))</f>
        <v>0</v>
      </c>
      <c r="K158" s="260">
        <f ca="1">IF(A11taxstdlife="N/A","n/a",IF(J158=0,0,A11taxstdlife+I158-Input!$Y$7))</f>
        <v>0</v>
      </c>
      <c r="L158" s="111"/>
      <c r="M158" s="9"/>
      <c r="N158" s="9"/>
      <c r="O158" s="9"/>
      <c r="P158" s="9"/>
      <c r="Q158" s="9"/>
      <c r="R158" s="9"/>
      <c r="S158" s="253"/>
      <c r="T158" s="253"/>
      <c r="U158" s="253"/>
      <c r="V158" s="253"/>
      <c r="W158" s="253"/>
      <c r="X158" s="253"/>
      <c r="Y158" s="253"/>
      <c r="Z158" s="253"/>
    </row>
    <row r="159" spans="1:26" collapsed="1">
      <c r="A159" s="9"/>
      <c r="B159" s="9"/>
      <c r="C159" s="274" t="str">
        <f>Asset11</f>
        <v>other</v>
      </c>
      <c r="D159" s="9"/>
      <c r="E159" s="260">
        <f ca="1">SUM(E148:E158)</f>
        <v>11.263817149483337</v>
      </c>
      <c r="F159" s="260">
        <f ca="1">IF(E159=0,0,SUMPRODUCT(E148:E158,F148:F158)/E159)</f>
        <v>6.6126909568276391</v>
      </c>
      <c r="G159" s="256"/>
      <c r="H159" s="43"/>
      <c r="I159" s="260"/>
      <c r="J159" s="260">
        <f ca="1">SUM(J148:J158)</f>
        <v>11.294477179290826</v>
      </c>
      <c r="K159" s="260">
        <f ca="1">IF(J159=0,0,SUMPRODUCT(J148:J158,K148:K158)/J159)</f>
        <v>7.0545759752359194</v>
      </c>
      <c r="L159" s="111"/>
      <c r="M159" s="9"/>
      <c r="N159" s="9"/>
      <c r="O159" s="9"/>
      <c r="P159" s="9"/>
      <c r="Q159" s="9"/>
      <c r="R159" s="9"/>
      <c r="S159" s="253"/>
      <c r="T159" s="253"/>
      <c r="U159" s="253"/>
      <c r="V159" s="253"/>
      <c r="W159" s="253"/>
      <c r="X159" s="253"/>
      <c r="Y159" s="253"/>
      <c r="Z159" s="253"/>
    </row>
    <row r="160" spans="1:26" hidden="1" outlineLevel="1">
      <c r="A160" s="9"/>
      <c r="B160" s="9"/>
      <c r="C160" s="274"/>
      <c r="D160" s="9"/>
      <c r="E160" s="260"/>
      <c r="F160" s="260"/>
      <c r="G160" s="256"/>
      <c r="H160" s="260"/>
      <c r="I160" s="260"/>
      <c r="J160" s="265"/>
      <c r="K160" s="260"/>
      <c r="L160" s="111"/>
      <c r="M160" s="9"/>
      <c r="N160" s="9"/>
      <c r="O160" s="9"/>
      <c r="P160" s="9"/>
      <c r="Q160" s="9"/>
      <c r="R160" s="9"/>
      <c r="S160" s="253"/>
      <c r="T160" s="253"/>
      <c r="U160" s="253"/>
      <c r="V160" s="253"/>
      <c r="W160" s="253"/>
      <c r="X160" s="253"/>
      <c r="Y160" s="253"/>
      <c r="Z160" s="253"/>
    </row>
    <row r="161" spans="1:26" hidden="1" outlineLevel="1">
      <c r="A161" s="9"/>
      <c r="B161" s="272" t="str">
        <f>Asset12</f>
        <v>premises</v>
      </c>
      <c r="C161" s="9"/>
      <c r="D161" s="9"/>
      <c r="E161" s="35"/>
      <c r="F161" s="35"/>
      <c r="G161" s="256"/>
      <c r="H161" s="260"/>
      <c r="I161" s="260"/>
      <c r="J161" s="265"/>
      <c r="K161" s="260"/>
      <c r="L161" s="111"/>
      <c r="M161" s="9"/>
      <c r="N161" s="9"/>
      <c r="O161" s="9"/>
      <c r="P161" s="9"/>
      <c r="Q161" s="9"/>
      <c r="R161" s="9"/>
      <c r="S161" s="253"/>
      <c r="T161" s="253"/>
      <c r="U161" s="253"/>
      <c r="V161" s="253"/>
      <c r="W161" s="253"/>
      <c r="X161" s="253"/>
      <c r="Y161" s="253"/>
      <c r="Z161" s="253"/>
    </row>
    <row r="162" spans="1:26" ht="12.75" hidden="1" customHeight="1" outlineLevel="1">
      <c r="A162" s="9"/>
      <c r="B162" s="9"/>
      <c r="C162" s="393" t="s">
        <v>26</v>
      </c>
      <c r="D162" s="394"/>
      <c r="E162" s="260">
        <f ca="1">A12value-SUM('Actual RAB roll forward'!H219:OFFSET('Actual RAB roll forward'!H219,0,Input!$Y$7-1))</f>
        <v>0.48696783754895367</v>
      </c>
      <c r="F162" s="260">
        <f>IF(A12remlife="N/A","n/a",A12remlife-Input!$Y$7)</f>
        <v>0.36887476738185487</v>
      </c>
      <c r="G162" s="256"/>
      <c r="H162" s="298" t="s">
        <v>66</v>
      </c>
      <c r="I162" s="299"/>
      <c r="J162" s="260">
        <f ca="1">A12taxvalue-SUM('Tax value roll forward'!H215:OFFSET('Tax value roll forward'!H215,0,Input!$Y$7-1))</f>
        <v>0.59180193909572321</v>
      </c>
      <c r="K162" s="260">
        <f>IF(A12taxremlife="N/A","n/a",A12taxremlife-Input!$Y$7)</f>
        <v>0.59127889622925878</v>
      </c>
      <c r="L162" s="111"/>
      <c r="M162" s="9"/>
      <c r="N162" s="9"/>
      <c r="O162" s="9"/>
      <c r="P162" s="9"/>
      <c r="Q162" s="9"/>
      <c r="R162" s="9"/>
      <c r="S162" s="253"/>
      <c r="T162" s="253"/>
      <c r="U162" s="253"/>
      <c r="V162" s="253"/>
      <c r="W162" s="253"/>
      <c r="X162" s="253"/>
      <c r="Y162" s="253"/>
      <c r="Z162" s="253"/>
    </row>
    <row r="163" spans="1:26" hidden="1" outlineLevel="1">
      <c r="A163" s="9"/>
      <c r="B163" s="9"/>
      <c r="C163" s="395" t="s">
        <v>82</v>
      </c>
      <c r="D163" s="87">
        <v>1</v>
      </c>
      <c r="E163" s="260">
        <f ca="1">OFFSET('Actual RAB roll forward'!H$55,0,D163-1)-SUM('Actual RAB roll forward'!H221:OFFSET('Actual RAB roll forward'!H221,0,Input!$Y$7-1))</f>
        <v>-1.0070386994267207E-2</v>
      </c>
      <c r="F163" s="260">
        <f ca="1">IF(A12stdlife="N/A","n/a",IF(E163=0,0,A12stdlife+D163-Input!$Y$7))</f>
        <v>5</v>
      </c>
      <c r="G163" s="256"/>
      <c r="H163" s="395" t="s">
        <v>82</v>
      </c>
      <c r="I163" s="87">
        <v>1</v>
      </c>
      <c r="J163" s="260">
        <f ca="1">OFFSET('Tax value roll forward'!H$51,0,I163-1)-SUM('Tax value roll forward'!H217:OFFSET('Tax value roll forward'!H217,0,Input!$Y$7-1))</f>
        <v>-1.4765939999999998E-2</v>
      </c>
      <c r="K163" s="260">
        <f ca="1">IF(A12taxstdlife="N/A","n/a",IF(J163=0,0,A12taxstdlife+I163-Input!$Y$7))</f>
        <v>15</v>
      </c>
      <c r="L163" s="111"/>
      <c r="M163" s="9"/>
      <c r="N163" s="9"/>
      <c r="O163" s="9"/>
      <c r="P163" s="9"/>
      <c r="Q163" s="9"/>
      <c r="R163" s="9"/>
      <c r="S163" s="253"/>
      <c r="T163" s="253"/>
      <c r="U163" s="253"/>
      <c r="V163" s="253"/>
      <c r="W163" s="253"/>
      <c r="X163" s="253"/>
      <c r="Y163" s="253"/>
      <c r="Z163" s="253"/>
    </row>
    <row r="164" spans="1:26" hidden="1" outlineLevel="1">
      <c r="A164" s="9"/>
      <c r="B164" s="9"/>
      <c r="C164" s="396"/>
      <c r="D164" s="87">
        <v>2</v>
      </c>
      <c r="E164" s="260">
        <f ca="1">OFFSET('Actual RAB roll forward'!H$55,0,D164-1)-SUM('Actual RAB roll forward'!H222:OFFSET('Actual RAB roll forward'!H222,0,Input!$Y$7-1))</f>
        <v>0.20625966496226178</v>
      </c>
      <c r="F164" s="260">
        <f ca="1">IF(A12stdlife="N/A","n/a",IF(E164=0,0,A12stdlife+D164-Input!$Y$7))</f>
        <v>6</v>
      </c>
      <c r="G164" s="256"/>
      <c r="H164" s="396"/>
      <c r="I164" s="87">
        <v>2</v>
      </c>
      <c r="J164" s="260">
        <f ca="1">OFFSET('Tax value roll forward'!H$51,0,I164-1)-SUM('Tax value roll forward'!H218:OFFSET('Tax value roll forward'!H218,0,Input!$Y$7-1))</f>
        <v>0.28088015199999999</v>
      </c>
      <c r="K164" s="260">
        <f ca="1">IF(A12taxstdlife="N/A","n/a",IF(J164=0,0,A12taxstdlife+I164-Input!$Y$7))</f>
        <v>16</v>
      </c>
      <c r="L164" s="111"/>
      <c r="M164" s="9"/>
      <c r="N164" s="9"/>
      <c r="O164" s="9"/>
      <c r="P164" s="9"/>
      <c r="Q164" s="9"/>
      <c r="R164" s="9"/>
      <c r="S164" s="253"/>
      <c r="T164" s="253"/>
      <c r="U164" s="253"/>
      <c r="V164" s="253"/>
      <c r="W164" s="253"/>
      <c r="X164" s="253"/>
      <c r="Y164" s="253"/>
      <c r="Z164" s="253"/>
    </row>
    <row r="165" spans="1:26" hidden="1" outlineLevel="1">
      <c r="A165" s="9"/>
      <c r="B165" s="9"/>
      <c r="C165" s="396"/>
      <c r="D165" s="87">
        <v>3</v>
      </c>
      <c r="E165" s="260">
        <f ca="1">OFFSET('Actual RAB roll forward'!H$55,0,D165-1)-SUM('Actual RAB roll forward'!H223:OFFSET('Actual RAB roll forward'!H223,0,Input!$Y$7-1))</f>
        <v>5.6041263329009203E-2</v>
      </c>
      <c r="F165" s="260">
        <f ca="1">IF(A12stdlife="N/A","n/a",IF(E165=0,0,A12stdlife+D165-Input!$Y$7))</f>
        <v>7</v>
      </c>
      <c r="G165" s="256"/>
      <c r="H165" s="396"/>
      <c r="I165" s="87">
        <v>3</v>
      </c>
      <c r="J165" s="260">
        <f ca="1">OFFSET('Tax value roll forward'!H$51,0,I165-1)-SUM('Tax value roll forward'!H219:OFFSET('Tax value roll forward'!H219,0,Input!$Y$7-1))</f>
        <v>7.077819099999999E-2</v>
      </c>
      <c r="K165" s="260">
        <f ca="1">IF(A12taxstdlife="N/A","n/a",IF(J165=0,0,A12taxstdlife+I165-Input!$Y$7))</f>
        <v>17</v>
      </c>
      <c r="L165" s="111"/>
      <c r="M165" s="9"/>
      <c r="N165" s="9"/>
      <c r="O165" s="9"/>
      <c r="P165" s="9"/>
      <c r="Q165" s="9"/>
      <c r="R165" s="9"/>
      <c r="S165" s="253"/>
      <c r="T165" s="253"/>
      <c r="U165" s="253"/>
      <c r="V165" s="253"/>
      <c r="W165" s="253"/>
      <c r="X165" s="253"/>
      <c r="Y165" s="253"/>
      <c r="Z165" s="253"/>
    </row>
    <row r="166" spans="1:26" hidden="1" outlineLevel="1">
      <c r="A166" s="9"/>
      <c r="B166" s="9"/>
      <c r="C166" s="396"/>
      <c r="D166" s="87">
        <v>4</v>
      </c>
      <c r="E166" s="260">
        <f ca="1">OFFSET('Actual RAB roll forward'!H$55,0,D166-1)-SUM('Actual RAB roll forward'!H224:OFFSET('Actual RAB roll forward'!H224,0,Input!$Y$7-1))</f>
        <v>0.80492213057354989</v>
      </c>
      <c r="F166" s="260">
        <f ca="1">IF(A12stdlife="N/A","n/a",IF(E166=0,0,A12stdlife+D166-Input!$Y$7))</f>
        <v>8</v>
      </c>
      <c r="G166" s="256"/>
      <c r="H166" s="396"/>
      <c r="I166" s="87">
        <v>4</v>
      </c>
      <c r="J166" s="260">
        <f ca="1">OFFSET('Tax value roll forward'!H$51,0,I166-1)-SUM('Tax value roll forward'!H220:OFFSET('Tax value roll forward'!H220,0,Input!$Y$7-1))</f>
        <v>0.96473885399999992</v>
      </c>
      <c r="K166" s="260">
        <f ca="1">IF(A12taxstdlife="N/A","n/a",IF(J166=0,0,A12taxstdlife+I166-Input!$Y$7))</f>
        <v>18</v>
      </c>
      <c r="L166" s="111"/>
      <c r="M166" s="9"/>
      <c r="N166" s="9"/>
      <c r="O166" s="9"/>
      <c r="P166" s="9"/>
      <c r="Q166" s="9"/>
      <c r="R166" s="9"/>
      <c r="S166" s="253"/>
      <c r="T166" s="253"/>
      <c r="U166" s="253"/>
      <c r="V166" s="253"/>
      <c r="W166" s="253"/>
      <c r="X166" s="253"/>
      <c r="Y166" s="253"/>
      <c r="Z166" s="253"/>
    </row>
    <row r="167" spans="1:26" hidden="1" outlineLevel="1">
      <c r="A167" s="9"/>
      <c r="B167" s="9"/>
      <c r="C167" s="396"/>
      <c r="D167" s="87">
        <v>5</v>
      </c>
      <c r="E167" s="260">
        <f ca="1">OFFSET('Actual RAB roll forward'!H$55,0,D167-1)-SUM('Actual RAB roll forward'!H225:OFFSET('Actual RAB roll forward'!H225,0,Input!$Y$7-1))</f>
        <v>0.1713102917027905</v>
      </c>
      <c r="F167" s="260">
        <f ca="1">IF(A12stdlife="N/A","n/a",IF(E167=0,0,A12stdlife+D167-Input!$Y$7))</f>
        <v>9</v>
      </c>
      <c r="G167" s="256"/>
      <c r="H167" s="396"/>
      <c r="I167" s="87">
        <v>5</v>
      </c>
      <c r="J167" s="260">
        <f ca="1">OFFSET('Tax value roll forward'!H$51,0,I167-1)-SUM('Tax value roll forward'!H221:OFFSET('Tax value roll forward'!H221,0,Input!$Y$7-1))</f>
        <v>0.19950000000000001</v>
      </c>
      <c r="K167" s="260">
        <f ca="1">IF(A12taxstdlife="N/A","n/a",IF(J167=0,0,A12taxstdlife+I167-Input!$Y$7))</f>
        <v>19</v>
      </c>
      <c r="L167" s="111"/>
      <c r="M167" s="9"/>
      <c r="N167" s="9"/>
      <c r="O167" s="9"/>
      <c r="P167" s="9"/>
      <c r="Q167" s="9"/>
      <c r="R167" s="9"/>
      <c r="S167" s="253"/>
      <c r="T167" s="253"/>
      <c r="U167" s="253"/>
      <c r="V167" s="253"/>
      <c r="W167" s="253"/>
      <c r="X167" s="253"/>
      <c r="Y167" s="253"/>
      <c r="Z167" s="253"/>
    </row>
    <row r="168" spans="1:26" hidden="1" outlineLevel="1">
      <c r="A168" s="9"/>
      <c r="B168" s="9"/>
      <c r="C168" s="396"/>
      <c r="D168" s="87">
        <v>6</v>
      </c>
      <c r="E168" s="260">
        <f ca="1">OFFSET('Actual RAB roll forward'!H$55,0,D168-1)-SUM('Actual RAB roll forward'!H226:OFFSET('Actual RAB roll forward'!H226,0,Input!$Y$7-1))</f>
        <v>0.19233540170084332</v>
      </c>
      <c r="F168" s="260">
        <f ca="1">IF(A12stdlife="N/A","n/a",IF(E168=0,0,A12stdlife+D168-Input!$Y$7))</f>
        <v>10</v>
      </c>
      <c r="G168" s="256"/>
      <c r="H168" s="396"/>
      <c r="I168" s="87">
        <v>6</v>
      </c>
      <c r="J168" s="260">
        <f ca="1">OFFSET('Tax value roll forward'!H$51,0,I168-1)-SUM('Tax value roll forward'!H222:OFFSET('Tax value roll forward'!H222,0,Input!$Y$7-1))</f>
        <v>0.21656092184368742</v>
      </c>
      <c r="K168" s="260">
        <f ca="1">IF(A12taxstdlife="N/A","n/a",IF(J168=0,0,A12taxstdlife+I168-Input!$Y$7))</f>
        <v>20</v>
      </c>
      <c r="L168" s="111"/>
      <c r="M168" s="9"/>
      <c r="N168" s="9"/>
      <c r="O168" s="9"/>
      <c r="P168" s="9"/>
      <c r="Q168" s="9"/>
      <c r="R168" s="9"/>
      <c r="S168" s="253"/>
      <c r="T168" s="253"/>
      <c r="U168" s="253"/>
      <c r="V168" s="253"/>
      <c r="W168" s="253"/>
      <c r="X168" s="253"/>
      <c r="Y168" s="253"/>
      <c r="Z168" s="253"/>
    </row>
    <row r="169" spans="1:26" hidden="1" outlineLevel="1">
      <c r="A169" s="9"/>
      <c r="B169" s="9"/>
      <c r="C169" s="396"/>
      <c r="D169" s="87">
        <v>7</v>
      </c>
      <c r="E169" s="260">
        <f ca="1">OFFSET('Actual RAB roll forward'!H$55,0,D169-1)-SUM('Actual RAB roll forward'!H227:OFFSET('Actual RAB roll forward'!H227,0,Input!$Y$7-1))</f>
        <v>0</v>
      </c>
      <c r="F169" s="260">
        <f ca="1">IF(A12stdlife="N/A","n/a",IF(E169=0,0,A12stdlife+D169-Input!$Y$7))</f>
        <v>0</v>
      </c>
      <c r="G169" s="256"/>
      <c r="H169" s="396"/>
      <c r="I169" s="87">
        <v>7</v>
      </c>
      <c r="J169" s="260">
        <f ca="1">OFFSET('Tax value roll forward'!H$51,0,I169-1)-SUM('Tax value roll forward'!H223:OFFSET('Tax value roll forward'!H223,0,Input!$Y$7-1))</f>
        <v>0</v>
      </c>
      <c r="K169" s="260">
        <f ca="1">IF(A12taxstdlife="N/A","n/a",IF(J169=0,0,A12taxstdlife+I169-Input!$Y$7))</f>
        <v>0</v>
      </c>
      <c r="L169" s="111"/>
      <c r="M169" s="9"/>
      <c r="N169" s="9"/>
      <c r="O169" s="9"/>
      <c r="P169" s="9"/>
      <c r="Q169" s="9"/>
      <c r="R169" s="9"/>
      <c r="S169" s="253"/>
      <c r="T169" s="253"/>
      <c r="U169" s="253"/>
      <c r="V169" s="253"/>
      <c r="W169" s="253"/>
      <c r="X169" s="253"/>
      <c r="Y169" s="253"/>
      <c r="Z169" s="253"/>
    </row>
    <row r="170" spans="1:26" hidden="1" outlineLevel="1">
      <c r="A170" s="9"/>
      <c r="B170" s="9"/>
      <c r="C170" s="396"/>
      <c r="D170" s="87">
        <v>8</v>
      </c>
      <c r="E170" s="260">
        <f ca="1">OFFSET('Actual RAB roll forward'!H$55,0,D170-1)-SUM('Actual RAB roll forward'!H228:OFFSET('Actual RAB roll forward'!H228,0,Input!$Y$7-1))</f>
        <v>0</v>
      </c>
      <c r="F170" s="260">
        <f ca="1">IF(A12stdlife="N/A","n/a",IF(E170=0,0,A12stdlife+D170-Input!$Y$7))</f>
        <v>0</v>
      </c>
      <c r="G170" s="256"/>
      <c r="H170" s="396"/>
      <c r="I170" s="87">
        <v>8</v>
      </c>
      <c r="J170" s="260">
        <f ca="1">OFFSET('Tax value roll forward'!H$51,0,I170-1)-SUM('Tax value roll forward'!H224:OFFSET('Tax value roll forward'!H224,0,Input!$Y$7-1))</f>
        <v>0</v>
      </c>
      <c r="K170" s="260">
        <f ca="1">IF(A12taxstdlife="N/A","n/a",IF(J170=0,0,A12taxstdlife+I170-Input!$Y$7))</f>
        <v>0</v>
      </c>
      <c r="L170" s="111"/>
      <c r="M170" s="9"/>
      <c r="N170" s="9"/>
      <c r="O170" s="9"/>
      <c r="P170" s="9"/>
      <c r="Q170" s="9"/>
      <c r="R170" s="9"/>
      <c r="S170" s="253"/>
      <c r="T170" s="253"/>
      <c r="U170" s="253"/>
      <c r="V170" s="253"/>
      <c r="W170" s="253"/>
      <c r="X170" s="253"/>
      <c r="Y170" s="253"/>
      <c r="Z170" s="253"/>
    </row>
    <row r="171" spans="1:26" hidden="1" outlineLevel="1">
      <c r="A171" s="9"/>
      <c r="B171" s="9"/>
      <c r="C171" s="396"/>
      <c r="D171" s="87">
        <v>9</v>
      </c>
      <c r="E171" s="260">
        <f ca="1">OFFSET('Actual RAB roll forward'!H$55,0,D171-1)-SUM('Actual RAB roll forward'!H229:OFFSET('Actual RAB roll forward'!H229,0,Input!$Y$7-1))</f>
        <v>0</v>
      </c>
      <c r="F171" s="260">
        <f ca="1">IF(A12stdlife="N/A","n/a",IF(E171=0,0,A12stdlife+D171-Input!$Y$7))</f>
        <v>0</v>
      </c>
      <c r="G171" s="256"/>
      <c r="H171" s="396"/>
      <c r="I171" s="87">
        <v>9</v>
      </c>
      <c r="J171" s="260">
        <f ca="1">OFFSET('Tax value roll forward'!H$51,0,I171-1)-SUM('Tax value roll forward'!H225:OFFSET('Tax value roll forward'!H225,0,Input!$Y$7-1))</f>
        <v>0</v>
      </c>
      <c r="K171" s="260">
        <f ca="1">IF(A12taxstdlife="N/A","n/a",IF(J171=0,0,A12taxstdlife+I171-Input!$Y$7))</f>
        <v>0</v>
      </c>
      <c r="L171" s="111"/>
      <c r="M171" s="9"/>
      <c r="N171" s="9"/>
      <c r="O171" s="9"/>
      <c r="P171" s="9"/>
      <c r="Q171" s="9"/>
      <c r="R171" s="9"/>
      <c r="S171" s="253"/>
      <c r="T171" s="253"/>
      <c r="U171" s="253"/>
      <c r="V171" s="253"/>
      <c r="W171" s="253"/>
      <c r="X171" s="253"/>
      <c r="Y171" s="253"/>
      <c r="Z171" s="253"/>
    </row>
    <row r="172" spans="1:26" hidden="1" outlineLevel="1">
      <c r="A172" s="9"/>
      <c r="B172" s="9"/>
      <c r="C172" s="397"/>
      <c r="D172" s="88">
        <v>10</v>
      </c>
      <c r="E172" s="260">
        <f ca="1">OFFSET('Actual RAB roll forward'!H$55,0,D172-1)-SUM('Actual RAB roll forward'!H230:OFFSET('Actual RAB roll forward'!H230,0,Input!$Y$7-1))</f>
        <v>0</v>
      </c>
      <c r="F172" s="260">
        <f ca="1">IF(A12stdlife="N/A","n/a",IF(E172=0,0,A12stdlife+D172-Input!$Y$7))</f>
        <v>0</v>
      </c>
      <c r="G172" s="256"/>
      <c r="H172" s="397"/>
      <c r="I172" s="88">
        <v>10</v>
      </c>
      <c r="J172" s="260">
        <f ca="1">OFFSET('Tax value roll forward'!H$51,0,I172-1)-SUM('Tax value roll forward'!H226:OFFSET('Tax value roll forward'!H226,0,Input!$Y$7-1))</f>
        <v>0</v>
      </c>
      <c r="K172" s="260">
        <f ca="1">IF(A12taxstdlife="N/A","n/a",IF(J172=0,0,A12taxstdlife+I172-Input!$Y$7))</f>
        <v>0</v>
      </c>
      <c r="L172" s="111"/>
      <c r="M172" s="9"/>
      <c r="N172" s="9"/>
      <c r="O172" s="9"/>
      <c r="P172" s="9"/>
      <c r="Q172" s="9"/>
      <c r="R172" s="9"/>
      <c r="S172" s="253"/>
      <c r="T172" s="253"/>
      <c r="U172" s="253"/>
      <c r="V172" s="253"/>
      <c r="W172" s="253"/>
      <c r="X172" s="253"/>
      <c r="Y172" s="253"/>
      <c r="Z172" s="253"/>
    </row>
    <row r="173" spans="1:26" collapsed="1">
      <c r="A173" s="9"/>
      <c r="B173" s="9"/>
      <c r="C173" s="274" t="str">
        <f>Asset12</f>
        <v>premises</v>
      </c>
      <c r="D173" s="9"/>
      <c r="E173" s="260">
        <f ca="1">SUM(E162:E172)</f>
        <v>1.9077662028231412</v>
      </c>
      <c r="F173" s="260">
        <f ca="1">IF(E173=0,0,SUMPRODUCT(E162:E172,F162:F172)/E173)</f>
        <v>6.113772597273984</v>
      </c>
      <c r="G173" s="256"/>
      <c r="H173" s="43"/>
      <c r="I173" s="260"/>
      <c r="J173" s="260">
        <f ca="1">SUM(J162:J172)</f>
        <v>2.3094941179394106</v>
      </c>
      <c r="K173" s="260">
        <f ca="1">IF(J173=0,0,SUMPRODUCT(J162:J172,K162:K172)/J173)</f>
        <v>13.558276742071396</v>
      </c>
      <c r="L173" s="111"/>
      <c r="M173" s="9"/>
      <c r="N173" s="9"/>
      <c r="O173" s="9"/>
      <c r="P173" s="9"/>
      <c r="Q173" s="9"/>
      <c r="R173" s="9"/>
      <c r="S173" s="253"/>
      <c r="T173" s="253"/>
      <c r="U173" s="253"/>
      <c r="V173" s="253"/>
      <c r="W173" s="253"/>
      <c r="X173" s="253"/>
      <c r="Y173" s="253"/>
      <c r="Z173" s="253"/>
    </row>
    <row r="174" spans="1:26" hidden="1" outlineLevel="1">
      <c r="A174" s="9"/>
      <c r="B174" s="9"/>
      <c r="C174" s="274"/>
      <c r="D174" s="9"/>
      <c r="E174" s="260"/>
      <c r="F174" s="260"/>
      <c r="G174" s="256"/>
      <c r="H174" s="260"/>
      <c r="I174" s="260"/>
      <c r="J174" s="265"/>
      <c r="K174" s="260"/>
      <c r="L174" s="111"/>
      <c r="M174" s="9"/>
      <c r="N174" s="9"/>
      <c r="O174" s="9"/>
      <c r="P174" s="9"/>
      <c r="Q174" s="9"/>
      <c r="R174" s="9"/>
      <c r="S174" s="253"/>
      <c r="T174" s="253"/>
      <c r="U174" s="253"/>
      <c r="V174" s="253"/>
      <c r="W174" s="253"/>
      <c r="X174" s="253"/>
      <c r="Y174" s="253"/>
      <c r="Z174" s="253"/>
    </row>
    <row r="175" spans="1:26" hidden="1" outlineLevel="1">
      <c r="A175" s="9"/>
      <c r="B175" s="272" t="str">
        <f>Asset13</f>
        <v>Land</v>
      </c>
      <c r="C175" s="9"/>
      <c r="D175" s="9"/>
      <c r="E175" s="35"/>
      <c r="F175" s="35"/>
      <c r="G175" s="256"/>
      <c r="H175" s="260"/>
      <c r="I175" s="260"/>
      <c r="J175" s="265"/>
      <c r="K175" s="260"/>
      <c r="L175" s="111"/>
      <c r="M175" s="9"/>
      <c r="N175" s="9"/>
      <c r="O175" s="9"/>
      <c r="P175" s="9"/>
      <c r="Q175" s="9"/>
      <c r="R175" s="9"/>
      <c r="S175" s="253"/>
      <c r="T175" s="253"/>
      <c r="U175" s="253"/>
      <c r="V175" s="253"/>
      <c r="W175" s="253"/>
      <c r="X175" s="253"/>
      <c r="Y175" s="253"/>
      <c r="Z175" s="253"/>
    </row>
    <row r="176" spans="1:26" ht="12.75" hidden="1" customHeight="1" outlineLevel="1">
      <c r="A176" s="9"/>
      <c r="B176" s="9"/>
      <c r="C176" s="393" t="s">
        <v>26</v>
      </c>
      <c r="D176" s="394"/>
      <c r="E176" s="260">
        <f ca="1">A13value-SUM('Actual RAB roll forward'!H232:OFFSET('Actual RAB roll forward'!H232,0,Input!$Y$7-1))</f>
        <v>95.756770018212507</v>
      </c>
      <c r="F176" s="260" t="str">
        <f>IF(A13remlife="N/A","n/a",A13remlife-Input!$Y$7)</f>
        <v>n/a</v>
      </c>
      <c r="G176" s="256"/>
      <c r="H176" s="298" t="s">
        <v>66</v>
      </c>
      <c r="I176" s="299"/>
      <c r="J176" s="260">
        <f ca="1">A13taxvalue-SUM('Tax value roll forward'!H228:OFFSET('Tax value roll forward'!H228,0,Input!$Y$7-1))</f>
        <v>83.478960000000001</v>
      </c>
      <c r="K176" s="260" t="str">
        <f>IF(A13taxremlife="N/A","n/a",A13taxremlife-Input!$Y$7)</f>
        <v>n/a</v>
      </c>
      <c r="L176" s="111"/>
      <c r="M176" s="9"/>
      <c r="N176" s="9"/>
      <c r="O176" s="9"/>
      <c r="P176" s="9"/>
      <c r="Q176" s="9"/>
      <c r="R176" s="9"/>
      <c r="S176" s="253"/>
      <c r="T176" s="253"/>
      <c r="U176" s="253"/>
      <c r="V176" s="253"/>
      <c r="W176" s="253"/>
      <c r="X176" s="253"/>
      <c r="Y176" s="253"/>
      <c r="Z176" s="253"/>
    </row>
    <row r="177" spans="1:26" hidden="1" outlineLevel="1">
      <c r="A177" s="9"/>
      <c r="B177" s="9"/>
      <c r="C177" s="395" t="s">
        <v>82</v>
      </c>
      <c r="D177" s="87">
        <v>1</v>
      </c>
      <c r="E177" s="260">
        <f ca="1">OFFSET('Actual RAB roll forward'!H$56,0,D177-1)-SUM('Actual RAB roll forward'!H234:OFFSET('Actual RAB roll forward'!H234,0,Input!$Y$7-1))</f>
        <v>0</v>
      </c>
      <c r="F177" s="260" t="str">
        <f>IF(A13stdlife="N/A","n/a",IF(E177=0,0,A13stdlife+D177-Input!$Y$7))</f>
        <v>n/a</v>
      </c>
      <c r="G177" s="256"/>
      <c r="H177" s="395" t="s">
        <v>82</v>
      </c>
      <c r="I177" s="87">
        <v>1</v>
      </c>
      <c r="J177" s="260">
        <f ca="1">OFFSET('Tax value roll forward'!H$52,0,I177-1)-SUM('Tax value roll forward'!H230:OFFSET('Tax value roll forward'!H230,0,Input!$Y$7-1))</f>
        <v>0</v>
      </c>
      <c r="K177" s="260" t="str">
        <f>IF(A13taxstdlife="N/A","n/a",IF(J177=0,0,A13taxstdlife+I177-Input!$Y$7))</f>
        <v>n/a</v>
      </c>
      <c r="L177" s="111"/>
      <c r="M177" s="9"/>
      <c r="N177" s="9"/>
      <c r="O177" s="9"/>
      <c r="P177" s="9"/>
      <c r="Q177" s="9"/>
      <c r="R177" s="9"/>
      <c r="S177" s="253"/>
      <c r="T177" s="253"/>
      <c r="U177" s="253"/>
      <c r="V177" s="253"/>
      <c r="W177" s="253"/>
      <c r="X177" s="253"/>
      <c r="Y177" s="253"/>
      <c r="Z177" s="253"/>
    </row>
    <row r="178" spans="1:26" hidden="1" outlineLevel="1">
      <c r="A178" s="9"/>
      <c r="B178" s="9"/>
      <c r="C178" s="396"/>
      <c r="D178" s="87">
        <v>2</v>
      </c>
      <c r="E178" s="260">
        <f ca="1">OFFSET('Actual RAB roll forward'!H$56,0,D178-1)-SUM('Actual RAB roll forward'!H235:OFFSET('Actual RAB roll forward'!H235,0,Input!$Y$7-1))</f>
        <v>0.18768777318684016</v>
      </c>
      <c r="F178" s="260" t="str">
        <f>IF(A13stdlife="N/A","n/a",IF(E178=0,0,A13stdlife+D178-Input!$Y$7))</f>
        <v>n/a</v>
      </c>
      <c r="G178" s="256"/>
      <c r="H178" s="396"/>
      <c r="I178" s="87">
        <v>2</v>
      </c>
      <c r="J178" s="260">
        <f ca="1">OFFSET('Tax value roll forward'!H$52,0,I178-1)-SUM('Tax value roll forward'!H231:OFFSET('Tax value roll forward'!H231,0,Input!$Y$7-1))</f>
        <v>0.191692</v>
      </c>
      <c r="K178" s="260" t="str">
        <f>IF(A13taxstdlife="N/A","n/a",IF(J178=0,0,A13taxstdlife+I178-Input!$Y$7))</f>
        <v>n/a</v>
      </c>
      <c r="L178" s="111"/>
      <c r="M178" s="9"/>
      <c r="N178" s="9"/>
      <c r="O178" s="9"/>
      <c r="P178" s="9"/>
      <c r="Q178" s="9"/>
      <c r="R178" s="9"/>
      <c r="S178" s="253"/>
      <c r="T178" s="253"/>
      <c r="U178" s="253"/>
      <c r="V178" s="253"/>
      <c r="W178" s="253"/>
      <c r="X178" s="253"/>
      <c r="Y178" s="253"/>
      <c r="Z178" s="253"/>
    </row>
    <row r="179" spans="1:26" hidden="1" outlineLevel="1">
      <c r="A179" s="9"/>
      <c r="B179" s="9"/>
      <c r="C179" s="396"/>
      <c r="D179" s="87">
        <v>3</v>
      </c>
      <c r="E179" s="260">
        <f ca="1">OFFSET('Actual RAB roll forward'!H$56,0,D179-1)-SUM('Actual RAB roll forward'!H236:OFFSET('Actual RAB roll forward'!H236,0,Input!$Y$7-1))</f>
        <v>-0.45573007076749728</v>
      </c>
      <c r="F179" s="260" t="str">
        <f>IF(A13stdlife="N/A","n/a",IF(E179=0,0,A13stdlife+D179-Input!$Y$7))</f>
        <v>n/a</v>
      </c>
      <c r="G179" s="256"/>
      <c r="H179" s="396"/>
      <c r="I179" s="87">
        <v>3</v>
      </c>
      <c r="J179" s="260">
        <f ca="1">OFFSET('Tax value roll forward'!H$52,0,I179-1)-SUM('Tax value roll forward'!H232:OFFSET('Tax value roll forward'!H232,0,Input!$Y$7-1))</f>
        <v>-0.47399999999999998</v>
      </c>
      <c r="K179" s="260" t="str">
        <f>IF(A13taxstdlife="N/A","n/a",IF(J179=0,0,A13taxstdlife+I179-Input!$Y$7))</f>
        <v>n/a</v>
      </c>
      <c r="L179" s="111"/>
      <c r="M179" s="9"/>
      <c r="N179" s="9"/>
      <c r="O179" s="9"/>
      <c r="P179" s="9"/>
      <c r="Q179" s="9"/>
      <c r="R179" s="9"/>
      <c r="S179" s="253"/>
      <c r="T179" s="253"/>
      <c r="U179" s="253"/>
      <c r="V179" s="253"/>
      <c r="W179" s="253"/>
      <c r="X179" s="253"/>
      <c r="Y179" s="253"/>
      <c r="Z179" s="253"/>
    </row>
    <row r="180" spans="1:26" hidden="1" outlineLevel="1">
      <c r="A180" s="9"/>
      <c r="B180" s="9"/>
      <c r="C180" s="396"/>
      <c r="D180" s="87">
        <v>4</v>
      </c>
      <c r="E180" s="260">
        <f ca="1">OFFSET('Actual RAB roll forward'!H$56,0,D180-1)-SUM('Actual RAB roll forward'!H237:OFFSET('Actual RAB roll forward'!H237,0,Input!$Y$7-1))</f>
        <v>-0.90859842180109385</v>
      </c>
      <c r="F180" s="260" t="str">
        <f>IF(A13stdlife="N/A","n/a",IF(E180=0,0,A13stdlife+D180-Input!$Y$7))</f>
        <v>n/a</v>
      </c>
      <c r="G180" s="256"/>
      <c r="H180" s="396"/>
      <c r="I180" s="87">
        <v>4</v>
      </c>
      <c r="J180" s="260">
        <f ca="1">OFFSET('Tax value roll forward'!H$52,0,I180-1)-SUM('Tax value roll forward'!H233:OFFSET('Tax value roll forward'!H233,0,Input!$Y$7-1))</f>
        <v>-0.96799999999999997</v>
      </c>
      <c r="K180" s="260" t="str">
        <f>IF(A13taxstdlife="N/A","n/a",IF(J180=0,0,A13taxstdlife+I180-Input!$Y$7))</f>
        <v>n/a</v>
      </c>
      <c r="L180" s="111"/>
      <c r="M180" s="9"/>
      <c r="N180" s="9"/>
      <c r="O180" s="9"/>
      <c r="P180" s="9"/>
      <c r="Q180" s="9"/>
      <c r="R180" s="9"/>
      <c r="S180" s="253"/>
      <c r="T180" s="253"/>
      <c r="U180" s="253"/>
      <c r="V180" s="253"/>
      <c r="W180" s="253"/>
      <c r="X180" s="253"/>
      <c r="Y180" s="253"/>
      <c r="Z180" s="253"/>
    </row>
    <row r="181" spans="1:26" hidden="1" outlineLevel="1">
      <c r="A181" s="9"/>
      <c r="B181" s="9"/>
      <c r="C181" s="396"/>
      <c r="D181" s="87">
        <v>5</v>
      </c>
      <c r="E181" s="260">
        <f ca="1">OFFSET('Actual RAB roll forward'!H$56,0,D181-1)-SUM('Actual RAB roll forward'!H238:OFFSET('Actual RAB roll forward'!H238,0,Input!$Y$7-1))</f>
        <v>0</v>
      </c>
      <c r="F181" s="260" t="str">
        <f>IF(A13stdlife="N/A","n/a",IF(E181=0,0,A13stdlife+D181-Input!$Y$7))</f>
        <v>n/a</v>
      </c>
      <c r="G181" s="256"/>
      <c r="H181" s="396"/>
      <c r="I181" s="87">
        <v>5</v>
      </c>
      <c r="J181" s="260">
        <f ca="1">OFFSET('Tax value roll forward'!H$52,0,I181-1)-SUM('Tax value roll forward'!H234:OFFSET('Tax value roll forward'!H234,0,Input!$Y$7-1))</f>
        <v>0</v>
      </c>
      <c r="K181" s="260" t="str">
        <f>IF(A13taxstdlife="N/A","n/a",IF(J181=0,0,A13taxstdlife+I181-Input!$Y$7))</f>
        <v>n/a</v>
      </c>
      <c r="L181" s="111"/>
      <c r="M181" s="9"/>
      <c r="N181" s="9"/>
      <c r="O181" s="9"/>
      <c r="P181" s="9"/>
      <c r="Q181" s="9"/>
      <c r="R181" s="9"/>
      <c r="S181" s="253"/>
      <c r="T181" s="253"/>
      <c r="U181" s="253"/>
      <c r="V181" s="253"/>
      <c r="W181" s="253"/>
      <c r="X181" s="253"/>
      <c r="Y181" s="253"/>
      <c r="Z181" s="253"/>
    </row>
    <row r="182" spans="1:26" hidden="1" outlineLevel="1">
      <c r="A182" s="9"/>
      <c r="B182" s="9"/>
      <c r="C182" s="396"/>
      <c r="D182" s="87">
        <v>6</v>
      </c>
      <c r="E182" s="260">
        <f ca="1">OFFSET('Actual RAB roll forward'!H$56,0,D182-1)-SUM('Actual RAB roll forward'!H239:OFFSET('Actual RAB roll forward'!H239,0,Input!$Y$7-1))</f>
        <v>0</v>
      </c>
      <c r="F182" s="260" t="str">
        <f>IF(A13stdlife="N/A","n/a",IF(E182=0,0,A13stdlife+D182-Input!$Y$7))</f>
        <v>n/a</v>
      </c>
      <c r="G182" s="256"/>
      <c r="H182" s="396"/>
      <c r="I182" s="87">
        <v>6</v>
      </c>
      <c r="J182" s="260">
        <f ca="1">OFFSET('Tax value roll forward'!H$52,0,I182-1)-SUM('Tax value roll forward'!H235:OFFSET('Tax value roll forward'!H235,0,Input!$Y$7-1))</f>
        <v>0</v>
      </c>
      <c r="K182" s="260" t="str">
        <f>IF(A13taxstdlife="N/A","n/a",IF(J182=0,0,A13taxstdlife+I182-Input!$Y$7))</f>
        <v>n/a</v>
      </c>
      <c r="L182" s="111"/>
      <c r="M182" s="9"/>
      <c r="N182" s="9"/>
      <c r="O182" s="9"/>
      <c r="P182" s="9"/>
      <c r="Q182" s="9"/>
      <c r="R182" s="9"/>
      <c r="S182" s="253"/>
      <c r="T182" s="253"/>
      <c r="U182" s="253"/>
      <c r="V182" s="253"/>
      <c r="W182" s="253"/>
      <c r="X182" s="253"/>
      <c r="Y182" s="253"/>
      <c r="Z182" s="253"/>
    </row>
    <row r="183" spans="1:26" hidden="1" outlineLevel="1">
      <c r="A183" s="9"/>
      <c r="B183" s="9"/>
      <c r="C183" s="396"/>
      <c r="D183" s="87">
        <v>7</v>
      </c>
      <c r="E183" s="260">
        <f ca="1">OFFSET('Actual RAB roll forward'!H$56,0,D183-1)-SUM('Actual RAB roll forward'!H240:OFFSET('Actual RAB roll forward'!H240,0,Input!$Y$7-1))</f>
        <v>0</v>
      </c>
      <c r="F183" s="260" t="str">
        <f>IF(A13stdlife="N/A","n/a",IF(E183=0,0,A13stdlife+D183-Input!$Y$7))</f>
        <v>n/a</v>
      </c>
      <c r="G183" s="256"/>
      <c r="H183" s="396"/>
      <c r="I183" s="87">
        <v>7</v>
      </c>
      <c r="J183" s="260">
        <f ca="1">OFFSET('Tax value roll forward'!H$52,0,I183-1)-SUM('Tax value roll forward'!H236:OFFSET('Tax value roll forward'!H236,0,Input!$Y$7-1))</f>
        <v>0</v>
      </c>
      <c r="K183" s="260" t="str">
        <f>IF(A13taxstdlife="N/A","n/a",IF(J183=0,0,A13taxstdlife+I183-Input!$Y$7))</f>
        <v>n/a</v>
      </c>
      <c r="L183" s="111"/>
      <c r="M183" s="9"/>
      <c r="N183" s="9"/>
      <c r="O183" s="9"/>
      <c r="P183" s="9"/>
      <c r="Q183" s="9"/>
      <c r="R183" s="9"/>
      <c r="S183" s="253"/>
      <c r="T183" s="253"/>
      <c r="U183" s="253"/>
      <c r="V183" s="253"/>
      <c r="W183" s="253"/>
      <c r="X183" s="253"/>
      <c r="Y183" s="253"/>
      <c r="Z183" s="253"/>
    </row>
    <row r="184" spans="1:26" hidden="1" outlineLevel="1">
      <c r="A184" s="9"/>
      <c r="B184" s="9"/>
      <c r="C184" s="396"/>
      <c r="D184" s="87">
        <v>8</v>
      </c>
      <c r="E184" s="260">
        <f ca="1">OFFSET('Actual RAB roll forward'!H$56,0,D184-1)-SUM('Actual RAB roll forward'!H241:OFFSET('Actual RAB roll forward'!H241,0,Input!$Y$7-1))</f>
        <v>0</v>
      </c>
      <c r="F184" s="260" t="str">
        <f>IF(A13stdlife="N/A","n/a",IF(E184=0,0,A13stdlife+D184-Input!$Y$7))</f>
        <v>n/a</v>
      </c>
      <c r="G184" s="256"/>
      <c r="H184" s="396"/>
      <c r="I184" s="87">
        <v>8</v>
      </c>
      <c r="J184" s="260">
        <f ca="1">OFFSET('Tax value roll forward'!H$52,0,I184-1)-SUM('Tax value roll forward'!H237:OFFSET('Tax value roll forward'!H237,0,Input!$Y$7-1))</f>
        <v>0</v>
      </c>
      <c r="K184" s="260" t="str">
        <f>IF(A13taxstdlife="N/A","n/a",IF(J184=0,0,A13taxstdlife+I184-Input!$Y$7))</f>
        <v>n/a</v>
      </c>
      <c r="L184" s="111"/>
      <c r="M184" s="9"/>
      <c r="N184" s="9"/>
      <c r="O184" s="9"/>
      <c r="P184" s="9"/>
      <c r="Q184" s="9"/>
      <c r="R184" s="9"/>
      <c r="S184" s="253"/>
      <c r="T184" s="253"/>
      <c r="U184" s="253"/>
      <c r="V184" s="253"/>
      <c r="W184" s="253"/>
      <c r="X184" s="253"/>
      <c r="Y184" s="253"/>
      <c r="Z184" s="253"/>
    </row>
    <row r="185" spans="1:26" hidden="1" outlineLevel="1">
      <c r="A185" s="9"/>
      <c r="B185" s="9"/>
      <c r="C185" s="396"/>
      <c r="D185" s="87">
        <v>9</v>
      </c>
      <c r="E185" s="260">
        <f ca="1">OFFSET('Actual RAB roll forward'!H$56,0,D185-1)-SUM('Actual RAB roll forward'!H242:OFFSET('Actual RAB roll forward'!H242,0,Input!$Y$7-1))</f>
        <v>0</v>
      </c>
      <c r="F185" s="260" t="str">
        <f>IF(A13stdlife="N/A","n/a",IF(E185=0,0,A13stdlife+D185-Input!$Y$7))</f>
        <v>n/a</v>
      </c>
      <c r="G185" s="256"/>
      <c r="H185" s="396"/>
      <c r="I185" s="87">
        <v>9</v>
      </c>
      <c r="J185" s="260">
        <f ca="1">OFFSET('Tax value roll forward'!H$52,0,I185-1)-SUM('Tax value roll forward'!H238:OFFSET('Tax value roll forward'!H238,0,Input!$Y$7-1))</f>
        <v>0</v>
      </c>
      <c r="K185" s="260" t="str">
        <f>IF(A13taxstdlife="N/A","n/a",IF(J185=0,0,A13taxstdlife+I185-Input!$Y$7))</f>
        <v>n/a</v>
      </c>
      <c r="L185" s="111"/>
      <c r="M185" s="9"/>
      <c r="N185" s="9"/>
      <c r="O185" s="9"/>
      <c r="P185" s="9"/>
      <c r="Q185" s="9"/>
      <c r="R185" s="9"/>
      <c r="S185" s="253"/>
      <c r="T185" s="253"/>
      <c r="U185" s="253"/>
      <c r="V185" s="253"/>
      <c r="W185" s="253"/>
      <c r="X185" s="253"/>
      <c r="Y185" s="253"/>
      <c r="Z185" s="253"/>
    </row>
    <row r="186" spans="1:26" hidden="1" outlineLevel="1">
      <c r="A186" s="9"/>
      <c r="B186" s="9"/>
      <c r="C186" s="397"/>
      <c r="D186" s="88">
        <v>10</v>
      </c>
      <c r="E186" s="260">
        <f ca="1">OFFSET('Actual RAB roll forward'!H$56,0,D186-1)-SUM('Actual RAB roll forward'!H243:OFFSET('Actual RAB roll forward'!H243,0,Input!$Y$7-1))</f>
        <v>0</v>
      </c>
      <c r="F186" s="260" t="str">
        <f>IF(A13stdlife="N/A","n/a",IF(E186=0,0,A13stdlife+D186-Input!$Y$7))</f>
        <v>n/a</v>
      </c>
      <c r="G186" s="256"/>
      <c r="H186" s="397"/>
      <c r="I186" s="88">
        <v>10</v>
      </c>
      <c r="J186" s="260">
        <f ca="1">OFFSET('Tax value roll forward'!H$52,0,I186-1)-SUM('Tax value roll forward'!H239:OFFSET('Tax value roll forward'!H239,0,Input!$Y$7-1))</f>
        <v>0</v>
      </c>
      <c r="K186" s="260" t="str">
        <f>IF(A13taxstdlife="N/A","n/a",IF(J186=0,0,A13taxstdlife+I186-Input!$Y$7))</f>
        <v>n/a</v>
      </c>
      <c r="L186" s="111"/>
      <c r="M186" s="9"/>
      <c r="N186" s="9"/>
      <c r="O186" s="9"/>
      <c r="P186" s="9"/>
      <c r="Q186" s="9"/>
      <c r="R186" s="9"/>
      <c r="S186" s="253"/>
      <c r="T186" s="253"/>
      <c r="U186" s="253"/>
      <c r="V186" s="253"/>
      <c r="W186" s="253"/>
      <c r="X186" s="253"/>
      <c r="Y186" s="253"/>
      <c r="Z186" s="253"/>
    </row>
    <row r="187" spans="1:26" collapsed="1">
      <c r="A187" s="9"/>
      <c r="B187" s="9"/>
      <c r="C187" s="274" t="str">
        <f>Asset13</f>
        <v>Land</v>
      </c>
      <c r="D187" s="9"/>
      <c r="E187" s="260">
        <f ca="1">SUM(E176:E186)</f>
        <v>94.580129298830755</v>
      </c>
      <c r="F187" s="260">
        <f ca="1">IF(E187=0,0,SUMPRODUCT(E176:E186,F176:F186)/E187)</f>
        <v>0</v>
      </c>
      <c r="G187" s="256"/>
      <c r="H187" s="43"/>
      <c r="I187" s="260"/>
      <c r="J187" s="260">
        <f ca="1">SUM(J176:J186)</f>
        <v>82.228651999999997</v>
      </c>
      <c r="K187" s="260">
        <f ca="1">IF(J187=0,0,SUMPRODUCT(J176:J186,K176:K186)/J187)</f>
        <v>0</v>
      </c>
      <c r="L187" s="111"/>
      <c r="M187" s="9"/>
      <c r="N187" s="9"/>
      <c r="O187" s="9"/>
      <c r="P187" s="9"/>
      <c r="Q187" s="9"/>
      <c r="R187" s="9"/>
      <c r="S187" s="253"/>
      <c r="T187" s="253"/>
      <c r="U187" s="253"/>
      <c r="V187" s="253"/>
      <c r="W187" s="253"/>
      <c r="X187" s="253"/>
      <c r="Y187" s="253"/>
      <c r="Z187" s="253"/>
    </row>
    <row r="188" spans="1:26" hidden="1" outlineLevel="1">
      <c r="A188" s="9"/>
      <c r="B188" s="9"/>
      <c r="C188" s="274"/>
      <c r="D188" s="9"/>
      <c r="E188" s="260"/>
      <c r="F188" s="260"/>
      <c r="G188" s="256"/>
      <c r="H188" s="260"/>
      <c r="I188" s="260"/>
      <c r="J188" s="265"/>
      <c r="K188" s="260"/>
      <c r="L188" s="111"/>
      <c r="M188" s="9"/>
      <c r="N188" s="9"/>
      <c r="O188" s="9"/>
      <c r="P188" s="9"/>
      <c r="Q188" s="9"/>
      <c r="R188" s="9"/>
      <c r="S188" s="253"/>
      <c r="T188" s="253"/>
      <c r="U188" s="253"/>
      <c r="V188" s="253"/>
      <c r="W188" s="253"/>
      <c r="X188" s="253"/>
      <c r="Y188" s="253"/>
      <c r="Z188" s="253"/>
    </row>
    <row r="189" spans="1:26" hidden="1" outlineLevel="1">
      <c r="A189" s="9"/>
      <c r="B189" s="272" t="str">
        <f>Asset14</f>
        <v>Easements</v>
      </c>
      <c r="C189" s="9"/>
      <c r="D189" s="9"/>
      <c r="E189" s="35"/>
      <c r="F189" s="35"/>
      <c r="G189" s="256"/>
      <c r="H189" s="260"/>
      <c r="I189" s="260"/>
      <c r="J189" s="265"/>
      <c r="K189" s="260"/>
      <c r="L189" s="111"/>
      <c r="M189" s="9"/>
      <c r="N189" s="9"/>
      <c r="O189" s="9"/>
      <c r="P189" s="9"/>
      <c r="Q189" s="9"/>
      <c r="R189" s="9"/>
      <c r="S189" s="253"/>
      <c r="T189" s="253"/>
      <c r="U189" s="253"/>
      <c r="V189" s="253"/>
      <c r="W189" s="253"/>
      <c r="X189" s="253"/>
      <c r="Y189" s="253"/>
      <c r="Z189" s="253"/>
    </row>
    <row r="190" spans="1:26" ht="12.75" hidden="1" customHeight="1" outlineLevel="1">
      <c r="A190" s="9"/>
      <c r="B190" s="9"/>
      <c r="C190" s="393" t="s">
        <v>26</v>
      </c>
      <c r="D190" s="394"/>
      <c r="E190" s="260">
        <f ca="1">A14value-SUM('Actual RAB roll forward'!H245:OFFSET('Actual RAB roll forward'!H245,0,Input!$Y$7-1))</f>
        <v>108.97377932420517</v>
      </c>
      <c r="F190" s="260" t="str">
        <f>IF(A14remlife="N/A","n/a",A14remlife-Input!$Y$7)</f>
        <v>n/a</v>
      </c>
      <c r="G190" s="256"/>
      <c r="H190" s="298" t="s">
        <v>66</v>
      </c>
      <c r="I190" s="299"/>
      <c r="J190" s="260">
        <f ca="1">A14taxvalue-SUM('Tax value roll forward'!H241:OFFSET('Tax value roll forward'!H241,0,Input!$Y$7-1))</f>
        <v>94.584698999999986</v>
      </c>
      <c r="K190" s="260" t="str">
        <f>IF(A14taxremlife="N/A","n/a",A14taxremlife-Input!$Y$7)</f>
        <v>n/a</v>
      </c>
      <c r="L190" s="111"/>
      <c r="M190" s="9"/>
      <c r="N190" s="9"/>
      <c r="O190" s="9"/>
      <c r="P190" s="9"/>
      <c r="Q190" s="9"/>
      <c r="R190" s="9"/>
      <c r="S190" s="253"/>
      <c r="T190" s="253"/>
      <c r="U190" s="253"/>
      <c r="V190" s="253"/>
      <c r="W190" s="253"/>
      <c r="X190" s="253"/>
      <c r="Y190" s="253"/>
      <c r="Z190" s="253"/>
    </row>
    <row r="191" spans="1:26" hidden="1" outlineLevel="1">
      <c r="A191" s="9"/>
      <c r="B191" s="9"/>
      <c r="C191" s="395" t="s">
        <v>82</v>
      </c>
      <c r="D191" s="87">
        <v>1</v>
      </c>
      <c r="E191" s="260">
        <f ca="1">OFFSET('Actual RAB roll forward'!H$57,0,D191-1)-SUM('Actual RAB roll forward'!H247:OFFSET('Actual RAB roll forward'!H247,0,Input!$Y$7-1))</f>
        <v>0</v>
      </c>
      <c r="F191" s="260" t="str">
        <f>IF(A14stdlife="N/A","n/a",IF(E191=0,0,A14stdlife+D191-Input!$Y$7))</f>
        <v>n/a</v>
      </c>
      <c r="G191" s="256"/>
      <c r="H191" s="395" t="s">
        <v>82</v>
      </c>
      <c r="I191" s="87">
        <v>1</v>
      </c>
      <c r="J191" s="260">
        <f ca="1">OFFSET('Tax value roll forward'!H$53,0,I191-1)-SUM('Tax value roll forward'!H243:OFFSET('Tax value roll forward'!H243,0,Input!$Y$7-1))</f>
        <v>0</v>
      </c>
      <c r="K191" s="260" t="str">
        <f>IF(A14taxstdlife="N/A","n/a",IF(J191=0,0,A14taxstdlife+I191-Input!$Y$7))</f>
        <v>n/a</v>
      </c>
      <c r="L191" s="111"/>
      <c r="M191" s="9"/>
      <c r="N191" s="9"/>
      <c r="O191" s="9"/>
      <c r="P191" s="9"/>
      <c r="Q191" s="9"/>
      <c r="R191" s="9"/>
      <c r="S191" s="253"/>
      <c r="T191" s="253"/>
      <c r="U191" s="253"/>
      <c r="V191" s="253"/>
      <c r="W191" s="253"/>
      <c r="X191" s="253"/>
      <c r="Y191" s="253"/>
      <c r="Z191" s="253"/>
    </row>
    <row r="192" spans="1:26" hidden="1" outlineLevel="1">
      <c r="A192" s="9"/>
      <c r="B192" s="9"/>
      <c r="C192" s="396"/>
      <c r="D192" s="87">
        <v>2</v>
      </c>
      <c r="E192" s="260">
        <f ca="1">OFFSET('Actual RAB roll forward'!H$57,0,D192-1)-SUM('Actual RAB roll forward'!H248:OFFSET('Actual RAB roll forward'!H248,0,Input!$Y$7-1))</f>
        <v>0</v>
      </c>
      <c r="F192" s="260" t="str">
        <f>IF(A14stdlife="N/A","n/a",IF(E192=0,0,A14stdlife+D192-Input!$Y$7))</f>
        <v>n/a</v>
      </c>
      <c r="G192" s="256"/>
      <c r="H192" s="396"/>
      <c r="I192" s="87">
        <v>2</v>
      </c>
      <c r="J192" s="260">
        <f ca="1">OFFSET('Tax value roll forward'!H$53,0,I192-1)-SUM('Tax value roll forward'!H244:OFFSET('Tax value roll forward'!H244,0,Input!$Y$7-1))</f>
        <v>0</v>
      </c>
      <c r="K192" s="260" t="str">
        <f>IF(A14taxstdlife="N/A","n/a",IF(J192=0,0,A14taxstdlife+I192-Input!$Y$7))</f>
        <v>n/a</v>
      </c>
      <c r="L192" s="111"/>
      <c r="M192" s="9"/>
      <c r="N192" s="9"/>
      <c r="O192" s="9"/>
      <c r="P192" s="9"/>
      <c r="Q192" s="9"/>
      <c r="R192" s="9"/>
      <c r="S192" s="253"/>
      <c r="T192" s="253"/>
      <c r="U192" s="253"/>
      <c r="V192" s="253"/>
      <c r="W192" s="253"/>
      <c r="X192" s="253"/>
      <c r="Y192" s="253"/>
      <c r="Z192" s="253"/>
    </row>
    <row r="193" spans="1:26" hidden="1" outlineLevel="1">
      <c r="A193" s="9"/>
      <c r="B193" s="9"/>
      <c r="C193" s="396"/>
      <c r="D193" s="87">
        <v>3</v>
      </c>
      <c r="E193" s="260">
        <f ca="1">OFFSET('Actual RAB roll forward'!H$57,0,D193-1)-SUM('Actual RAB roll forward'!H249:OFFSET('Actual RAB roll forward'!H249,0,Input!$Y$7-1))</f>
        <v>0</v>
      </c>
      <c r="F193" s="260" t="str">
        <f>IF(A14stdlife="N/A","n/a",IF(E193=0,0,A14stdlife+D193-Input!$Y$7))</f>
        <v>n/a</v>
      </c>
      <c r="G193" s="256"/>
      <c r="H193" s="396"/>
      <c r="I193" s="87">
        <v>3</v>
      </c>
      <c r="J193" s="260">
        <f ca="1">OFFSET('Tax value roll forward'!H$53,0,I193-1)-SUM('Tax value roll forward'!H245:OFFSET('Tax value roll forward'!H245,0,Input!$Y$7-1))</f>
        <v>0</v>
      </c>
      <c r="K193" s="260" t="str">
        <f>IF(A14taxstdlife="N/A","n/a",IF(J193=0,0,A14taxstdlife+I193-Input!$Y$7))</f>
        <v>n/a</v>
      </c>
      <c r="L193" s="111"/>
      <c r="M193" s="9"/>
      <c r="N193" s="9"/>
      <c r="O193" s="9"/>
      <c r="P193" s="9"/>
      <c r="Q193" s="9"/>
      <c r="R193" s="9"/>
      <c r="S193" s="253"/>
      <c r="T193" s="253"/>
      <c r="U193" s="253"/>
      <c r="V193" s="253"/>
      <c r="W193" s="253"/>
      <c r="X193" s="253"/>
      <c r="Y193" s="253"/>
      <c r="Z193" s="253"/>
    </row>
    <row r="194" spans="1:26" hidden="1" outlineLevel="1">
      <c r="A194" s="9"/>
      <c r="B194" s="9"/>
      <c r="C194" s="396"/>
      <c r="D194" s="87">
        <v>4</v>
      </c>
      <c r="E194" s="260">
        <f ca="1">OFFSET('Actual RAB roll forward'!H$57,0,D194-1)-SUM('Actual RAB roll forward'!H250:OFFSET('Actual RAB roll forward'!H250,0,Input!$Y$7-1))</f>
        <v>0</v>
      </c>
      <c r="F194" s="260" t="str">
        <f>IF(A14stdlife="N/A","n/a",IF(E194=0,0,A14stdlife+D194-Input!$Y$7))</f>
        <v>n/a</v>
      </c>
      <c r="G194" s="256"/>
      <c r="H194" s="396"/>
      <c r="I194" s="87">
        <v>4</v>
      </c>
      <c r="J194" s="260">
        <f ca="1">OFFSET('Tax value roll forward'!H$53,0,I194-1)-SUM('Tax value roll forward'!H246:OFFSET('Tax value roll forward'!H246,0,Input!$Y$7-1))</f>
        <v>0</v>
      </c>
      <c r="K194" s="260" t="str">
        <f>IF(A14taxstdlife="N/A","n/a",IF(J194=0,0,A14taxstdlife+I194-Input!$Y$7))</f>
        <v>n/a</v>
      </c>
      <c r="L194" s="111"/>
      <c r="M194" s="9"/>
      <c r="N194" s="9"/>
      <c r="O194" s="9"/>
      <c r="P194" s="9"/>
      <c r="Q194" s="9"/>
      <c r="R194" s="9"/>
      <c r="S194" s="253"/>
      <c r="T194" s="253"/>
      <c r="U194" s="253"/>
      <c r="V194" s="253"/>
      <c r="W194" s="253"/>
      <c r="X194" s="253"/>
      <c r="Y194" s="253"/>
      <c r="Z194" s="253"/>
    </row>
    <row r="195" spans="1:26" hidden="1" outlineLevel="1">
      <c r="A195" s="9"/>
      <c r="B195" s="9"/>
      <c r="C195" s="396"/>
      <c r="D195" s="87">
        <v>5</v>
      </c>
      <c r="E195" s="260">
        <f ca="1">OFFSET('Actual RAB roll forward'!H$57,0,D195-1)-SUM('Actual RAB roll forward'!H251:OFFSET('Actual RAB roll forward'!H251,0,Input!$Y$7-1))</f>
        <v>0</v>
      </c>
      <c r="F195" s="260" t="str">
        <f>IF(A14stdlife="N/A","n/a",IF(E195=0,0,A14stdlife+D195-Input!$Y$7))</f>
        <v>n/a</v>
      </c>
      <c r="G195" s="256"/>
      <c r="H195" s="396"/>
      <c r="I195" s="87">
        <v>5</v>
      </c>
      <c r="J195" s="260">
        <f ca="1">OFFSET('Tax value roll forward'!H$53,0,I195-1)-SUM('Tax value roll forward'!H247:OFFSET('Tax value roll forward'!H247,0,Input!$Y$7-1))</f>
        <v>0</v>
      </c>
      <c r="K195" s="260" t="str">
        <f>IF(A14taxstdlife="N/A","n/a",IF(J195=0,0,A14taxstdlife+I195-Input!$Y$7))</f>
        <v>n/a</v>
      </c>
      <c r="L195" s="111"/>
      <c r="M195" s="9"/>
      <c r="N195" s="9"/>
      <c r="O195" s="9"/>
      <c r="P195" s="9"/>
      <c r="Q195" s="9"/>
      <c r="R195" s="9"/>
      <c r="S195" s="253"/>
      <c r="T195" s="253"/>
      <c r="U195" s="253"/>
      <c r="V195" s="253"/>
      <c r="W195" s="253"/>
      <c r="X195" s="253"/>
      <c r="Y195" s="253"/>
      <c r="Z195" s="253"/>
    </row>
    <row r="196" spans="1:26" hidden="1" outlineLevel="1">
      <c r="A196" s="9"/>
      <c r="B196" s="9"/>
      <c r="C196" s="396"/>
      <c r="D196" s="87">
        <v>6</v>
      </c>
      <c r="E196" s="260">
        <f ca="1">OFFSET('Actual RAB roll forward'!H$57,0,D196-1)-SUM('Actual RAB roll forward'!H252:OFFSET('Actual RAB roll forward'!H252,0,Input!$Y$7-1))</f>
        <v>0</v>
      </c>
      <c r="F196" s="260" t="str">
        <f>IF(A14stdlife="N/A","n/a",IF(E196=0,0,A14stdlife+D196-Input!$Y$7))</f>
        <v>n/a</v>
      </c>
      <c r="G196" s="256"/>
      <c r="H196" s="396"/>
      <c r="I196" s="87">
        <v>6</v>
      </c>
      <c r="J196" s="260">
        <f ca="1">OFFSET('Tax value roll forward'!H$53,0,I196-1)-SUM('Tax value roll forward'!H248:OFFSET('Tax value roll forward'!H248,0,Input!$Y$7-1))</f>
        <v>0</v>
      </c>
      <c r="K196" s="260" t="str">
        <f>IF(A14taxstdlife="N/A","n/a",IF(J196=0,0,A14taxstdlife+I196-Input!$Y$7))</f>
        <v>n/a</v>
      </c>
      <c r="L196" s="111"/>
      <c r="M196" s="9"/>
      <c r="N196" s="9"/>
      <c r="O196" s="9"/>
      <c r="P196" s="9"/>
      <c r="Q196" s="9"/>
      <c r="R196" s="9"/>
      <c r="S196" s="253"/>
      <c r="T196" s="253"/>
      <c r="U196" s="253"/>
      <c r="V196" s="253"/>
      <c r="W196" s="253"/>
      <c r="X196" s="253"/>
      <c r="Y196" s="253"/>
      <c r="Z196" s="253"/>
    </row>
    <row r="197" spans="1:26" hidden="1" outlineLevel="1">
      <c r="A197" s="9"/>
      <c r="B197" s="9"/>
      <c r="C197" s="396"/>
      <c r="D197" s="87">
        <v>7</v>
      </c>
      <c r="E197" s="260">
        <f ca="1">OFFSET('Actual RAB roll forward'!H$57,0,D197-1)-SUM('Actual RAB roll forward'!H253:OFFSET('Actual RAB roll forward'!H253,0,Input!$Y$7-1))</f>
        <v>0</v>
      </c>
      <c r="F197" s="260" t="str">
        <f>IF(A14stdlife="N/A","n/a",IF(E197=0,0,A14stdlife+D197-Input!$Y$7))</f>
        <v>n/a</v>
      </c>
      <c r="G197" s="256"/>
      <c r="H197" s="396"/>
      <c r="I197" s="87">
        <v>7</v>
      </c>
      <c r="J197" s="260">
        <f ca="1">OFFSET('Tax value roll forward'!H$53,0,I197-1)-SUM('Tax value roll forward'!H249:OFFSET('Tax value roll forward'!H249,0,Input!$Y$7-1))</f>
        <v>0</v>
      </c>
      <c r="K197" s="260" t="str">
        <f>IF(A14taxstdlife="N/A","n/a",IF(J197=0,0,A14taxstdlife+I197-Input!$Y$7))</f>
        <v>n/a</v>
      </c>
      <c r="L197" s="111"/>
      <c r="M197" s="9"/>
      <c r="N197" s="9"/>
      <c r="O197" s="9"/>
      <c r="P197" s="9"/>
      <c r="Q197" s="9"/>
      <c r="R197" s="9"/>
      <c r="S197" s="253"/>
      <c r="T197" s="253"/>
      <c r="U197" s="253"/>
      <c r="V197" s="253"/>
      <c r="W197" s="253"/>
      <c r="X197" s="253"/>
      <c r="Y197" s="253"/>
      <c r="Z197" s="253"/>
    </row>
    <row r="198" spans="1:26" hidden="1" outlineLevel="1">
      <c r="A198" s="9"/>
      <c r="B198" s="9"/>
      <c r="C198" s="396"/>
      <c r="D198" s="87">
        <v>8</v>
      </c>
      <c r="E198" s="260">
        <f ca="1">OFFSET('Actual RAB roll forward'!H$57,0,D198-1)-SUM('Actual RAB roll forward'!H254:OFFSET('Actual RAB roll forward'!H254,0,Input!$Y$7-1))</f>
        <v>0</v>
      </c>
      <c r="F198" s="260" t="str">
        <f>IF(A14stdlife="N/A","n/a",IF(E198=0,0,A14stdlife+D198-Input!$Y$7))</f>
        <v>n/a</v>
      </c>
      <c r="G198" s="256"/>
      <c r="H198" s="396"/>
      <c r="I198" s="87">
        <v>8</v>
      </c>
      <c r="J198" s="260">
        <f ca="1">OFFSET('Tax value roll forward'!H$53,0,I198-1)-SUM('Tax value roll forward'!H250:OFFSET('Tax value roll forward'!H250,0,Input!$Y$7-1))</f>
        <v>0</v>
      </c>
      <c r="K198" s="260" t="str">
        <f>IF(A14taxstdlife="N/A","n/a",IF(J198=0,0,A14taxstdlife+I198-Input!$Y$7))</f>
        <v>n/a</v>
      </c>
      <c r="L198" s="111"/>
      <c r="M198" s="9"/>
      <c r="N198" s="9"/>
      <c r="O198" s="9"/>
      <c r="P198" s="9"/>
      <c r="Q198" s="9"/>
      <c r="R198" s="9"/>
      <c r="S198" s="253"/>
      <c r="T198" s="253"/>
      <c r="U198" s="253"/>
      <c r="V198" s="253"/>
      <c r="W198" s="253"/>
      <c r="X198" s="253"/>
      <c r="Y198" s="253"/>
      <c r="Z198" s="253"/>
    </row>
    <row r="199" spans="1:26" hidden="1" outlineLevel="1">
      <c r="A199" s="9"/>
      <c r="B199" s="9"/>
      <c r="C199" s="396"/>
      <c r="D199" s="87">
        <v>9</v>
      </c>
      <c r="E199" s="260">
        <f ca="1">OFFSET('Actual RAB roll forward'!H$57,0,D199-1)-SUM('Actual RAB roll forward'!H255:OFFSET('Actual RAB roll forward'!H255,0,Input!$Y$7-1))</f>
        <v>0</v>
      </c>
      <c r="F199" s="260" t="str">
        <f>IF(A14stdlife="N/A","n/a",IF(E199=0,0,A14stdlife+D199-Input!$Y$7))</f>
        <v>n/a</v>
      </c>
      <c r="G199" s="256"/>
      <c r="H199" s="396"/>
      <c r="I199" s="87">
        <v>9</v>
      </c>
      <c r="J199" s="260">
        <f ca="1">OFFSET('Tax value roll forward'!H$53,0,I199-1)-SUM('Tax value roll forward'!H251:OFFSET('Tax value roll forward'!H251,0,Input!$Y$7-1))</f>
        <v>0</v>
      </c>
      <c r="K199" s="260" t="str">
        <f>IF(A14taxstdlife="N/A","n/a",IF(J199=0,0,A14taxstdlife+I199-Input!$Y$7))</f>
        <v>n/a</v>
      </c>
      <c r="L199" s="111"/>
      <c r="M199" s="9"/>
      <c r="N199" s="9"/>
      <c r="O199" s="9"/>
      <c r="P199" s="9"/>
      <c r="Q199" s="9"/>
      <c r="R199" s="9"/>
      <c r="S199" s="253"/>
      <c r="T199" s="253"/>
      <c r="U199" s="253"/>
      <c r="V199" s="253"/>
      <c r="W199" s="253"/>
      <c r="X199" s="253"/>
      <c r="Y199" s="253"/>
      <c r="Z199" s="253"/>
    </row>
    <row r="200" spans="1:26" hidden="1" outlineLevel="1">
      <c r="A200" s="9"/>
      <c r="B200" s="9"/>
      <c r="C200" s="397"/>
      <c r="D200" s="88">
        <v>10</v>
      </c>
      <c r="E200" s="260">
        <f ca="1">OFFSET('Actual RAB roll forward'!H$57,0,D200-1)-SUM('Actual RAB roll forward'!H256:OFFSET('Actual RAB roll forward'!H256,0,Input!$Y$7-1))</f>
        <v>0</v>
      </c>
      <c r="F200" s="260" t="str">
        <f>IF(A14stdlife="N/A","n/a",IF(E200=0,0,A14stdlife+D200-Input!$Y$7))</f>
        <v>n/a</v>
      </c>
      <c r="G200" s="256"/>
      <c r="H200" s="397"/>
      <c r="I200" s="88">
        <v>10</v>
      </c>
      <c r="J200" s="260">
        <f ca="1">OFFSET('Tax value roll forward'!H$53,0,I200-1)-SUM('Tax value roll forward'!H252:OFFSET('Tax value roll forward'!H252,0,Input!$Y$7-1))</f>
        <v>0</v>
      </c>
      <c r="K200" s="260" t="str">
        <f>IF(A14taxstdlife="N/A","n/a",IF(J200=0,0,A14taxstdlife+I200-Input!$Y$7))</f>
        <v>n/a</v>
      </c>
      <c r="L200" s="111"/>
      <c r="M200" s="9"/>
      <c r="N200" s="9"/>
      <c r="O200" s="9"/>
      <c r="P200" s="9"/>
      <c r="Q200" s="9"/>
      <c r="R200" s="9"/>
      <c r="S200" s="253"/>
      <c r="T200" s="253"/>
      <c r="U200" s="253"/>
      <c r="V200" s="253"/>
      <c r="W200" s="253"/>
      <c r="X200" s="253"/>
      <c r="Y200" s="253"/>
      <c r="Z200" s="253"/>
    </row>
    <row r="201" spans="1:26" collapsed="1">
      <c r="A201" s="9"/>
      <c r="B201" s="9"/>
      <c r="C201" s="274" t="str">
        <f>Asset14</f>
        <v>Easements</v>
      </c>
      <c r="D201" s="9"/>
      <c r="E201" s="260">
        <f ca="1">SUM(E190:E200)</f>
        <v>108.97377932420517</v>
      </c>
      <c r="F201" s="260">
        <f ca="1">IF(E201=0,0,SUMPRODUCT(E190:E200,F190:F200)/E201)</f>
        <v>0</v>
      </c>
      <c r="G201" s="256"/>
      <c r="H201" s="43"/>
      <c r="I201" s="260"/>
      <c r="J201" s="260">
        <f ca="1">SUM(J190:J200)</f>
        <v>94.584698999999986</v>
      </c>
      <c r="K201" s="260">
        <f ca="1">IF(J201=0,0,SUMPRODUCT(J190:J200,K190:K200)/J201)</f>
        <v>0</v>
      </c>
      <c r="L201" s="111"/>
      <c r="M201" s="9"/>
      <c r="N201" s="9"/>
      <c r="O201" s="9"/>
      <c r="P201" s="9"/>
      <c r="Q201" s="9"/>
      <c r="R201" s="9"/>
      <c r="S201" s="253"/>
      <c r="T201" s="253"/>
      <c r="U201" s="253"/>
      <c r="V201" s="253"/>
      <c r="W201" s="253"/>
      <c r="X201" s="253"/>
      <c r="Y201" s="253"/>
      <c r="Z201" s="253"/>
    </row>
    <row r="202" spans="1:26" hidden="1" outlineLevel="1">
      <c r="A202" s="9"/>
      <c r="B202" s="9"/>
      <c r="C202" s="274"/>
      <c r="D202" s="9"/>
      <c r="E202" s="260"/>
      <c r="F202" s="260"/>
      <c r="G202" s="256"/>
      <c r="H202" s="260"/>
      <c r="I202" s="260"/>
      <c r="J202" s="265"/>
      <c r="K202" s="260"/>
      <c r="L202" s="111"/>
      <c r="M202" s="9"/>
      <c r="N202" s="9"/>
      <c r="O202" s="9"/>
      <c r="P202" s="9"/>
      <c r="Q202" s="9"/>
      <c r="R202" s="9"/>
      <c r="S202" s="253"/>
      <c r="T202" s="253"/>
      <c r="U202" s="253"/>
      <c r="V202" s="253"/>
      <c r="W202" s="253"/>
      <c r="X202" s="253"/>
      <c r="Y202" s="253"/>
      <c r="Z202" s="253"/>
    </row>
    <row r="203" spans="1:26" hidden="1" outlineLevel="1">
      <c r="A203" s="9"/>
      <c r="B203" s="272">
        <f>Asset15</f>
        <v>0</v>
      </c>
      <c r="C203" s="9"/>
      <c r="D203" s="9"/>
      <c r="E203" s="35"/>
      <c r="F203" s="35"/>
      <c r="G203" s="256"/>
      <c r="H203" s="260"/>
      <c r="I203" s="260"/>
      <c r="J203" s="265"/>
      <c r="K203" s="260"/>
      <c r="L203" s="111"/>
      <c r="M203" s="9"/>
      <c r="N203" s="9"/>
      <c r="O203" s="9"/>
      <c r="P203" s="9"/>
      <c r="Q203" s="9"/>
      <c r="R203" s="9"/>
      <c r="S203" s="253"/>
      <c r="T203" s="253"/>
      <c r="U203" s="253"/>
      <c r="V203" s="253"/>
      <c r="W203" s="253"/>
      <c r="X203" s="253"/>
      <c r="Y203" s="253"/>
      <c r="Z203" s="253"/>
    </row>
    <row r="204" spans="1:26" ht="12.75" hidden="1" customHeight="1" outlineLevel="1">
      <c r="A204" s="9"/>
      <c r="B204" s="9"/>
      <c r="C204" s="393" t="s">
        <v>26</v>
      </c>
      <c r="D204" s="394"/>
      <c r="E204" s="260">
        <f ca="1">A15value-SUM('Actual RAB roll forward'!H258:OFFSET('Actual RAB roll forward'!H258,0,Input!$Y$7-1))</f>
        <v>0</v>
      </c>
      <c r="F204" s="260" t="str">
        <f>IF(A15remlife="N/A","n/a",A15remlife-Input!$Y$7)</f>
        <v>n/a</v>
      </c>
      <c r="G204" s="256"/>
      <c r="H204" s="298" t="s">
        <v>66</v>
      </c>
      <c r="I204" s="299"/>
      <c r="J204" s="260">
        <f ca="1">A15taxvalue-SUM('Tax value roll forward'!H254:OFFSET('Tax value roll forward'!H254,0,Input!$Y$7-1))</f>
        <v>0</v>
      </c>
      <c r="K204" s="260" t="str">
        <f>IF(A15taxremlife="N/A","n/a",A15taxremlife-Input!$Y$7)</f>
        <v>n/a</v>
      </c>
      <c r="L204" s="111"/>
      <c r="M204" s="9"/>
      <c r="N204" s="9"/>
      <c r="O204" s="9"/>
      <c r="P204" s="9"/>
      <c r="Q204" s="9"/>
      <c r="R204" s="9"/>
      <c r="S204" s="253"/>
      <c r="T204" s="253"/>
      <c r="U204" s="253"/>
      <c r="V204" s="253"/>
      <c r="W204" s="253"/>
      <c r="X204" s="253"/>
      <c r="Y204" s="253"/>
      <c r="Z204" s="253"/>
    </row>
    <row r="205" spans="1:26" hidden="1" outlineLevel="1">
      <c r="A205" s="9"/>
      <c r="B205" s="9"/>
      <c r="C205" s="395" t="s">
        <v>82</v>
      </c>
      <c r="D205" s="87">
        <v>1</v>
      </c>
      <c r="E205" s="260">
        <f ca="1">OFFSET('Actual RAB roll forward'!H$58,0,D205-1)-SUM('Actual RAB roll forward'!H260:OFFSET('Actual RAB roll forward'!H260,0,Input!$Y$7-1))</f>
        <v>0</v>
      </c>
      <c r="F205" s="260" t="str">
        <f>IF(A15stdlife="N/A","n/a",IF(E205=0,0,A15stdlife+D205-Input!$Y$7))</f>
        <v>n/a</v>
      </c>
      <c r="G205" s="256"/>
      <c r="H205" s="395" t="s">
        <v>82</v>
      </c>
      <c r="I205" s="87">
        <v>1</v>
      </c>
      <c r="J205" s="260">
        <f ca="1">OFFSET('Tax value roll forward'!H$54,0,I205-1)-SUM('Tax value roll forward'!H256:OFFSET('Tax value roll forward'!H256,0,Input!$Y$7-1))</f>
        <v>0</v>
      </c>
      <c r="K205" s="260" t="str">
        <f>IF(A15taxstdlife="N/A","n/a",IF(J205=0,0,A15taxstdlife+I205-Input!$Y$7))</f>
        <v>n/a</v>
      </c>
      <c r="L205" s="111"/>
      <c r="M205" s="9"/>
      <c r="N205" s="9"/>
      <c r="O205" s="9"/>
      <c r="P205" s="9"/>
      <c r="Q205" s="9"/>
      <c r="R205" s="9"/>
      <c r="S205" s="253"/>
      <c r="T205" s="253"/>
      <c r="U205" s="253"/>
      <c r="V205" s="253"/>
      <c r="W205" s="253"/>
      <c r="X205" s="253"/>
      <c r="Y205" s="253"/>
      <c r="Z205" s="253"/>
    </row>
    <row r="206" spans="1:26" hidden="1" outlineLevel="1">
      <c r="A206" s="9"/>
      <c r="B206" s="9"/>
      <c r="C206" s="396"/>
      <c r="D206" s="87">
        <v>2</v>
      </c>
      <c r="E206" s="260">
        <f ca="1">OFFSET('Actual RAB roll forward'!H$58,0,D206-1)-SUM('Actual RAB roll forward'!H261:OFFSET('Actual RAB roll forward'!H261,0,Input!$Y$7-1))</f>
        <v>0</v>
      </c>
      <c r="F206" s="260" t="str">
        <f>IF(A15stdlife="N/A","n/a",IF(E206=0,0,A15stdlife+D206-Input!$Y$7))</f>
        <v>n/a</v>
      </c>
      <c r="G206" s="256"/>
      <c r="H206" s="396"/>
      <c r="I206" s="87">
        <v>2</v>
      </c>
      <c r="J206" s="260">
        <f ca="1">OFFSET('Tax value roll forward'!H$54,0,I206-1)-SUM('Tax value roll forward'!H257:OFFSET('Tax value roll forward'!H257,0,Input!$Y$7-1))</f>
        <v>0</v>
      </c>
      <c r="K206" s="260" t="str">
        <f>IF(A15taxstdlife="N/A","n/a",IF(J206=0,0,A15taxstdlife+I206-Input!$Y$7))</f>
        <v>n/a</v>
      </c>
      <c r="L206" s="111"/>
      <c r="M206" s="9"/>
      <c r="N206" s="9"/>
      <c r="O206" s="9"/>
      <c r="P206" s="9"/>
      <c r="Q206" s="9"/>
      <c r="R206" s="9"/>
      <c r="S206" s="253"/>
      <c r="T206" s="253"/>
      <c r="U206" s="253"/>
      <c r="V206" s="253"/>
      <c r="W206" s="253"/>
      <c r="X206" s="253"/>
      <c r="Y206" s="253"/>
      <c r="Z206" s="253"/>
    </row>
    <row r="207" spans="1:26" hidden="1" outlineLevel="1">
      <c r="A207" s="9"/>
      <c r="B207" s="9"/>
      <c r="C207" s="396"/>
      <c r="D207" s="87">
        <v>3</v>
      </c>
      <c r="E207" s="260">
        <f ca="1">OFFSET('Actual RAB roll forward'!H$58,0,D207-1)-SUM('Actual RAB roll forward'!H262:OFFSET('Actual RAB roll forward'!H262,0,Input!$Y$7-1))</f>
        <v>0</v>
      </c>
      <c r="F207" s="260" t="str">
        <f>IF(A15stdlife="N/A","n/a",IF(E207=0,0,A15stdlife+D207-Input!$Y$7))</f>
        <v>n/a</v>
      </c>
      <c r="G207" s="256"/>
      <c r="H207" s="396"/>
      <c r="I207" s="87">
        <v>3</v>
      </c>
      <c r="J207" s="260">
        <f ca="1">OFFSET('Tax value roll forward'!H$54,0,I207-1)-SUM('Tax value roll forward'!H258:OFFSET('Tax value roll forward'!H258,0,Input!$Y$7-1))</f>
        <v>0</v>
      </c>
      <c r="K207" s="260" t="str">
        <f>IF(A15taxstdlife="N/A","n/a",IF(J207=0,0,A15taxstdlife+I207-Input!$Y$7))</f>
        <v>n/a</v>
      </c>
      <c r="L207" s="111"/>
      <c r="M207" s="9"/>
      <c r="N207" s="9"/>
      <c r="O207" s="9"/>
      <c r="P207" s="9"/>
      <c r="Q207" s="9"/>
      <c r="R207" s="9"/>
      <c r="S207" s="253"/>
      <c r="T207" s="253"/>
      <c r="U207" s="253"/>
      <c r="V207" s="253"/>
      <c r="W207" s="253"/>
      <c r="X207" s="253"/>
      <c r="Y207" s="253"/>
      <c r="Z207" s="253"/>
    </row>
    <row r="208" spans="1:26" hidden="1" outlineLevel="1">
      <c r="A208" s="9"/>
      <c r="B208" s="9"/>
      <c r="C208" s="396"/>
      <c r="D208" s="87">
        <v>4</v>
      </c>
      <c r="E208" s="260">
        <f ca="1">OFFSET('Actual RAB roll forward'!H$58,0,D208-1)-SUM('Actual RAB roll forward'!H263:OFFSET('Actual RAB roll forward'!H263,0,Input!$Y$7-1))</f>
        <v>0</v>
      </c>
      <c r="F208" s="260" t="str">
        <f>IF(A15stdlife="N/A","n/a",IF(E208=0,0,A15stdlife+D208-Input!$Y$7))</f>
        <v>n/a</v>
      </c>
      <c r="G208" s="256"/>
      <c r="H208" s="396"/>
      <c r="I208" s="87">
        <v>4</v>
      </c>
      <c r="J208" s="260">
        <f ca="1">OFFSET('Tax value roll forward'!H$54,0,I208-1)-SUM('Tax value roll forward'!H259:OFFSET('Tax value roll forward'!H259,0,Input!$Y$7-1))</f>
        <v>0</v>
      </c>
      <c r="K208" s="260" t="str">
        <f>IF(A15taxstdlife="N/A","n/a",IF(J208=0,0,A15taxstdlife+I208-Input!$Y$7))</f>
        <v>n/a</v>
      </c>
      <c r="L208" s="111"/>
      <c r="M208" s="9"/>
      <c r="N208" s="9"/>
      <c r="O208" s="9"/>
      <c r="P208" s="9"/>
      <c r="Q208" s="9"/>
      <c r="R208" s="9"/>
      <c r="S208" s="253"/>
      <c r="T208" s="253"/>
      <c r="U208" s="253"/>
      <c r="V208" s="253"/>
      <c r="W208" s="253"/>
      <c r="X208" s="253"/>
      <c r="Y208" s="253"/>
      <c r="Z208" s="253"/>
    </row>
    <row r="209" spans="1:26" hidden="1" outlineLevel="1">
      <c r="A209" s="9"/>
      <c r="B209" s="9"/>
      <c r="C209" s="396"/>
      <c r="D209" s="87">
        <v>5</v>
      </c>
      <c r="E209" s="260">
        <f ca="1">OFFSET('Actual RAB roll forward'!H$58,0,D209-1)-SUM('Actual RAB roll forward'!H264:OFFSET('Actual RAB roll forward'!H264,0,Input!$Y$7-1))</f>
        <v>0</v>
      </c>
      <c r="F209" s="260" t="str">
        <f>IF(A15stdlife="N/A","n/a",IF(E209=0,0,A15stdlife+D209-Input!$Y$7))</f>
        <v>n/a</v>
      </c>
      <c r="G209" s="256"/>
      <c r="H209" s="396"/>
      <c r="I209" s="87">
        <v>5</v>
      </c>
      <c r="J209" s="260">
        <f ca="1">OFFSET('Tax value roll forward'!H$54,0,I209-1)-SUM('Tax value roll forward'!H260:OFFSET('Tax value roll forward'!H260,0,Input!$Y$7-1))</f>
        <v>0</v>
      </c>
      <c r="K209" s="260" t="str">
        <f>IF(A15taxstdlife="N/A","n/a",IF(J209=0,0,A15taxstdlife+I209-Input!$Y$7))</f>
        <v>n/a</v>
      </c>
      <c r="L209" s="111"/>
      <c r="M209" s="9"/>
      <c r="N209" s="9"/>
      <c r="O209" s="9"/>
      <c r="P209" s="9"/>
      <c r="Q209" s="9"/>
      <c r="R209" s="9"/>
      <c r="S209" s="253"/>
      <c r="T209" s="253"/>
      <c r="U209" s="253"/>
      <c r="V209" s="253"/>
      <c r="W209" s="253"/>
      <c r="X209" s="253"/>
      <c r="Y209" s="253"/>
      <c r="Z209" s="253"/>
    </row>
    <row r="210" spans="1:26" hidden="1" outlineLevel="1">
      <c r="A210" s="9"/>
      <c r="B210" s="9"/>
      <c r="C210" s="396"/>
      <c r="D210" s="87">
        <v>6</v>
      </c>
      <c r="E210" s="260">
        <f ca="1">OFFSET('Actual RAB roll forward'!H$58,0,D210-1)-SUM('Actual RAB roll forward'!H265:OFFSET('Actual RAB roll forward'!H265,0,Input!$Y$7-1))</f>
        <v>0</v>
      </c>
      <c r="F210" s="260" t="str">
        <f>IF(A15stdlife="N/A","n/a",IF(E210=0,0,A15stdlife+D210-Input!$Y$7))</f>
        <v>n/a</v>
      </c>
      <c r="G210" s="256"/>
      <c r="H210" s="396"/>
      <c r="I210" s="87">
        <v>6</v>
      </c>
      <c r="J210" s="260">
        <f ca="1">OFFSET('Tax value roll forward'!H$54,0,I210-1)-SUM('Tax value roll forward'!H261:OFFSET('Tax value roll forward'!H261,0,Input!$Y$7-1))</f>
        <v>0</v>
      </c>
      <c r="K210" s="260" t="str">
        <f>IF(A15taxstdlife="N/A","n/a",IF(J210=0,0,A15taxstdlife+I210-Input!$Y$7))</f>
        <v>n/a</v>
      </c>
      <c r="L210" s="111"/>
      <c r="M210" s="9"/>
      <c r="N210" s="9"/>
      <c r="O210" s="9"/>
      <c r="P210" s="9"/>
      <c r="Q210" s="9"/>
      <c r="R210" s="9"/>
      <c r="S210" s="253"/>
      <c r="T210" s="253"/>
      <c r="U210" s="253"/>
      <c r="V210" s="253"/>
      <c r="W210" s="253"/>
      <c r="X210" s="253"/>
      <c r="Y210" s="253"/>
      <c r="Z210" s="253"/>
    </row>
    <row r="211" spans="1:26" hidden="1" outlineLevel="1">
      <c r="A211" s="9"/>
      <c r="B211" s="9"/>
      <c r="C211" s="396"/>
      <c r="D211" s="87">
        <v>7</v>
      </c>
      <c r="E211" s="260">
        <f ca="1">OFFSET('Actual RAB roll forward'!H$58,0,D211-1)-SUM('Actual RAB roll forward'!H266:OFFSET('Actual RAB roll forward'!H266,0,Input!$Y$7-1))</f>
        <v>0</v>
      </c>
      <c r="F211" s="260" t="str">
        <f>IF(A15stdlife="N/A","n/a",IF(E211=0,0,A15stdlife+D211-Input!$Y$7))</f>
        <v>n/a</v>
      </c>
      <c r="G211" s="256"/>
      <c r="H211" s="396"/>
      <c r="I211" s="87">
        <v>7</v>
      </c>
      <c r="J211" s="260">
        <f ca="1">OFFSET('Tax value roll forward'!H$54,0,I211-1)-SUM('Tax value roll forward'!H262:OFFSET('Tax value roll forward'!H262,0,Input!$Y$7-1))</f>
        <v>0</v>
      </c>
      <c r="K211" s="260" t="str">
        <f>IF(A15taxstdlife="N/A","n/a",IF(J211=0,0,A15taxstdlife+I211-Input!$Y$7))</f>
        <v>n/a</v>
      </c>
      <c r="L211" s="111"/>
      <c r="M211" s="9"/>
      <c r="N211" s="9"/>
      <c r="O211" s="9"/>
      <c r="P211" s="9"/>
      <c r="Q211" s="9"/>
      <c r="R211" s="9"/>
      <c r="S211" s="253"/>
      <c r="T211" s="253"/>
      <c r="U211" s="253"/>
      <c r="V211" s="253"/>
      <c r="W211" s="253"/>
      <c r="X211" s="253"/>
      <c r="Y211" s="253"/>
      <c r="Z211" s="253"/>
    </row>
    <row r="212" spans="1:26" hidden="1" outlineLevel="1">
      <c r="A212" s="9"/>
      <c r="B212" s="9"/>
      <c r="C212" s="396"/>
      <c r="D212" s="87">
        <v>8</v>
      </c>
      <c r="E212" s="260">
        <f ca="1">OFFSET('Actual RAB roll forward'!H$58,0,D212-1)-SUM('Actual RAB roll forward'!H267:OFFSET('Actual RAB roll forward'!H267,0,Input!$Y$7-1))</f>
        <v>0</v>
      </c>
      <c r="F212" s="260" t="str">
        <f>IF(A15stdlife="N/A","n/a",IF(E212=0,0,A15stdlife+D212-Input!$Y$7))</f>
        <v>n/a</v>
      </c>
      <c r="G212" s="256"/>
      <c r="H212" s="396"/>
      <c r="I212" s="87">
        <v>8</v>
      </c>
      <c r="J212" s="260">
        <f ca="1">OFFSET('Tax value roll forward'!H$54,0,I212-1)-SUM('Tax value roll forward'!H263:OFFSET('Tax value roll forward'!H263,0,Input!$Y$7-1))</f>
        <v>0</v>
      </c>
      <c r="K212" s="260" t="str">
        <f>IF(A15taxstdlife="N/A","n/a",IF(J212=0,0,A15taxstdlife+I212-Input!$Y$7))</f>
        <v>n/a</v>
      </c>
      <c r="L212" s="111"/>
      <c r="M212" s="9"/>
      <c r="N212" s="9"/>
      <c r="O212" s="9"/>
      <c r="P212" s="9"/>
      <c r="Q212" s="9"/>
      <c r="R212" s="9"/>
      <c r="S212" s="253"/>
      <c r="T212" s="253"/>
      <c r="U212" s="253"/>
      <c r="V212" s="253"/>
      <c r="W212" s="253"/>
      <c r="X212" s="253"/>
      <c r="Y212" s="253"/>
      <c r="Z212" s="253"/>
    </row>
    <row r="213" spans="1:26" hidden="1" outlineLevel="1">
      <c r="A213" s="9"/>
      <c r="B213" s="9"/>
      <c r="C213" s="396"/>
      <c r="D213" s="87">
        <v>9</v>
      </c>
      <c r="E213" s="260">
        <f ca="1">OFFSET('Actual RAB roll forward'!H$58,0,D213-1)-SUM('Actual RAB roll forward'!H268:OFFSET('Actual RAB roll forward'!H268,0,Input!$Y$7-1))</f>
        <v>0</v>
      </c>
      <c r="F213" s="260" t="str">
        <f>IF(A15stdlife="N/A","n/a",IF(E213=0,0,A15stdlife+D213-Input!$Y$7))</f>
        <v>n/a</v>
      </c>
      <c r="G213" s="256"/>
      <c r="H213" s="396"/>
      <c r="I213" s="87">
        <v>9</v>
      </c>
      <c r="J213" s="260">
        <f ca="1">OFFSET('Tax value roll forward'!H$54,0,I213-1)-SUM('Tax value roll forward'!H264:OFFSET('Tax value roll forward'!H264,0,Input!$Y$7-1))</f>
        <v>0</v>
      </c>
      <c r="K213" s="260" t="str">
        <f>IF(A15taxstdlife="N/A","n/a",IF(J213=0,0,A15taxstdlife+I213-Input!$Y$7))</f>
        <v>n/a</v>
      </c>
      <c r="L213" s="111"/>
      <c r="M213" s="9"/>
      <c r="N213" s="9"/>
      <c r="O213" s="9"/>
      <c r="P213" s="9"/>
      <c r="Q213" s="9"/>
      <c r="R213" s="9"/>
      <c r="S213" s="253"/>
      <c r="T213" s="253"/>
      <c r="U213" s="253"/>
      <c r="V213" s="253"/>
      <c r="W213" s="253"/>
      <c r="X213" s="253"/>
      <c r="Y213" s="253"/>
      <c r="Z213" s="253"/>
    </row>
    <row r="214" spans="1:26" hidden="1" outlineLevel="1">
      <c r="A214" s="9"/>
      <c r="B214" s="9"/>
      <c r="C214" s="397"/>
      <c r="D214" s="88">
        <v>10</v>
      </c>
      <c r="E214" s="260">
        <f ca="1">OFFSET('Actual RAB roll forward'!H$58,0,D214-1)-SUM('Actual RAB roll forward'!H269:OFFSET('Actual RAB roll forward'!H269,0,Input!$Y$7-1))</f>
        <v>0</v>
      </c>
      <c r="F214" s="260" t="str">
        <f>IF(A15stdlife="N/A","n/a",IF(E214=0,0,A15stdlife+D214-Input!$Y$7))</f>
        <v>n/a</v>
      </c>
      <c r="G214" s="256"/>
      <c r="H214" s="397"/>
      <c r="I214" s="88">
        <v>10</v>
      </c>
      <c r="J214" s="260">
        <f ca="1">OFFSET('Tax value roll forward'!H$54,0,I214-1)-SUM('Tax value roll forward'!H265:OFFSET('Tax value roll forward'!H265,0,Input!$Y$7-1))</f>
        <v>0</v>
      </c>
      <c r="K214" s="260" t="str">
        <f>IF(A15taxstdlife="N/A","n/a",IF(J214=0,0,A15taxstdlife+I214-Input!$Y$7))</f>
        <v>n/a</v>
      </c>
      <c r="L214" s="111"/>
      <c r="M214" s="9"/>
      <c r="N214" s="9"/>
      <c r="O214" s="9"/>
      <c r="P214" s="9"/>
      <c r="Q214" s="9"/>
      <c r="R214" s="9"/>
      <c r="S214" s="253"/>
      <c r="T214" s="253"/>
      <c r="U214" s="253"/>
      <c r="V214" s="253"/>
      <c r="W214" s="253"/>
      <c r="X214" s="253"/>
      <c r="Y214" s="253"/>
      <c r="Z214" s="253"/>
    </row>
    <row r="215" spans="1:26" collapsed="1">
      <c r="A215" s="9"/>
      <c r="B215" s="9"/>
      <c r="C215" s="274">
        <f>Asset15</f>
        <v>0</v>
      </c>
      <c r="D215" s="9"/>
      <c r="E215" s="260">
        <f ca="1">SUM(E204:E214)</f>
        <v>0</v>
      </c>
      <c r="F215" s="260">
        <f ca="1">IF(E215=0,0,SUMPRODUCT(E204:E214,F204:F214)/E215)</f>
        <v>0</v>
      </c>
      <c r="G215" s="256"/>
      <c r="H215" s="43"/>
      <c r="I215" s="260"/>
      <c r="J215" s="260">
        <f ca="1">SUM(J204:J214)</f>
        <v>0</v>
      </c>
      <c r="K215" s="260">
        <f ca="1">IF(J215=0,0,SUMPRODUCT(J204:J214,K204:K214)/J215)</f>
        <v>0</v>
      </c>
      <c r="L215" s="111"/>
      <c r="M215" s="9"/>
      <c r="N215" s="9"/>
      <c r="O215" s="9"/>
      <c r="P215" s="9"/>
      <c r="Q215" s="9"/>
      <c r="R215" s="9"/>
      <c r="S215" s="253"/>
      <c r="T215" s="253"/>
      <c r="U215" s="253"/>
      <c r="V215" s="253"/>
      <c r="W215" s="253"/>
      <c r="X215" s="253"/>
      <c r="Y215" s="253"/>
      <c r="Z215" s="253"/>
    </row>
    <row r="216" spans="1:26" hidden="1" outlineLevel="1">
      <c r="A216" s="9"/>
      <c r="B216" s="9"/>
      <c r="C216" s="274"/>
      <c r="D216" s="9"/>
      <c r="E216" s="260"/>
      <c r="F216" s="260"/>
      <c r="G216" s="256"/>
      <c r="H216" s="260"/>
      <c r="I216" s="260"/>
      <c r="J216" s="265"/>
      <c r="K216" s="260"/>
      <c r="L216" s="111"/>
      <c r="M216" s="9"/>
      <c r="N216" s="9"/>
      <c r="O216" s="9"/>
      <c r="P216" s="9"/>
      <c r="Q216" s="9"/>
      <c r="R216" s="9"/>
      <c r="S216" s="253"/>
      <c r="T216" s="253"/>
      <c r="U216" s="253"/>
      <c r="V216" s="253"/>
      <c r="W216" s="253"/>
      <c r="X216" s="253"/>
      <c r="Y216" s="253"/>
      <c r="Z216" s="253"/>
    </row>
    <row r="217" spans="1:26" hidden="1" outlineLevel="1">
      <c r="A217" s="9"/>
      <c r="B217" s="272">
        <f>Asset16</f>
        <v>0</v>
      </c>
      <c r="C217" s="9"/>
      <c r="D217" s="9"/>
      <c r="E217" s="35"/>
      <c r="F217" s="35"/>
      <c r="G217" s="256"/>
      <c r="H217" s="260"/>
      <c r="I217" s="260"/>
      <c r="J217" s="265"/>
      <c r="K217" s="260"/>
      <c r="L217" s="111"/>
      <c r="M217" s="9"/>
      <c r="N217" s="9"/>
      <c r="O217" s="9"/>
      <c r="P217" s="9"/>
      <c r="Q217" s="9"/>
      <c r="R217" s="9"/>
      <c r="S217" s="253"/>
      <c r="T217" s="253"/>
      <c r="U217" s="253"/>
      <c r="V217" s="253"/>
      <c r="W217" s="253"/>
      <c r="X217" s="253"/>
      <c r="Y217" s="253"/>
      <c r="Z217" s="253"/>
    </row>
    <row r="218" spans="1:26" ht="12.75" hidden="1" customHeight="1" outlineLevel="1">
      <c r="A218" s="9"/>
      <c r="B218" s="35"/>
      <c r="C218" s="393" t="s">
        <v>26</v>
      </c>
      <c r="D218" s="394"/>
      <c r="E218" s="260">
        <f ca="1">A16value-SUM('Actual RAB roll forward'!H271:OFFSET('Actual RAB roll forward'!H271,0,Input!$Y$7-1))</f>
        <v>0</v>
      </c>
      <c r="F218" s="260" t="str">
        <f>IF(A16remlife="N/A","n/a",A16remlife-Input!$Y$7)</f>
        <v>n/a</v>
      </c>
      <c r="G218" s="256"/>
      <c r="H218" s="298" t="s">
        <v>66</v>
      </c>
      <c r="I218" s="299"/>
      <c r="J218" s="260">
        <f ca="1">A16taxvalue-SUM('Tax value roll forward'!H267:OFFSET('Tax value roll forward'!H267,0,Input!$Y$7-1))</f>
        <v>0</v>
      </c>
      <c r="K218" s="260" t="str">
        <f>IF(A16taxremlife="N/A","n/a",A16taxremlife-Input!$Y$7)</f>
        <v>n/a</v>
      </c>
      <c r="L218" s="111"/>
      <c r="M218" s="9"/>
      <c r="N218" s="9"/>
      <c r="O218" s="9"/>
      <c r="P218" s="9"/>
      <c r="Q218" s="9"/>
      <c r="R218" s="9"/>
      <c r="S218" s="253"/>
      <c r="T218" s="253"/>
      <c r="U218" s="253"/>
      <c r="V218" s="253"/>
      <c r="W218" s="253"/>
      <c r="X218" s="253"/>
      <c r="Y218" s="253"/>
      <c r="Z218" s="253"/>
    </row>
    <row r="219" spans="1:26" hidden="1" outlineLevel="1">
      <c r="A219" s="9"/>
      <c r="B219" s="9"/>
      <c r="C219" s="395" t="s">
        <v>82</v>
      </c>
      <c r="D219" s="87">
        <v>1</v>
      </c>
      <c r="E219" s="260">
        <f ca="1">OFFSET('Actual RAB roll forward'!H$59,0,D219-1)-SUM('Actual RAB roll forward'!H273:OFFSET('Actual RAB roll forward'!H273,0,Input!$Y$7-1))</f>
        <v>0</v>
      </c>
      <c r="F219" s="260" t="str">
        <f>IF(A16stdlife="N/A","n/a",IF(E219=0,0,A16stdlife+D219-Input!$Y$7))</f>
        <v>n/a</v>
      </c>
      <c r="G219" s="256"/>
      <c r="H219" s="395" t="s">
        <v>82</v>
      </c>
      <c r="I219" s="87">
        <v>1</v>
      </c>
      <c r="J219" s="260">
        <f ca="1">OFFSET('Tax value roll forward'!H$55,0,I219-1)-SUM('Tax value roll forward'!H269:OFFSET('Tax value roll forward'!H269,0,Input!$Y$7-1))</f>
        <v>0</v>
      </c>
      <c r="K219" s="260" t="str">
        <f>IF(A16taxstdlife="N/A","n/a",IF(J219=0,0,A16taxstdlife+I219-Input!$Y$7))</f>
        <v>n/a</v>
      </c>
      <c r="L219" s="111"/>
      <c r="M219" s="9"/>
      <c r="N219" s="9"/>
      <c r="O219" s="9"/>
      <c r="P219" s="9"/>
      <c r="Q219" s="9"/>
      <c r="R219" s="9"/>
      <c r="S219" s="253"/>
      <c r="T219" s="253"/>
      <c r="U219" s="253"/>
      <c r="V219" s="253"/>
      <c r="W219" s="253"/>
      <c r="X219" s="253"/>
      <c r="Y219" s="253"/>
      <c r="Z219" s="253"/>
    </row>
    <row r="220" spans="1:26" hidden="1" outlineLevel="1">
      <c r="A220" s="9"/>
      <c r="B220" s="9"/>
      <c r="C220" s="396"/>
      <c r="D220" s="87">
        <v>2</v>
      </c>
      <c r="E220" s="260">
        <f ca="1">OFFSET('Actual RAB roll forward'!H$59,0,D220-1)-SUM('Actual RAB roll forward'!H274:OFFSET('Actual RAB roll forward'!H274,0,Input!$Y$7-1))</f>
        <v>0</v>
      </c>
      <c r="F220" s="260" t="str">
        <f>IF(A16stdlife="N/A","n/a",IF(E220=0,0,A16stdlife+D220-Input!$Y$7))</f>
        <v>n/a</v>
      </c>
      <c r="G220" s="256"/>
      <c r="H220" s="396"/>
      <c r="I220" s="87">
        <v>2</v>
      </c>
      <c r="J220" s="260">
        <f ca="1">OFFSET('Tax value roll forward'!H$55,0,I220-1)-SUM('Tax value roll forward'!H270:OFFSET('Tax value roll forward'!H270,0,Input!$Y$7-1))</f>
        <v>0</v>
      </c>
      <c r="K220" s="260" t="str">
        <f>IF(A16taxstdlife="N/A","n/a",IF(J220=0,0,A16taxstdlife+I220-Input!$Y$7))</f>
        <v>n/a</v>
      </c>
      <c r="L220" s="111"/>
      <c r="M220" s="9"/>
      <c r="N220" s="9"/>
      <c r="O220" s="9"/>
      <c r="P220" s="9"/>
      <c r="Q220" s="9"/>
      <c r="R220" s="9"/>
      <c r="S220" s="253"/>
      <c r="T220" s="253"/>
      <c r="U220" s="253"/>
      <c r="V220" s="253"/>
      <c r="W220" s="253"/>
      <c r="X220" s="253"/>
      <c r="Y220" s="253"/>
      <c r="Z220" s="253"/>
    </row>
    <row r="221" spans="1:26" hidden="1" outlineLevel="1">
      <c r="A221" s="9"/>
      <c r="B221" s="9"/>
      <c r="C221" s="396"/>
      <c r="D221" s="87">
        <v>3</v>
      </c>
      <c r="E221" s="260">
        <f ca="1">OFFSET('Actual RAB roll forward'!H$59,0,D221-1)-SUM('Actual RAB roll forward'!H275:OFFSET('Actual RAB roll forward'!H275,0,Input!$Y$7-1))</f>
        <v>0</v>
      </c>
      <c r="F221" s="260" t="str">
        <f>IF(A16stdlife="N/A","n/a",IF(E221=0,0,A16stdlife+D221-Input!$Y$7))</f>
        <v>n/a</v>
      </c>
      <c r="G221" s="256"/>
      <c r="H221" s="396"/>
      <c r="I221" s="87">
        <v>3</v>
      </c>
      <c r="J221" s="260">
        <f ca="1">OFFSET('Tax value roll forward'!H$55,0,I221-1)-SUM('Tax value roll forward'!H271:OFFSET('Tax value roll forward'!H271,0,Input!$Y$7-1))</f>
        <v>0</v>
      </c>
      <c r="K221" s="260" t="str">
        <f>IF(A16taxstdlife="N/A","n/a",IF(J221=0,0,A16taxstdlife+I221-Input!$Y$7))</f>
        <v>n/a</v>
      </c>
      <c r="L221" s="111"/>
      <c r="M221" s="9"/>
      <c r="N221" s="9"/>
      <c r="O221" s="9"/>
      <c r="P221" s="9"/>
      <c r="Q221" s="9"/>
      <c r="R221" s="9"/>
      <c r="S221" s="253"/>
      <c r="T221" s="253"/>
      <c r="U221" s="253"/>
      <c r="V221" s="253"/>
      <c r="W221" s="253"/>
      <c r="X221" s="253"/>
      <c r="Y221" s="253"/>
      <c r="Z221" s="253"/>
    </row>
    <row r="222" spans="1:26" hidden="1" outlineLevel="1">
      <c r="A222" s="9"/>
      <c r="B222" s="9"/>
      <c r="C222" s="396"/>
      <c r="D222" s="87">
        <v>4</v>
      </c>
      <c r="E222" s="260">
        <f ca="1">OFFSET('Actual RAB roll forward'!H$59,0,D222-1)-SUM('Actual RAB roll forward'!H276:OFFSET('Actual RAB roll forward'!H276,0,Input!$Y$7-1))</f>
        <v>0</v>
      </c>
      <c r="F222" s="260" t="str">
        <f>IF(A16stdlife="N/A","n/a",IF(E222=0,0,A16stdlife+D222-Input!$Y$7))</f>
        <v>n/a</v>
      </c>
      <c r="G222" s="256"/>
      <c r="H222" s="396"/>
      <c r="I222" s="87">
        <v>4</v>
      </c>
      <c r="J222" s="260">
        <f ca="1">OFFSET('Tax value roll forward'!H$55,0,I222-1)-SUM('Tax value roll forward'!H272:OFFSET('Tax value roll forward'!H272,0,Input!$Y$7-1))</f>
        <v>0</v>
      </c>
      <c r="K222" s="260" t="str">
        <f>IF(A16taxstdlife="N/A","n/a",IF(J222=0,0,A16taxstdlife+I222-Input!$Y$7))</f>
        <v>n/a</v>
      </c>
      <c r="L222" s="111"/>
      <c r="M222" s="9"/>
      <c r="N222" s="9"/>
      <c r="O222" s="9"/>
      <c r="P222" s="9"/>
      <c r="Q222" s="9"/>
      <c r="R222" s="9"/>
      <c r="S222" s="253"/>
      <c r="T222" s="253"/>
      <c r="U222" s="253"/>
      <c r="V222" s="253"/>
      <c r="W222" s="253"/>
      <c r="X222" s="253"/>
      <c r="Y222" s="253"/>
      <c r="Z222" s="253"/>
    </row>
    <row r="223" spans="1:26" hidden="1" outlineLevel="1">
      <c r="A223" s="9"/>
      <c r="B223" s="9"/>
      <c r="C223" s="396"/>
      <c r="D223" s="87">
        <v>5</v>
      </c>
      <c r="E223" s="260">
        <f ca="1">OFFSET('Actual RAB roll forward'!H$59,0,D223-1)-SUM('Actual RAB roll forward'!H277:OFFSET('Actual RAB roll forward'!H277,0,Input!$Y$7-1))</f>
        <v>0</v>
      </c>
      <c r="F223" s="260" t="str">
        <f>IF(A16stdlife="N/A","n/a",IF(E223=0,0,A16stdlife+D223-Input!$Y$7))</f>
        <v>n/a</v>
      </c>
      <c r="G223" s="256"/>
      <c r="H223" s="396"/>
      <c r="I223" s="87">
        <v>5</v>
      </c>
      <c r="J223" s="260">
        <f ca="1">OFFSET('Tax value roll forward'!H$55,0,I223-1)-SUM('Tax value roll forward'!H273:OFFSET('Tax value roll forward'!H273,0,Input!$Y$7-1))</f>
        <v>0</v>
      </c>
      <c r="K223" s="260" t="str">
        <f>IF(A16taxstdlife="N/A","n/a",IF(J223=0,0,A16taxstdlife+I223-Input!$Y$7))</f>
        <v>n/a</v>
      </c>
      <c r="L223" s="111"/>
      <c r="M223" s="9"/>
      <c r="N223" s="9"/>
      <c r="O223" s="9"/>
      <c r="P223" s="9"/>
      <c r="Q223" s="9"/>
      <c r="R223" s="9"/>
      <c r="S223" s="253"/>
      <c r="T223" s="253"/>
      <c r="U223" s="253"/>
      <c r="V223" s="253"/>
      <c r="W223" s="253"/>
      <c r="X223" s="253"/>
      <c r="Y223" s="253"/>
      <c r="Z223" s="253"/>
    </row>
    <row r="224" spans="1:26" hidden="1" outlineLevel="1">
      <c r="A224" s="9"/>
      <c r="B224" s="9"/>
      <c r="C224" s="396"/>
      <c r="D224" s="87">
        <v>6</v>
      </c>
      <c r="E224" s="260">
        <f ca="1">OFFSET('Actual RAB roll forward'!H$59,0,D224-1)-SUM('Actual RAB roll forward'!H278:OFFSET('Actual RAB roll forward'!H278,0,Input!$Y$7-1))</f>
        <v>0</v>
      </c>
      <c r="F224" s="260" t="str">
        <f>IF(A16stdlife="N/A","n/a",IF(E224=0,0,A16stdlife+D224-Input!$Y$7))</f>
        <v>n/a</v>
      </c>
      <c r="G224" s="256"/>
      <c r="H224" s="396"/>
      <c r="I224" s="87">
        <v>6</v>
      </c>
      <c r="J224" s="260">
        <f ca="1">OFFSET('Tax value roll forward'!H$55,0,I224-1)-SUM('Tax value roll forward'!H274:OFFSET('Tax value roll forward'!H274,0,Input!$Y$7-1))</f>
        <v>0</v>
      </c>
      <c r="K224" s="260" t="str">
        <f>IF(A16taxstdlife="N/A","n/a",IF(J224=0,0,A16taxstdlife+I224-Input!$Y$7))</f>
        <v>n/a</v>
      </c>
      <c r="L224" s="111"/>
      <c r="M224" s="9"/>
      <c r="N224" s="9"/>
      <c r="O224" s="9"/>
      <c r="P224" s="9"/>
      <c r="Q224" s="9"/>
      <c r="R224" s="9"/>
      <c r="S224" s="253"/>
      <c r="T224" s="253"/>
      <c r="U224" s="253"/>
      <c r="V224" s="253"/>
      <c r="W224" s="253"/>
      <c r="X224" s="253"/>
      <c r="Y224" s="253"/>
      <c r="Z224" s="253"/>
    </row>
    <row r="225" spans="1:26" hidden="1" outlineLevel="1">
      <c r="A225" s="9"/>
      <c r="B225" s="9"/>
      <c r="C225" s="396"/>
      <c r="D225" s="87">
        <v>7</v>
      </c>
      <c r="E225" s="260">
        <f ca="1">OFFSET('Actual RAB roll forward'!H$59,0,D225-1)-SUM('Actual RAB roll forward'!H279:OFFSET('Actual RAB roll forward'!H279,0,Input!$Y$7-1))</f>
        <v>0</v>
      </c>
      <c r="F225" s="260" t="str">
        <f>IF(A16stdlife="N/A","n/a",IF(E225=0,0,A16stdlife+D225-Input!$Y$7))</f>
        <v>n/a</v>
      </c>
      <c r="G225" s="256"/>
      <c r="H225" s="396"/>
      <c r="I225" s="87">
        <v>7</v>
      </c>
      <c r="J225" s="260">
        <f ca="1">OFFSET('Tax value roll forward'!H$55,0,I225-1)-SUM('Tax value roll forward'!H275:OFFSET('Tax value roll forward'!H275,0,Input!$Y$7-1))</f>
        <v>0</v>
      </c>
      <c r="K225" s="260" t="str">
        <f>IF(A16taxstdlife="N/A","n/a",IF(J225=0,0,A16taxstdlife+I225-Input!$Y$7))</f>
        <v>n/a</v>
      </c>
      <c r="L225" s="111"/>
      <c r="M225" s="9"/>
      <c r="N225" s="9"/>
      <c r="O225" s="9"/>
      <c r="P225" s="9"/>
      <c r="Q225" s="9"/>
      <c r="R225" s="9"/>
      <c r="S225" s="253"/>
      <c r="T225" s="253"/>
      <c r="U225" s="253"/>
      <c r="V225" s="253"/>
      <c r="W225" s="253"/>
      <c r="X225" s="253"/>
      <c r="Y225" s="253"/>
      <c r="Z225" s="253"/>
    </row>
    <row r="226" spans="1:26" hidden="1" outlineLevel="1">
      <c r="A226" s="9"/>
      <c r="B226" s="9"/>
      <c r="C226" s="396"/>
      <c r="D226" s="87">
        <v>8</v>
      </c>
      <c r="E226" s="260">
        <f ca="1">OFFSET('Actual RAB roll forward'!H$59,0,D226-1)-SUM('Actual RAB roll forward'!H280:OFFSET('Actual RAB roll forward'!H280,0,Input!$Y$7-1))</f>
        <v>0</v>
      </c>
      <c r="F226" s="260" t="str">
        <f>IF(A16stdlife="N/A","n/a",IF(E226=0,0,A16stdlife+D226-Input!$Y$7))</f>
        <v>n/a</v>
      </c>
      <c r="G226" s="256"/>
      <c r="H226" s="396"/>
      <c r="I226" s="87">
        <v>8</v>
      </c>
      <c r="J226" s="260">
        <f ca="1">OFFSET('Tax value roll forward'!H$55,0,I226-1)-SUM('Tax value roll forward'!H276:OFFSET('Tax value roll forward'!H276,0,Input!$Y$7-1))</f>
        <v>0</v>
      </c>
      <c r="K226" s="260" t="str">
        <f>IF(A16taxstdlife="N/A","n/a",IF(J226=0,0,A16taxstdlife+I226-Input!$Y$7))</f>
        <v>n/a</v>
      </c>
      <c r="L226" s="111"/>
      <c r="M226" s="9"/>
      <c r="N226" s="9"/>
      <c r="O226" s="9"/>
      <c r="P226" s="9"/>
      <c r="Q226" s="9"/>
      <c r="R226" s="9"/>
      <c r="S226" s="253"/>
      <c r="T226" s="253"/>
      <c r="U226" s="253"/>
      <c r="V226" s="253"/>
      <c r="W226" s="253"/>
      <c r="X226" s="253"/>
      <c r="Y226" s="253"/>
      <c r="Z226" s="253"/>
    </row>
    <row r="227" spans="1:26" hidden="1" outlineLevel="1">
      <c r="A227" s="9"/>
      <c r="B227" s="9"/>
      <c r="C227" s="396"/>
      <c r="D227" s="87">
        <v>9</v>
      </c>
      <c r="E227" s="260">
        <f ca="1">OFFSET('Actual RAB roll forward'!H$59,0,D227-1)-SUM('Actual RAB roll forward'!H281:OFFSET('Actual RAB roll forward'!H281,0,Input!$Y$7-1))</f>
        <v>0</v>
      </c>
      <c r="F227" s="260" t="str">
        <f>IF(A16stdlife="N/A","n/a",IF(E227=0,0,A16stdlife+D227-Input!$Y$7))</f>
        <v>n/a</v>
      </c>
      <c r="G227" s="256"/>
      <c r="H227" s="396"/>
      <c r="I227" s="87">
        <v>9</v>
      </c>
      <c r="J227" s="260">
        <f ca="1">OFFSET('Tax value roll forward'!H$55,0,I227-1)-SUM('Tax value roll forward'!H277:OFFSET('Tax value roll forward'!H277,0,Input!$Y$7-1))</f>
        <v>0</v>
      </c>
      <c r="K227" s="260" t="str">
        <f>IF(A16taxstdlife="N/A","n/a",IF(J227=0,0,A16taxstdlife+I227-Input!$Y$7))</f>
        <v>n/a</v>
      </c>
      <c r="L227" s="111"/>
      <c r="M227" s="9"/>
      <c r="N227" s="9"/>
      <c r="O227" s="9"/>
      <c r="P227" s="9"/>
      <c r="Q227" s="9"/>
      <c r="R227" s="9"/>
      <c r="S227" s="253"/>
      <c r="T227" s="253"/>
      <c r="U227" s="253"/>
      <c r="V227" s="253"/>
      <c r="W227" s="253"/>
      <c r="X227" s="253"/>
      <c r="Y227" s="253"/>
      <c r="Z227" s="253"/>
    </row>
    <row r="228" spans="1:26" hidden="1" outlineLevel="1">
      <c r="A228" s="9"/>
      <c r="B228" s="9"/>
      <c r="C228" s="397"/>
      <c r="D228" s="88">
        <v>10</v>
      </c>
      <c r="E228" s="260">
        <f ca="1">OFFSET('Actual RAB roll forward'!H$59,0,D228-1)-SUM('Actual RAB roll forward'!H282:OFFSET('Actual RAB roll forward'!H282,0,Input!$Y$7-1))</f>
        <v>0</v>
      </c>
      <c r="F228" s="260" t="str">
        <f>IF(A16stdlife="N/A","n/a",IF(E228=0,0,A16stdlife+D228-Input!$Y$7))</f>
        <v>n/a</v>
      </c>
      <c r="G228" s="256"/>
      <c r="H228" s="397"/>
      <c r="I228" s="88">
        <v>10</v>
      </c>
      <c r="J228" s="260">
        <f ca="1">OFFSET('Tax value roll forward'!H$55,0,I228-1)-SUM('Tax value roll forward'!H278:OFFSET('Tax value roll forward'!H278,0,Input!$Y$7-1))</f>
        <v>0</v>
      </c>
      <c r="K228" s="260" t="str">
        <f>IF(A16taxstdlife="N/A","n/a",IF(J228=0,0,A16taxstdlife+I228-Input!$Y$7))</f>
        <v>n/a</v>
      </c>
      <c r="L228" s="111"/>
      <c r="M228" s="9"/>
      <c r="N228" s="9"/>
      <c r="O228" s="9"/>
      <c r="P228" s="9"/>
      <c r="Q228" s="9"/>
      <c r="R228" s="9"/>
      <c r="S228" s="253"/>
      <c r="T228" s="253"/>
      <c r="U228" s="253"/>
      <c r="V228" s="253"/>
      <c r="W228" s="253"/>
      <c r="X228" s="253"/>
      <c r="Y228" s="253"/>
      <c r="Z228" s="253"/>
    </row>
    <row r="229" spans="1:26" collapsed="1">
      <c r="A229" s="9"/>
      <c r="B229" s="9"/>
      <c r="C229" s="274">
        <f>Asset16</f>
        <v>0</v>
      </c>
      <c r="D229" s="9"/>
      <c r="E229" s="260">
        <f ca="1">SUM(E218:E228)</f>
        <v>0</v>
      </c>
      <c r="F229" s="260">
        <f ca="1">IF(E229=0,0,SUMPRODUCT(E218:E228,F218:F228)/E229)</f>
        <v>0</v>
      </c>
      <c r="G229" s="256"/>
      <c r="H229" s="43"/>
      <c r="I229" s="260"/>
      <c r="J229" s="260">
        <f ca="1">SUM(J218:J228)</f>
        <v>0</v>
      </c>
      <c r="K229" s="260">
        <f ca="1">IF(J229=0,0,SUMPRODUCT(J218:J228,K218:K228)/J229)</f>
        <v>0</v>
      </c>
      <c r="L229" s="111"/>
      <c r="M229" s="9"/>
      <c r="N229" s="9"/>
      <c r="O229" s="9"/>
      <c r="P229" s="9"/>
      <c r="Q229" s="9"/>
      <c r="R229" s="9"/>
      <c r="S229" s="253"/>
      <c r="T229" s="253"/>
      <c r="U229" s="253"/>
      <c r="V229" s="253"/>
      <c r="W229" s="253"/>
      <c r="X229" s="253"/>
      <c r="Y229" s="253"/>
      <c r="Z229" s="253"/>
    </row>
    <row r="230" spans="1:26" hidden="1" outlineLevel="1">
      <c r="A230" s="9"/>
      <c r="B230" s="9"/>
      <c r="C230" s="274"/>
      <c r="D230" s="9"/>
      <c r="E230" s="260"/>
      <c r="F230" s="260"/>
      <c r="G230" s="256"/>
      <c r="H230" s="260"/>
      <c r="I230" s="260"/>
      <c r="J230" s="265"/>
      <c r="K230" s="260"/>
      <c r="L230" s="111"/>
      <c r="M230" s="9"/>
      <c r="N230" s="9"/>
      <c r="O230" s="9"/>
      <c r="P230" s="9"/>
      <c r="Q230" s="9"/>
      <c r="R230" s="9"/>
      <c r="S230" s="253"/>
      <c r="T230" s="253"/>
      <c r="U230" s="253"/>
      <c r="V230" s="253"/>
      <c r="W230" s="253"/>
      <c r="X230" s="253"/>
      <c r="Y230" s="253"/>
      <c r="Z230" s="253"/>
    </row>
    <row r="231" spans="1:26" hidden="1" outlineLevel="1">
      <c r="A231" s="9"/>
      <c r="B231" s="272">
        <f>Asset17</f>
        <v>0</v>
      </c>
      <c r="C231" s="9"/>
      <c r="D231" s="9"/>
      <c r="E231" s="35"/>
      <c r="F231" s="35"/>
      <c r="G231" s="256"/>
      <c r="H231" s="260"/>
      <c r="I231" s="260"/>
      <c r="J231" s="265"/>
      <c r="K231" s="260"/>
      <c r="L231" s="111"/>
      <c r="M231" s="9"/>
      <c r="N231" s="9"/>
      <c r="O231" s="9"/>
      <c r="P231" s="9"/>
      <c r="Q231" s="9"/>
      <c r="R231" s="9"/>
      <c r="S231" s="253"/>
      <c r="T231" s="253"/>
      <c r="U231" s="253"/>
      <c r="V231" s="253"/>
      <c r="W231" s="253"/>
      <c r="X231" s="253"/>
      <c r="Y231" s="253"/>
      <c r="Z231" s="253"/>
    </row>
    <row r="232" spans="1:26" ht="12.75" hidden="1" customHeight="1" outlineLevel="1">
      <c r="A232" s="9"/>
      <c r="B232" s="9"/>
      <c r="C232" s="393" t="s">
        <v>26</v>
      </c>
      <c r="D232" s="394"/>
      <c r="E232" s="260">
        <f ca="1">A17value-SUM('Actual RAB roll forward'!H284:OFFSET('Actual RAB roll forward'!H284,0,Input!$Y$7-1))</f>
        <v>0</v>
      </c>
      <c r="F232" s="260" t="str">
        <f>IF(A17remlife="N/A","n/a",A17remlife-Input!$Y$7)</f>
        <v>n/a</v>
      </c>
      <c r="G232" s="256"/>
      <c r="H232" s="298" t="s">
        <v>66</v>
      </c>
      <c r="I232" s="299"/>
      <c r="J232" s="260">
        <f ca="1">A17taxvalue-SUM('Tax value roll forward'!H280:OFFSET('Tax value roll forward'!H280,0,Input!$Y$7-1))</f>
        <v>0</v>
      </c>
      <c r="K232" s="260" t="str">
        <f>IF(A17taxremlife="N/A","n/a",A17taxremlife-Input!$Y$7)</f>
        <v>n/a</v>
      </c>
      <c r="L232" s="111"/>
      <c r="M232" s="9"/>
      <c r="N232" s="9"/>
      <c r="O232" s="9"/>
      <c r="P232" s="9"/>
      <c r="Q232" s="9"/>
      <c r="R232" s="9"/>
      <c r="S232" s="253"/>
      <c r="T232" s="253"/>
      <c r="U232" s="253"/>
      <c r="V232" s="253"/>
      <c r="W232" s="253"/>
      <c r="X232" s="253"/>
      <c r="Y232" s="253"/>
      <c r="Z232" s="253"/>
    </row>
    <row r="233" spans="1:26" hidden="1" outlineLevel="1">
      <c r="A233" s="9"/>
      <c r="B233" s="9"/>
      <c r="C233" s="395" t="s">
        <v>82</v>
      </c>
      <c r="D233" s="87">
        <v>1</v>
      </c>
      <c r="E233" s="260">
        <f ca="1">OFFSET('Actual RAB roll forward'!H$60,0,D233-1)-SUM('Actual RAB roll forward'!H286:OFFSET('Actual RAB roll forward'!H286,0,Input!$Y$7-1))</f>
        <v>0</v>
      </c>
      <c r="F233" s="260" t="str">
        <f>IF(A17stdlife="N/A","n/a",IF(E233=0,0,A17stdlife+D233-Input!$Y$7))</f>
        <v>n/a</v>
      </c>
      <c r="G233" s="256"/>
      <c r="H233" s="395" t="s">
        <v>82</v>
      </c>
      <c r="I233" s="87">
        <v>1</v>
      </c>
      <c r="J233" s="260">
        <f ca="1">OFFSET('Tax value roll forward'!H$56,0,I233-1)-SUM('Tax value roll forward'!H282:OFFSET('Tax value roll forward'!H282,0,Input!$Y$7-1))</f>
        <v>0</v>
      </c>
      <c r="K233" s="260" t="str">
        <f>IF(A17taxstdlife="N/A","n/a",IF(J233=0,0,A17taxstdlife+I233-Input!$Y$7))</f>
        <v>n/a</v>
      </c>
      <c r="L233" s="111"/>
      <c r="M233" s="9"/>
      <c r="N233" s="9"/>
      <c r="O233" s="9"/>
      <c r="P233" s="9"/>
      <c r="Q233" s="9"/>
      <c r="R233" s="9"/>
      <c r="S233" s="253"/>
      <c r="T233" s="253"/>
      <c r="U233" s="253"/>
      <c r="V233" s="253"/>
      <c r="W233" s="253"/>
      <c r="X233" s="253"/>
      <c r="Y233" s="253"/>
      <c r="Z233" s="253"/>
    </row>
    <row r="234" spans="1:26" hidden="1" outlineLevel="1">
      <c r="A234" s="9"/>
      <c r="B234" s="9"/>
      <c r="C234" s="396"/>
      <c r="D234" s="87">
        <v>2</v>
      </c>
      <c r="E234" s="260">
        <f ca="1">OFFSET('Actual RAB roll forward'!H$60,0,D234-1)-SUM('Actual RAB roll forward'!H287:OFFSET('Actual RAB roll forward'!H287,0,Input!$Y$7-1))</f>
        <v>0</v>
      </c>
      <c r="F234" s="260" t="str">
        <f>IF(A17stdlife="N/A","n/a",IF(E234=0,0,A17stdlife+D234-Input!$Y$7))</f>
        <v>n/a</v>
      </c>
      <c r="G234" s="256"/>
      <c r="H234" s="396"/>
      <c r="I234" s="87">
        <v>2</v>
      </c>
      <c r="J234" s="260">
        <f ca="1">OFFSET('Tax value roll forward'!H$56,0,I234-1)-SUM('Tax value roll forward'!H283:OFFSET('Tax value roll forward'!H283,0,Input!$Y$7-1))</f>
        <v>0</v>
      </c>
      <c r="K234" s="260" t="str">
        <f>IF(A17taxstdlife="N/A","n/a",IF(J234=0,0,A17taxstdlife+I234-Input!$Y$7))</f>
        <v>n/a</v>
      </c>
      <c r="L234" s="111"/>
      <c r="M234" s="9"/>
      <c r="N234" s="9"/>
      <c r="O234" s="9"/>
      <c r="P234" s="9"/>
      <c r="Q234" s="9"/>
      <c r="R234" s="9"/>
      <c r="S234" s="253"/>
      <c r="T234" s="253"/>
      <c r="U234" s="253"/>
      <c r="V234" s="253"/>
      <c r="W234" s="253"/>
      <c r="X234" s="253"/>
      <c r="Y234" s="253"/>
      <c r="Z234" s="253"/>
    </row>
    <row r="235" spans="1:26" hidden="1" outlineLevel="1">
      <c r="A235" s="9"/>
      <c r="B235" s="9"/>
      <c r="C235" s="396"/>
      <c r="D235" s="87">
        <v>3</v>
      </c>
      <c r="E235" s="260">
        <f ca="1">OFFSET('Actual RAB roll forward'!H$60,0,D235-1)-SUM('Actual RAB roll forward'!H288:OFFSET('Actual RAB roll forward'!H288,0,Input!$Y$7-1))</f>
        <v>0</v>
      </c>
      <c r="F235" s="260" t="str">
        <f>IF(A17stdlife="N/A","n/a",IF(E235=0,0,A17stdlife+D235-Input!$Y$7))</f>
        <v>n/a</v>
      </c>
      <c r="G235" s="256"/>
      <c r="H235" s="396"/>
      <c r="I235" s="87">
        <v>3</v>
      </c>
      <c r="J235" s="260">
        <f ca="1">OFFSET('Tax value roll forward'!H$56,0,I235-1)-SUM('Tax value roll forward'!H284:OFFSET('Tax value roll forward'!H284,0,Input!$Y$7-1))</f>
        <v>0</v>
      </c>
      <c r="K235" s="260" t="str">
        <f>IF(A17taxstdlife="N/A","n/a",IF(J235=0,0,A17taxstdlife+I235-Input!$Y$7))</f>
        <v>n/a</v>
      </c>
      <c r="L235" s="111"/>
      <c r="M235" s="9"/>
      <c r="N235" s="9"/>
      <c r="O235" s="9"/>
      <c r="P235" s="9"/>
      <c r="Q235" s="9"/>
      <c r="R235" s="9"/>
      <c r="S235" s="253"/>
      <c r="T235" s="253"/>
      <c r="U235" s="253"/>
      <c r="V235" s="253"/>
      <c r="W235" s="253"/>
      <c r="X235" s="253"/>
      <c r="Y235" s="253"/>
      <c r="Z235" s="253"/>
    </row>
    <row r="236" spans="1:26" hidden="1" outlineLevel="1">
      <c r="A236" s="9"/>
      <c r="B236" s="9"/>
      <c r="C236" s="396"/>
      <c r="D236" s="87">
        <v>4</v>
      </c>
      <c r="E236" s="260">
        <f ca="1">OFFSET('Actual RAB roll forward'!H$60,0,D236-1)-SUM('Actual RAB roll forward'!H289:OFFSET('Actual RAB roll forward'!H289,0,Input!$Y$7-1))</f>
        <v>0</v>
      </c>
      <c r="F236" s="260" t="str">
        <f>IF(A17stdlife="N/A","n/a",IF(E236=0,0,A17stdlife+D236-Input!$Y$7))</f>
        <v>n/a</v>
      </c>
      <c r="G236" s="256"/>
      <c r="H236" s="396"/>
      <c r="I236" s="87">
        <v>4</v>
      </c>
      <c r="J236" s="260">
        <f ca="1">OFFSET('Tax value roll forward'!H$56,0,I236-1)-SUM('Tax value roll forward'!H285:OFFSET('Tax value roll forward'!H285,0,Input!$Y$7-1))</f>
        <v>0</v>
      </c>
      <c r="K236" s="260" t="str">
        <f>IF(A17taxstdlife="N/A","n/a",IF(J236=0,0,A17taxstdlife+I236-Input!$Y$7))</f>
        <v>n/a</v>
      </c>
      <c r="L236" s="111"/>
      <c r="M236" s="9"/>
      <c r="N236" s="9"/>
      <c r="O236" s="9"/>
      <c r="P236" s="9"/>
      <c r="Q236" s="9"/>
      <c r="R236" s="9"/>
      <c r="S236" s="253"/>
      <c r="T236" s="253"/>
      <c r="U236" s="253"/>
      <c r="V236" s="253"/>
      <c r="W236" s="253"/>
      <c r="X236" s="253"/>
      <c r="Y236" s="253"/>
      <c r="Z236" s="253"/>
    </row>
    <row r="237" spans="1:26" hidden="1" outlineLevel="1">
      <c r="A237" s="9"/>
      <c r="B237" s="9"/>
      <c r="C237" s="396"/>
      <c r="D237" s="87">
        <v>5</v>
      </c>
      <c r="E237" s="260">
        <f ca="1">OFFSET('Actual RAB roll forward'!H$60,0,D237-1)-SUM('Actual RAB roll forward'!H290:OFFSET('Actual RAB roll forward'!H290,0,Input!$Y$7-1))</f>
        <v>0</v>
      </c>
      <c r="F237" s="260" t="str">
        <f>IF(A17stdlife="N/A","n/a",IF(E237=0,0,A17stdlife+D237-Input!$Y$7))</f>
        <v>n/a</v>
      </c>
      <c r="G237" s="256"/>
      <c r="H237" s="396"/>
      <c r="I237" s="87">
        <v>5</v>
      </c>
      <c r="J237" s="260">
        <f ca="1">OFFSET('Tax value roll forward'!H$56,0,I237-1)-SUM('Tax value roll forward'!H286:OFFSET('Tax value roll forward'!H286,0,Input!$Y$7-1))</f>
        <v>0</v>
      </c>
      <c r="K237" s="260" t="str">
        <f>IF(A17taxstdlife="N/A","n/a",IF(J237=0,0,A17taxstdlife+I237-Input!$Y$7))</f>
        <v>n/a</v>
      </c>
      <c r="L237" s="111"/>
      <c r="M237" s="9"/>
      <c r="N237" s="9"/>
      <c r="O237" s="9"/>
      <c r="P237" s="9"/>
      <c r="Q237" s="9"/>
      <c r="R237" s="9"/>
      <c r="S237" s="253"/>
      <c r="T237" s="253"/>
      <c r="U237" s="253"/>
      <c r="V237" s="253"/>
      <c r="W237" s="253"/>
      <c r="X237" s="253"/>
      <c r="Y237" s="253"/>
      <c r="Z237" s="253"/>
    </row>
    <row r="238" spans="1:26" hidden="1" outlineLevel="1">
      <c r="A238" s="9"/>
      <c r="B238" s="9"/>
      <c r="C238" s="396"/>
      <c r="D238" s="87">
        <v>6</v>
      </c>
      <c r="E238" s="260">
        <f ca="1">OFFSET('Actual RAB roll forward'!H$60,0,D238-1)-SUM('Actual RAB roll forward'!H291:OFFSET('Actual RAB roll forward'!H291,0,Input!$Y$7-1))</f>
        <v>0</v>
      </c>
      <c r="F238" s="260" t="str">
        <f>IF(A17stdlife="N/A","n/a",IF(E238=0,0,A17stdlife+D238-Input!$Y$7))</f>
        <v>n/a</v>
      </c>
      <c r="G238" s="256"/>
      <c r="H238" s="396"/>
      <c r="I238" s="87">
        <v>6</v>
      </c>
      <c r="J238" s="260">
        <f ca="1">OFFSET('Tax value roll forward'!H$56,0,I238-1)-SUM('Tax value roll forward'!H287:OFFSET('Tax value roll forward'!H287,0,Input!$Y$7-1))</f>
        <v>0</v>
      </c>
      <c r="K238" s="260" t="str">
        <f>IF(A17taxstdlife="N/A","n/a",IF(J238=0,0,A17taxstdlife+I238-Input!$Y$7))</f>
        <v>n/a</v>
      </c>
      <c r="L238" s="111"/>
      <c r="M238" s="9"/>
      <c r="N238" s="9"/>
      <c r="O238" s="9"/>
      <c r="P238" s="9"/>
      <c r="Q238" s="9"/>
      <c r="R238" s="9"/>
      <c r="S238" s="253"/>
      <c r="T238" s="253"/>
      <c r="U238" s="253"/>
      <c r="V238" s="253"/>
      <c r="W238" s="253"/>
      <c r="X238" s="253"/>
      <c r="Y238" s="253"/>
      <c r="Z238" s="253"/>
    </row>
    <row r="239" spans="1:26" hidden="1" outlineLevel="1">
      <c r="A239" s="9"/>
      <c r="B239" s="9"/>
      <c r="C239" s="396"/>
      <c r="D239" s="87">
        <v>7</v>
      </c>
      <c r="E239" s="260">
        <f ca="1">OFFSET('Actual RAB roll forward'!H$60,0,D239-1)-SUM('Actual RAB roll forward'!H292:OFFSET('Actual RAB roll forward'!H292,0,Input!$Y$7-1))</f>
        <v>0</v>
      </c>
      <c r="F239" s="260" t="str">
        <f>IF(A17stdlife="N/A","n/a",IF(E239=0,0,A17stdlife+D239-Input!$Y$7))</f>
        <v>n/a</v>
      </c>
      <c r="G239" s="256"/>
      <c r="H239" s="396"/>
      <c r="I239" s="87">
        <v>7</v>
      </c>
      <c r="J239" s="260">
        <f ca="1">OFFSET('Tax value roll forward'!H$56,0,I239-1)-SUM('Tax value roll forward'!H288:OFFSET('Tax value roll forward'!H288,0,Input!$Y$7-1))</f>
        <v>0</v>
      </c>
      <c r="K239" s="260" t="str">
        <f>IF(A17taxstdlife="N/A","n/a",IF(J239=0,0,A17taxstdlife+I239-Input!$Y$7))</f>
        <v>n/a</v>
      </c>
      <c r="L239" s="111"/>
      <c r="M239" s="9"/>
      <c r="N239" s="9"/>
      <c r="O239" s="9"/>
      <c r="P239" s="9"/>
      <c r="Q239" s="9"/>
      <c r="R239" s="9"/>
      <c r="S239" s="253"/>
      <c r="T239" s="253"/>
      <c r="U239" s="253"/>
      <c r="V239" s="253"/>
      <c r="W239" s="253"/>
      <c r="X239" s="253"/>
      <c r="Y239" s="253"/>
      <c r="Z239" s="253"/>
    </row>
    <row r="240" spans="1:26" hidden="1" outlineLevel="1">
      <c r="A240" s="9"/>
      <c r="B240" s="9"/>
      <c r="C240" s="396"/>
      <c r="D240" s="87">
        <v>8</v>
      </c>
      <c r="E240" s="260">
        <f ca="1">OFFSET('Actual RAB roll forward'!H$60,0,D240-1)-SUM('Actual RAB roll forward'!H293:OFFSET('Actual RAB roll forward'!H293,0,Input!$Y$7-1))</f>
        <v>0</v>
      </c>
      <c r="F240" s="260" t="str">
        <f>IF(A17stdlife="N/A","n/a",IF(E240=0,0,A17stdlife+D240-Input!$Y$7))</f>
        <v>n/a</v>
      </c>
      <c r="G240" s="256"/>
      <c r="H240" s="396"/>
      <c r="I240" s="87">
        <v>8</v>
      </c>
      <c r="J240" s="260">
        <f ca="1">OFFSET('Tax value roll forward'!H$56,0,I240-1)-SUM('Tax value roll forward'!H289:OFFSET('Tax value roll forward'!H289,0,Input!$Y$7-1))</f>
        <v>0</v>
      </c>
      <c r="K240" s="260" t="str">
        <f>IF(A17taxstdlife="N/A","n/a",IF(J240=0,0,A17taxstdlife+I240-Input!$Y$7))</f>
        <v>n/a</v>
      </c>
      <c r="L240" s="111"/>
      <c r="M240" s="9"/>
      <c r="N240" s="9"/>
      <c r="O240" s="9"/>
      <c r="P240" s="9"/>
      <c r="Q240" s="9"/>
      <c r="R240" s="9"/>
      <c r="S240" s="253"/>
      <c r="T240" s="253"/>
      <c r="U240" s="253"/>
      <c r="V240" s="253"/>
      <c r="W240" s="253"/>
      <c r="X240" s="253"/>
      <c r="Y240" s="253"/>
      <c r="Z240" s="253"/>
    </row>
    <row r="241" spans="1:26" hidden="1" outlineLevel="1">
      <c r="A241" s="9"/>
      <c r="B241" s="9"/>
      <c r="C241" s="396"/>
      <c r="D241" s="87">
        <v>9</v>
      </c>
      <c r="E241" s="260">
        <f ca="1">OFFSET('Actual RAB roll forward'!H$60,0,D241-1)-SUM('Actual RAB roll forward'!H294:OFFSET('Actual RAB roll forward'!H294,0,Input!$Y$7-1))</f>
        <v>0</v>
      </c>
      <c r="F241" s="260" t="str">
        <f>IF(A17stdlife="N/A","n/a",IF(E241=0,0,A17stdlife+D241-Input!$Y$7))</f>
        <v>n/a</v>
      </c>
      <c r="G241" s="256"/>
      <c r="H241" s="396"/>
      <c r="I241" s="87">
        <v>9</v>
      </c>
      <c r="J241" s="260">
        <f ca="1">OFFSET('Tax value roll forward'!H$56,0,I241-1)-SUM('Tax value roll forward'!H290:OFFSET('Tax value roll forward'!H290,0,Input!$Y$7-1))</f>
        <v>0</v>
      </c>
      <c r="K241" s="260" t="str">
        <f>IF(A17taxstdlife="N/A","n/a",IF(J241=0,0,A17taxstdlife+I241-Input!$Y$7))</f>
        <v>n/a</v>
      </c>
      <c r="L241" s="111"/>
      <c r="M241" s="9"/>
      <c r="N241" s="9"/>
      <c r="O241" s="9"/>
      <c r="P241" s="9"/>
      <c r="Q241" s="9"/>
      <c r="R241" s="9"/>
      <c r="S241" s="253"/>
      <c r="T241" s="253"/>
      <c r="U241" s="253"/>
      <c r="V241" s="253"/>
      <c r="W241" s="253"/>
      <c r="X241" s="253"/>
      <c r="Y241" s="253"/>
      <c r="Z241" s="253"/>
    </row>
    <row r="242" spans="1:26" hidden="1" outlineLevel="1">
      <c r="A242" s="9"/>
      <c r="B242" s="9"/>
      <c r="C242" s="397"/>
      <c r="D242" s="88">
        <v>10</v>
      </c>
      <c r="E242" s="260">
        <f ca="1">OFFSET('Actual RAB roll forward'!H$60,0,D242-1)-SUM('Actual RAB roll forward'!H295:OFFSET('Actual RAB roll forward'!H295,0,Input!$Y$7-1))</f>
        <v>0</v>
      </c>
      <c r="F242" s="260" t="str">
        <f>IF(A17stdlife="N/A","n/a",IF(E242=0,0,A17stdlife+D242-Input!$Y$7))</f>
        <v>n/a</v>
      </c>
      <c r="G242" s="256"/>
      <c r="H242" s="397"/>
      <c r="I242" s="88">
        <v>10</v>
      </c>
      <c r="J242" s="260">
        <f ca="1">OFFSET('Tax value roll forward'!H$56,0,I242-1)-SUM('Tax value roll forward'!H291:OFFSET('Tax value roll forward'!H291,0,Input!$Y$7-1))</f>
        <v>0</v>
      </c>
      <c r="K242" s="260" t="str">
        <f>IF(A17taxstdlife="N/A","n/a",IF(J242=0,0,A17taxstdlife+I242-Input!$Y$7))</f>
        <v>n/a</v>
      </c>
      <c r="L242" s="111"/>
      <c r="M242" s="9"/>
      <c r="N242" s="9"/>
      <c r="O242" s="9"/>
      <c r="P242" s="9"/>
      <c r="Q242" s="9"/>
      <c r="R242" s="9"/>
      <c r="S242" s="253"/>
      <c r="T242" s="253"/>
      <c r="U242" s="253"/>
      <c r="V242" s="253"/>
      <c r="W242" s="253"/>
      <c r="X242" s="253"/>
      <c r="Y242" s="253"/>
      <c r="Z242" s="253"/>
    </row>
    <row r="243" spans="1:26" collapsed="1">
      <c r="A243" s="9"/>
      <c r="B243" s="9"/>
      <c r="C243" s="274">
        <f>Asset17</f>
        <v>0</v>
      </c>
      <c r="D243" s="9"/>
      <c r="E243" s="260">
        <f ca="1">SUM(E232:E242)</f>
        <v>0</v>
      </c>
      <c r="F243" s="260">
        <f ca="1">IF(E243=0,0,SUMPRODUCT(E232:E242,F232:F242)/E243)</f>
        <v>0</v>
      </c>
      <c r="G243" s="256"/>
      <c r="H243" s="43"/>
      <c r="I243" s="260"/>
      <c r="J243" s="260">
        <f ca="1">SUM(J232:J242)</f>
        <v>0</v>
      </c>
      <c r="K243" s="260">
        <f ca="1">IF(J243=0,0,SUMPRODUCT(J232:J242,K232:K242)/J243)</f>
        <v>0</v>
      </c>
      <c r="L243" s="111"/>
      <c r="M243" s="9"/>
      <c r="N243" s="9"/>
      <c r="O243" s="9"/>
      <c r="P243" s="9"/>
      <c r="Q243" s="9"/>
      <c r="R243" s="9"/>
      <c r="S243" s="253"/>
      <c r="T243" s="253"/>
      <c r="U243" s="253"/>
      <c r="V243" s="253"/>
      <c r="W243" s="253"/>
      <c r="X243" s="253"/>
      <c r="Y243" s="253"/>
      <c r="Z243" s="253"/>
    </row>
    <row r="244" spans="1:26" hidden="1" outlineLevel="1">
      <c r="A244" s="9"/>
      <c r="B244" s="9"/>
      <c r="C244" s="274"/>
      <c r="D244" s="9"/>
      <c r="E244" s="260"/>
      <c r="F244" s="260"/>
      <c r="G244" s="256"/>
      <c r="H244" s="260"/>
      <c r="I244" s="260"/>
      <c r="J244" s="265"/>
      <c r="K244" s="260"/>
      <c r="L244" s="111"/>
      <c r="M244" s="9"/>
      <c r="N244" s="9"/>
      <c r="O244" s="9"/>
      <c r="P244" s="9"/>
      <c r="Q244" s="9"/>
      <c r="R244" s="9"/>
      <c r="S244" s="253"/>
      <c r="T244" s="253"/>
      <c r="U244" s="253"/>
      <c r="V244" s="253"/>
      <c r="W244" s="253"/>
      <c r="X244" s="253"/>
      <c r="Y244" s="253"/>
      <c r="Z244" s="253"/>
    </row>
    <row r="245" spans="1:26" hidden="1" outlineLevel="1">
      <c r="A245" s="9"/>
      <c r="B245" s="272">
        <f>Asset18</f>
        <v>0</v>
      </c>
      <c r="C245" s="9"/>
      <c r="D245" s="9"/>
      <c r="E245" s="35"/>
      <c r="F245" s="35"/>
      <c r="G245" s="256"/>
      <c r="H245" s="260"/>
      <c r="I245" s="260"/>
      <c r="J245" s="265"/>
      <c r="K245" s="260"/>
      <c r="L245" s="111"/>
      <c r="M245" s="9"/>
      <c r="N245" s="9"/>
      <c r="O245" s="9"/>
      <c r="P245" s="9"/>
      <c r="Q245" s="9"/>
      <c r="R245" s="9"/>
      <c r="S245" s="253"/>
      <c r="T245" s="253"/>
      <c r="U245" s="253"/>
      <c r="V245" s="253"/>
      <c r="W245" s="253"/>
      <c r="X245" s="253"/>
      <c r="Y245" s="253"/>
      <c r="Z245" s="253"/>
    </row>
    <row r="246" spans="1:26" ht="12.75" hidden="1" customHeight="1" outlineLevel="1">
      <c r="A246" s="9"/>
      <c r="B246" s="9"/>
      <c r="C246" s="393" t="s">
        <v>26</v>
      </c>
      <c r="D246" s="394"/>
      <c r="E246" s="260">
        <f ca="1">A18value-SUM('Actual RAB roll forward'!H297:OFFSET('Actual RAB roll forward'!H297,0,Input!$Y$7-1))</f>
        <v>0</v>
      </c>
      <c r="F246" s="260" t="str">
        <f>IF(A18remlife="N/A","n/a",A18remlife-Input!$Y$7)</f>
        <v>n/a</v>
      </c>
      <c r="G246" s="256"/>
      <c r="H246" s="298" t="s">
        <v>66</v>
      </c>
      <c r="I246" s="299"/>
      <c r="J246" s="260">
        <f ca="1">A18taxvalue-SUM('Tax value roll forward'!H293:OFFSET('Tax value roll forward'!H293,0,Input!$Y$7-1))</f>
        <v>0</v>
      </c>
      <c r="K246" s="260" t="str">
        <f>IF(A18taxremlife="N/A","n/a",A18taxremlife-Input!$Y$7)</f>
        <v>n/a</v>
      </c>
      <c r="L246" s="111"/>
      <c r="M246" s="9"/>
      <c r="N246" s="9"/>
      <c r="O246" s="9"/>
      <c r="P246" s="9"/>
      <c r="Q246" s="9"/>
      <c r="R246" s="9"/>
      <c r="S246" s="253"/>
      <c r="T246" s="253"/>
      <c r="U246" s="253"/>
      <c r="V246" s="253"/>
      <c r="W246" s="253"/>
      <c r="X246" s="253"/>
      <c r="Y246" s="253"/>
      <c r="Z246" s="253"/>
    </row>
    <row r="247" spans="1:26" hidden="1" outlineLevel="1">
      <c r="A247" s="9"/>
      <c r="B247" s="9"/>
      <c r="C247" s="395" t="s">
        <v>82</v>
      </c>
      <c r="D247" s="87">
        <v>1</v>
      </c>
      <c r="E247" s="260">
        <f ca="1">OFFSET('Actual RAB roll forward'!H$61,0,D247-1)-SUM('Actual RAB roll forward'!H299:OFFSET('Actual RAB roll forward'!H299,0,Input!$Y$7-1))</f>
        <v>0</v>
      </c>
      <c r="F247" s="260" t="str">
        <f>IF(A18stdlife="N/A","n/a",IF(E247=0,0,A18stdlife+D247-Input!$Y$7))</f>
        <v>n/a</v>
      </c>
      <c r="G247" s="256"/>
      <c r="H247" s="395" t="s">
        <v>82</v>
      </c>
      <c r="I247" s="87">
        <v>1</v>
      </c>
      <c r="J247" s="260">
        <f ca="1">OFFSET('Tax value roll forward'!H$57,0,I247-1)-SUM('Tax value roll forward'!H295:OFFSET('Tax value roll forward'!H295,0,Input!$Y$7-1))</f>
        <v>0</v>
      </c>
      <c r="K247" s="260" t="str">
        <f>IF(A18taxstdlife="N/A","n/a",IF(J247=0,0,A18taxstdlife+I247-Input!$Y$7))</f>
        <v>n/a</v>
      </c>
      <c r="L247" s="111"/>
      <c r="M247" s="9"/>
      <c r="N247" s="9"/>
      <c r="O247" s="9"/>
      <c r="P247" s="9"/>
      <c r="Q247" s="9"/>
      <c r="R247" s="9"/>
      <c r="S247" s="253"/>
      <c r="T247" s="253"/>
      <c r="U247" s="253"/>
      <c r="V247" s="253"/>
      <c r="W247" s="253"/>
      <c r="X247" s="253"/>
      <c r="Y247" s="253"/>
      <c r="Z247" s="253"/>
    </row>
    <row r="248" spans="1:26" hidden="1" outlineLevel="1">
      <c r="A248" s="9"/>
      <c r="B248" s="9"/>
      <c r="C248" s="396"/>
      <c r="D248" s="87">
        <v>2</v>
      </c>
      <c r="E248" s="260">
        <f ca="1">OFFSET('Actual RAB roll forward'!H$61,0,D248-1)-SUM('Actual RAB roll forward'!H300:OFFSET('Actual RAB roll forward'!H300,0,Input!$Y$7-1))</f>
        <v>0</v>
      </c>
      <c r="F248" s="260" t="str">
        <f>IF(A18stdlife="N/A","n/a",IF(E248=0,0,A18stdlife+D248-Input!$Y$7))</f>
        <v>n/a</v>
      </c>
      <c r="G248" s="256"/>
      <c r="H248" s="396"/>
      <c r="I248" s="87">
        <v>2</v>
      </c>
      <c r="J248" s="260">
        <f ca="1">OFFSET('Tax value roll forward'!H$57,0,I248-1)-SUM('Tax value roll forward'!H296:OFFSET('Tax value roll forward'!H296,0,Input!$Y$7-1))</f>
        <v>0</v>
      </c>
      <c r="K248" s="260" t="str">
        <f>IF(A18taxstdlife="N/A","n/a",IF(J248=0,0,A18taxstdlife+I248-Input!$Y$7))</f>
        <v>n/a</v>
      </c>
      <c r="L248" s="111"/>
      <c r="M248" s="9"/>
      <c r="N248" s="9"/>
      <c r="O248" s="9"/>
      <c r="P248" s="9"/>
      <c r="Q248" s="9"/>
      <c r="R248" s="9"/>
      <c r="S248" s="253"/>
      <c r="T248" s="253"/>
      <c r="U248" s="253"/>
      <c r="V248" s="253"/>
      <c r="W248" s="253"/>
      <c r="X248" s="253"/>
      <c r="Y248" s="253"/>
      <c r="Z248" s="253"/>
    </row>
    <row r="249" spans="1:26" hidden="1" outlineLevel="1">
      <c r="A249" s="9"/>
      <c r="B249" s="9"/>
      <c r="C249" s="396"/>
      <c r="D249" s="87">
        <v>3</v>
      </c>
      <c r="E249" s="260">
        <f ca="1">OFFSET('Actual RAB roll forward'!H$61,0,D249-1)-SUM('Actual RAB roll forward'!H301:OFFSET('Actual RAB roll forward'!H301,0,Input!$Y$7-1))</f>
        <v>0</v>
      </c>
      <c r="F249" s="260" t="str">
        <f>IF(A18stdlife="N/A","n/a",IF(E249=0,0,A18stdlife+D249-Input!$Y$7))</f>
        <v>n/a</v>
      </c>
      <c r="G249" s="256"/>
      <c r="H249" s="396"/>
      <c r="I249" s="87">
        <v>3</v>
      </c>
      <c r="J249" s="260">
        <f ca="1">OFFSET('Tax value roll forward'!H$57,0,I249-1)-SUM('Tax value roll forward'!H297:OFFSET('Tax value roll forward'!H297,0,Input!$Y$7-1))</f>
        <v>0</v>
      </c>
      <c r="K249" s="260" t="str">
        <f>IF(A18taxstdlife="N/A","n/a",IF(J249=0,0,A18taxstdlife+I249-Input!$Y$7))</f>
        <v>n/a</v>
      </c>
      <c r="L249" s="111"/>
      <c r="M249" s="9"/>
      <c r="N249" s="9"/>
      <c r="O249" s="9"/>
      <c r="P249" s="9"/>
      <c r="Q249" s="9"/>
      <c r="R249" s="9"/>
      <c r="S249" s="253"/>
      <c r="T249" s="253"/>
      <c r="U249" s="253"/>
      <c r="V249" s="253"/>
      <c r="W249" s="253"/>
      <c r="X249" s="253"/>
      <c r="Y249" s="253"/>
      <c r="Z249" s="253"/>
    </row>
    <row r="250" spans="1:26" hidden="1" outlineLevel="1">
      <c r="A250" s="9"/>
      <c r="B250" s="9"/>
      <c r="C250" s="396"/>
      <c r="D250" s="87">
        <v>4</v>
      </c>
      <c r="E250" s="260">
        <f ca="1">OFFSET('Actual RAB roll forward'!H$61,0,D250-1)-SUM('Actual RAB roll forward'!H302:OFFSET('Actual RAB roll forward'!H302,0,Input!$Y$7-1))</f>
        <v>0</v>
      </c>
      <c r="F250" s="260" t="str">
        <f>IF(A18stdlife="N/A","n/a",IF(E250=0,0,A18stdlife+D250-Input!$Y$7))</f>
        <v>n/a</v>
      </c>
      <c r="G250" s="256"/>
      <c r="H250" s="396"/>
      <c r="I250" s="87">
        <v>4</v>
      </c>
      <c r="J250" s="260">
        <f ca="1">OFFSET('Tax value roll forward'!H$57,0,I250-1)-SUM('Tax value roll forward'!H298:OFFSET('Tax value roll forward'!H298,0,Input!$Y$7-1))</f>
        <v>0</v>
      </c>
      <c r="K250" s="260" t="str">
        <f>IF(A18taxstdlife="N/A","n/a",IF(J250=0,0,A18taxstdlife+I250-Input!$Y$7))</f>
        <v>n/a</v>
      </c>
      <c r="L250" s="111"/>
      <c r="M250" s="9"/>
      <c r="N250" s="9"/>
      <c r="O250" s="9"/>
      <c r="P250" s="9"/>
      <c r="Q250" s="9"/>
      <c r="R250" s="9"/>
      <c r="S250" s="253"/>
      <c r="T250" s="253"/>
      <c r="U250" s="253"/>
      <c r="V250" s="253"/>
      <c r="W250" s="253"/>
      <c r="X250" s="253"/>
      <c r="Y250" s="253"/>
      <c r="Z250" s="253"/>
    </row>
    <row r="251" spans="1:26" hidden="1" outlineLevel="1">
      <c r="A251" s="9"/>
      <c r="B251" s="9"/>
      <c r="C251" s="396"/>
      <c r="D251" s="87">
        <v>5</v>
      </c>
      <c r="E251" s="260">
        <f ca="1">OFFSET('Actual RAB roll forward'!H$61,0,D251-1)-SUM('Actual RAB roll forward'!H303:OFFSET('Actual RAB roll forward'!H303,0,Input!$Y$7-1))</f>
        <v>0</v>
      </c>
      <c r="F251" s="260" t="str">
        <f>IF(A18stdlife="N/A","n/a",IF(E251=0,0,A18stdlife+D251-Input!$Y$7))</f>
        <v>n/a</v>
      </c>
      <c r="G251" s="256"/>
      <c r="H251" s="396"/>
      <c r="I251" s="87">
        <v>5</v>
      </c>
      <c r="J251" s="260">
        <f ca="1">OFFSET('Tax value roll forward'!H$57,0,I251-1)-SUM('Tax value roll forward'!H299:OFFSET('Tax value roll forward'!H299,0,Input!$Y$7-1))</f>
        <v>0</v>
      </c>
      <c r="K251" s="260" t="str">
        <f>IF(A18taxstdlife="N/A","n/a",IF(J251=0,0,A18taxstdlife+I251-Input!$Y$7))</f>
        <v>n/a</v>
      </c>
      <c r="L251" s="111"/>
      <c r="M251" s="9"/>
      <c r="N251" s="9"/>
      <c r="O251" s="9"/>
      <c r="P251" s="9"/>
      <c r="Q251" s="9"/>
      <c r="R251" s="9"/>
      <c r="S251" s="253"/>
      <c r="T251" s="253"/>
      <c r="U251" s="253"/>
      <c r="V251" s="253"/>
      <c r="W251" s="253"/>
      <c r="X251" s="253"/>
      <c r="Y251" s="253"/>
      <c r="Z251" s="253"/>
    </row>
    <row r="252" spans="1:26" hidden="1" outlineLevel="1">
      <c r="A252" s="9"/>
      <c r="B252" s="9"/>
      <c r="C252" s="396"/>
      <c r="D252" s="87">
        <v>6</v>
      </c>
      <c r="E252" s="260">
        <f ca="1">OFFSET('Actual RAB roll forward'!H$61,0,D252-1)-SUM('Actual RAB roll forward'!H304:OFFSET('Actual RAB roll forward'!H304,0,Input!$Y$7-1))</f>
        <v>0</v>
      </c>
      <c r="F252" s="260" t="str">
        <f>IF(A18stdlife="N/A","n/a",IF(E252=0,0,A18stdlife+D252-Input!$Y$7))</f>
        <v>n/a</v>
      </c>
      <c r="G252" s="256"/>
      <c r="H252" s="396"/>
      <c r="I252" s="87">
        <v>6</v>
      </c>
      <c r="J252" s="260">
        <f ca="1">OFFSET('Tax value roll forward'!H$57,0,I252-1)-SUM('Tax value roll forward'!H300:OFFSET('Tax value roll forward'!H300,0,Input!$Y$7-1))</f>
        <v>0</v>
      </c>
      <c r="K252" s="260" t="str">
        <f>IF(A18taxstdlife="N/A","n/a",IF(J252=0,0,A18taxstdlife+I252-Input!$Y$7))</f>
        <v>n/a</v>
      </c>
      <c r="L252" s="111"/>
      <c r="M252" s="9"/>
      <c r="N252" s="9"/>
      <c r="O252" s="9"/>
      <c r="P252" s="9"/>
      <c r="Q252" s="9"/>
      <c r="R252" s="9"/>
      <c r="S252" s="253"/>
      <c r="T252" s="253"/>
      <c r="U252" s="253"/>
      <c r="V252" s="253"/>
      <c r="W252" s="253"/>
      <c r="X252" s="253"/>
      <c r="Y252" s="253"/>
      <c r="Z252" s="253"/>
    </row>
    <row r="253" spans="1:26" hidden="1" outlineLevel="1">
      <c r="A253" s="9"/>
      <c r="B253" s="9"/>
      <c r="C253" s="396"/>
      <c r="D253" s="87">
        <v>7</v>
      </c>
      <c r="E253" s="260">
        <f ca="1">OFFSET('Actual RAB roll forward'!H$61,0,D253-1)-SUM('Actual RAB roll forward'!H305:OFFSET('Actual RAB roll forward'!H305,0,Input!$Y$7-1))</f>
        <v>0</v>
      </c>
      <c r="F253" s="260" t="str">
        <f>IF(A18stdlife="N/A","n/a",IF(E253=0,0,A18stdlife+D253-Input!$Y$7))</f>
        <v>n/a</v>
      </c>
      <c r="G253" s="256"/>
      <c r="H253" s="396"/>
      <c r="I253" s="87">
        <v>7</v>
      </c>
      <c r="J253" s="260">
        <f ca="1">OFFSET('Tax value roll forward'!H$57,0,I253-1)-SUM('Tax value roll forward'!H301:OFFSET('Tax value roll forward'!H301,0,Input!$Y$7-1))</f>
        <v>0</v>
      </c>
      <c r="K253" s="260" t="str">
        <f>IF(A18taxstdlife="N/A","n/a",IF(J253=0,0,A18taxstdlife+I253-Input!$Y$7))</f>
        <v>n/a</v>
      </c>
      <c r="L253" s="111"/>
      <c r="M253" s="9"/>
      <c r="N253" s="9"/>
      <c r="O253" s="9"/>
      <c r="P253" s="9"/>
      <c r="Q253" s="9"/>
      <c r="R253" s="9"/>
      <c r="S253" s="253"/>
      <c r="T253" s="253"/>
      <c r="U253" s="253"/>
      <c r="V253" s="253"/>
      <c r="W253" s="253"/>
      <c r="X253" s="253"/>
      <c r="Y253" s="253"/>
      <c r="Z253" s="253"/>
    </row>
    <row r="254" spans="1:26" hidden="1" outlineLevel="1">
      <c r="A254" s="9"/>
      <c r="B254" s="9"/>
      <c r="C254" s="396"/>
      <c r="D254" s="87">
        <v>8</v>
      </c>
      <c r="E254" s="260">
        <f ca="1">OFFSET('Actual RAB roll forward'!H$61,0,D254-1)-SUM('Actual RAB roll forward'!H306:OFFSET('Actual RAB roll forward'!H306,0,Input!$Y$7-1))</f>
        <v>0</v>
      </c>
      <c r="F254" s="260" t="str">
        <f>IF(A18stdlife="N/A","n/a",IF(E254=0,0,A18stdlife+D254-Input!$Y$7))</f>
        <v>n/a</v>
      </c>
      <c r="G254" s="256"/>
      <c r="H254" s="396"/>
      <c r="I254" s="87">
        <v>8</v>
      </c>
      <c r="J254" s="260">
        <f ca="1">OFFSET('Tax value roll forward'!H$57,0,I254-1)-SUM('Tax value roll forward'!H302:OFFSET('Tax value roll forward'!H302,0,Input!$Y$7-1))</f>
        <v>0</v>
      </c>
      <c r="K254" s="260" t="str">
        <f>IF(A18taxstdlife="N/A","n/a",IF(J254=0,0,A18taxstdlife+I254-Input!$Y$7))</f>
        <v>n/a</v>
      </c>
      <c r="L254" s="111"/>
      <c r="M254" s="9"/>
      <c r="N254" s="9"/>
      <c r="O254" s="9"/>
      <c r="P254" s="9"/>
      <c r="Q254" s="9"/>
      <c r="R254" s="9"/>
      <c r="S254" s="253"/>
      <c r="T254" s="253"/>
      <c r="U254" s="253"/>
      <c r="V254" s="253"/>
      <c r="W254" s="253"/>
      <c r="X254" s="253"/>
      <c r="Y254" s="253"/>
      <c r="Z254" s="253"/>
    </row>
    <row r="255" spans="1:26" hidden="1" outlineLevel="1">
      <c r="A255" s="9"/>
      <c r="B255" s="9"/>
      <c r="C255" s="396"/>
      <c r="D255" s="87">
        <v>9</v>
      </c>
      <c r="E255" s="260">
        <f ca="1">OFFSET('Actual RAB roll forward'!H$61,0,D255-1)-SUM('Actual RAB roll forward'!H307:OFFSET('Actual RAB roll forward'!H307,0,Input!$Y$7-1))</f>
        <v>0</v>
      </c>
      <c r="F255" s="260" t="str">
        <f>IF(A18stdlife="N/A","n/a",IF(E255=0,0,A18stdlife+D255-Input!$Y$7))</f>
        <v>n/a</v>
      </c>
      <c r="G255" s="256"/>
      <c r="H255" s="396"/>
      <c r="I255" s="87">
        <v>9</v>
      </c>
      <c r="J255" s="260">
        <f ca="1">OFFSET('Tax value roll forward'!H$57,0,I255-1)-SUM('Tax value roll forward'!H303:OFFSET('Tax value roll forward'!H303,0,Input!$Y$7-1))</f>
        <v>0</v>
      </c>
      <c r="K255" s="260" t="str">
        <f>IF(A18taxstdlife="N/A","n/a",IF(J255=0,0,A18taxstdlife+I255-Input!$Y$7))</f>
        <v>n/a</v>
      </c>
      <c r="L255" s="111"/>
      <c r="M255" s="9"/>
      <c r="N255" s="9"/>
      <c r="O255" s="9"/>
      <c r="P255" s="9"/>
      <c r="Q255" s="9"/>
      <c r="R255" s="9"/>
      <c r="S255" s="253"/>
      <c r="T255" s="253"/>
      <c r="U255" s="253"/>
      <c r="V255" s="253"/>
      <c r="W255" s="253"/>
      <c r="X255" s="253"/>
      <c r="Y255" s="253"/>
      <c r="Z255" s="253"/>
    </row>
    <row r="256" spans="1:26" hidden="1" outlineLevel="1">
      <c r="A256" s="9"/>
      <c r="B256" s="9"/>
      <c r="C256" s="397"/>
      <c r="D256" s="88">
        <v>10</v>
      </c>
      <c r="E256" s="260">
        <f ca="1">OFFSET('Actual RAB roll forward'!H$61,0,D256-1)-SUM('Actual RAB roll forward'!H308:OFFSET('Actual RAB roll forward'!H308,0,Input!$Y$7-1))</f>
        <v>0</v>
      </c>
      <c r="F256" s="260" t="str">
        <f>IF(A18stdlife="N/A","n/a",IF(E256=0,0,A18stdlife+D256-Input!$Y$7))</f>
        <v>n/a</v>
      </c>
      <c r="G256" s="256"/>
      <c r="H256" s="397"/>
      <c r="I256" s="88">
        <v>10</v>
      </c>
      <c r="J256" s="260">
        <f ca="1">OFFSET('Tax value roll forward'!H$57,0,I256-1)-SUM('Tax value roll forward'!H304:OFFSET('Tax value roll forward'!H304,0,Input!$Y$7-1))</f>
        <v>0</v>
      </c>
      <c r="K256" s="260" t="str">
        <f>IF(A18taxstdlife="N/A","n/a",IF(J256=0,0,A18taxstdlife+I256-Input!$Y$7))</f>
        <v>n/a</v>
      </c>
      <c r="L256" s="111"/>
      <c r="M256" s="9"/>
      <c r="N256" s="9"/>
      <c r="O256" s="9"/>
      <c r="P256" s="9"/>
      <c r="Q256" s="9"/>
      <c r="R256" s="9"/>
      <c r="S256" s="253"/>
      <c r="T256" s="253"/>
      <c r="U256" s="253"/>
      <c r="V256" s="253"/>
      <c r="W256" s="253"/>
      <c r="X256" s="253"/>
      <c r="Y256" s="253"/>
      <c r="Z256" s="253"/>
    </row>
    <row r="257" spans="1:26" collapsed="1">
      <c r="A257" s="9"/>
      <c r="B257" s="9"/>
      <c r="C257" s="274">
        <f>Asset18</f>
        <v>0</v>
      </c>
      <c r="D257" s="9"/>
      <c r="E257" s="260">
        <f ca="1">SUM(E246:E256)</f>
        <v>0</v>
      </c>
      <c r="F257" s="260">
        <f ca="1">IF(E257=0,0,SUMPRODUCT(E246:E256,F246:F256)/E257)</f>
        <v>0</v>
      </c>
      <c r="G257" s="256"/>
      <c r="H257" s="43"/>
      <c r="I257" s="260"/>
      <c r="J257" s="260">
        <f ca="1">SUM(J246:J256)</f>
        <v>0</v>
      </c>
      <c r="K257" s="260">
        <f ca="1">IF(J257=0,0,SUMPRODUCT(J246:J256,K246:K256)/J257)</f>
        <v>0</v>
      </c>
      <c r="L257" s="111"/>
      <c r="M257" s="9"/>
      <c r="N257" s="9"/>
      <c r="O257" s="9"/>
      <c r="P257" s="9"/>
      <c r="Q257" s="9"/>
      <c r="R257" s="9"/>
      <c r="S257" s="253"/>
      <c r="T257" s="253"/>
      <c r="U257" s="253"/>
      <c r="V257" s="253"/>
      <c r="W257" s="253"/>
      <c r="X257" s="253"/>
      <c r="Y257" s="253"/>
      <c r="Z257" s="253"/>
    </row>
    <row r="258" spans="1:26" hidden="1" outlineLevel="1">
      <c r="A258" s="9"/>
      <c r="B258" s="9"/>
      <c r="C258" s="274"/>
      <c r="D258" s="9"/>
      <c r="E258" s="260"/>
      <c r="F258" s="260"/>
      <c r="G258" s="256"/>
      <c r="H258" s="260"/>
      <c r="I258" s="260"/>
      <c r="J258" s="265"/>
      <c r="K258" s="260"/>
      <c r="L258" s="111"/>
      <c r="M258" s="9"/>
      <c r="N258" s="9"/>
      <c r="O258" s="9"/>
      <c r="P258" s="9"/>
      <c r="Q258" s="9"/>
      <c r="R258" s="9"/>
      <c r="S258" s="253"/>
      <c r="T258" s="253"/>
      <c r="U258" s="253"/>
      <c r="V258" s="253"/>
      <c r="W258" s="253"/>
      <c r="X258" s="253"/>
      <c r="Y258" s="253"/>
      <c r="Z258" s="253"/>
    </row>
    <row r="259" spans="1:26" hidden="1" outlineLevel="1">
      <c r="A259" s="9"/>
      <c r="B259" s="272">
        <f>Asset19</f>
        <v>0</v>
      </c>
      <c r="C259" s="9"/>
      <c r="D259" s="9"/>
      <c r="E259" s="35"/>
      <c r="F259" s="35"/>
      <c r="G259" s="256"/>
      <c r="H259" s="260"/>
      <c r="I259" s="260"/>
      <c r="J259" s="265"/>
      <c r="K259" s="260"/>
      <c r="L259" s="111"/>
      <c r="M259" s="9"/>
      <c r="N259" s="9"/>
      <c r="O259" s="9"/>
      <c r="P259" s="9"/>
      <c r="Q259" s="9"/>
      <c r="R259" s="9"/>
      <c r="S259" s="253"/>
      <c r="T259" s="253"/>
      <c r="U259" s="253"/>
      <c r="V259" s="253"/>
      <c r="W259" s="253"/>
      <c r="X259" s="253"/>
      <c r="Y259" s="253"/>
      <c r="Z259" s="253"/>
    </row>
    <row r="260" spans="1:26" ht="12.75" hidden="1" customHeight="1" outlineLevel="1">
      <c r="A260" s="9"/>
      <c r="B260" s="9"/>
      <c r="C260" s="393" t="s">
        <v>26</v>
      </c>
      <c r="D260" s="394"/>
      <c r="E260" s="260">
        <f ca="1">A19value-SUM('Actual RAB roll forward'!H310:OFFSET('Actual RAB roll forward'!H310,0,Input!$Y$7-1))</f>
        <v>0</v>
      </c>
      <c r="F260" s="260" t="str">
        <f>IF(A19remlife="N/A","n/a",A19remlife-Input!$Y$7)</f>
        <v>n/a</v>
      </c>
      <c r="G260" s="256"/>
      <c r="H260" s="298" t="s">
        <v>66</v>
      </c>
      <c r="I260" s="299"/>
      <c r="J260" s="260">
        <f ca="1">A19taxvalue-SUM('Tax value roll forward'!H306:OFFSET('Tax value roll forward'!H306,0,Input!$Y$7-1))</f>
        <v>0</v>
      </c>
      <c r="K260" s="260" t="str">
        <f>IF(A19taxremlife="N/A","n/a",A19taxremlife-Input!$Y$7)</f>
        <v>n/a</v>
      </c>
      <c r="L260" s="111"/>
      <c r="M260" s="9"/>
      <c r="N260" s="9"/>
      <c r="O260" s="9"/>
      <c r="P260" s="9"/>
      <c r="Q260" s="9"/>
      <c r="R260" s="9"/>
      <c r="S260" s="253"/>
      <c r="T260" s="253"/>
      <c r="U260" s="253"/>
      <c r="V260" s="253"/>
      <c r="W260" s="253"/>
      <c r="X260" s="253"/>
      <c r="Y260" s="253"/>
      <c r="Z260" s="253"/>
    </row>
    <row r="261" spans="1:26" hidden="1" outlineLevel="1">
      <c r="A261" s="9"/>
      <c r="B261" s="9"/>
      <c r="C261" s="395" t="s">
        <v>82</v>
      </c>
      <c r="D261" s="87">
        <v>1</v>
      </c>
      <c r="E261" s="260">
        <f ca="1">OFFSET('Actual RAB roll forward'!H$62,0,D261-1)-SUM('Actual RAB roll forward'!H312:OFFSET('Actual RAB roll forward'!H312,0,Input!$Y$7-1))</f>
        <v>0</v>
      </c>
      <c r="F261" s="260" t="str">
        <f>IF(A19stdlife="N/A","n/a",IF(E261=0,0,A19stdlife+D261-Input!$Y$7))</f>
        <v>n/a</v>
      </c>
      <c r="G261" s="256"/>
      <c r="H261" s="395" t="s">
        <v>82</v>
      </c>
      <c r="I261" s="87">
        <v>1</v>
      </c>
      <c r="J261" s="260">
        <f ca="1">OFFSET('Tax value roll forward'!H$58,0,I261-1)-SUM('Tax value roll forward'!H308:OFFSET('Tax value roll forward'!H308,0,Input!$Y$7-1))</f>
        <v>0</v>
      </c>
      <c r="K261" s="260" t="str">
        <f>IF(A19taxstdlife="N/A","n/a",IF(J261=0,0,A19taxstdlife+I261-Input!$Y$7))</f>
        <v>n/a</v>
      </c>
      <c r="L261" s="111"/>
      <c r="M261" s="9"/>
      <c r="N261" s="9"/>
      <c r="O261" s="9"/>
      <c r="P261" s="9"/>
      <c r="Q261" s="9"/>
      <c r="R261" s="9"/>
      <c r="S261" s="253"/>
      <c r="T261" s="253"/>
      <c r="U261" s="253"/>
      <c r="V261" s="253"/>
      <c r="W261" s="253"/>
      <c r="X261" s="253"/>
      <c r="Y261" s="253"/>
      <c r="Z261" s="253"/>
    </row>
    <row r="262" spans="1:26" hidden="1" outlineLevel="1">
      <c r="A262" s="9"/>
      <c r="B262" s="9"/>
      <c r="C262" s="396"/>
      <c r="D262" s="87">
        <v>2</v>
      </c>
      <c r="E262" s="260">
        <f ca="1">OFFSET('Actual RAB roll forward'!H$62,0,D262-1)-SUM('Actual RAB roll forward'!H313:OFFSET('Actual RAB roll forward'!H313,0,Input!$Y$7-1))</f>
        <v>0</v>
      </c>
      <c r="F262" s="260" t="str">
        <f>IF(A19stdlife="N/A","n/a",IF(E262=0,0,A19stdlife+D262-Input!$Y$7))</f>
        <v>n/a</v>
      </c>
      <c r="G262" s="256"/>
      <c r="H262" s="396"/>
      <c r="I262" s="87">
        <v>2</v>
      </c>
      <c r="J262" s="260">
        <f ca="1">OFFSET('Tax value roll forward'!H$58,0,I262-1)-SUM('Tax value roll forward'!H309:OFFSET('Tax value roll forward'!H309,0,Input!$Y$7-1))</f>
        <v>0</v>
      </c>
      <c r="K262" s="260" t="str">
        <f>IF(A19taxstdlife="N/A","n/a",IF(J262=0,0,A19taxstdlife+I262-Input!$Y$7))</f>
        <v>n/a</v>
      </c>
      <c r="L262" s="111"/>
      <c r="M262" s="9"/>
      <c r="N262" s="9"/>
      <c r="O262" s="9"/>
      <c r="P262" s="9"/>
      <c r="Q262" s="9"/>
      <c r="R262" s="9"/>
      <c r="S262" s="253"/>
      <c r="T262" s="253"/>
      <c r="U262" s="253"/>
      <c r="V262" s="253"/>
      <c r="W262" s="253"/>
      <c r="X262" s="253"/>
      <c r="Y262" s="253"/>
      <c r="Z262" s="253"/>
    </row>
    <row r="263" spans="1:26" hidden="1" outlineLevel="1">
      <c r="A263" s="9"/>
      <c r="B263" s="9"/>
      <c r="C263" s="396"/>
      <c r="D263" s="87">
        <v>3</v>
      </c>
      <c r="E263" s="260">
        <f ca="1">OFFSET('Actual RAB roll forward'!H$62,0,D263-1)-SUM('Actual RAB roll forward'!H314:OFFSET('Actual RAB roll forward'!H314,0,Input!$Y$7-1))</f>
        <v>0</v>
      </c>
      <c r="F263" s="260" t="str">
        <f>IF(A19stdlife="N/A","n/a",IF(E263=0,0,A19stdlife+D263-Input!$Y$7))</f>
        <v>n/a</v>
      </c>
      <c r="G263" s="256"/>
      <c r="H263" s="396"/>
      <c r="I263" s="87">
        <v>3</v>
      </c>
      <c r="J263" s="260">
        <f ca="1">OFFSET('Tax value roll forward'!H$58,0,I263-1)-SUM('Tax value roll forward'!H310:OFFSET('Tax value roll forward'!H310,0,Input!$Y$7-1))</f>
        <v>0</v>
      </c>
      <c r="K263" s="260" t="str">
        <f>IF(A19taxstdlife="N/A","n/a",IF(J263=0,0,A19taxstdlife+I263-Input!$Y$7))</f>
        <v>n/a</v>
      </c>
      <c r="L263" s="111"/>
      <c r="M263" s="9"/>
      <c r="N263" s="9"/>
      <c r="O263" s="9"/>
      <c r="P263" s="9"/>
      <c r="Q263" s="9"/>
      <c r="R263" s="9"/>
      <c r="S263" s="253"/>
      <c r="T263" s="253"/>
      <c r="U263" s="253"/>
      <c r="V263" s="253"/>
      <c r="W263" s="253"/>
      <c r="X263" s="253"/>
      <c r="Y263" s="253"/>
      <c r="Z263" s="253"/>
    </row>
    <row r="264" spans="1:26" hidden="1" outlineLevel="1">
      <c r="A264" s="9"/>
      <c r="B264" s="9"/>
      <c r="C264" s="396"/>
      <c r="D264" s="87">
        <v>4</v>
      </c>
      <c r="E264" s="260">
        <f ca="1">OFFSET('Actual RAB roll forward'!H$62,0,D264-1)-SUM('Actual RAB roll forward'!H315:OFFSET('Actual RAB roll forward'!H315,0,Input!$Y$7-1))</f>
        <v>0</v>
      </c>
      <c r="F264" s="260" t="str">
        <f>IF(A19stdlife="N/A","n/a",IF(E264=0,0,A19stdlife+D264-Input!$Y$7))</f>
        <v>n/a</v>
      </c>
      <c r="G264" s="256"/>
      <c r="H264" s="396"/>
      <c r="I264" s="87">
        <v>4</v>
      </c>
      <c r="J264" s="260">
        <f ca="1">OFFSET('Tax value roll forward'!H$58,0,I264-1)-SUM('Tax value roll forward'!H311:OFFSET('Tax value roll forward'!H311,0,Input!$Y$7-1))</f>
        <v>0</v>
      </c>
      <c r="K264" s="260" t="str">
        <f>IF(A19taxstdlife="N/A","n/a",IF(J264=0,0,A19taxstdlife+I264-Input!$Y$7))</f>
        <v>n/a</v>
      </c>
      <c r="L264" s="111"/>
      <c r="M264" s="9"/>
      <c r="N264" s="9"/>
      <c r="O264" s="9"/>
      <c r="P264" s="9"/>
      <c r="Q264" s="9"/>
      <c r="R264" s="9"/>
      <c r="S264" s="253"/>
      <c r="T264" s="253"/>
      <c r="U264" s="253"/>
      <c r="V264" s="253"/>
      <c r="W264" s="253"/>
      <c r="X264" s="253"/>
      <c r="Y264" s="253"/>
      <c r="Z264" s="253"/>
    </row>
    <row r="265" spans="1:26" hidden="1" outlineLevel="1">
      <c r="A265" s="9"/>
      <c r="B265" s="9"/>
      <c r="C265" s="396"/>
      <c r="D265" s="87">
        <v>5</v>
      </c>
      <c r="E265" s="260">
        <f ca="1">OFFSET('Actual RAB roll forward'!H$62,0,D265-1)-SUM('Actual RAB roll forward'!H316:OFFSET('Actual RAB roll forward'!H316,0,Input!$Y$7-1))</f>
        <v>0</v>
      </c>
      <c r="F265" s="260" t="str">
        <f>IF(A19stdlife="N/A","n/a",IF(E265=0,0,A19stdlife+D265-Input!$Y$7))</f>
        <v>n/a</v>
      </c>
      <c r="G265" s="256"/>
      <c r="H265" s="396"/>
      <c r="I265" s="87">
        <v>5</v>
      </c>
      <c r="J265" s="260">
        <f ca="1">OFFSET('Tax value roll forward'!H$58,0,I265-1)-SUM('Tax value roll forward'!H312:OFFSET('Tax value roll forward'!H312,0,Input!$Y$7-1))</f>
        <v>0</v>
      </c>
      <c r="K265" s="260" t="str">
        <f>IF(A19taxstdlife="N/A","n/a",IF(J265=0,0,A19taxstdlife+I265-Input!$Y$7))</f>
        <v>n/a</v>
      </c>
      <c r="L265" s="111"/>
      <c r="M265" s="9"/>
      <c r="N265" s="9"/>
      <c r="O265" s="9"/>
      <c r="P265" s="9"/>
      <c r="Q265" s="9"/>
      <c r="R265" s="9"/>
      <c r="S265" s="253"/>
      <c r="T265" s="253"/>
      <c r="U265" s="253"/>
      <c r="V265" s="253"/>
      <c r="W265" s="253"/>
      <c r="X265" s="253"/>
      <c r="Y265" s="253"/>
      <c r="Z265" s="253"/>
    </row>
    <row r="266" spans="1:26" hidden="1" outlineLevel="1">
      <c r="A266" s="9"/>
      <c r="B266" s="9"/>
      <c r="C266" s="396"/>
      <c r="D266" s="87">
        <v>6</v>
      </c>
      <c r="E266" s="260">
        <f ca="1">OFFSET('Actual RAB roll forward'!H$62,0,D266-1)-SUM('Actual RAB roll forward'!H317:OFFSET('Actual RAB roll forward'!H317,0,Input!$Y$7-1))</f>
        <v>0</v>
      </c>
      <c r="F266" s="260" t="str">
        <f>IF(A19stdlife="N/A","n/a",IF(E266=0,0,A19stdlife+D266-Input!$Y$7))</f>
        <v>n/a</v>
      </c>
      <c r="G266" s="256"/>
      <c r="H266" s="396"/>
      <c r="I266" s="87">
        <v>6</v>
      </c>
      <c r="J266" s="260">
        <f ca="1">OFFSET('Tax value roll forward'!H$58,0,I266-1)-SUM('Tax value roll forward'!H313:OFFSET('Tax value roll forward'!H313,0,Input!$Y$7-1))</f>
        <v>0</v>
      </c>
      <c r="K266" s="260" t="str">
        <f>IF(A19taxstdlife="N/A","n/a",IF(J266=0,0,A19taxstdlife+I266-Input!$Y$7))</f>
        <v>n/a</v>
      </c>
      <c r="L266" s="111"/>
      <c r="M266" s="9"/>
      <c r="N266" s="9"/>
      <c r="O266" s="9"/>
      <c r="P266" s="9"/>
      <c r="Q266" s="9"/>
      <c r="R266" s="9"/>
      <c r="S266" s="253"/>
      <c r="T266" s="253"/>
      <c r="U266" s="253"/>
      <c r="V266" s="253"/>
      <c r="W266" s="253"/>
      <c r="X266" s="253"/>
      <c r="Y266" s="253"/>
      <c r="Z266" s="253"/>
    </row>
    <row r="267" spans="1:26" hidden="1" outlineLevel="1">
      <c r="A267" s="9"/>
      <c r="B267" s="9"/>
      <c r="C267" s="396"/>
      <c r="D267" s="87">
        <v>7</v>
      </c>
      <c r="E267" s="260">
        <f ca="1">OFFSET('Actual RAB roll forward'!H$62,0,D267-1)-SUM('Actual RAB roll forward'!H318:OFFSET('Actual RAB roll forward'!H318,0,Input!$Y$7-1))</f>
        <v>0</v>
      </c>
      <c r="F267" s="260" t="str">
        <f>IF(A19stdlife="N/A","n/a",IF(E267=0,0,A19stdlife+D267-Input!$Y$7))</f>
        <v>n/a</v>
      </c>
      <c r="G267" s="256"/>
      <c r="H267" s="396"/>
      <c r="I267" s="87">
        <v>7</v>
      </c>
      <c r="J267" s="260">
        <f ca="1">OFFSET('Tax value roll forward'!H$58,0,I267-1)-SUM('Tax value roll forward'!H314:OFFSET('Tax value roll forward'!H314,0,Input!$Y$7-1))</f>
        <v>0</v>
      </c>
      <c r="K267" s="260" t="str">
        <f>IF(A19taxstdlife="N/A","n/a",IF(J267=0,0,A19taxstdlife+I267-Input!$Y$7))</f>
        <v>n/a</v>
      </c>
      <c r="L267" s="111"/>
      <c r="M267" s="9"/>
      <c r="N267" s="9"/>
      <c r="O267" s="9"/>
      <c r="P267" s="9"/>
      <c r="Q267" s="9"/>
      <c r="R267" s="9"/>
      <c r="S267" s="253"/>
      <c r="T267" s="253"/>
      <c r="U267" s="253"/>
      <c r="V267" s="253"/>
      <c r="W267" s="253"/>
      <c r="X267" s="253"/>
      <c r="Y267" s="253"/>
      <c r="Z267" s="253"/>
    </row>
    <row r="268" spans="1:26" hidden="1" outlineLevel="1">
      <c r="A268" s="9"/>
      <c r="B268" s="9"/>
      <c r="C268" s="396"/>
      <c r="D268" s="87">
        <v>8</v>
      </c>
      <c r="E268" s="260">
        <f ca="1">OFFSET('Actual RAB roll forward'!H$62,0,D268-1)-SUM('Actual RAB roll forward'!H319:OFFSET('Actual RAB roll forward'!H319,0,Input!$Y$7-1))</f>
        <v>0</v>
      </c>
      <c r="F268" s="260" t="str">
        <f>IF(A19stdlife="N/A","n/a",IF(E268=0,0,A19stdlife+D268-Input!$Y$7))</f>
        <v>n/a</v>
      </c>
      <c r="G268" s="256"/>
      <c r="H268" s="396"/>
      <c r="I268" s="87">
        <v>8</v>
      </c>
      <c r="J268" s="260">
        <f ca="1">OFFSET('Tax value roll forward'!H$58,0,I268-1)-SUM('Tax value roll forward'!H315:OFFSET('Tax value roll forward'!H315,0,Input!$Y$7-1))</f>
        <v>0</v>
      </c>
      <c r="K268" s="260" t="str">
        <f>IF(A19taxstdlife="N/A","n/a",IF(J268=0,0,A19taxstdlife+I268-Input!$Y$7))</f>
        <v>n/a</v>
      </c>
      <c r="L268" s="111"/>
      <c r="M268" s="9"/>
      <c r="N268" s="9"/>
      <c r="O268" s="9"/>
      <c r="P268" s="9"/>
      <c r="Q268" s="9"/>
      <c r="R268" s="9"/>
      <c r="S268" s="253"/>
      <c r="T268" s="253"/>
      <c r="U268" s="253"/>
      <c r="V268" s="253"/>
      <c r="W268" s="253"/>
      <c r="X268" s="253"/>
      <c r="Y268" s="253"/>
      <c r="Z268" s="253"/>
    </row>
    <row r="269" spans="1:26" hidden="1" outlineLevel="1">
      <c r="A269" s="9"/>
      <c r="B269" s="9"/>
      <c r="C269" s="396"/>
      <c r="D269" s="87">
        <v>9</v>
      </c>
      <c r="E269" s="260">
        <f ca="1">OFFSET('Actual RAB roll forward'!H$62,0,D269-1)-SUM('Actual RAB roll forward'!H320:OFFSET('Actual RAB roll forward'!H320,0,Input!$Y$7-1))</f>
        <v>0</v>
      </c>
      <c r="F269" s="260" t="str">
        <f>IF(A19stdlife="N/A","n/a",IF(E269=0,0,A19stdlife+D269-Input!$Y$7))</f>
        <v>n/a</v>
      </c>
      <c r="G269" s="256"/>
      <c r="H269" s="396"/>
      <c r="I269" s="87">
        <v>9</v>
      </c>
      <c r="J269" s="260">
        <f ca="1">OFFSET('Tax value roll forward'!H$58,0,I269-1)-SUM('Tax value roll forward'!H316:OFFSET('Tax value roll forward'!H316,0,Input!$Y$7-1))</f>
        <v>0</v>
      </c>
      <c r="K269" s="260" t="str">
        <f>IF(A19taxstdlife="N/A","n/a",IF(J269=0,0,A19taxstdlife+I269-Input!$Y$7))</f>
        <v>n/a</v>
      </c>
      <c r="L269" s="111"/>
      <c r="M269" s="9"/>
      <c r="N269" s="9"/>
      <c r="O269" s="9"/>
      <c r="P269" s="9"/>
      <c r="Q269" s="9"/>
      <c r="R269" s="9"/>
      <c r="S269" s="253"/>
      <c r="T269" s="253"/>
      <c r="U269" s="253"/>
      <c r="V269" s="253"/>
      <c r="W269" s="253"/>
      <c r="X269" s="253"/>
      <c r="Y269" s="253"/>
      <c r="Z269" s="253"/>
    </row>
    <row r="270" spans="1:26" hidden="1" outlineLevel="1">
      <c r="A270" s="9"/>
      <c r="B270" s="9"/>
      <c r="C270" s="397"/>
      <c r="D270" s="88">
        <v>10</v>
      </c>
      <c r="E270" s="260">
        <f ca="1">OFFSET('Actual RAB roll forward'!H$62,0,D270-1)-SUM('Actual RAB roll forward'!H321:OFFSET('Actual RAB roll forward'!H321,0,Input!$Y$7-1))</f>
        <v>0</v>
      </c>
      <c r="F270" s="260" t="str">
        <f>IF(A19stdlife="N/A","n/a",IF(E270=0,0,A19stdlife+D270-Input!$Y$7))</f>
        <v>n/a</v>
      </c>
      <c r="G270" s="256"/>
      <c r="H270" s="397"/>
      <c r="I270" s="88">
        <v>10</v>
      </c>
      <c r="J270" s="260">
        <f ca="1">OFFSET('Tax value roll forward'!H$58,0,I270-1)-SUM('Tax value roll forward'!H317:OFFSET('Tax value roll forward'!H317,0,Input!$Y$7-1))</f>
        <v>0</v>
      </c>
      <c r="K270" s="260" t="str">
        <f>IF(A19taxstdlife="N/A","n/a",IF(J270=0,0,A19taxstdlife+I270-Input!$Y$7))</f>
        <v>n/a</v>
      </c>
      <c r="L270" s="111"/>
      <c r="M270" s="9"/>
      <c r="N270" s="9"/>
      <c r="O270" s="9"/>
      <c r="P270" s="9"/>
      <c r="Q270" s="9"/>
      <c r="R270" s="9"/>
      <c r="S270" s="253"/>
      <c r="T270" s="253"/>
      <c r="U270" s="253"/>
      <c r="V270" s="253"/>
      <c r="W270" s="253"/>
      <c r="X270" s="253"/>
      <c r="Y270" s="253"/>
      <c r="Z270" s="253"/>
    </row>
    <row r="271" spans="1:26" collapsed="1">
      <c r="A271" s="9"/>
      <c r="B271" s="9"/>
      <c r="C271" s="274">
        <f>Asset19</f>
        <v>0</v>
      </c>
      <c r="D271" s="9"/>
      <c r="E271" s="260">
        <f ca="1">SUM(E260:E270)</f>
        <v>0</v>
      </c>
      <c r="F271" s="260">
        <f ca="1">IF(E271=0,0,SUMPRODUCT(E260:E270,F260:F270)/E271)</f>
        <v>0</v>
      </c>
      <c r="G271" s="256"/>
      <c r="H271" s="43"/>
      <c r="I271" s="260"/>
      <c r="J271" s="260">
        <f ca="1">SUM(J260:J270)</f>
        <v>0</v>
      </c>
      <c r="K271" s="260">
        <f ca="1">IF(J271=0,0,SUMPRODUCT(J260:J270,K260:K270)/J271)</f>
        <v>0</v>
      </c>
      <c r="L271" s="111"/>
      <c r="M271" s="9"/>
      <c r="N271" s="9"/>
      <c r="O271" s="9"/>
      <c r="P271" s="9"/>
      <c r="Q271" s="9"/>
      <c r="R271" s="9"/>
      <c r="S271" s="253"/>
      <c r="T271" s="253"/>
      <c r="U271" s="253"/>
      <c r="V271" s="253"/>
      <c r="W271" s="253"/>
      <c r="X271" s="253"/>
      <c r="Y271" s="253"/>
      <c r="Z271" s="253"/>
    </row>
    <row r="272" spans="1:26" hidden="1" outlineLevel="1">
      <c r="A272" s="9"/>
      <c r="B272" s="9"/>
      <c r="C272" s="274"/>
      <c r="D272" s="9"/>
      <c r="E272" s="260"/>
      <c r="F272" s="260"/>
      <c r="G272" s="256"/>
      <c r="H272" s="260"/>
      <c r="I272" s="260"/>
      <c r="J272" s="265"/>
      <c r="K272" s="260"/>
      <c r="L272" s="111"/>
      <c r="M272" s="9"/>
      <c r="N272" s="9"/>
      <c r="O272" s="9"/>
      <c r="P272" s="9"/>
      <c r="Q272" s="9"/>
      <c r="R272" s="9"/>
      <c r="S272" s="253"/>
      <c r="T272" s="253"/>
      <c r="U272" s="253"/>
      <c r="V272" s="253"/>
      <c r="W272" s="253"/>
      <c r="X272" s="253"/>
      <c r="Y272" s="253"/>
      <c r="Z272" s="253"/>
    </row>
    <row r="273" spans="1:26" hidden="1" outlineLevel="1">
      <c r="A273" s="9"/>
      <c r="B273" s="272">
        <f>Asset20</f>
        <v>0</v>
      </c>
      <c r="C273" s="9"/>
      <c r="D273" s="9"/>
      <c r="E273" s="35"/>
      <c r="F273" s="35"/>
      <c r="G273" s="256"/>
      <c r="H273" s="260"/>
      <c r="I273" s="260"/>
      <c r="J273" s="265"/>
      <c r="K273" s="260"/>
      <c r="L273" s="111"/>
      <c r="M273" s="9"/>
      <c r="N273" s="9"/>
      <c r="O273" s="9"/>
      <c r="P273" s="9"/>
      <c r="Q273" s="9"/>
      <c r="R273" s="9"/>
      <c r="S273" s="253"/>
      <c r="T273" s="253"/>
      <c r="U273" s="253"/>
      <c r="V273" s="253"/>
      <c r="W273" s="253"/>
      <c r="X273" s="253"/>
      <c r="Y273" s="253"/>
      <c r="Z273" s="253"/>
    </row>
    <row r="274" spans="1:26" ht="12.75" hidden="1" customHeight="1" outlineLevel="1">
      <c r="A274" s="9"/>
      <c r="B274" s="9"/>
      <c r="C274" s="393" t="s">
        <v>26</v>
      </c>
      <c r="D274" s="394"/>
      <c r="E274" s="260">
        <f ca="1">A20value-SUM('Actual RAB roll forward'!H323:OFFSET('Actual RAB roll forward'!H323,0,Input!$Y$7-1))</f>
        <v>0</v>
      </c>
      <c r="F274" s="260" t="str">
        <f>IF(A20remlife="N/A","n/a",A20remlife-Input!$Y$7)</f>
        <v>n/a</v>
      </c>
      <c r="G274" s="256"/>
      <c r="H274" s="298" t="s">
        <v>66</v>
      </c>
      <c r="I274" s="299"/>
      <c r="J274" s="260">
        <f ca="1">A20taxvalue-SUM('Tax value roll forward'!H319:OFFSET('Tax value roll forward'!H319,0,Input!$Y$7-1))</f>
        <v>0</v>
      </c>
      <c r="K274" s="260" t="str">
        <f>IF(A20taxremlife="N/A","n/a",A20taxremlife-Input!$Y$7)</f>
        <v>n/a</v>
      </c>
      <c r="L274" s="111"/>
      <c r="M274" s="9"/>
      <c r="N274" s="9"/>
      <c r="O274" s="9"/>
      <c r="P274" s="9"/>
      <c r="Q274" s="9"/>
      <c r="R274" s="9"/>
      <c r="S274" s="253"/>
      <c r="T274" s="253"/>
      <c r="U274" s="253"/>
      <c r="V274" s="253"/>
      <c r="W274" s="253"/>
      <c r="X274" s="253"/>
      <c r="Y274" s="253"/>
      <c r="Z274" s="253"/>
    </row>
    <row r="275" spans="1:26" hidden="1" outlineLevel="1">
      <c r="A275" s="9"/>
      <c r="B275" s="9"/>
      <c r="C275" s="395" t="s">
        <v>82</v>
      </c>
      <c r="D275" s="87">
        <v>1</v>
      </c>
      <c r="E275" s="260">
        <f ca="1">OFFSET('Actual RAB roll forward'!H$63,0,D275-1)-SUM('Actual RAB roll forward'!H325:OFFSET('Actual RAB roll forward'!H325,0,Input!$Y$7-1))</f>
        <v>0</v>
      </c>
      <c r="F275" s="260" t="str">
        <f>IF(A20stdlife="N/A","n/a",IF(E275=0,0,A20stdlife+D275-Input!$Y$7))</f>
        <v>n/a</v>
      </c>
      <c r="G275" s="256"/>
      <c r="H275" s="395" t="s">
        <v>82</v>
      </c>
      <c r="I275" s="87">
        <v>1</v>
      </c>
      <c r="J275" s="260">
        <f ca="1">OFFSET('Tax value roll forward'!H$59,0,I275-1)-SUM('Tax value roll forward'!H321:OFFSET('Tax value roll forward'!H321,0,Input!$Y$7-1))</f>
        <v>0</v>
      </c>
      <c r="K275" s="260" t="str">
        <f>IF(A20taxstdlife="N/A","n/a",IF(J275=0,0,A20taxstdlife+I275-Input!$Y$7))</f>
        <v>n/a</v>
      </c>
      <c r="L275" s="111"/>
      <c r="M275" s="9"/>
      <c r="N275" s="9"/>
      <c r="O275" s="9"/>
      <c r="P275" s="9"/>
      <c r="Q275" s="9"/>
      <c r="R275" s="9"/>
      <c r="S275" s="253"/>
      <c r="T275" s="253"/>
      <c r="U275" s="253"/>
      <c r="V275" s="253"/>
      <c r="W275" s="253"/>
      <c r="X275" s="253"/>
      <c r="Y275" s="253"/>
      <c r="Z275" s="253"/>
    </row>
    <row r="276" spans="1:26" hidden="1" outlineLevel="1">
      <c r="A276" s="9"/>
      <c r="B276" s="9"/>
      <c r="C276" s="396"/>
      <c r="D276" s="87">
        <v>2</v>
      </c>
      <c r="E276" s="260">
        <f ca="1">OFFSET('Actual RAB roll forward'!H$63,0,D276-1)-SUM('Actual RAB roll forward'!H326:OFFSET('Actual RAB roll forward'!H326,0,Input!$Y$7-1))</f>
        <v>0</v>
      </c>
      <c r="F276" s="260" t="str">
        <f>IF(A20stdlife="N/A","n/a",IF(E276=0,0,A20stdlife+D276-Input!$Y$7))</f>
        <v>n/a</v>
      </c>
      <c r="G276" s="256"/>
      <c r="H276" s="396"/>
      <c r="I276" s="87">
        <v>2</v>
      </c>
      <c r="J276" s="260">
        <f ca="1">OFFSET('Tax value roll forward'!H$59,0,I276-1)-SUM('Tax value roll forward'!H322:OFFSET('Tax value roll forward'!H322,0,Input!$Y$7-1))</f>
        <v>0</v>
      </c>
      <c r="K276" s="260" t="str">
        <f>IF(A20taxstdlife="N/A","n/a",IF(J276=0,0,A20taxstdlife+I276-Input!$Y$7))</f>
        <v>n/a</v>
      </c>
      <c r="L276" s="111"/>
      <c r="M276" s="9"/>
      <c r="N276" s="9"/>
      <c r="O276" s="9"/>
      <c r="P276" s="9"/>
      <c r="Q276" s="9"/>
      <c r="R276" s="9"/>
      <c r="S276" s="253"/>
      <c r="T276" s="253"/>
      <c r="U276" s="253"/>
      <c r="V276" s="253"/>
      <c r="W276" s="253"/>
      <c r="X276" s="253"/>
      <c r="Y276" s="253"/>
      <c r="Z276" s="253"/>
    </row>
    <row r="277" spans="1:26" hidden="1" outlineLevel="1">
      <c r="A277" s="9"/>
      <c r="B277" s="9"/>
      <c r="C277" s="396"/>
      <c r="D277" s="87">
        <v>3</v>
      </c>
      <c r="E277" s="260">
        <f ca="1">OFFSET('Actual RAB roll forward'!H$63,0,D277-1)-SUM('Actual RAB roll forward'!H327:OFFSET('Actual RAB roll forward'!H327,0,Input!$Y$7-1))</f>
        <v>0</v>
      </c>
      <c r="F277" s="260" t="str">
        <f>IF(A20stdlife="N/A","n/a",IF(E277=0,0,A20stdlife+D277-Input!$Y$7))</f>
        <v>n/a</v>
      </c>
      <c r="G277" s="256"/>
      <c r="H277" s="396"/>
      <c r="I277" s="87">
        <v>3</v>
      </c>
      <c r="J277" s="260">
        <f ca="1">OFFSET('Tax value roll forward'!H$59,0,I277-1)-SUM('Tax value roll forward'!H323:OFFSET('Tax value roll forward'!H323,0,Input!$Y$7-1))</f>
        <v>0</v>
      </c>
      <c r="K277" s="260" t="str">
        <f>IF(A20taxstdlife="N/A","n/a",IF(J277=0,0,A20taxstdlife+I277-Input!$Y$7))</f>
        <v>n/a</v>
      </c>
      <c r="L277" s="111"/>
      <c r="M277" s="9"/>
      <c r="N277" s="9"/>
      <c r="O277" s="9"/>
      <c r="P277" s="9"/>
      <c r="Q277" s="9"/>
      <c r="R277" s="9"/>
      <c r="S277" s="253"/>
      <c r="T277" s="253"/>
      <c r="U277" s="253"/>
      <c r="V277" s="253"/>
      <c r="W277" s="253"/>
      <c r="X277" s="253"/>
      <c r="Y277" s="253"/>
      <c r="Z277" s="253"/>
    </row>
    <row r="278" spans="1:26" hidden="1" outlineLevel="1">
      <c r="A278" s="9"/>
      <c r="B278" s="9"/>
      <c r="C278" s="396"/>
      <c r="D278" s="87">
        <v>4</v>
      </c>
      <c r="E278" s="260">
        <f ca="1">OFFSET('Actual RAB roll forward'!H$63,0,D278-1)-SUM('Actual RAB roll forward'!H328:OFFSET('Actual RAB roll forward'!H328,0,Input!$Y$7-1))</f>
        <v>0</v>
      </c>
      <c r="F278" s="260" t="str">
        <f>IF(A20stdlife="N/A","n/a",IF(E278=0,0,A20stdlife+D278-Input!$Y$7))</f>
        <v>n/a</v>
      </c>
      <c r="G278" s="256"/>
      <c r="H278" s="396"/>
      <c r="I278" s="87">
        <v>4</v>
      </c>
      <c r="J278" s="260">
        <f ca="1">OFFSET('Tax value roll forward'!H$59,0,I278-1)-SUM('Tax value roll forward'!H324:OFFSET('Tax value roll forward'!H324,0,Input!$Y$7-1))</f>
        <v>0</v>
      </c>
      <c r="K278" s="260" t="str">
        <f>IF(A20taxstdlife="N/A","n/a",IF(J278=0,0,A20taxstdlife+I278-Input!$Y$7))</f>
        <v>n/a</v>
      </c>
      <c r="L278" s="111"/>
      <c r="M278" s="9"/>
      <c r="N278" s="9"/>
      <c r="O278" s="9"/>
      <c r="P278" s="9"/>
      <c r="Q278" s="9"/>
      <c r="R278" s="9"/>
      <c r="S278" s="253"/>
      <c r="T278" s="253"/>
      <c r="U278" s="253"/>
      <c r="V278" s="253"/>
      <c r="W278" s="253"/>
      <c r="X278" s="253"/>
      <c r="Y278" s="253"/>
      <c r="Z278" s="253"/>
    </row>
    <row r="279" spans="1:26" hidden="1" outlineLevel="1">
      <c r="A279" s="9"/>
      <c r="B279" s="9"/>
      <c r="C279" s="396"/>
      <c r="D279" s="87">
        <v>5</v>
      </c>
      <c r="E279" s="260">
        <f ca="1">OFFSET('Actual RAB roll forward'!H$63,0,D279-1)-SUM('Actual RAB roll forward'!H329:OFFSET('Actual RAB roll forward'!H329,0,Input!$Y$7-1))</f>
        <v>0</v>
      </c>
      <c r="F279" s="260" t="str">
        <f>IF(A20stdlife="N/A","n/a",IF(E279=0,0,A20stdlife+D279-Input!$Y$7))</f>
        <v>n/a</v>
      </c>
      <c r="G279" s="256"/>
      <c r="H279" s="396"/>
      <c r="I279" s="87">
        <v>5</v>
      </c>
      <c r="J279" s="260">
        <f ca="1">OFFSET('Tax value roll forward'!H$59,0,I279-1)-SUM('Tax value roll forward'!H325:OFFSET('Tax value roll forward'!H325,0,Input!$Y$7-1))</f>
        <v>0</v>
      </c>
      <c r="K279" s="260" t="str">
        <f>IF(A20taxstdlife="N/A","n/a",IF(J279=0,0,A20taxstdlife+I279-Input!$Y$7))</f>
        <v>n/a</v>
      </c>
      <c r="L279" s="111"/>
      <c r="M279" s="9"/>
      <c r="N279" s="9"/>
      <c r="O279" s="9"/>
      <c r="P279" s="9"/>
      <c r="Q279" s="9"/>
      <c r="R279" s="9"/>
      <c r="S279" s="253"/>
      <c r="T279" s="253"/>
      <c r="U279" s="253"/>
      <c r="V279" s="253"/>
      <c r="W279" s="253"/>
      <c r="X279" s="253"/>
      <c r="Y279" s="253"/>
      <c r="Z279" s="253"/>
    </row>
    <row r="280" spans="1:26" hidden="1" outlineLevel="1">
      <c r="A280" s="9"/>
      <c r="B280" s="9"/>
      <c r="C280" s="396"/>
      <c r="D280" s="87">
        <v>6</v>
      </c>
      <c r="E280" s="260">
        <f ca="1">OFFSET('Actual RAB roll forward'!H$63,0,D280-1)-SUM('Actual RAB roll forward'!H330:OFFSET('Actual RAB roll forward'!H330,0,Input!$Y$7-1))</f>
        <v>0</v>
      </c>
      <c r="F280" s="260" t="str">
        <f>IF(A20stdlife="N/A","n/a",IF(E280=0,0,A20stdlife+D280-Input!$Y$7))</f>
        <v>n/a</v>
      </c>
      <c r="G280" s="256"/>
      <c r="H280" s="396"/>
      <c r="I280" s="87">
        <v>6</v>
      </c>
      <c r="J280" s="260">
        <f ca="1">OFFSET('Tax value roll forward'!H$59,0,I280-1)-SUM('Tax value roll forward'!H326:OFFSET('Tax value roll forward'!H326,0,Input!$Y$7-1))</f>
        <v>0</v>
      </c>
      <c r="K280" s="260" t="str">
        <f>IF(A20taxstdlife="N/A","n/a",IF(J280=0,0,A20taxstdlife+I280-Input!$Y$7))</f>
        <v>n/a</v>
      </c>
      <c r="L280" s="111"/>
      <c r="M280" s="9"/>
      <c r="N280" s="9"/>
      <c r="O280" s="9"/>
      <c r="P280" s="9"/>
      <c r="Q280" s="9"/>
      <c r="R280" s="9"/>
      <c r="S280" s="253"/>
      <c r="T280" s="253"/>
      <c r="U280" s="253"/>
      <c r="V280" s="253"/>
      <c r="W280" s="253"/>
      <c r="X280" s="253"/>
      <c r="Y280" s="253"/>
      <c r="Z280" s="253"/>
    </row>
    <row r="281" spans="1:26" hidden="1" outlineLevel="1">
      <c r="A281" s="9"/>
      <c r="B281" s="9"/>
      <c r="C281" s="396"/>
      <c r="D281" s="87">
        <v>7</v>
      </c>
      <c r="E281" s="260">
        <f ca="1">OFFSET('Actual RAB roll forward'!H$63,0,D281-1)-SUM('Actual RAB roll forward'!H331:OFFSET('Actual RAB roll forward'!H331,0,Input!$Y$7-1))</f>
        <v>0</v>
      </c>
      <c r="F281" s="260" t="str">
        <f>IF(A20stdlife="N/A","n/a",IF(E281=0,0,A20stdlife+D281-Input!$Y$7))</f>
        <v>n/a</v>
      </c>
      <c r="G281" s="256"/>
      <c r="H281" s="396"/>
      <c r="I281" s="87">
        <v>7</v>
      </c>
      <c r="J281" s="260">
        <f ca="1">OFFSET('Tax value roll forward'!H$59,0,I281-1)-SUM('Tax value roll forward'!H327:OFFSET('Tax value roll forward'!H327,0,Input!$Y$7-1))</f>
        <v>0</v>
      </c>
      <c r="K281" s="260" t="str">
        <f>IF(A20taxstdlife="N/A","n/a",IF(J281=0,0,A20taxstdlife+I281-Input!$Y$7))</f>
        <v>n/a</v>
      </c>
      <c r="L281" s="111"/>
      <c r="M281" s="9"/>
      <c r="N281" s="9"/>
      <c r="O281" s="9"/>
      <c r="P281" s="9"/>
      <c r="Q281" s="9"/>
      <c r="R281" s="9"/>
      <c r="S281" s="253"/>
      <c r="T281" s="253"/>
      <c r="U281" s="253"/>
      <c r="V281" s="253"/>
      <c r="W281" s="253"/>
      <c r="X281" s="253"/>
      <c r="Y281" s="253"/>
      <c r="Z281" s="253"/>
    </row>
    <row r="282" spans="1:26" hidden="1" outlineLevel="1">
      <c r="A282" s="9"/>
      <c r="B282" s="9"/>
      <c r="C282" s="396"/>
      <c r="D282" s="87">
        <v>8</v>
      </c>
      <c r="E282" s="260">
        <f ca="1">OFFSET('Actual RAB roll forward'!H$63,0,D282-1)-SUM('Actual RAB roll forward'!H332:OFFSET('Actual RAB roll forward'!H332,0,Input!$Y$7-1))</f>
        <v>0</v>
      </c>
      <c r="F282" s="260" t="str">
        <f>IF(A20stdlife="N/A","n/a",IF(E282=0,0,A20stdlife+D282-Input!$Y$7))</f>
        <v>n/a</v>
      </c>
      <c r="G282" s="256"/>
      <c r="H282" s="396"/>
      <c r="I282" s="87">
        <v>8</v>
      </c>
      <c r="J282" s="260">
        <f ca="1">OFFSET('Tax value roll forward'!H$59,0,I282-1)-SUM('Tax value roll forward'!H328:OFFSET('Tax value roll forward'!H328,0,Input!$Y$7-1))</f>
        <v>0</v>
      </c>
      <c r="K282" s="260" t="str">
        <f>IF(A20taxstdlife="N/A","n/a",IF(J282=0,0,A20taxstdlife+I282-Input!$Y$7))</f>
        <v>n/a</v>
      </c>
      <c r="L282" s="111"/>
      <c r="M282" s="9"/>
      <c r="N282" s="9"/>
      <c r="O282" s="9"/>
      <c r="P282" s="9"/>
      <c r="Q282" s="9"/>
      <c r="R282" s="9"/>
      <c r="S282" s="253"/>
      <c r="T282" s="253"/>
      <c r="U282" s="253"/>
      <c r="V282" s="253"/>
      <c r="W282" s="253"/>
      <c r="X282" s="253"/>
      <c r="Y282" s="253"/>
      <c r="Z282" s="253"/>
    </row>
    <row r="283" spans="1:26" hidden="1" outlineLevel="1">
      <c r="A283" s="9"/>
      <c r="B283" s="9"/>
      <c r="C283" s="396"/>
      <c r="D283" s="87">
        <v>9</v>
      </c>
      <c r="E283" s="260">
        <f ca="1">OFFSET('Actual RAB roll forward'!H$63,0,D283-1)-SUM('Actual RAB roll forward'!H333:OFFSET('Actual RAB roll forward'!H333,0,Input!$Y$7-1))</f>
        <v>0</v>
      </c>
      <c r="F283" s="260" t="str">
        <f>IF(A20stdlife="N/A","n/a",IF(E283=0,0,A20stdlife+D283-Input!$Y$7))</f>
        <v>n/a</v>
      </c>
      <c r="G283" s="256"/>
      <c r="H283" s="396"/>
      <c r="I283" s="87">
        <v>9</v>
      </c>
      <c r="J283" s="260">
        <f ca="1">OFFSET('Tax value roll forward'!H$59,0,I283-1)-SUM('Tax value roll forward'!H329:OFFSET('Tax value roll forward'!H329,0,Input!$Y$7-1))</f>
        <v>0</v>
      </c>
      <c r="K283" s="260" t="str">
        <f>IF(A20taxstdlife="N/A","n/a",IF(J283=0,0,A20taxstdlife+I283-Input!$Y$7))</f>
        <v>n/a</v>
      </c>
      <c r="L283" s="111"/>
      <c r="M283" s="9"/>
      <c r="N283" s="9"/>
      <c r="O283" s="9"/>
      <c r="P283" s="9"/>
      <c r="Q283" s="9"/>
      <c r="R283" s="9"/>
      <c r="S283" s="253"/>
      <c r="T283" s="253"/>
      <c r="U283" s="253"/>
      <c r="V283" s="253"/>
      <c r="W283" s="253"/>
      <c r="X283" s="253"/>
      <c r="Y283" s="253"/>
      <c r="Z283" s="253"/>
    </row>
    <row r="284" spans="1:26" hidden="1" outlineLevel="1">
      <c r="A284" s="9"/>
      <c r="B284" s="9"/>
      <c r="C284" s="397"/>
      <c r="D284" s="88">
        <v>10</v>
      </c>
      <c r="E284" s="260">
        <f ca="1">OFFSET('Actual RAB roll forward'!H$63,0,D284-1)-SUM('Actual RAB roll forward'!H334:OFFSET('Actual RAB roll forward'!H334,0,Input!$Y$7-1))</f>
        <v>0</v>
      </c>
      <c r="F284" s="260" t="str">
        <f>IF(A20stdlife="N/A","n/a",IF(E284=0,0,A20stdlife+D284-Input!$Y$7))</f>
        <v>n/a</v>
      </c>
      <c r="G284" s="256"/>
      <c r="H284" s="397"/>
      <c r="I284" s="88">
        <v>10</v>
      </c>
      <c r="J284" s="260">
        <f ca="1">OFFSET('Tax value roll forward'!H$59,0,I284-1)-SUM('Tax value roll forward'!H330:OFFSET('Tax value roll forward'!H330,0,Input!$Y$7-1))</f>
        <v>0</v>
      </c>
      <c r="K284" s="260" t="str">
        <f>IF(A20taxstdlife="N/A","n/a",IF(J284=0,0,A20taxstdlife+I284-Input!$Y$7))</f>
        <v>n/a</v>
      </c>
      <c r="L284" s="111"/>
      <c r="M284" s="9"/>
      <c r="N284" s="9"/>
      <c r="O284" s="9"/>
      <c r="P284" s="9"/>
      <c r="Q284" s="9"/>
      <c r="R284" s="9"/>
      <c r="S284" s="253"/>
      <c r="T284" s="253"/>
      <c r="U284" s="253"/>
      <c r="V284" s="253"/>
      <c r="W284" s="253"/>
      <c r="X284" s="253"/>
      <c r="Y284" s="253"/>
      <c r="Z284" s="253"/>
    </row>
    <row r="285" spans="1:26" collapsed="1">
      <c r="A285" s="9"/>
      <c r="C285" s="274">
        <f>Asset20</f>
        <v>0</v>
      </c>
      <c r="D285" s="9"/>
      <c r="E285" s="260">
        <f ca="1">SUM(E274:E284)</f>
        <v>0</v>
      </c>
      <c r="F285" s="260">
        <f ca="1">IF(E285=0,0,SUMPRODUCT(E274:E284,F274:F284)/E285)</f>
        <v>0</v>
      </c>
      <c r="G285" s="256"/>
      <c r="H285" s="43"/>
      <c r="I285" s="260"/>
      <c r="J285" s="260">
        <f ca="1">SUM(J274:J284)</f>
        <v>0</v>
      </c>
      <c r="K285" s="260">
        <f ca="1">IF(J285=0,0,SUMPRODUCT(J274:J284,K274:K284)/J285)</f>
        <v>0</v>
      </c>
      <c r="L285" s="111"/>
      <c r="M285" s="9"/>
      <c r="N285" s="9"/>
      <c r="O285" s="9"/>
      <c r="P285" s="9"/>
      <c r="Q285" s="9"/>
      <c r="R285" s="9"/>
      <c r="S285" s="253"/>
      <c r="T285" s="253"/>
      <c r="U285" s="253"/>
      <c r="V285" s="253"/>
      <c r="W285" s="253"/>
      <c r="X285" s="253"/>
      <c r="Y285" s="253"/>
      <c r="Z285" s="253"/>
    </row>
    <row r="286" spans="1:26" hidden="1" outlineLevel="1">
      <c r="A286" s="9"/>
      <c r="B286" s="272"/>
      <c r="C286" s="9"/>
      <c r="D286" s="9"/>
      <c r="E286" s="35"/>
      <c r="F286" s="35"/>
      <c r="G286" s="256"/>
      <c r="H286" s="260"/>
      <c r="I286" s="260"/>
      <c r="J286" s="265"/>
      <c r="K286" s="260"/>
      <c r="L286" s="111"/>
      <c r="M286" s="9"/>
      <c r="N286" s="9"/>
      <c r="O286" s="9"/>
      <c r="P286" s="9"/>
      <c r="Q286" s="9"/>
      <c r="R286" s="9"/>
      <c r="S286" s="253"/>
      <c r="T286" s="253"/>
      <c r="U286" s="253"/>
      <c r="V286" s="253"/>
      <c r="W286" s="253"/>
      <c r="X286" s="253"/>
      <c r="Y286" s="253"/>
      <c r="Z286" s="253"/>
    </row>
    <row r="287" spans="1:26" hidden="1" outlineLevel="1">
      <c r="A287" s="9"/>
      <c r="B287" s="272">
        <f>Asset21</f>
        <v>0</v>
      </c>
      <c r="C287" s="9"/>
      <c r="D287" s="9"/>
      <c r="E287" s="35"/>
      <c r="F287" s="35"/>
      <c r="G287" s="256"/>
      <c r="H287" s="260"/>
      <c r="I287" s="260"/>
      <c r="J287" s="265"/>
      <c r="K287" s="260"/>
      <c r="L287" s="111"/>
      <c r="M287" s="9"/>
      <c r="N287" s="9"/>
      <c r="O287" s="9"/>
      <c r="P287" s="9"/>
      <c r="Q287" s="9"/>
      <c r="R287" s="9"/>
      <c r="S287" s="253"/>
      <c r="T287" s="253"/>
      <c r="U287" s="253"/>
      <c r="V287" s="253"/>
      <c r="W287" s="253"/>
      <c r="X287" s="253"/>
      <c r="Y287" s="253"/>
      <c r="Z287" s="253"/>
    </row>
    <row r="288" spans="1:26" ht="12.75" hidden="1" customHeight="1" outlineLevel="1">
      <c r="A288" s="9"/>
      <c r="B288" s="9"/>
      <c r="C288" s="393" t="s">
        <v>26</v>
      </c>
      <c r="D288" s="394"/>
      <c r="E288" s="260">
        <f ca="1">A21value-SUM('Actual RAB roll forward'!H336:OFFSET('Actual RAB roll forward'!H336,0,Input!$Y$7-1))</f>
        <v>0</v>
      </c>
      <c r="F288" s="260" t="str">
        <f>IF(A21remlife="N/A","n/a",A21remlife-Input!$Y$7)</f>
        <v>n/a</v>
      </c>
      <c r="G288" s="256"/>
      <c r="H288" s="298" t="s">
        <v>66</v>
      </c>
      <c r="I288" s="299"/>
      <c r="J288" s="260">
        <f ca="1">A21taxvalue-SUM('Tax value roll forward'!H332:OFFSET('Tax value roll forward'!H332,0,Input!$Y$7-1))</f>
        <v>0</v>
      </c>
      <c r="K288" s="260" t="str">
        <f>IF(A21taxremlife="N/A","n/a",A21taxremlife-Input!$Y$7)</f>
        <v>n/a</v>
      </c>
      <c r="L288" s="111"/>
      <c r="M288" s="9"/>
      <c r="N288" s="9"/>
      <c r="O288" s="9"/>
      <c r="P288" s="9"/>
      <c r="Q288" s="9"/>
      <c r="R288" s="9"/>
      <c r="S288" s="253"/>
      <c r="T288" s="253"/>
      <c r="U288" s="253"/>
      <c r="V288" s="253"/>
      <c r="W288" s="253"/>
      <c r="X288" s="253"/>
      <c r="Y288" s="253"/>
      <c r="Z288" s="253"/>
    </row>
    <row r="289" spans="1:26" hidden="1" outlineLevel="1">
      <c r="A289" s="9"/>
      <c r="B289" s="9"/>
      <c r="C289" s="395" t="s">
        <v>82</v>
      </c>
      <c r="D289" s="87">
        <v>1</v>
      </c>
      <c r="E289" s="260">
        <f ca="1">OFFSET('Actual RAB roll forward'!H$64,0,D289-1)-SUM('Actual RAB roll forward'!H338:OFFSET('Actual RAB roll forward'!H338,0,Input!$Y$7-1))</f>
        <v>0</v>
      </c>
      <c r="F289" s="260" t="str">
        <f>IF(A21stdlife="N/A","n/a",IF(E289=0,0,A21stdlife+D289-Input!$Y$7))</f>
        <v>n/a</v>
      </c>
      <c r="G289" s="256"/>
      <c r="H289" s="395" t="s">
        <v>82</v>
      </c>
      <c r="I289" s="87">
        <v>1</v>
      </c>
      <c r="J289" s="260">
        <f ca="1">OFFSET('Tax value roll forward'!H$60,0,I289-1)-SUM('Tax value roll forward'!H334:OFFSET('Tax value roll forward'!H334,0,Input!$Y$7-1))</f>
        <v>0</v>
      </c>
      <c r="K289" s="260" t="str">
        <f>IF(A21taxstdlife="N/A","n/a",IF(J289=0,0,A21taxstdlife+I289-Input!$Y$7))</f>
        <v>n/a</v>
      </c>
      <c r="L289" s="111"/>
      <c r="M289" s="9"/>
      <c r="N289" s="9"/>
      <c r="O289" s="9"/>
      <c r="P289" s="9"/>
      <c r="Q289" s="9"/>
      <c r="R289" s="9"/>
      <c r="S289" s="253"/>
      <c r="T289" s="253"/>
      <c r="U289" s="253"/>
      <c r="V289" s="253"/>
      <c r="W289" s="253"/>
      <c r="X289" s="253"/>
      <c r="Y289" s="253"/>
      <c r="Z289" s="253"/>
    </row>
    <row r="290" spans="1:26" hidden="1" outlineLevel="1">
      <c r="A290" s="9"/>
      <c r="B290" s="9"/>
      <c r="C290" s="396"/>
      <c r="D290" s="87">
        <v>2</v>
      </c>
      <c r="E290" s="260">
        <f ca="1">OFFSET('Actual RAB roll forward'!H$64,0,D290-1)-SUM('Actual RAB roll forward'!H339:OFFSET('Actual RAB roll forward'!H339,0,Input!$Y$7-1))</f>
        <v>0</v>
      </c>
      <c r="F290" s="260" t="str">
        <f>IF(A21stdlife="N/A","n/a",IF(E290=0,0,A21stdlife+D290-Input!$Y$7))</f>
        <v>n/a</v>
      </c>
      <c r="G290" s="256"/>
      <c r="H290" s="396"/>
      <c r="I290" s="87">
        <v>2</v>
      </c>
      <c r="J290" s="260">
        <f ca="1">OFFSET('Tax value roll forward'!H$60,0,I290-1)-SUM('Tax value roll forward'!H335:OFFSET('Tax value roll forward'!H335,0,Input!$Y$7-1))</f>
        <v>0</v>
      </c>
      <c r="K290" s="260" t="str">
        <f>IF(A21taxstdlife="N/A","n/a",IF(J290=0,0,A21taxstdlife+I290-Input!$Y$7))</f>
        <v>n/a</v>
      </c>
      <c r="L290" s="111"/>
      <c r="M290" s="9"/>
      <c r="N290" s="9"/>
      <c r="O290" s="9"/>
      <c r="P290" s="9"/>
      <c r="Q290" s="9"/>
      <c r="R290" s="9"/>
      <c r="S290" s="253"/>
      <c r="T290" s="253"/>
      <c r="U290" s="253"/>
      <c r="V290" s="253"/>
      <c r="W290" s="253"/>
      <c r="X290" s="253"/>
      <c r="Y290" s="253"/>
      <c r="Z290" s="253"/>
    </row>
    <row r="291" spans="1:26" hidden="1" outlineLevel="1">
      <c r="A291" s="9"/>
      <c r="B291" s="9"/>
      <c r="C291" s="396"/>
      <c r="D291" s="87">
        <v>3</v>
      </c>
      <c r="E291" s="260">
        <f ca="1">OFFSET('Actual RAB roll forward'!H$64,0,D291-1)-SUM('Actual RAB roll forward'!H340:OFFSET('Actual RAB roll forward'!H340,0,Input!$Y$7-1))</f>
        <v>0</v>
      </c>
      <c r="F291" s="260" t="str">
        <f>IF(A21stdlife="N/A","n/a",IF(E291=0,0,A21stdlife+D291-Input!$Y$7))</f>
        <v>n/a</v>
      </c>
      <c r="G291" s="256"/>
      <c r="H291" s="396"/>
      <c r="I291" s="87">
        <v>3</v>
      </c>
      <c r="J291" s="260">
        <f ca="1">OFFSET('Tax value roll forward'!H$60,0,I291-1)-SUM('Tax value roll forward'!H336:OFFSET('Tax value roll forward'!H336,0,Input!$Y$7-1))</f>
        <v>0</v>
      </c>
      <c r="K291" s="260" t="str">
        <f>IF(A21taxstdlife="N/A","n/a",IF(J291=0,0,A21taxstdlife+I291-Input!$Y$7))</f>
        <v>n/a</v>
      </c>
      <c r="L291" s="111"/>
      <c r="M291" s="9"/>
      <c r="N291" s="9"/>
      <c r="O291" s="9"/>
      <c r="P291" s="9"/>
      <c r="Q291" s="9"/>
      <c r="R291" s="9"/>
      <c r="S291" s="253"/>
      <c r="T291" s="253"/>
      <c r="U291" s="253"/>
      <c r="V291" s="253"/>
      <c r="W291" s="253"/>
      <c r="X291" s="253"/>
      <c r="Y291" s="253"/>
      <c r="Z291" s="253"/>
    </row>
    <row r="292" spans="1:26" hidden="1" outlineLevel="1">
      <c r="A292" s="9"/>
      <c r="B292" s="9"/>
      <c r="C292" s="396"/>
      <c r="D292" s="87">
        <v>4</v>
      </c>
      <c r="E292" s="260">
        <f ca="1">OFFSET('Actual RAB roll forward'!H$64,0,D292-1)-SUM('Actual RAB roll forward'!H341:OFFSET('Actual RAB roll forward'!H341,0,Input!$Y$7-1))</f>
        <v>0</v>
      </c>
      <c r="F292" s="260" t="str">
        <f>IF(A21stdlife="N/A","n/a",IF(E292=0,0,A21stdlife+D292-Input!$Y$7))</f>
        <v>n/a</v>
      </c>
      <c r="G292" s="256"/>
      <c r="H292" s="396"/>
      <c r="I292" s="87">
        <v>4</v>
      </c>
      <c r="J292" s="260">
        <f ca="1">OFFSET('Tax value roll forward'!H$60,0,I292-1)-SUM('Tax value roll forward'!H337:OFFSET('Tax value roll forward'!H337,0,Input!$Y$7-1))</f>
        <v>0</v>
      </c>
      <c r="K292" s="260" t="str">
        <f>IF(A21taxstdlife="N/A","n/a",IF(J292=0,0,A21taxstdlife+I292-Input!$Y$7))</f>
        <v>n/a</v>
      </c>
      <c r="L292" s="111"/>
      <c r="M292" s="9"/>
      <c r="N292" s="9"/>
      <c r="O292" s="9"/>
      <c r="P292" s="9"/>
      <c r="Q292" s="9"/>
      <c r="R292" s="9"/>
      <c r="S292" s="253"/>
      <c r="T292" s="253"/>
      <c r="U292" s="253"/>
      <c r="V292" s="253"/>
      <c r="W292" s="253"/>
      <c r="X292" s="253"/>
      <c r="Y292" s="253"/>
      <c r="Z292" s="253"/>
    </row>
    <row r="293" spans="1:26" hidden="1" outlineLevel="1">
      <c r="A293" s="9"/>
      <c r="B293" s="9"/>
      <c r="C293" s="396"/>
      <c r="D293" s="87">
        <v>5</v>
      </c>
      <c r="E293" s="260">
        <f ca="1">OFFSET('Actual RAB roll forward'!H$64,0,D293-1)-SUM('Actual RAB roll forward'!H342:OFFSET('Actual RAB roll forward'!H342,0,Input!$Y$7-1))</f>
        <v>0</v>
      </c>
      <c r="F293" s="260" t="str">
        <f>IF(A21stdlife="N/A","n/a",IF(E293=0,0,A21stdlife+D293-Input!$Y$7))</f>
        <v>n/a</v>
      </c>
      <c r="G293" s="256"/>
      <c r="H293" s="396"/>
      <c r="I293" s="87">
        <v>5</v>
      </c>
      <c r="J293" s="260">
        <f ca="1">OFFSET('Tax value roll forward'!H$60,0,I293-1)-SUM('Tax value roll forward'!H338:OFFSET('Tax value roll forward'!H338,0,Input!$Y$7-1))</f>
        <v>0</v>
      </c>
      <c r="K293" s="260" t="str">
        <f>IF(A21taxstdlife="N/A","n/a",IF(J293=0,0,A21taxstdlife+I293-Input!$Y$7))</f>
        <v>n/a</v>
      </c>
      <c r="L293" s="111"/>
      <c r="M293" s="9"/>
      <c r="N293" s="9"/>
      <c r="O293" s="9"/>
      <c r="P293" s="9"/>
      <c r="Q293" s="9"/>
      <c r="R293" s="9"/>
      <c r="S293" s="253"/>
      <c r="T293" s="253"/>
      <c r="U293" s="253"/>
      <c r="V293" s="253"/>
      <c r="W293" s="253"/>
      <c r="X293" s="253"/>
      <c r="Y293" s="253"/>
      <c r="Z293" s="253"/>
    </row>
    <row r="294" spans="1:26" hidden="1" outlineLevel="1">
      <c r="A294" s="9"/>
      <c r="B294" s="9"/>
      <c r="C294" s="396"/>
      <c r="D294" s="87">
        <v>6</v>
      </c>
      <c r="E294" s="260">
        <f ca="1">OFFSET('Actual RAB roll forward'!H$64,0,D294-1)-SUM('Actual RAB roll forward'!H343:OFFSET('Actual RAB roll forward'!H343,0,Input!$Y$7-1))</f>
        <v>0</v>
      </c>
      <c r="F294" s="260" t="str">
        <f>IF(A21stdlife="N/A","n/a",IF(E294=0,0,A21stdlife+D294-Input!$Y$7))</f>
        <v>n/a</v>
      </c>
      <c r="G294" s="256"/>
      <c r="H294" s="396"/>
      <c r="I294" s="87">
        <v>6</v>
      </c>
      <c r="J294" s="260">
        <f ca="1">OFFSET('Tax value roll forward'!H$60,0,I294-1)-SUM('Tax value roll forward'!H339:OFFSET('Tax value roll forward'!H339,0,Input!$Y$7-1))</f>
        <v>0</v>
      </c>
      <c r="K294" s="260" t="str">
        <f>IF(A21taxstdlife="N/A","n/a",IF(J294=0,0,A21taxstdlife+I294-Input!$Y$7))</f>
        <v>n/a</v>
      </c>
      <c r="L294" s="111"/>
      <c r="M294" s="9"/>
      <c r="N294" s="9"/>
      <c r="O294" s="9"/>
      <c r="P294" s="9"/>
      <c r="Q294" s="9"/>
      <c r="R294" s="9"/>
      <c r="S294" s="253"/>
      <c r="T294" s="253"/>
      <c r="U294" s="253"/>
      <c r="V294" s="253"/>
      <c r="W294" s="253"/>
      <c r="X294" s="253"/>
      <c r="Y294" s="253"/>
      <c r="Z294" s="253"/>
    </row>
    <row r="295" spans="1:26" hidden="1" outlineLevel="1">
      <c r="A295" s="9"/>
      <c r="B295" s="9"/>
      <c r="C295" s="396"/>
      <c r="D295" s="87">
        <v>7</v>
      </c>
      <c r="E295" s="260">
        <f ca="1">OFFSET('Actual RAB roll forward'!H$64,0,D295-1)-SUM('Actual RAB roll forward'!H344:OFFSET('Actual RAB roll forward'!H344,0,Input!$Y$7-1))</f>
        <v>0</v>
      </c>
      <c r="F295" s="260" t="str">
        <f>IF(A21stdlife="N/A","n/a",IF(E295=0,0,A21stdlife+D295-Input!$Y$7))</f>
        <v>n/a</v>
      </c>
      <c r="G295" s="256"/>
      <c r="H295" s="396"/>
      <c r="I295" s="87">
        <v>7</v>
      </c>
      <c r="J295" s="260">
        <f ca="1">OFFSET('Tax value roll forward'!H$60,0,I295-1)-SUM('Tax value roll forward'!H340:OFFSET('Tax value roll forward'!H340,0,Input!$Y$7-1))</f>
        <v>0</v>
      </c>
      <c r="K295" s="260" t="str">
        <f>IF(A21taxstdlife="N/A","n/a",IF(J295=0,0,A21taxstdlife+I295-Input!$Y$7))</f>
        <v>n/a</v>
      </c>
      <c r="L295" s="111"/>
      <c r="M295" s="9"/>
      <c r="N295" s="9"/>
      <c r="O295" s="9"/>
      <c r="P295" s="9"/>
      <c r="Q295" s="9"/>
      <c r="R295" s="9"/>
      <c r="S295" s="253"/>
      <c r="T295" s="253"/>
      <c r="U295" s="253"/>
      <c r="V295" s="253"/>
      <c r="W295" s="253"/>
      <c r="X295" s="253"/>
      <c r="Y295" s="253"/>
      <c r="Z295" s="253"/>
    </row>
    <row r="296" spans="1:26" hidden="1" outlineLevel="1">
      <c r="A296" s="9"/>
      <c r="B296" s="9"/>
      <c r="C296" s="396"/>
      <c r="D296" s="87">
        <v>8</v>
      </c>
      <c r="E296" s="260">
        <f ca="1">OFFSET('Actual RAB roll forward'!H$64,0,D296-1)-SUM('Actual RAB roll forward'!H345:OFFSET('Actual RAB roll forward'!H345,0,Input!$Y$7-1))</f>
        <v>0</v>
      </c>
      <c r="F296" s="260" t="str">
        <f>IF(A21stdlife="N/A","n/a",IF(E296=0,0,A21stdlife+D296-Input!$Y$7))</f>
        <v>n/a</v>
      </c>
      <c r="G296" s="256"/>
      <c r="H296" s="396"/>
      <c r="I296" s="87">
        <v>8</v>
      </c>
      <c r="J296" s="260">
        <f ca="1">OFFSET('Tax value roll forward'!H$60,0,I296-1)-SUM('Tax value roll forward'!H341:OFFSET('Tax value roll forward'!H341,0,Input!$Y$7-1))</f>
        <v>0</v>
      </c>
      <c r="K296" s="260" t="str">
        <f>IF(A21taxstdlife="N/A","n/a",IF(J296=0,0,A21taxstdlife+I296-Input!$Y$7))</f>
        <v>n/a</v>
      </c>
      <c r="L296" s="111"/>
      <c r="M296" s="9"/>
      <c r="N296" s="9"/>
      <c r="O296" s="9"/>
      <c r="P296" s="9"/>
      <c r="Q296" s="9"/>
      <c r="R296" s="9"/>
      <c r="S296" s="253"/>
      <c r="T296" s="253"/>
      <c r="U296" s="253"/>
      <c r="V296" s="253"/>
      <c r="W296" s="253"/>
      <c r="X296" s="253"/>
      <c r="Y296" s="253"/>
      <c r="Z296" s="253"/>
    </row>
    <row r="297" spans="1:26" hidden="1" outlineLevel="1">
      <c r="A297" s="9"/>
      <c r="B297" s="9"/>
      <c r="C297" s="396"/>
      <c r="D297" s="87">
        <v>9</v>
      </c>
      <c r="E297" s="260">
        <f ca="1">OFFSET('Actual RAB roll forward'!H$64,0,D297-1)-SUM('Actual RAB roll forward'!H346:OFFSET('Actual RAB roll forward'!H346,0,Input!$Y$7-1))</f>
        <v>0</v>
      </c>
      <c r="F297" s="260" t="str">
        <f>IF(A21stdlife="N/A","n/a",IF(E297=0,0,A21stdlife+D297-Input!$Y$7))</f>
        <v>n/a</v>
      </c>
      <c r="G297" s="256"/>
      <c r="H297" s="396"/>
      <c r="I297" s="87">
        <v>9</v>
      </c>
      <c r="J297" s="260">
        <f ca="1">OFFSET('Tax value roll forward'!H$60,0,I297-1)-SUM('Tax value roll forward'!H342:OFFSET('Tax value roll forward'!H342,0,Input!$Y$7-1))</f>
        <v>0</v>
      </c>
      <c r="K297" s="260" t="str">
        <f>IF(A21taxstdlife="N/A","n/a",IF(J297=0,0,A21taxstdlife+I297-Input!$Y$7))</f>
        <v>n/a</v>
      </c>
      <c r="L297" s="111"/>
      <c r="M297" s="9"/>
      <c r="N297" s="9"/>
      <c r="O297" s="9"/>
      <c r="P297" s="9"/>
      <c r="Q297" s="9"/>
      <c r="R297" s="9"/>
      <c r="S297" s="253"/>
      <c r="T297" s="253"/>
      <c r="U297" s="253"/>
      <c r="V297" s="253"/>
      <c r="W297" s="253"/>
      <c r="X297" s="253"/>
      <c r="Y297" s="253"/>
      <c r="Z297" s="253"/>
    </row>
    <row r="298" spans="1:26" hidden="1" outlineLevel="1">
      <c r="A298" s="9"/>
      <c r="B298" s="9"/>
      <c r="C298" s="397"/>
      <c r="D298" s="88">
        <v>10</v>
      </c>
      <c r="E298" s="260">
        <f ca="1">OFFSET('Actual RAB roll forward'!H$64,0,D298-1)-SUM('Actual RAB roll forward'!H347:OFFSET('Actual RAB roll forward'!H347,0,Input!$Y$7-1))</f>
        <v>0</v>
      </c>
      <c r="F298" s="260" t="str">
        <f>IF(A21stdlife="N/A","n/a",IF(E298=0,0,A21stdlife+D298-Input!$Y$7))</f>
        <v>n/a</v>
      </c>
      <c r="G298" s="256"/>
      <c r="H298" s="397"/>
      <c r="I298" s="88">
        <v>10</v>
      </c>
      <c r="J298" s="260">
        <f ca="1">OFFSET('Tax value roll forward'!H$60,0,I298-1)-SUM('Tax value roll forward'!H343:OFFSET('Tax value roll forward'!H343,0,Input!$Y$7-1))</f>
        <v>0</v>
      </c>
      <c r="K298" s="260" t="str">
        <f>IF(A21taxstdlife="N/A","n/a",IF(J298=0,0,A21taxstdlife+I298-Input!$Y$7))</f>
        <v>n/a</v>
      </c>
      <c r="L298" s="111"/>
      <c r="M298" s="9"/>
      <c r="N298" s="9"/>
      <c r="O298" s="9"/>
      <c r="P298" s="9"/>
      <c r="Q298" s="9"/>
      <c r="R298" s="9"/>
      <c r="S298" s="253"/>
      <c r="T298" s="253"/>
      <c r="U298" s="253"/>
      <c r="V298" s="253"/>
      <c r="W298" s="253"/>
      <c r="X298" s="253"/>
      <c r="Y298" s="253"/>
      <c r="Z298" s="253"/>
    </row>
    <row r="299" spans="1:26" collapsed="1">
      <c r="A299" s="9"/>
      <c r="B299" s="9"/>
      <c r="C299" s="274">
        <f>Asset21</f>
        <v>0</v>
      </c>
      <c r="D299" s="9"/>
      <c r="E299" s="260">
        <f ca="1">SUM(E288:E298)</f>
        <v>0</v>
      </c>
      <c r="F299" s="260">
        <f ca="1">IF(E299=0,0,SUMPRODUCT(E288:E298,F288:F298)/E299)</f>
        <v>0</v>
      </c>
      <c r="G299" s="256"/>
      <c r="H299" s="43"/>
      <c r="I299" s="260"/>
      <c r="J299" s="260">
        <f ca="1">SUM(J288:J298)</f>
        <v>0</v>
      </c>
      <c r="K299" s="260">
        <f ca="1">IF(J299=0,0,SUMPRODUCT(J288:J298,K288:K298)/J299)</f>
        <v>0</v>
      </c>
      <c r="L299" s="111"/>
      <c r="M299" s="9"/>
      <c r="N299" s="9"/>
      <c r="O299" s="9"/>
      <c r="P299" s="9"/>
      <c r="Q299" s="9"/>
      <c r="R299" s="9"/>
      <c r="S299" s="253"/>
      <c r="T299" s="253"/>
      <c r="U299" s="253"/>
      <c r="V299" s="253"/>
      <c r="W299" s="253"/>
      <c r="X299" s="253"/>
      <c r="Y299" s="253"/>
      <c r="Z299" s="253"/>
    </row>
    <row r="300" spans="1:26" hidden="1" outlineLevel="1">
      <c r="A300" s="9"/>
      <c r="B300" s="272"/>
      <c r="C300" s="9"/>
      <c r="D300" s="9"/>
      <c r="E300" s="35"/>
      <c r="F300" s="35"/>
      <c r="G300" s="256"/>
      <c r="H300" s="260"/>
      <c r="I300" s="260"/>
      <c r="J300" s="265"/>
      <c r="K300" s="260"/>
      <c r="L300" s="111"/>
      <c r="M300" s="9"/>
      <c r="N300" s="9"/>
      <c r="O300" s="9"/>
      <c r="P300" s="9"/>
      <c r="Q300" s="9"/>
      <c r="R300" s="9"/>
      <c r="S300" s="253"/>
      <c r="T300" s="253"/>
      <c r="U300" s="253"/>
      <c r="V300" s="253"/>
      <c r="W300" s="253"/>
      <c r="X300" s="253"/>
      <c r="Y300" s="253"/>
      <c r="Z300" s="253"/>
    </row>
    <row r="301" spans="1:26" hidden="1" outlineLevel="1">
      <c r="A301" s="9"/>
      <c r="B301" s="272">
        <f>Asset22</f>
        <v>0</v>
      </c>
      <c r="C301" s="9"/>
      <c r="D301" s="9"/>
      <c r="E301" s="35"/>
      <c r="F301" s="35"/>
      <c r="G301" s="256"/>
      <c r="H301" s="260"/>
      <c r="I301" s="260"/>
      <c r="J301" s="265"/>
      <c r="K301" s="260"/>
      <c r="L301" s="111"/>
      <c r="M301" s="9"/>
      <c r="N301" s="9"/>
      <c r="O301" s="9"/>
      <c r="P301" s="9"/>
      <c r="Q301" s="9"/>
      <c r="R301" s="9"/>
      <c r="S301" s="253"/>
      <c r="T301" s="253"/>
      <c r="U301" s="253"/>
      <c r="V301" s="253"/>
      <c r="W301" s="253"/>
      <c r="X301" s="253"/>
      <c r="Y301" s="253"/>
      <c r="Z301" s="253"/>
    </row>
    <row r="302" spans="1:26" ht="12.75" hidden="1" customHeight="1" outlineLevel="1">
      <c r="A302" s="9"/>
      <c r="B302" s="9"/>
      <c r="C302" s="393" t="s">
        <v>26</v>
      </c>
      <c r="D302" s="394"/>
      <c r="E302" s="260">
        <f ca="1">A22value-SUM('Actual RAB roll forward'!H349:OFFSET('Actual RAB roll forward'!H349,0,Input!$Y$7-1))</f>
        <v>0</v>
      </c>
      <c r="F302" s="260" t="str">
        <f>IF(A22remlife="N/A","n/a",A22remlife-Input!$Y$7)</f>
        <v>n/a</v>
      </c>
      <c r="G302" s="256"/>
      <c r="H302" s="298" t="s">
        <v>66</v>
      </c>
      <c r="I302" s="299"/>
      <c r="J302" s="260">
        <f ca="1">A22taxvalue-SUM('Tax value roll forward'!H345:OFFSET('Tax value roll forward'!H345,0,Input!$Y$7-1))</f>
        <v>0</v>
      </c>
      <c r="K302" s="260" t="str">
        <f>IF(A22taxremlife="N/A","n/a",A22taxremlife-Input!$Y$7)</f>
        <v>n/a</v>
      </c>
      <c r="L302" s="111"/>
      <c r="M302" s="9"/>
      <c r="N302" s="9"/>
      <c r="O302" s="9"/>
      <c r="P302" s="9"/>
      <c r="Q302" s="9"/>
      <c r="R302" s="9"/>
      <c r="S302" s="253"/>
      <c r="T302" s="253"/>
      <c r="U302" s="253"/>
      <c r="V302" s="253"/>
      <c r="W302" s="253"/>
      <c r="X302" s="253"/>
      <c r="Y302" s="253"/>
      <c r="Z302" s="253"/>
    </row>
    <row r="303" spans="1:26" hidden="1" outlineLevel="1">
      <c r="A303" s="9"/>
      <c r="B303" s="9"/>
      <c r="C303" s="395" t="s">
        <v>82</v>
      </c>
      <c r="D303" s="87">
        <v>1</v>
      </c>
      <c r="E303" s="260">
        <f ca="1">OFFSET('Actual RAB roll forward'!H$65,0,D303-1)-SUM('Actual RAB roll forward'!H351:OFFSET('Actual RAB roll forward'!H351,0,Input!$Y$7-1))</f>
        <v>0</v>
      </c>
      <c r="F303" s="260" t="str">
        <f>IF(A22stdlife="N/A","n/a",IF(E303=0,0,A22stdlife+D303-Input!$Y$7))</f>
        <v>n/a</v>
      </c>
      <c r="G303" s="256"/>
      <c r="H303" s="395" t="s">
        <v>82</v>
      </c>
      <c r="I303" s="87">
        <v>1</v>
      </c>
      <c r="J303" s="260">
        <f ca="1">OFFSET('Tax value roll forward'!H$61,0,I303-1)-SUM('Tax value roll forward'!H347:OFFSET('Tax value roll forward'!H347,0,Input!$Y$7-1))</f>
        <v>0</v>
      </c>
      <c r="K303" s="260" t="str">
        <f>IF(A22taxstdlife="N/A","n/a",IF(J303=0,0,A22taxstdlife+I303-Input!$Y$7))</f>
        <v>n/a</v>
      </c>
      <c r="L303" s="111"/>
      <c r="M303" s="9"/>
      <c r="N303" s="9"/>
      <c r="O303" s="9"/>
      <c r="P303" s="9"/>
      <c r="Q303" s="9"/>
      <c r="R303" s="9"/>
      <c r="S303" s="253"/>
      <c r="T303" s="253"/>
      <c r="U303" s="253"/>
      <c r="V303" s="253"/>
      <c r="W303" s="253"/>
      <c r="X303" s="253"/>
      <c r="Y303" s="253"/>
      <c r="Z303" s="253"/>
    </row>
    <row r="304" spans="1:26" hidden="1" outlineLevel="1">
      <c r="A304" s="9"/>
      <c r="B304" s="9"/>
      <c r="C304" s="396"/>
      <c r="D304" s="87">
        <v>2</v>
      </c>
      <c r="E304" s="260">
        <f ca="1">OFFSET('Actual RAB roll forward'!H$65,0,D304-1)-SUM('Actual RAB roll forward'!H352:OFFSET('Actual RAB roll forward'!H352,0,Input!$Y$7-1))</f>
        <v>0</v>
      </c>
      <c r="F304" s="260" t="str">
        <f>IF(A22stdlife="N/A","n/a",IF(E304=0,0,A22stdlife+D304-Input!$Y$7))</f>
        <v>n/a</v>
      </c>
      <c r="G304" s="256"/>
      <c r="H304" s="396"/>
      <c r="I304" s="87">
        <v>2</v>
      </c>
      <c r="J304" s="260">
        <f ca="1">OFFSET('Tax value roll forward'!H$61,0,I304-1)-SUM('Tax value roll forward'!H348:OFFSET('Tax value roll forward'!H348,0,Input!$Y$7-1))</f>
        <v>0</v>
      </c>
      <c r="K304" s="260" t="str">
        <f>IF(A22taxstdlife="N/A","n/a",IF(J304=0,0,A22taxstdlife+I304-Input!$Y$7))</f>
        <v>n/a</v>
      </c>
      <c r="L304" s="111"/>
      <c r="M304" s="9"/>
      <c r="N304" s="9"/>
      <c r="O304" s="9"/>
      <c r="P304" s="9"/>
      <c r="Q304" s="9"/>
      <c r="R304" s="9"/>
      <c r="S304" s="253"/>
      <c r="T304" s="253"/>
      <c r="U304" s="253"/>
      <c r="V304" s="253"/>
      <c r="W304" s="253"/>
      <c r="X304" s="253"/>
      <c r="Y304" s="253"/>
      <c r="Z304" s="253"/>
    </row>
    <row r="305" spans="1:26" hidden="1" outlineLevel="1">
      <c r="A305" s="9"/>
      <c r="B305" s="9"/>
      <c r="C305" s="396"/>
      <c r="D305" s="87">
        <v>3</v>
      </c>
      <c r="E305" s="260">
        <f ca="1">OFFSET('Actual RAB roll forward'!H$65,0,D305-1)-SUM('Actual RAB roll forward'!H353:OFFSET('Actual RAB roll forward'!H353,0,Input!$Y$7-1))</f>
        <v>0</v>
      </c>
      <c r="F305" s="260" t="str">
        <f>IF(A22stdlife="N/A","n/a",IF(E305=0,0,A22stdlife+D305-Input!$Y$7))</f>
        <v>n/a</v>
      </c>
      <c r="G305" s="256"/>
      <c r="H305" s="396"/>
      <c r="I305" s="87">
        <v>3</v>
      </c>
      <c r="J305" s="260">
        <f ca="1">OFFSET('Tax value roll forward'!H$61,0,I305-1)-SUM('Tax value roll forward'!H349:OFFSET('Tax value roll forward'!H349,0,Input!$Y$7-1))</f>
        <v>0</v>
      </c>
      <c r="K305" s="260" t="str">
        <f>IF(A22taxstdlife="N/A","n/a",IF(J305=0,0,A22taxstdlife+I305-Input!$Y$7))</f>
        <v>n/a</v>
      </c>
      <c r="L305" s="111"/>
      <c r="M305" s="9"/>
      <c r="N305" s="9"/>
      <c r="O305" s="9"/>
      <c r="P305" s="9"/>
      <c r="Q305" s="9"/>
      <c r="R305" s="9"/>
      <c r="S305" s="253"/>
      <c r="T305" s="253"/>
      <c r="U305" s="253"/>
      <c r="V305" s="253"/>
      <c r="W305" s="253"/>
      <c r="X305" s="253"/>
      <c r="Y305" s="253"/>
      <c r="Z305" s="253"/>
    </row>
    <row r="306" spans="1:26" hidden="1" outlineLevel="1">
      <c r="A306" s="9"/>
      <c r="B306" s="9"/>
      <c r="C306" s="396"/>
      <c r="D306" s="87">
        <v>4</v>
      </c>
      <c r="E306" s="260">
        <f ca="1">OFFSET('Actual RAB roll forward'!H$65,0,D306-1)-SUM('Actual RAB roll forward'!H354:OFFSET('Actual RAB roll forward'!H354,0,Input!$Y$7-1))</f>
        <v>0</v>
      </c>
      <c r="F306" s="260" t="str">
        <f>IF(A22stdlife="N/A","n/a",IF(E306=0,0,A22stdlife+D306-Input!$Y$7))</f>
        <v>n/a</v>
      </c>
      <c r="G306" s="256"/>
      <c r="H306" s="396"/>
      <c r="I306" s="87">
        <v>4</v>
      </c>
      <c r="J306" s="260">
        <f ca="1">OFFSET('Tax value roll forward'!H$61,0,I306-1)-SUM('Tax value roll forward'!H350:OFFSET('Tax value roll forward'!H350,0,Input!$Y$7-1))</f>
        <v>0</v>
      </c>
      <c r="K306" s="260" t="str">
        <f>IF(A22taxstdlife="N/A","n/a",IF(J306=0,0,A22taxstdlife+I306-Input!$Y$7))</f>
        <v>n/a</v>
      </c>
      <c r="L306" s="111"/>
      <c r="M306" s="9"/>
      <c r="N306" s="9"/>
      <c r="O306" s="9"/>
      <c r="P306" s="9"/>
      <c r="Q306" s="9"/>
      <c r="R306" s="9"/>
      <c r="S306" s="253"/>
      <c r="T306" s="253"/>
      <c r="U306" s="253"/>
      <c r="V306" s="253"/>
      <c r="W306" s="253"/>
      <c r="X306" s="253"/>
      <c r="Y306" s="253"/>
      <c r="Z306" s="253"/>
    </row>
    <row r="307" spans="1:26" hidden="1" outlineLevel="1">
      <c r="A307" s="9"/>
      <c r="B307" s="9"/>
      <c r="C307" s="396"/>
      <c r="D307" s="87">
        <v>5</v>
      </c>
      <c r="E307" s="260">
        <f ca="1">OFFSET('Actual RAB roll forward'!H$65,0,D307-1)-SUM('Actual RAB roll forward'!H355:OFFSET('Actual RAB roll forward'!H355,0,Input!$Y$7-1))</f>
        <v>0</v>
      </c>
      <c r="F307" s="260" t="str">
        <f>IF(A22stdlife="N/A","n/a",IF(E307=0,0,A22stdlife+D307-Input!$Y$7))</f>
        <v>n/a</v>
      </c>
      <c r="G307" s="256"/>
      <c r="H307" s="396"/>
      <c r="I307" s="87">
        <v>5</v>
      </c>
      <c r="J307" s="260">
        <f ca="1">OFFSET('Tax value roll forward'!H$61,0,I307-1)-SUM('Tax value roll forward'!H351:OFFSET('Tax value roll forward'!H351,0,Input!$Y$7-1))</f>
        <v>0</v>
      </c>
      <c r="K307" s="260" t="str">
        <f>IF(A22taxstdlife="N/A","n/a",IF(J307=0,0,A22taxstdlife+I307-Input!$Y$7))</f>
        <v>n/a</v>
      </c>
      <c r="L307" s="111"/>
      <c r="M307" s="9"/>
      <c r="N307" s="9"/>
      <c r="O307" s="9"/>
      <c r="P307" s="9"/>
      <c r="Q307" s="9"/>
      <c r="R307" s="9"/>
      <c r="S307" s="253"/>
      <c r="T307" s="253"/>
      <c r="U307" s="253"/>
      <c r="V307" s="253"/>
      <c r="W307" s="253"/>
      <c r="X307" s="253"/>
      <c r="Y307" s="253"/>
      <c r="Z307" s="253"/>
    </row>
    <row r="308" spans="1:26" hidden="1" outlineLevel="1">
      <c r="A308" s="9"/>
      <c r="B308" s="9"/>
      <c r="C308" s="396"/>
      <c r="D308" s="87">
        <v>6</v>
      </c>
      <c r="E308" s="260">
        <f ca="1">OFFSET('Actual RAB roll forward'!H$65,0,D308-1)-SUM('Actual RAB roll forward'!H356:OFFSET('Actual RAB roll forward'!H356,0,Input!$Y$7-1))</f>
        <v>0</v>
      </c>
      <c r="F308" s="260" t="str">
        <f>IF(A22stdlife="N/A","n/a",IF(E308=0,0,A22stdlife+D308-Input!$Y$7))</f>
        <v>n/a</v>
      </c>
      <c r="G308" s="256"/>
      <c r="H308" s="396"/>
      <c r="I308" s="87">
        <v>6</v>
      </c>
      <c r="J308" s="260">
        <f ca="1">OFFSET('Tax value roll forward'!H$61,0,I308-1)-SUM('Tax value roll forward'!H352:OFFSET('Tax value roll forward'!H352,0,Input!$Y$7-1))</f>
        <v>0</v>
      </c>
      <c r="K308" s="260" t="str">
        <f>IF(A22taxstdlife="N/A","n/a",IF(J308=0,0,A22taxstdlife+I308-Input!$Y$7))</f>
        <v>n/a</v>
      </c>
      <c r="L308" s="111"/>
      <c r="M308" s="9"/>
      <c r="N308" s="9"/>
      <c r="O308" s="9"/>
      <c r="P308" s="9"/>
      <c r="Q308" s="9"/>
      <c r="R308" s="9"/>
      <c r="S308" s="253"/>
      <c r="T308" s="253"/>
      <c r="U308" s="253"/>
      <c r="V308" s="253"/>
      <c r="W308" s="253"/>
      <c r="X308" s="253"/>
      <c r="Y308" s="253"/>
      <c r="Z308" s="253"/>
    </row>
    <row r="309" spans="1:26" hidden="1" outlineLevel="1">
      <c r="A309" s="9"/>
      <c r="B309" s="9"/>
      <c r="C309" s="396"/>
      <c r="D309" s="87">
        <v>7</v>
      </c>
      <c r="E309" s="260">
        <f ca="1">OFFSET('Actual RAB roll forward'!H$65,0,D309-1)-SUM('Actual RAB roll forward'!H357:OFFSET('Actual RAB roll forward'!H357,0,Input!$Y$7-1))</f>
        <v>0</v>
      </c>
      <c r="F309" s="260" t="str">
        <f>IF(A22stdlife="N/A","n/a",IF(E309=0,0,A22stdlife+D309-Input!$Y$7))</f>
        <v>n/a</v>
      </c>
      <c r="G309" s="256"/>
      <c r="H309" s="396"/>
      <c r="I309" s="87">
        <v>7</v>
      </c>
      <c r="J309" s="260">
        <f ca="1">OFFSET('Tax value roll forward'!H$61,0,I309-1)-SUM('Tax value roll forward'!H353:OFFSET('Tax value roll forward'!H353,0,Input!$Y$7-1))</f>
        <v>0</v>
      </c>
      <c r="K309" s="260" t="str">
        <f>IF(A22taxstdlife="N/A","n/a",IF(J309=0,0,A22taxstdlife+I309-Input!$Y$7))</f>
        <v>n/a</v>
      </c>
      <c r="L309" s="111"/>
      <c r="M309" s="9"/>
      <c r="N309" s="9"/>
      <c r="O309" s="9"/>
      <c r="P309" s="9"/>
      <c r="Q309" s="9"/>
      <c r="R309" s="9"/>
      <c r="S309" s="253"/>
      <c r="T309" s="253"/>
      <c r="U309" s="253"/>
      <c r="V309" s="253"/>
      <c r="W309" s="253"/>
      <c r="X309" s="253"/>
      <c r="Y309" s="253"/>
      <c r="Z309" s="253"/>
    </row>
    <row r="310" spans="1:26" hidden="1" outlineLevel="1">
      <c r="A310" s="9"/>
      <c r="B310" s="9"/>
      <c r="C310" s="396"/>
      <c r="D310" s="87">
        <v>8</v>
      </c>
      <c r="E310" s="260">
        <f ca="1">OFFSET('Actual RAB roll forward'!H$65,0,D310-1)-SUM('Actual RAB roll forward'!H358:OFFSET('Actual RAB roll forward'!H358,0,Input!$Y$7-1))</f>
        <v>0</v>
      </c>
      <c r="F310" s="260" t="str">
        <f>IF(A22stdlife="N/A","n/a",IF(E310=0,0,A22stdlife+D310-Input!$Y$7))</f>
        <v>n/a</v>
      </c>
      <c r="G310" s="256"/>
      <c r="H310" s="396"/>
      <c r="I310" s="87">
        <v>8</v>
      </c>
      <c r="J310" s="260">
        <f ca="1">OFFSET('Tax value roll forward'!H$61,0,I310-1)-SUM('Tax value roll forward'!H354:OFFSET('Tax value roll forward'!H354,0,Input!$Y$7-1))</f>
        <v>0</v>
      </c>
      <c r="K310" s="260" t="str">
        <f>IF(A22taxstdlife="N/A","n/a",IF(J310=0,0,A22taxstdlife+I310-Input!$Y$7))</f>
        <v>n/a</v>
      </c>
      <c r="L310" s="111"/>
      <c r="M310" s="9"/>
      <c r="N310" s="9"/>
      <c r="O310" s="9"/>
      <c r="P310" s="9"/>
      <c r="Q310" s="9"/>
      <c r="R310" s="9"/>
      <c r="S310" s="253"/>
      <c r="T310" s="253"/>
      <c r="U310" s="253"/>
      <c r="V310" s="253"/>
      <c r="W310" s="253"/>
      <c r="X310" s="253"/>
      <c r="Y310" s="253"/>
      <c r="Z310" s="253"/>
    </row>
    <row r="311" spans="1:26" hidden="1" outlineLevel="1">
      <c r="A311" s="9"/>
      <c r="B311" s="9"/>
      <c r="C311" s="396"/>
      <c r="D311" s="87">
        <v>9</v>
      </c>
      <c r="E311" s="260">
        <f ca="1">OFFSET('Actual RAB roll forward'!H$65,0,D311-1)-SUM('Actual RAB roll forward'!H359:OFFSET('Actual RAB roll forward'!H359,0,Input!$Y$7-1))</f>
        <v>0</v>
      </c>
      <c r="F311" s="260" t="str">
        <f>IF(A22stdlife="N/A","n/a",IF(E311=0,0,A22stdlife+D311-Input!$Y$7))</f>
        <v>n/a</v>
      </c>
      <c r="G311" s="256"/>
      <c r="H311" s="396"/>
      <c r="I311" s="87">
        <v>9</v>
      </c>
      <c r="J311" s="260">
        <f ca="1">OFFSET('Tax value roll forward'!H$61,0,I311-1)-SUM('Tax value roll forward'!H355:OFFSET('Tax value roll forward'!H355,0,Input!$Y$7-1))</f>
        <v>0</v>
      </c>
      <c r="K311" s="260" t="str">
        <f>IF(A22taxstdlife="N/A","n/a",IF(J311=0,0,A22taxstdlife+I311-Input!$Y$7))</f>
        <v>n/a</v>
      </c>
      <c r="L311" s="111"/>
      <c r="M311" s="9"/>
      <c r="N311" s="9"/>
      <c r="O311" s="9"/>
      <c r="P311" s="9"/>
      <c r="Q311" s="9"/>
      <c r="R311" s="9"/>
      <c r="S311" s="253"/>
      <c r="T311" s="253"/>
      <c r="U311" s="253"/>
      <c r="V311" s="253"/>
      <c r="W311" s="253"/>
      <c r="X311" s="253"/>
      <c r="Y311" s="253"/>
      <c r="Z311" s="253"/>
    </row>
    <row r="312" spans="1:26" hidden="1" outlineLevel="1">
      <c r="A312" s="9"/>
      <c r="B312" s="9"/>
      <c r="C312" s="397"/>
      <c r="D312" s="88">
        <v>10</v>
      </c>
      <c r="E312" s="260">
        <f ca="1">OFFSET('Actual RAB roll forward'!H$65,0,D312-1)-SUM('Actual RAB roll forward'!H360:OFFSET('Actual RAB roll forward'!H360,0,Input!$Y$7-1))</f>
        <v>0</v>
      </c>
      <c r="F312" s="260" t="str">
        <f>IF(A22stdlife="N/A","n/a",IF(E312=0,0,A22stdlife+D312-Input!$Y$7))</f>
        <v>n/a</v>
      </c>
      <c r="G312" s="256"/>
      <c r="H312" s="397"/>
      <c r="I312" s="88">
        <v>10</v>
      </c>
      <c r="J312" s="260">
        <f ca="1">OFFSET('Tax value roll forward'!H$61,0,I312-1)-SUM('Tax value roll forward'!H356:OFFSET('Tax value roll forward'!H356,0,Input!$Y$7-1))</f>
        <v>0</v>
      </c>
      <c r="K312" s="260" t="str">
        <f>IF(A22taxstdlife="N/A","n/a",IF(J312=0,0,A22taxstdlife+I312-Input!$Y$7))</f>
        <v>n/a</v>
      </c>
      <c r="L312" s="111"/>
      <c r="M312" s="9"/>
      <c r="N312" s="9"/>
      <c r="O312" s="9"/>
      <c r="P312" s="9"/>
      <c r="Q312" s="9"/>
      <c r="R312" s="9"/>
      <c r="S312" s="253"/>
      <c r="T312" s="253"/>
      <c r="U312" s="253"/>
      <c r="V312" s="253"/>
      <c r="W312" s="253"/>
      <c r="X312" s="253"/>
      <c r="Y312" s="253"/>
      <c r="Z312" s="253"/>
    </row>
    <row r="313" spans="1:26" collapsed="1">
      <c r="A313" s="9"/>
      <c r="B313" s="9"/>
      <c r="C313" s="274">
        <f>Asset22</f>
        <v>0</v>
      </c>
      <c r="D313" s="9"/>
      <c r="E313" s="260">
        <f ca="1">SUM(E302:E312)</f>
        <v>0</v>
      </c>
      <c r="F313" s="260">
        <f ca="1">IF(E313=0,0,SUMPRODUCT(E302:E312,F302:F312)/E313)</f>
        <v>0</v>
      </c>
      <c r="G313" s="256"/>
      <c r="H313" s="43"/>
      <c r="I313" s="260"/>
      <c r="J313" s="260">
        <f ca="1">SUM(J302:J312)</f>
        <v>0</v>
      </c>
      <c r="K313" s="260">
        <f ca="1">IF(J313=0,0,SUMPRODUCT(J302:J312,K302:K312)/J313)</f>
        <v>0</v>
      </c>
      <c r="L313" s="111"/>
      <c r="M313" s="9"/>
      <c r="N313" s="9"/>
      <c r="O313" s="9"/>
      <c r="P313" s="9"/>
      <c r="Q313" s="9"/>
      <c r="R313" s="9"/>
      <c r="S313" s="253"/>
      <c r="T313" s="253"/>
      <c r="U313" s="253"/>
      <c r="V313" s="253"/>
      <c r="W313" s="253"/>
      <c r="X313" s="253"/>
      <c r="Y313" s="253"/>
      <c r="Z313" s="253"/>
    </row>
    <row r="314" spans="1:26" hidden="1" outlineLevel="1">
      <c r="A314" s="9"/>
      <c r="B314" s="272"/>
      <c r="C314" s="9"/>
      <c r="D314" s="9"/>
      <c r="E314" s="35"/>
      <c r="F314" s="35"/>
      <c r="G314" s="256"/>
      <c r="H314" s="260"/>
      <c r="I314" s="260"/>
      <c r="J314" s="265"/>
      <c r="K314" s="260"/>
      <c r="L314" s="111"/>
      <c r="M314" s="9"/>
      <c r="N314" s="9"/>
      <c r="O314" s="9"/>
      <c r="P314" s="9"/>
      <c r="Q314" s="9"/>
      <c r="R314" s="9"/>
      <c r="S314" s="253"/>
      <c r="T314" s="253"/>
      <c r="U314" s="253"/>
      <c r="V314" s="253"/>
      <c r="W314" s="253"/>
      <c r="X314" s="253"/>
      <c r="Y314" s="253"/>
      <c r="Z314" s="253"/>
    </row>
    <row r="315" spans="1:26" hidden="1" outlineLevel="1">
      <c r="A315" s="9"/>
      <c r="B315" s="272">
        <f>Asset23</f>
        <v>0</v>
      </c>
      <c r="C315" s="9"/>
      <c r="D315" s="9"/>
      <c r="E315" s="35"/>
      <c r="F315" s="35"/>
      <c r="G315" s="256"/>
      <c r="H315" s="260"/>
      <c r="I315" s="260"/>
      <c r="J315" s="265"/>
      <c r="K315" s="260"/>
      <c r="L315" s="111"/>
      <c r="M315" s="9"/>
      <c r="N315" s="9"/>
      <c r="O315" s="9"/>
      <c r="P315" s="9"/>
      <c r="Q315" s="9"/>
      <c r="R315" s="9"/>
      <c r="S315" s="253"/>
      <c r="T315" s="253"/>
      <c r="U315" s="253"/>
      <c r="V315" s="253"/>
      <c r="W315" s="253"/>
      <c r="X315" s="253"/>
      <c r="Y315" s="253"/>
      <c r="Z315" s="253"/>
    </row>
    <row r="316" spans="1:26" ht="12.75" hidden="1" customHeight="1" outlineLevel="1">
      <c r="A316" s="9"/>
      <c r="B316" s="9"/>
      <c r="C316" s="393" t="s">
        <v>26</v>
      </c>
      <c r="D316" s="394"/>
      <c r="E316" s="260">
        <f ca="1">A23value-SUM('Actual RAB roll forward'!H362:OFFSET('Actual RAB roll forward'!H362,0,Input!$Y$7-1))</f>
        <v>0</v>
      </c>
      <c r="F316" s="260" t="str">
        <f>IF(A23remlife="N/A","n/a",A23remlife-Input!$Y$7)</f>
        <v>n/a</v>
      </c>
      <c r="G316" s="256"/>
      <c r="H316" s="298" t="s">
        <v>66</v>
      </c>
      <c r="I316" s="299"/>
      <c r="J316" s="260">
        <f ca="1">A23taxvalue-SUM('Tax value roll forward'!H358:OFFSET('Tax value roll forward'!H358,0,Input!$Y$7-1))</f>
        <v>0</v>
      </c>
      <c r="K316" s="260" t="str">
        <f>IF(A23taxremlife="N/A","n/a",A23taxremlife-Input!$Y$7)</f>
        <v>n/a</v>
      </c>
      <c r="L316" s="111"/>
      <c r="M316" s="9"/>
      <c r="N316" s="9"/>
      <c r="O316" s="9"/>
      <c r="P316" s="9"/>
      <c r="Q316" s="9"/>
      <c r="R316" s="9"/>
      <c r="S316" s="253"/>
      <c r="T316" s="253"/>
      <c r="U316" s="253"/>
      <c r="V316" s="253"/>
      <c r="W316" s="253"/>
      <c r="X316" s="253"/>
      <c r="Y316" s="253"/>
      <c r="Z316" s="253"/>
    </row>
    <row r="317" spans="1:26" hidden="1" outlineLevel="1">
      <c r="A317" s="9"/>
      <c r="B317" s="9"/>
      <c r="C317" s="395" t="s">
        <v>82</v>
      </c>
      <c r="D317" s="87">
        <v>1</v>
      </c>
      <c r="E317" s="260">
        <f ca="1">OFFSET('Actual RAB roll forward'!H$66,0,D317-1)-SUM('Actual RAB roll forward'!H364:OFFSET('Actual RAB roll forward'!H364,0,Input!$Y$7-1))</f>
        <v>0</v>
      </c>
      <c r="F317" s="260" t="str">
        <f>IF(A23stdlife="N/A","n/a",IF(E317=0,0,A23stdlife+D317-Input!$Y$7))</f>
        <v>n/a</v>
      </c>
      <c r="G317" s="256"/>
      <c r="H317" s="395" t="s">
        <v>82</v>
      </c>
      <c r="I317" s="87">
        <v>1</v>
      </c>
      <c r="J317" s="260">
        <f ca="1">OFFSET('Tax value roll forward'!H$62,0,I317-1)-SUM('Tax value roll forward'!H360:OFFSET('Tax value roll forward'!H360,0,Input!$Y$7-1))</f>
        <v>0</v>
      </c>
      <c r="K317" s="260" t="str">
        <f>IF(A23taxstdlife="N/A","n/a",IF(J317=0,0,A23taxstdlife+I317-Input!$Y$7))</f>
        <v>n/a</v>
      </c>
      <c r="L317" s="111"/>
      <c r="M317" s="9"/>
      <c r="N317" s="9"/>
      <c r="O317" s="9"/>
      <c r="P317" s="9"/>
      <c r="Q317" s="9"/>
      <c r="R317" s="9"/>
      <c r="S317" s="253"/>
      <c r="T317" s="253"/>
      <c r="U317" s="253"/>
      <c r="V317" s="253"/>
      <c r="W317" s="253"/>
      <c r="X317" s="253"/>
      <c r="Y317" s="253"/>
      <c r="Z317" s="253"/>
    </row>
    <row r="318" spans="1:26" hidden="1" outlineLevel="1">
      <c r="A318" s="9"/>
      <c r="B318" s="9"/>
      <c r="C318" s="396"/>
      <c r="D318" s="87">
        <v>2</v>
      </c>
      <c r="E318" s="260">
        <f ca="1">OFFSET('Actual RAB roll forward'!H$66,0,D318-1)-SUM('Actual RAB roll forward'!H365:OFFSET('Actual RAB roll forward'!H365,0,Input!$Y$7-1))</f>
        <v>0</v>
      </c>
      <c r="F318" s="260" t="str">
        <f>IF(A23stdlife="N/A","n/a",IF(E318=0,0,A23stdlife+D318-Input!$Y$7))</f>
        <v>n/a</v>
      </c>
      <c r="G318" s="256"/>
      <c r="H318" s="396"/>
      <c r="I318" s="87">
        <v>2</v>
      </c>
      <c r="J318" s="260">
        <f ca="1">OFFSET('Tax value roll forward'!H$62,0,I318-1)-SUM('Tax value roll forward'!H361:OFFSET('Tax value roll forward'!H361,0,Input!$Y$7-1))</f>
        <v>0</v>
      </c>
      <c r="K318" s="260" t="str">
        <f>IF(A23taxstdlife="N/A","n/a",IF(J318=0,0,A23taxstdlife+I318-Input!$Y$7))</f>
        <v>n/a</v>
      </c>
      <c r="L318" s="111"/>
      <c r="M318" s="9"/>
      <c r="N318" s="9"/>
      <c r="O318" s="9"/>
      <c r="P318" s="9"/>
      <c r="Q318" s="9"/>
      <c r="R318" s="9"/>
      <c r="S318" s="253"/>
      <c r="T318" s="253"/>
      <c r="U318" s="253"/>
      <c r="V318" s="253"/>
      <c r="W318" s="253"/>
      <c r="X318" s="253"/>
      <c r="Y318" s="253"/>
      <c r="Z318" s="253"/>
    </row>
    <row r="319" spans="1:26" hidden="1" outlineLevel="1">
      <c r="A319" s="9"/>
      <c r="B319" s="9"/>
      <c r="C319" s="396"/>
      <c r="D319" s="87">
        <v>3</v>
      </c>
      <c r="E319" s="260">
        <f ca="1">OFFSET('Actual RAB roll forward'!H$66,0,D319-1)-SUM('Actual RAB roll forward'!H366:OFFSET('Actual RAB roll forward'!H366,0,Input!$Y$7-1))</f>
        <v>0</v>
      </c>
      <c r="F319" s="260" t="str">
        <f>IF(A23stdlife="N/A","n/a",IF(E319=0,0,A23stdlife+D319-Input!$Y$7))</f>
        <v>n/a</v>
      </c>
      <c r="G319" s="256"/>
      <c r="H319" s="396"/>
      <c r="I319" s="87">
        <v>3</v>
      </c>
      <c r="J319" s="260">
        <f ca="1">OFFSET('Tax value roll forward'!H$62,0,I319-1)-SUM('Tax value roll forward'!H362:OFFSET('Tax value roll forward'!H362,0,Input!$Y$7-1))</f>
        <v>0</v>
      </c>
      <c r="K319" s="260" t="str">
        <f>IF(A23taxstdlife="N/A","n/a",IF(J319=0,0,A23taxstdlife+I319-Input!$Y$7))</f>
        <v>n/a</v>
      </c>
      <c r="L319" s="111"/>
      <c r="M319" s="9"/>
      <c r="N319" s="9"/>
      <c r="O319" s="9"/>
      <c r="P319" s="9"/>
      <c r="Q319" s="9"/>
      <c r="R319" s="9"/>
      <c r="S319" s="253"/>
      <c r="T319" s="253"/>
      <c r="U319" s="253"/>
      <c r="V319" s="253"/>
      <c r="W319" s="253"/>
      <c r="X319" s="253"/>
      <c r="Y319" s="253"/>
      <c r="Z319" s="253"/>
    </row>
    <row r="320" spans="1:26" hidden="1" outlineLevel="1">
      <c r="A320" s="9"/>
      <c r="B320" s="9"/>
      <c r="C320" s="396"/>
      <c r="D320" s="87">
        <v>4</v>
      </c>
      <c r="E320" s="260">
        <f ca="1">OFFSET('Actual RAB roll forward'!H$66,0,D320-1)-SUM('Actual RAB roll forward'!H367:OFFSET('Actual RAB roll forward'!H367,0,Input!$Y$7-1))</f>
        <v>0</v>
      </c>
      <c r="F320" s="260" t="str">
        <f>IF(A23stdlife="N/A","n/a",IF(E320=0,0,A23stdlife+D320-Input!$Y$7))</f>
        <v>n/a</v>
      </c>
      <c r="G320" s="256"/>
      <c r="H320" s="396"/>
      <c r="I320" s="87">
        <v>4</v>
      </c>
      <c r="J320" s="260">
        <f ca="1">OFFSET('Tax value roll forward'!H$62,0,I320-1)-SUM('Tax value roll forward'!H363:OFFSET('Tax value roll forward'!H363,0,Input!$Y$7-1))</f>
        <v>0</v>
      </c>
      <c r="K320" s="260" t="str">
        <f>IF(A23taxstdlife="N/A","n/a",IF(J320=0,0,A23taxstdlife+I320-Input!$Y$7))</f>
        <v>n/a</v>
      </c>
      <c r="L320" s="111"/>
      <c r="M320" s="9"/>
      <c r="N320" s="9"/>
      <c r="O320" s="9"/>
      <c r="P320" s="9"/>
      <c r="Q320" s="9"/>
      <c r="R320" s="9"/>
      <c r="S320" s="253"/>
      <c r="T320" s="253"/>
      <c r="U320" s="253"/>
      <c r="V320" s="253"/>
      <c r="W320" s="253"/>
      <c r="X320" s="253"/>
      <c r="Y320" s="253"/>
      <c r="Z320" s="253"/>
    </row>
    <row r="321" spans="1:26" hidden="1" outlineLevel="1">
      <c r="A321" s="9"/>
      <c r="B321" s="9"/>
      <c r="C321" s="396"/>
      <c r="D321" s="87">
        <v>5</v>
      </c>
      <c r="E321" s="260">
        <f ca="1">OFFSET('Actual RAB roll forward'!H$66,0,D321-1)-SUM('Actual RAB roll forward'!H368:OFFSET('Actual RAB roll forward'!H368,0,Input!$Y$7-1))</f>
        <v>0</v>
      </c>
      <c r="F321" s="260" t="str">
        <f>IF(A23stdlife="N/A","n/a",IF(E321=0,0,A23stdlife+D321-Input!$Y$7))</f>
        <v>n/a</v>
      </c>
      <c r="G321" s="256"/>
      <c r="H321" s="396"/>
      <c r="I321" s="87">
        <v>5</v>
      </c>
      <c r="J321" s="260">
        <f ca="1">OFFSET('Tax value roll forward'!H$62,0,I321-1)-SUM('Tax value roll forward'!H364:OFFSET('Tax value roll forward'!H364,0,Input!$Y$7-1))</f>
        <v>0</v>
      </c>
      <c r="K321" s="260" t="str">
        <f>IF(A23taxstdlife="N/A","n/a",IF(J321=0,0,A23taxstdlife+I321-Input!$Y$7))</f>
        <v>n/a</v>
      </c>
      <c r="L321" s="111"/>
      <c r="M321" s="9"/>
      <c r="N321" s="9"/>
      <c r="O321" s="9"/>
      <c r="P321" s="9"/>
      <c r="Q321" s="9"/>
      <c r="R321" s="9"/>
      <c r="S321" s="253"/>
      <c r="T321" s="253"/>
      <c r="U321" s="253"/>
      <c r="V321" s="253"/>
      <c r="W321" s="253"/>
      <c r="X321" s="253"/>
      <c r="Y321" s="253"/>
      <c r="Z321" s="253"/>
    </row>
    <row r="322" spans="1:26" hidden="1" outlineLevel="1">
      <c r="A322" s="9"/>
      <c r="B322" s="9"/>
      <c r="C322" s="396"/>
      <c r="D322" s="87">
        <v>6</v>
      </c>
      <c r="E322" s="260">
        <f ca="1">OFFSET('Actual RAB roll forward'!H$66,0,D322-1)-SUM('Actual RAB roll forward'!H369:OFFSET('Actual RAB roll forward'!H369,0,Input!$Y$7-1))</f>
        <v>0</v>
      </c>
      <c r="F322" s="260" t="str">
        <f>IF(A23stdlife="N/A","n/a",IF(E322=0,0,A23stdlife+D322-Input!$Y$7))</f>
        <v>n/a</v>
      </c>
      <c r="G322" s="256"/>
      <c r="H322" s="396"/>
      <c r="I322" s="87">
        <v>6</v>
      </c>
      <c r="J322" s="260">
        <f ca="1">OFFSET('Tax value roll forward'!H$62,0,I322-1)-SUM('Tax value roll forward'!H365:OFFSET('Tax value roll forward'!H365,0,Input!$Y$7-1))</f>
        <v>0</v>
      </c>
      <c r="K322" s="260" t="str">
        <f>IF(A23taxstdlife="N/A","n/a",IF(J322=0,0,A23taxstdlife+I322-Input!$Y$7))</f>
        <v>n/a</v>
      </c>
      <c r="L322" s="111"/>
      <c r="M322" s="9"/>
      <c r="N322" s="9"/>
      <c r="O322" s="9"/>
      <c r="P322" s="9"/>
      <c r="Q322" s="9"/>
      <c r="R322" s="9"/>
      <c r="S322" s="253"/>
      <c r="T322" s="253"/>
      <c r="U322" s="253"/>
      <c r="V322" s="253"/>
      <c r="W322" s="253"/>
      <c r="X322" s="253"/>
      <c r="Y322" s="253"/>
      <c r="Z322" s="253"/>
    </row>
    <row r="323" spans="1:26" hidden="1" outlineLevel="1">
      <c r="A323" s="9"/>
      <c r="B323" s="9"/>
      <c r="C323" s="396"/>
      <c r="D323" s="87">
        <v>7</v>
      </c>
      <c r="E323" s="260">
        <f ca="1">OFFSET('Actual RAB roll forward'!H$66,0,D323-1)-SUM('Actual RAB roll forward'!H370:OFFSET('Actual RAB roll forward'!H370,0,Input!$Y$7-1))</f>
        <v>0</v>
      </c>
      <c r="F323" s="260" t="str">
        <f>IF(A23stdlife="N/A","n/a",IF(E323=0,0,A23stdlife+D323-Input!$Y$7))</f>
        <v>n/a</v>
      </c>
      <c r="G323" s="256"/>
      <c r="H323" s="396"/>
      <c r="I323" s="87">
        <v>7</v>
      </c>
      <c r="J323" s="260">
        <f ca="1">OFFSET('Tax value roll forward'!H$62,0,I323-1)-SUM('Tax value roll forward'!H366:OFFSET('Tax value roll forward'!H366,0,Input!$Y$7-1))</f>
        <v>0</v>
      </c>
      <c r="K323" s="260" t="str">
        <f>IF(A23taxstdlife="N/A","n/a",IF(J323=0,0,A23taxstdlife+I323-Input!$Y$7))</f>
        <v>n/a</v>
      </c>
      <c r="L323" s="111"/>
      <c r="M323" s="9"/>
      <c r="N323" s="9"/>
      <c r="O323" s="9"/>
      <c r="P323" s="9"/>
      <c r="Q323" s="9"/>
      <c r="R323" s="9"/>
      <c r="S323" s="253"/>
      <c r="T323" s="253"/>
      <c r="U323" s="253"/>
      <c r="V323" s="253"/>
      <c r="W323" s="253"/>
      <c r="X323" s="253"/>
      <c r="Y323" s="253"/>
      <c r="Z323" s="253"/>
    </row>
    <row r="324" spans="1:26" hidden="1" outlineLevel="1">
      <c r="A324" s="9"/>
      <c r="B324" s="9"/>
      <c r="C324" s="396"/>
      <c r="D324" s="87">
        <v>8</v>
      </c>
      <c r="E324" s="260">
        <f ca="1">OFFSET('Actual RAB roll forward'!H$66,0,D324-1)-SUM('Actual RAB roll forward'!H371:OFFSET('Actual RAB roll forward'!H371,0,Input!$Y$7-1))</f>
        <v>0</v>
      </c>
      <c r="F324" s="260" t="str">
        <f>IF(A23stdlife="N/A","n/a",IF(E324=0,0,A23stdlife+D324-Input!$Y$7))</f>
        <v>n/a</v>
      </c>
      <c r="G324" s="256"/>
      <c r="H324" s="396"/>
      <c r="I324" s="87">
        <v>8</v>
      </c>
      <c r="J324" s="260">
        <f ca="1">OFFSET('Tax value roll forward'!H$62,0,I324-1)-SUM('Tax value roll forward'!H367:OFFSET('Tax value roll forward'!H367,0,Input!$Y$7-1))</f>
        <v>0</v>
      </c>
      <c r="K324" s="260" t="str">
        <f>IF(A23taxstdlife="N/A","n/a",IF(J324=0,0,A23taxstdlife+I324-Input!$Y$7))</f>
        <v>n/a</v>
      </c>
      <c r="L324" s="111"/>
      <c r="M324" s="9"/>
      <c r="N324" s="9"/>
      <c r="O324" s="9"/>
      <c r="P324" s="9"/>
      <c r="Q324" s="9"/>
      <c r="R324" s="9"/>
      <c r="S324" s="253"/>
      <c r="T324" s="253"/>
      <c r="U324" s="253"/>
      <c r="V324" s="253"/>
      <c r="W324" s="253"/>
      <c r="X324" s="253"/>
      <c r="Y324" s="253"/>
      <c r="Z324" s="253"/>
    </row>
    <row r="325" spans="1:26" hidden="1" outlineLevel="1">
      <c r="A325" s="9"/>
      <c r="B325" s="9"/>
      <c r="C325" s="396"/>
      <c r="D325" s="87">
        <v>9</v>
      </c>
      <c r="E325" s="260">
        <f ca="1">OFFSET('Actual RAB roll forward'!H$66,0,D325-1)-SUM('Actual RAB roll forward'!H372:OFFSET('Actual RAB roll forward'!H372,0,Input!$Y$7-1))</f>
        <v>0</v>
      </c>
      <c r="F325" s="260" t="str">
        <f>IF(A23stdlife="N/A","n/a",IF(E325=0,0,A23stdlife+D325-Input!$Y$7))</f>
        <v>n/a</v>
      </c>
      <c r="G325" s="256"/>
      <c r="H325" s="396"/>
      <c r="I325" s="87">
        <v>9</v>
      </c>
      <c r="J325" s="260">
        <f ca="1">OFFSET('Tax value roll forward'!H$62,0,I325-1)-SUM('Tax value roll forward'!H368:OFFSET('Tax value roll forward'!H368,0,Input!$Y$7-1))</f>
        <v>0</v>
      </c>
      <c r="K325" s="260" t="str">
        <f>IF(A23taxstdlife="N/A","n/a",IF(J325=0,0,A23taxstdlife+I325-Input!$Y$7))</f>
        <v>n/a</v>
      </c>
      <c r="L325" s="111"/>
      <c r="M325" s="9"/>
      <c r="N325" s="9"/>
      <c r="O325" s="9"/>
      <c r="P325" s="9"/>
      <c r="Q325" s="9"/>
      <c r="R325" s="9"/>
      <c r="S325" s="253"/>
      <c r="T325" s="253"/>
      <c r="U325" s="253"/>
      <c r="V325" s="253"/>
      <c r="W325" s="253"/>
      <c r="X325" s="253"/>
      <c r="Y325" s="253"/>
      <c r="Z325" s="253"/>
    </row>
    <row r="326" spans="1:26" hidden="1" outlineLevel="1">
      <c r="A326" s="9"/>
      <c r="B326" s="9"/>
      <c r="C326" s="397"/>
      <c r="D326" s="88">
        <v>10</v>
      </c>
      <c r="E326" s="260">
        <f ca="1">OFFSET('Actual RAB roll forward'!H$66,0,D326-1)-SUM('Actual RAB roll forward'!H373:OFFSET('Actual RAB roll forward'!H373,0,Input!$Y$7-1))</f>
        <v>0</v>
      </c>
      <c r="F326" s="260" t="str">
        <f>IF(A23stdlife="N/A","n/a",IF(E326=0,0,A23stdlife+D326-Input!$Y$7))</f>
        <v>n/a</v>
      </c>
      <c r="G326" s="256"/>
      <c r="H326" s="397"/>
      <c r="I326" s="88">
        <v>10</v>
      </c>
      <c r="J326" s="260">
        <f ca="1">OFFSET('Tax value roll forward'!H$62,0,I326-1)-SUM('Tax value roll forward'!H369:OFFSET('Tax value roll forward'!H369,0,Input!$Y$7-1))</f>
        <v>0</v>
      </c>
      <c r="K326" s="260" t="str">
        <f>IF(A23taxstdlife="N/A","n/a",IF(J326=0,0,A23taxstdlife+I326-Input!$Y$7))</f>
        <v>n/a</v>
      </c>
      <c r="L326" s="111"/>
      <c r="M326" s="9"/>
      <c r="N326" s="9"/>
      <c r="O326" s="9"/>
      <c r="P326" s="9"/>
      <c r="Q326" s="9"/>
      <c r="R326" s="9"/>
      <c r="S326" s="253"/>
      <c r="T326" s="253"/>
      <c r="U326" s="253"/>
      <c r="V326" s="253"/>
      <c r="W326" s="253"/>
      <c r="X326" s="253"/>
      <c r="Y326" s="253"/>
      <c r="Z326" s="253"/>
    </row>
    <row r="327" spans="1:26" collapsed="1">
      <c r="A327" s="9"/>
      <c r="B327" s="9"/>
      <c r="C327" s="274">
        <f>Asset23</f>
        <v>0</v>
      </c>
      <c r="D327" s="9"/>
      <c r="E327" s="260">
        <f ca="1">SUM(E316:E326)</f>
        <v>0</v>
      </c>
      <c r="F327" s="260">
        <f ca="1">IF(E327=0,0,SUMPRODUCT(E316:E326,F316:F326)/E327)</f>
        <v>0</v>
      </c>
      <c r="G327" s="256"/>
      <c r="H327" s="43"/>
      <c r="I327" s="260"/>
      <c r="J327" s="260">
        <f ca="1">SUM(J316:J326)</f>
        <v>0</v>
      </c>
      <c r="K327" s="260">
        <f ca="1">IF(J327=0,0,SUMPRODUCT(J316:J326,K316:K326)/J327)</f>
        <v>0</v>
      </c>
      <c r="L327" s="111"/>
      <c r="M327" s="9"/>
      <c r="N327" s="9"/>
      <c r="O327" s="9"/>
      <c r="P327" s="9"/>
      <c r="Q327" s="9"/>
      <c r="R327" s="9"/>
      <c r="S327" s="253"/>
      <c r="T327" s="253"/>
      <c r="U327" s="253"/>
      <c r="V327" s="253"/>
      <c r="W327" s="253"/>
      <c r="X327" s="253"/>
      <c r="Y327" s="253"/>
      <c r="Z327" s="253"/>
    </row>
    <row r="328" spans="1:26" hidden="1" outlineLevel="1">
      <c r="A328" s="9"/>
      <c r="B328" s="272"/>
      <c r="C328" s="9"/>
      <c r="D328" s="9"/>
      <c r="E328" s="35"/>
      <c r="F328" s="35"/>
      <c r="G328" s="256"/>
      <c r="H328" s="260"/>
      <c r="I328" s="260"/>
      <c r="J328" s="265"/>
      <c r="K328" s="260"/>
      <c r="L328" s="111"/>
      <c r="M328" s="9"/>
      <c r="N328" s="9"/>
      <c r="O328" s="9"/>
      <c r="P328" s="9"/>
      <c r="Q328" s="9"/>
      <c r="R328" s="9"/>
      <c r="S328" s="253"/>
      <c r="T328" s="253"/>
      <c r="U328" s="253"/>
      <c r="V328" s="253"/>
      <c r="W328" s="253"/>
      <c r="X328" s="253"/>
      <c r="Y328" s="253"/>
      <c r="Z328" s="253"/>
    </row>
    <row r="329" spans="1:26" hidden="1" outlineLevel="1">
      <c r="A329" s="9"/>
      <c r="B329" s="272">
        <f>Asset24</f>
        <v>0</v>
      </c>
      <c r="C329" s="9"/>
      <c r="D329" s="9"/>
      <c r="E329" s="35"/>
      <c r="F329" s="35"/>
      <c r="G329" s="256"/>
      <c r="H329" s="260"/>
      <c r="I329" s="260"/>
      <c r="J329" s="265"/>
      <c r="K329" s="260"/>
      <c r="L329" s="111"/>
      <c r="M329" s="9"/>
      <c r="N329" s="9"/>
      <c r="O329" s="9"/>
      <c r="P329" s="9"/>
      <c r="Q329" s="9"/>
      <c r="R329" s="9"/>
      <c r="S329" s="253"/>
      <c r="T329" s="253"/>
      <c r="U329" s="253"/>
      <c r="V329" s="253"/>
      <c r="W329" s="253"/>
      <c r="X329" s="253"/>
      <c r="Y329" s="253"/>
      <c r="Z329" s="253"/>
    </row>
    <row r="330" spans="1:26" ht="12.75" hidden="1" customHeight="1" outlineLevel="1">
      <c r="A330" s="9"/>
      <c r="B330" s="9"/>
      <c r="C330" s="393" t="s">
        <v>26</v>
      </c>
      <c r="D330" s="394"/>
      <c r="E330" s="260">
        <f ca="1">A24value-SUM('Actual RAB roll forward'!H375:OFFSET('Actual RAB roll forward'!H375,0,Input!$Y$7-1))</f>
        <v>0</v>
      </c>
      <c r="F330" s="260" t="str">
        <f>IF(A24remlife="N/A","n/a",A24remlife-Input!$Y$7)</f>
        <v>n/a</v>
      </c>
      <c r="G330" s="256"/>
      <c r="H330" s="298" t="s">
        <v>66</v>
      </c>
      <c r="I330" s="299"/>
      <c r="J330" s="260">
        <f ca="1">A24taxvalue-SUM('Tax value roll forward'!H371:OFFSET('Tax value roll forward'!H371,0,Input!$Y$7-1))</f>
        <v>0</v>
      </c>
      <c r="K330" s="260" t="str">
        <f>IF(A24taxremlife="N/A","n/a",A24taxremlife-Input!$Y$7)</f>
        <v>n/a</v>
      </c>
      <c r="L330" s="111"/>
      <c r="M330" s="9"/>
      <c r="N330" s="9"/>
      <c r="O330" s="9"/>
      <c r="P330" s="9"/>
      <c r="Q330" s="9"/>
      <c r="R330" s="9"/>
      <c r="S330" s="253"/>
      <c r="T330" s="253"/>
      <c r="U330" s="253"/>
      <c r="V330" s="253"/>
      <c r="W330" s="253"/>
      <c r="X330" s="253"/>
      <c r="Y330" s="253"/>
      <c r="Z330" s="253"/>
    </row>
    <row r="331" spans="1:26" hidden="1" outlineLevel="1">
      <c r="A331" s="9"/>
      <c r="B331" s="9"/>
      <c r="C331" s="395" t="s">
        <v>82</v>
      </c>
      <c r="D331" s="87">
        <v>1</v>
      </c>
      <c r="E331" s="260">
        <f ca="1">OFFSET('Actual RAB roll forward'!H$67,0,D331-1)-SUM('Actual RAB roll forward'!H377:OFFSET('Actual RAB roll forward'!H377,0,Input!$Y$7-1))</f>
        <v>0</v>
      </c>
      <c r="F331" s="260" t="str">
        <f>IF(A24stdlife="N/A","n/a",IF(E331=0,0,A24stdlife+D331-Input!$Y$7))</f>
        <v>n/a</v>
      </c>
      <c r="G331" s="256"/>
      <c r="H331" s="395" t="s">
        <v>82</v>
      </c>
      <c r="I331" s="87">
        <v>1</v>
      </c>
      <c r="J331" s="260">
        <f ca="1">OFFSET('Tax value roll forward'!H$63,0,I331-1)-SUM('Tax value roll forward'!H373:OFFSET('Tax value roll forward'!H373,0,Input!$Y$7-1))</f>
        <v>0</v>
      </c>
      <c r="K331" s="260" t="str">
        <f>IF(A24taxstdlife="N/A","n/a",IF(J331=0,0,A24taxstdlife+I331-Input!$Y$7))</f>
        <v>n/a</v>
      </c>
      <c r="L331" s="111"/>
      <c r="M331" s="9"/>
      <c r="N331" s="9"/>
      <c r="O331" s="9"/>
      <c r="P331" s="9"/>
      <c r="Q331" s="9"/>
      <c r="R331" s="9"/>
      <c r="S331" s="253"/>
      <c r="T331" s="253"/>
      <c r="U331" s="253"/>
      <c r="V331" s="253"/>
      <c r="W331" s="253"/>
      <c r="X331" s="253"/>
      <c r="Y331" s="253"/>
      <c r="Z331" s="253"/>
    </row>
    <row r="332" spans="1:26" hidden="1" outlineLevel="1">
      <c r="A332" s="9"/>
      <c r="B332" s="9"/>
      <c r="C332" s="396"/>
      <c r="D332" s="87">
        <v>2</v>
      </c>
      <c r="E332" s="260">
        <f ca="1">OFFSET('Actual RAB roll forward'!H$67,0,D332-1)-SUM('Actual RAB roll forward'!H378:OFFSET('Actual RAB roll forward'!H378,0,Input!$Y$7-1))</f>
        <v>0</v>
      </c>
      <c r="F332" s="260" t="str">
        <f>IF(A24stdlife="N/A","n/a",IF(E332=0,0,A24stdlife+D332-Input!$Y$7))</f>
        <v>n/a</v>
      </c>
      <c r="G332" s="256"/>
      <c r="H332" s="396"/>
      <c r="I332" s="87">
        <v>2</v>
      </c>
      <c r="J332" s="260">
        <f ca="1">OFFSET('Tax value roll forward'!H$63,0,I332-1)-SUM('Tax value roll forward'!H374:OFFSET('Tax value roll forward'!H374,0,Input!$Y$7-1))</f>
        <v>0</v>
      </c>
      <c r="K332" s="260" t="str">
        <f>IF(A24taxstdlife="N/A","n/a",IF(J332=0,0,A24taxstdlife+I332-Input!$Y$7))</f>
        <v>n/a</v>
      </c>
      <c r="L332" s="111"/>
      <c r="M332" s="9"/>
      <c r="N332" s="9"/>
      <c r="O332" s="9"/>
      <c r="P332" s="9"/>
      <c r="Q332" s="9"/>
      <c r="R332" s="9"/>
      <c r="S332" s="253"/>
      <c r="T332" s="253"/>
      <c r="U332" s="253"/>
      <c r="V332" s="253"/>
      <c r="W332" s="253"/>
      <c r="X332" s="253"/>
      <c r="Y332" s="253"/>
      <c r="Z332" s="253"/>
    </row>
    <row r="333" spans="1:26" hidden="1" outlineLevel="1">
      <c r="A333" s="9"/>
      <c r="B333" s="9"/>
      <c r="C333" s="396"/>
      <c r="D333" s="87">
        <v>3</v>
      </c>
      <c r="E333" s="260">
        <f ca="1">OFFSET('Actual RAB roll forward'!H$67,0,D333-1)-SUM('Actual RAB roll forward'!H379:OFFSET('Actual RAB roll forward'!H379,0,Input!$Y$7-1))</f>
        <v>0</v>
      </c>
      <c r="F333" s="260" t="str">
        <f>IF(A24stdlife="N/A","n/a",IF(E333=0,0,A24stdlife+D333-Input!$Y$7))</f>
        <v>n/a</v>
      </c>
      <c r="G333" s="256"/>
      <c r="H333" s="396"/>
      <c r="I333" s="87">
        <v>3</v>
      </c>
      <c r="J333" s="260">
        <f ca="1">OFFSET('Tax value roll forward'!H$63,0,I333-1)-SUM('Tax value roll forward'!H375:OFFSET('Tax value roll forward'!H375,0,Input!$Y$7-1))</f>
        <v>0</v>
      </c>
      <c r="K333" s="260" t="str">
        <f>IF(A24taxstdlife="N/A","n/a",IF(J333=0,0,A24taxstdlife+I333-Input!$Y$7))</f>
        <v>n/a</v>
      </c>
      <c r="L333" s="111"/>
      <c r="M333" s="9"/>
      <c r="N333" s="9"/>
      <c r="O333" s="9"/>
      <c r="P333" s="9"/>
      <c r="Q333" s="9"/>
      <c r="R333" s="9"/>
      <c r="S333" s="253"/>
      <c r="T333" s="253"/>
      <c r="U333" s="253"/>
      <c r="V333" s="253"/>
      <c r="W333" s="253"/>
      <c r="X333" s="253"/>
      <c r="Y333" s="253"/>
      <c r="Z333" s="253"/>
    </row>
    <row r="334" spans="1:26" hidden="1" outlineLevel="1">
      <c r="A334" s="9"/>
      <c r="B334" s="9"/>
      <c r="C334" s="396"/>
      <c r="D334" s="87">
        <v>4</v>
      </c>
      <c r="E334" s="260">
        <f ca="1">OFFSET('Actual RAB roll forward'!H$67,0,D334-1)-SUM('Actual RAB roll forward'!H380:OFFSET('Actual RAB roll forward'!H380,0,Input!$Y$7-1))</f>
        <v>0</v>
      </c>
      <c r="F334" s="260" t="str">
        <f>IF(A24stdlife="N/A","n/a",IF(E334=0,0,A24stdlife+D334-Input!$Y$7))</f>
        <v>n/a</v>
      </c>
      <c r="G334" s="256"/>
      <c r="H334" s="396"/>
      <c r="I334" s="87">
        <v>4</v>
      </c>
      <c r="J334" s="260">
        <f ca="1">OFFSET('Tax value roll forward'!H$63,0,I334-1)-SUM('Tax value roll forward'!H376:OFFSET('Tax value roll forward'!H376,0,Input!$Y$7-1))</f>
        <v>0</v>
      </c>
      <c r="K334" s="260" t="str">
        <f>IF(A24taxstdlife="N/A","n/a",IF(J334=0,0,A24taxstdlife+I334-Input!$Y$7))</f>
        <v>n/a</v>
      </c>
      <c r="L334" s="111"/>
      <c r="M334" s="9"/>
      <c r="N334" s="9"/>
      <c r="O334" s="9"/>
      <c r="P334" s="9"/>
      <c r="Q334" s="9"/>
      <c r="R334" s="9"/>
      <c r="S334" s="253"/>
      <c r="T334" s="253"/>
      <c r="U334" s="253"/>
      <c r="V334" s="253"/>
      <c r="W334" s="253"/>
      <c r="X334" s="253"/>
      <c r="Y334" s="253"/>
      <c r="Z334" s="253"/>
    </row>
    <row r="335" spans="1:26" hidden="1" outlineLevel="1">
      <c r="A335" s="9"/>
      <c r="B335" s="9"/>
      <c r="C335" s="396"/>
      <c r="D335" s="87">
        <v>5</v>
      </c>
      <c r="E335" s="260">
        <f ca="1">OFFSET('Actual RAB roll forward'!H$67,0,D335-1)-SUM('Actual RAB roll forward'!H381:OFFSET('Actual RAB roll forward'!H381,0,Input!$Y$7-1))</f>
        <v>0</v>
      </c>
      <c r="F335" s="260" t="str">
        <f>IF(A24stdlife="N/A","n/a",IF(E335=0,0,A24stdlife+D335-Input!$Y$7))</f>
        <v>n/a</v>
      </c>
      <c r="G335" s="256"/>
      <c r="H335" s="396"/>
      <c r="I335" s="87">
        <v>5</v>
      </c>
      <c r="J335" s="260">
        <f ca="1">OFFSET('Tax value roll forward'!H$63,0,I335-1)-SUM('Tax value roll forward'!H377:OFFSET('Tax value roll forward'!H377,0,Input!$Y$7-1))</f>
        <v>0</v>
      </c>
      <c r="K335" s="260" t="str">
        <f>IF(A24taxstdlife="N/A","n/a",IF(J335=0,0,A24taxstdlife+I335-Input!$Y$7))</f>
        <v>n/a</v>
      </c>
      <c r="L335" s="111"/>
      <c r="M335" s="9"/>
      <c r="N335" s="9"/>
      <c r="O335" s="9"/>
      <c r="P335" s="9"/>
      <c r="Q335" s="9"/>
      <c r="R335" s="9"/>
      <c r="S335" s="253"/>
      <c r="T335" s="253"/>
      <c r="U335" s="253"/>
      <c r="V335" s="253"/>
      <c r="W335" s="253"/>
      <c r="X335" s="253"/>
      <c r="Y335" s="253"/>
      <c r="Z335" s="253"/>
    </row>
    <row r="336" spans="1:26" hidden="1" outlineLevel="1">
      <c r="A336" s="9"/>
      <c r="B336" s="9"/>
      <c r="C336" s="396"/>
      <c r="D336" s="87">
        <v>6</v>
      </c>
      <c r="E336" s="260">
        <f ca="1">OFFSET('Actual RAB roll forward'!H$67,0,D336-1)-SUM('Actual RAB roll forward'!H382:OFFSET('Actual RAB roll forward'!H382,0,Input!$Y$7-1))</f>
        <v>0</v>
      </c>
      <c r="F336" s="260" t="str">
        <f>IF(A24stdlife="N/A","n/a",IF(E336=0,0,A24stdlife+D336-Input!$Y$7))</f>
        <v>n/a</v>
      </c>
      <c r="G336" s="256"/>
      <c r="H336" s="396"/>
      <c r="I336" s="87">
        <v>6</v>
      </c>
      <c r="J336" s="260">
        <f ca="1">OFFSET('Tax value roll forward'!H$63,0,I336-1)-SUM('Tax value roll forward'!H378:OFFSET('Tax value roll forward'!H378,0,Input!$Y$7-1))</f>
        <v>0</v>
      </c>
      <c r="K336" s="260" t="str">
        <f>IF(A24taxstdlife="N/A","n/a",IF(J336=0,0,A24taxstdlife+I336-Input!$Y$7))</f>
        <v>n/a</v>
      </c>
      <c r="L336" s="111"/>
      <c r="M336" s="9"/>
      <c r="N336" s="9"/>
      <c r="O336" s="9"/>
      <c r="P336" s="9"/>
      <c r="Q336" s="9"/>
      <c r="R336" s="9"/>
      <c r="S336" s="253"/>
      <c r="T336" s="253"/>
      <c r="U336" s="253"/>
      <c r="V336" s="253"/>
      <c r="W336" s="253"/>
      <c r="X336" s="253"/>
      <c r="Y336" s="253"/>
      <c r="Z336" s="253"/>
    </row>
    <row r="337" spans="1:26" hidden="1" outlineLevel="1">
      <c r="A337" s="9"/>
      <c r="B337" s="9"/>
      <c r="C337" s="396"/>
      <c r="D337" s="87">
        <v>7</v>
      </c>
      <c r="E337" s="260">
        <f ca="1">OFFSET('Actual RAB roll forward'!H$67,0,D337-1)-SUM('Actual RAB roll forward'!H383:OFFSET('Actual RAB roll forward'!H383,0,Input!$Y$7-1))</f>
        <v>0</v>
      </c>
      <c r="F337" s="260" t="str">
        <f>IF(A24stdlife="N/A","n/a",IF(E337=0,0,A24stdlife+D337-Input!$Y$7))</f>
        <v>n/a</v>
      </c>
      <c r="G337" s="256"/>
      <c r="H337" s="396"/>
      <c r="I337" s="87">
        <v>7</v>
      </c>
      <c r="J337" s="260">
        <f ca="1">OFFSET('Tax value roll forward'!H$63,0,I337-1)-SUM('Tax value roll forward'!H379:OFFSET('Tax value roll forward'!H379,0,Input!$Y$7-1))</f>
        <v>0</v>
      </c>
      <c r="K337" s="260" t="str">
        <f>IF(A24taxstdlife="N/A","n/a",IF(J337=0,0,A24taxstdlife+I337-Input!$Y$7))</f>
        <v>n/a</v>
      </c>
      <c r="L337" s="111"/>
      <c r="M337" s="9"/>
      <c r="N337" s="9"/>
      <c r="O337" s="9"/>
      <c r="P337" s="9"/>
      <c r="Q337" s="9"/>
      <c r="R337" s="9"/>
      <c r="S337" s="253"/>
      <c r="T337" s="253"/>
      <c r="U337" s="253"/>
      <c r="V337" s="253"/>
      <c r="W337" s="253"/>
      <c r="X337" s="253"/>
      <c r="Y337" s="253"/>
      <c r="Z337" s="253"/>
    </row>
    <row r="338" spans="1:26" hidden="1" outlineLevel="1">
      <c r="A338" s="9"/>
      <c r="B338" s="9"/>
      <c r="C338" s="396"/>
      <c r="D338" s="87">
        <v>8</v>
      </c>
      <c r="E338" s="260">
        <f ca="1">OFFSET('Actual RAB roll forward'!H$67,0,D338-1)-SUM('Actual RAB roll forward'!H384:OFFSET('Actual RAB roll forward'!H384,0,Input!$Y$7-1))</f>
        <v>0</v>
      </c>
      <c r="F338" s="260" t="str">
        <f>IF(A24stdlife="N/A","n/a",IF(E338=0,0,A24stdlife+D338-Input!$Y$7))</f>
        <v>n/a</v>
      </c>
      <c r="G338" s="256"/>
      <c r="H338" s="396"/>
      <c r="I338" s="87">
        <v>8</v>
      </c>
      <c r="J338" s="260">
        <f ca="1">OFFSET('Tax value roll forward'!H$63,0,I338-1)-SUM('Tax value roll forward'!H380:OFFSET('Tax value roll forward'!H380,0,Input!$Y$7-1))</f>
        <v>0</v>
      </c>
      <c r="K338" s="260" t="str">
        <f>IF(A24taxstdlife="N/A","n/a",IF(J338=0,0,A24taxstdlife+I338-Input!$Y$7))</f>
        <v>n/a</v>
      </c>
      <c r="L338" s="111"/>
      <c r="M338" s="9"/>
      <c r="N338" s="9"/>
      <c r="O338" s="9"/>
      <c r="P338" s="9"/>
      <c r="Q338" s="9"/>
      <c r="R338" s="9"/>
      <c r="S338" s="253"/>
      <c r="T338" s="253"/>
      <c r="U338" s="253"/>
      <c r="V338" s="253"/>
      <c r="W338" s="253"/>
      <c r="X338" s="253"/>
      <c r="Y338" s="253"/>
      <c r="Z338" s="253"/>
    </row>
    <row r="339" spans="1:26" hidden="1" outlineLevel="1">
      <c r="A339" s="9"/>
      <c r="B339" s="9"/>
      <c r="C339" s="396"/>
      <c r="D339" s="87">
        <v>9</v>
      </c>
      <c r="E339" s="260">
        <f ca="1">OFFSET('Actual RAB roll forward'!H$67,0,D339-1)-SUM('Actual RAB roll forward'!H385:OFFSET('Actual RAB roll forward'!H385,0,Input!$Y$7-1))</f>
        <v>0</v>
      </c>
      <c r="F339" s="260" t="str">
        <f>IF(A24stdlife="N/A","n/a",IF(E339=0,0,A24stdlife+D339-Input!$Y$7))</f>
        <v>n/a</v>
      </c>
      <c r="G339" s="256"/>
      <c r="H339" s="396"/>
      <c r="I339" s="87">
        <v>9</v>
      </c>
      <c r="J339" s="260">
        <f ca="1">OFFSET('Tax value roll forward'!H$63,0,I339-1)-SUM('Tax value roll forward'!H381:OFFSET('Tax value roll forward'!H381,0,Input!$Y$7-1))</f>
        <v>0</v>
      </c>
      <c r="K339" s="260" t="str">
        <f>IF(A24taxstdlife="N/A","n/a",IF(J339=0,0,A24taxstdlife+I339-Input!$Y$7))</f>
        <v>n/a</v>
      </c>
      <c r="L339" s="111"/>
      <c r="M339" s="9"/>
      <c r="N339" s="9"/>
      <c r="O339" s="9"/>
      <c r="P339" s="9"/>
      <c r="Q339" s="9"/>
      <c r="R339" s="9"/>
      <c r="S339" s="253"/>
      <c r="T339" s="253"/>
      <c r="U339" s="253"/>
      <c r="V339" s="253"/>
      <c r="W339" s="253"/>
      <c r="X339" s="253"/>
      <c r="Y339" s="253"/>
      <c r="Z339" s="253"/>
    </row>
    <row r="340" spans="1:26" hidden="1" outlineLevel="1">
      <c r="A340" s="9"/>
      <c r="B340" s="9"/>
      <c r="C340" s="397"/>
      <c r="D340" s="88">
        <v>10</v>
      </c>
      <c r="E340" s="260">
        <f ca="1">OFFSET('Actual RAB roll forward'!H$67,0,D340-1)-SUM('Actual RAB roll forward'!H386:OFFSET('Actual RAB roll forward'!H386,0,Input!$Y$7-1))</f>
        <v>0</v>
      </c>
      <c r="F340" s="260" t="str">
        <f>IF(A24stdlife="N/A","n/a",IF(E340=0,0,A24stdlife+D340-Input!$Y$7))</f>
        <v>n/a</v>
      </c>
      <c r="G340" s="256"/>
      <c r="H340" s="397"/>
      <c r="I340" s="88">
        <v>10</v>
      </c>
      <c r="J340" s="260">
        <f ca="1">OFFSET('Tax value roll forward'!H$63,0,I340-1)-SUM('Tax value roll forward'!H382:OFFSET('Tax value roll forward'!H382,0,Input!$Y$7-1))</f>
        <v>0</v>
      </c>
      <c r="K340" s="260" t="str">
        <f>IF(A24taxstdlife="N/A","n/a",IF(J340=0,0,A24taxstdlife+I340-Input!$Y$7))</f>
        <v>n/a</v>
      </c>
      <c r="L340" s="111"/>
      <c r="M340" s="9"/>
      <c r="N340" s="9"/>
      <c r="O340" s="9"/>
      <c r="P340" s="9"/>
      <c r="Q340" s="9"/>
      <c r="R340" s="9"/>
      <c r="S340" s="253"/>
      <c r="T340" s="253"/>
      <c r="U340" s="253"/>
      <c r="V340" s="253"/>
      <c r="W340" s="253"/>
      <c r="X340" s="253"/>
      <c r="Y340" s="253"/>
      <c r="Z340" s="253"/>
    </row>
    <row r="341" spans="1:26" collapsed="1">
      <c r="A341" s="9"/>
      <c r="B341" s="9"/>
      <c r="C341" s="274">
        <f>Asset24</f>
        <v>0</v>
      </c>
      <c r="D341" s="9"/>
      <c r="E341" s="260">
        <f ca="1">SUM(E330:E340)</f>
        <v>0</v>
      </c>
      <c r="F341" s="260">
        <f ca="1">IF(E341=0,0,SUMPRODUCT(E330:E340,F330:F340)/E341)</f>
        <v>0</v>
      </c>
      <c r="G341" s="256"/>
      <c r="H341" s="43"/>
      <c r="I341" s="260"/>
      <c r="J341" s="260">
        <f ca="1">SUM(J330:J340)</f>
        <v>0</v>
      </c>
      <c r="K341" s="260">
        <f ca="1">IF(J341=0,0,SUMPRODUCT(J330:J340,K330:K340)/J341)</f>
        <v>0</v>
      </c>
      <c r="L341" s="111"/>
      <c r="M341" s="9"/>
      <c r="N341" s="9"/>
      <c r="O341" s="9"/>
      <c r="P341" s="9"/>
      <c r="Q341" s="9"/>
      <c r="R341" s="9"/>
      <c r="S341" s="253"/>
      <c r="T341" s="253"/>
      <c r="U341" s="253"/>
      <c r="V341" s="253"/>
      <c r="W341" s="253"/>
      <c r="X341" s="253"/>
      <c r="Y341" s="253"/>
      <c r="Z341" s="253"/>
    </row>
    <row r="342" spans="1:26" hidden="1" outlineLevel="1">
      <c r="A342" s="9"/>
      <c r="B342" s="272"/>
      <c r="C342" s="9"/>
      <c r="D342" s="9"/>
      <c r="E342" s="35"/>
      <c r="F342" s="35"/>
      <c r="G342" s="256"/>
      <c r="H342" s="260"/>
      <c r="I342" s="260"/>
      <c r="J342" s="265"/>
      <c r="K342" s="260"/>
      <c r="L342" s="111"/>
      <c r="M342" s="9"/>
      <c r="N342" s="9"/>
      <c r="O342" s="9"/>
      <c r="P342" s="9"/>
      <c r="Q342" s="9"/>
      <c r="R342" s="9"/>
      <c r="S342" s="253"/>
      <c r="T342" s="253"/>
      <c r="U342" s="253"/>
      <c r="V342" s="253"/>
      <c r="W342" s="253"/>
      <c r="X342" s="253"/>
      <c r="Y342" s="253"/>
      <c r="Z342" s="253"/>
    </row>
    <row r="343" spans="1:26" hidden="1" outlineLevel="1">
      <c r="A343" s="9"/>
      <c r="B343" s="272">
        <f>Asset25</f>
        <v>0</v>
      </c>
      <c r="C343" s="9"/>
      <c r="D343" s="9"/>
      <c r="E343" s="35"/>
      <c r="F343" s="35"/>
      <c r="G343" s="256"/>
      <c r="H343" s="260"/>
      <c r="I343" s="260"/>
      <c r="J343" s="265"/>
      <c r="K343" s="260"/>
      <c r="L343" s="111"/>
      <c r="M343" s="9"/>
      <c r="N343" s="9"/>
      <c r="O343" s="9"/>
      <c r="P343" s="9"/>
      <c r="Q343" s="9"/>
      <c r="R343" s="9"/>
      <c r="S343" s="253"/>
      <c r="T343" s="253"/>
      <c r="U343" s="253"/>
      <c r="V343" s="253"/>
      <c r="W343" s="253"/>
      <c r="X343" s="253"/>
      <c r="Y343" s="253"/>
      <c r="Z343" s="253"/>
    </row>
    <row r="344" spans="1:26" ht="12.75" hidden="1" customHeight="1" outlineLevel="1">
      <c r="A344" s="9"/>
      <c r="B344" s="9"/>
      <c r="C344" s="393" t="s">
        <v>26</v>
      </c>
      <c r="D344" s="394"/>
      <c r="E344" s="260">
        <f ca="1">A25value-SUM('Actual RAB roll forward'!H388:OFFSET('Actual RAB roll forward'!H388,0,Input!$Y$7-1))</f>
        <v>0</v>
      </c>
      <c r="F344" s="260" t="str">
        <f>IF(A25remlife="N/A","n/a",A25remlife-Input!$Y$7)</f>
        <v>n/a</v>
      </c>
      <c r="G344" s="256"/>
      <c r="H344" s="298" t="s">
        <v>66</v>
      </c>
      <c r="I344" s="299"/>
      <c r="J344" s="260">
        <f ca="1">A25taxvalue-SUM('Tax value roll forward'!H384:OFFSET('Tax value roll forward'!H384,0,Input!$Y$7-1))</f>
        <v>0</v>
      </c>
      <c r="K344" s="260" t="str">
        <f>IF(A25taxremlife="N/A","n/a",A25taxremlife-Input!$Y$7)</f>
        <v>n/a</v>
      </c>
      <c r="L344" s="111"/>
      <c r="M344" s="9"/>
      <c r="N344" s="9"/>
      <c r="O344" s="9"/>
      <c r="P344" s="9"/>
      <c r="Q344" s="9"/>
      <c r="R344" s="9"/>
      <c r="S344" s="253"/>
      <c r="T344" s="253"/>
      <c r="U344" s="253"/>
      <c r="V344" s="253"/>
      <c r="W344" s="253"/>
      <c r="X344" s="253"/>
      <c r="Y344" s="253"/>
      <c r="Z344" s="253"/>
    </row>
    <row r="345" spans="1:26" hidden="1" outlineLevel="1">
      <c r="A345" s="9"/>
      <c r="B345" s="9"/>
      <c r="C345" s="395" t="s">
        <v>82</v>
      </c>
      <c r="D345" s="87">
        <v>1</v>
      </c>
      <c r="E345" s="260">
        <f ca="1">OFFSET('Actual RAB roll forward'!H$68,0,D345-1)-SUM('Actual RAB roll forward'!H390:OFFSET('Actual RAB roll forward'!H390,0,Input!$Y$7-1))</f>
        <v>0</v>
      </c>
      <c r="F345" s="260" t="str">
        <f>IF(A25stdlife="N/A","n/a",IF(E345=0,0,A25stdlife+D345-Input!$Y$7))</f>
        <v>n/a</v>
      </c>
      <c r="G345" s="256"/>
      <c r="H345" s="395" t="s">
        <v>82</v>
      </c>
      <c r="I345" s="87">
        <v>1</v>
      </c>
      <c r="J345" s="260">
        <f ca="1">OFFSET('Tax value roll forward'!H$64,0,I345-1)-SUM('Tax value roll forward'!H386:OFFSET('Tax value roll forward'!H386,0,Input!$Y$7-1))</f>
        <v>0</v>
      </c>
      <c r="K345" s="260" t="str">
        <f>IF(A25taxstdlife="N/A","n/a",IF(J345=0,0,A25taxstdlife+I345-Input!$Y$7))</f>
        <v>n/a</v>
      </c>
      <c r="L345" s="111"/>
      <c r="M345" s="9"/>
      <c r="N345" s="9"/>
      <c r="O345" s="9"/>
      <c r="P345" s="9"/>
      <c r="Q345" s="9"/>
      <c r="R345" s="9"/>
      <c r="S345" s="253"/>
      <c r="T345" s="253"/>
      <c r="U345" s="253"/>
      <c r="V345" s="253"/>
      <c r="W345" s="253"/>
      <c r="X345" s="253"/>
      <c r="Y345" s="253"/>
      <c r="Z345" s="253"/>
    </row>
    <row r="346" spans="1:26" hidden="1" outlineLevel="1">
      <c r="A346" s="9"/>
      <c r="B346" s="9"/>
      <c r="C346" s="396"/>
      <c r="D346" s="87">
        <v>2</v>
      </c>
      <c r="E346" s="260">
        <f ca="1">OFFSET('Actual RAB roll forward'!H$68,0,D346-1)-SUM('Actual RAB roll forward'!H391:OFFSET('Actual RAB roll forward'!H391,0,Input!$Y$7-1))</f>
        <v>0</v>
      </c>
      <c r="F346" s="260" t="str">
        <f>IF(A25stdlife="N/A","n/a",IF(E346=0,0,A25stdlife+D346-Input!$Y$7))</f>
        <v>n/a</v>
      </c>
      <c r="G346" s="256"/>
      <c r="H346" s="396"/>
      <c r="I346" s="87">
        <v>2</v>
      </c>
      <c r="J346" s="260">
        <f ca="1">OFFSET('Tax value roll forward'!H$64,0,I346-1)-SUM('Tax value roll forward'!H387:OFFSET('Tax value roll forward'!H387,0,Input!$Y$7-1))</f>
        <v>0</v>
      </c>
      <c r="K346" s="260" t="str">
        <f>IF(A25taxstdlife="N/A","n/a",IF(J346=0,0,A25taxstdlife+I346-Input!$Y$7))</f>
        <v>n/a</v>
      </c>
      <c r="L346" s="111"/>
      <c r="M346" s="9"/>
      <c r="N346" s="9"/>
      <c r="O346" s="9"/>
      <c r="P346" s="9"/>
      <c r="Q346" s="9"/>
      <c r="R346" s="9"/>
      <c r="S346" s="253"/>
      <c r="T346" s="253"/>
      <c r="U346" s="253"/>
      <c r="V346" s="253"/>
      <c r="W346" s="253"/>
      <c r="X346" s="253"/>
      <c r="Y346" s="253"/>
      <c r="Z346" s="253"/>
    </row>
    <row r="347" spans="1:26" hidden="1" outlineLevel="1">
      <c r="A347" s="9"/>
      <c r="B347" s="9"/>
      <c r="C347" s="396"/>
      <c r="D347" s="87">
        <v>3</v>
      </c>
      <c r="E347" s="260">
        <f ca="1">OFFSET('Actual RAB roll forward'!H$68,0,D347-1)-SUM('Actual RAB roll forward'!H392:OFFSET('Actual RAB roll forward'!H392,0,Input!$Y$7-1))</f>
        <v>0</v>
      </c>
      <c r="F347" s="260" t="str">
        <f>IF(A25stdlife="N/A","n/a",IF(E347=0,0,A25stdlife+D347-Input!$Y$7))</f>
        <v>n/a</v>
      </c>
      <c r="G347" s="256"/>
      <c r="H347" s="396"/>
      <c r="I347" s="87">
        <v>3</v>
      </c>
      <c r="J347" s="260">
        <f ca="1">OFFSET('Tax value roll forward'!H$64,0,I347-1)-SUM('Tax value roll forward'!H388:OFFSET('Tax value roll forward'!H388,0,Input!$Y$7-1))</f>
        <v>0</v>
      </c>
      <c r="K347" s="260" t="str">
        <f>IF(A25taxstdlife="N/A","n/a",IF(J347=0,0,A25taxstdlife+I347-Input!$Y$7))</f>
        <v>n/a</v>
      </c>
      <c r="L347" s="111"/>
      <c r="M347" s="9"/>
      <c r="N347" s="9"/>
      <c r="O347" s="9"/>
      <c r="P347" s="9"/>
      <c r="Q347" s="9"/>
      <c r="R347" s="9"/>
      <c r="S347" s="253"/>
      <c r="T347" s="253"/>
      <c r="U347" s="253"/>
      <c r="V347" s="253"/>
      <c r="W347" s="253"/>
      <c r="X347" s="253"/>
      <c r="Y347" s="253"/>
      <c r="Z347" s="253"/>
    </row>
    <row r="348" spans="1:26" hidden="1" outlineLevel="1">
      <c r="A348" s="9"/>
      <c r="B348" s="9"/>
      <c r="C348" s="396"/>
      <c r="D348" s="87">
        <v>4</v>
      </c>
      <c r="E348" s="260">
        <f ca="1">OFFSET('Actual RAB roll forward'!H$68,0,D348-1)-SUM('Actual RAB roll forward'!H393:OFFSET('Actual RAB roll forward'!H393,0,Input!$Y$7-1))</f>
        <v>0</v>
      </c>
      <c r="F348" s="260" t="str">
        <f>IF(A25stdlife="N/A","n/a",IF(E348=0,0,A25stdlife+D348-Input!$Y$7))</f>
        <v>n/a</v>
      </c>
      <c r="G348" s="256"/>
      <c r="H348" s="396"/>
      <c r="I348" s="87">
        <v>4</v>
      </c>
      <c r="J348" s="260">
        <f ca="1">OFFSET('Tax value roll forward'!H$64,0,I348-1)-SUM('Tax value roll forward'!H389:OFFSET('Tax value roll forward'!H389,0,Input!$Y$7-1))</f>
        <v>0</v>
      </c>
      <c r="K348" s="260" t="str">
        <f>IF(A25taxstdlife="N/A","n/a",IF(J348=0,0,A25taxstdlife+I348-Input!$Y$7))</f>
        <v>n/a</v>
      </c>
      <c r="L348" s="111"/>
      <c r="M348" s="9"/>
      <c r="N348" s="9"/>
      <c r="O348" s="9"/>
      <c r="P348" s="9"/>
      <c r="Q348" s="9"/>
      <c r="R348" s="9"/>
      <c r="S348" s="253"/>
      <c r="T348" s="253"/>
      <c r="U348" s="253"/>
      <c r="V348" s="253"/>
      <c r="W348" s="253"/>
      <c r="X348" s="253"/>
      <c r="Y348" s="253"/>
      <c r="Z348" s="253"/>
    </row>
    <row r="349" spans="1:26" hidden="1" outlineLevel="1">
      <c r="A349" s="9"/>
      <c r="B349" s="9"/>
      <c r="C349" s="396"/>
      <c r="D349" s="87">
        <v>5</v>
      </c>
      <c r="E349" s="260">
        <f ca="1">OFFSET('Actual RAB roll forward'!H$68,0,D349-1)-SUM('Actual RAB roll forward'!H394:OFFSET('Actual RAB roll forward'!H394,0,Input!$Y$7-1))</f>
        <v>0</v>
      </c>
      <c r="F349" s="260" t="str">
        <f>IF(A25stdlife="N/A","n/a",IF(E349=0,0,A25stdlife+D349-Input!$Y$7))</f>
        <v>n/a</v>
      </c>
      <c r="G349" s="256"/>
      <c r="H349" s="396"/>
      <c r="I349" s="87">
        <v>5</v>
      </c>
      <c r="J349" s="260">
        <f ca="1">OFFSET('Tax value roll forward'!H$64,0,I349-1)-SUM('Tax value roll forward'!H390:OFFSET('Tax value roll forward'!H390,0,Input!$Y$7-1))</f>
        <v>0</v>
      </c>
      <c r="K349" s="260" t="str">
        <f>IF(A25taxstdlife="N/A","n/a",IF(J349=0,0,A25taxstdlife+I349-Input!$Y$7))</f>
        <v>n/a</v>
      </c>
      <c r="L349" s="111"/>
      <c r="M349" s="9"/>
      <c r="N349" s="9"/>
      <c r="O349" s="9"/>
      <c r="P349" s="9"/>
      <c r="Q349" s="9"/>
      <c r="R349" s="9"/>
      <c r="S349" s="253"/>
      <c r="T349" s="253"/>
      <c r="U349" s="253"/>
      <c r="V349" s="253"/>
      <c r="W349" s="253"/>
      <c r="X349" s="253"/>
      <c r="Y349" s="253"/>
      <c r="Z349" s="253"/>
    </row>
    <row r="350" spans="1:26" hidden="1" outlineLevel="1">
      <c r="A350" s="9"/>
      <c r="B350" s="9"/>
      <c r="C350" s="396"/>
      <c r="D350" s="87">
        <v>6</v>
      </c>
      <c r="E350" s="260">
        <f ca="1">OFFSET('Actual RAB roll forward'!H$68,0,D350-1)-SUM('Actual RAB roll forward'!H395:OFFSET('Actual RAB roll forward'!H395,0,Input!$Y$7-1))</f>
        <v>0</v>
      </c>
      <c r="F350" s="260" t="str">
        <f>IF(A25stdlife="N/A","n/a",IF(E350=0,0,A25stdlife+D350-Input!$Y$7))</f>
        <v>n/a</v>
      </c>
      <c r="G350" s="256"/>
      <c r="H350" s="396"/>
      <c r="I350" s="87">
        <v>6</v>
      </c>
      <c r="J350" s="260">
        <f ca="1">OFFSET('Tax value roll forward'!H$64,0,I350-1)-SUM('Tax value roll forward'!H391:OFFSET('Tax value roll forward'!H391,0,Input!$Y$7-1))</f>
        <v>0</v>
      </c>
      <c r="K350" s="260" t="str">
        <f>IF(A25taxstdlife="N/A","n/a",IF(J350=0,0,A25taxstdlife+I350-Input!$Y$7))</f>
        <v>n/a</v>
      </c>
      <c r="L350" s="111"/>
      <c r="M350" s="9"/>
      <c r="N350" s="9"/>
      <c r="O350" s="9"/>
      <c r="P350" s="9"/>
      <c r="Q350" s="9"/>
      <c r="R350" s="9"/>
      <c r="S350" s="253"/>
      <c r="T350" s="253"/>
      <c r="U350" s="253"/>
      <c r="V350" s="253"/>
      <c r="W350" s="253"/>
      <c r="X350" s="253"/>
      <c r="Y350" s="253"/>
      <c r="Z350" s="253"/>
    </row>
    <row r="351" spans="1:26" hidden="1" outlineLevel="1">
      <c r="A351" s="9"/>
      <c r="B351" s="9"/>
      <c r="C351" s="396"/>
      <c r="D351" s="87">
        <v>7</v>
      </c>
      <c r="E351" s="260">
        <f ca="1">OFFSET('Actual RAB roll forward'!H$68,0,D351-1)-SUM('Actual RAB roll forward'!H396:OFFSET('Actual RAB roll forward'!H396,0,Input!$Y$7-1))</f>
        <v>0</v>
      </c>
      <c r="F351" s="260" t="str">
        <f>IF(A25stdlife="N/A","n/a",IF(E351=0,0,A25stdlife+D351-Input!$Y$7))</f>
        <v>n/a</v>
      </c>
      <c r="G351" s="256"/>
      <c r="H351" s="396"/>
      <c r="I351" s="87">
        <v>7</v>
      </c>
      <c r="J351" s="260">
        <f ca="1">OFFSET('Tax value roll forward'!H$64,0,I351-1)-SUM('Tax value roll forward'!H392:OFFSET('Tax value roll forward'!H392,0,Input!$Y$7-1))</f>
        <v>0</v>
      </c>
      <c r="K351" s="260" t="str">
        <f>IF(A25taxstdlife="N/A","n/a",IF(J351=0,0,A25taxstdlife+I351-Input!$Y$7))</f>
        <v>n/a</v>
      </c>
      <c r="L351" s="111"/>
      <c r="M351" s="9"/>
      <c r="N351" s="9"/>
      <c r="O351" s="9"/>
      <c r="P351" s="9"/>
      <c r="Q351" s="9"/>
      <c r="R351" s="9"/>
      <c r="S351" s="253"/>
      <c r="T351" s="253"/>
      <c r="U351" s="253"/>
      <c r="V351" s="253"/>
      <c r="W351" s="253"/>
      <c r="X351" s="253"/>
      <c r="Y351" s="253"/>
      <c r="Z351" s="253"/>
    </row>
    <row r="352" spans="1:26" hidden="1" outlineLevel="1">
      <c r="A352" s="9"/>
      <c r="B352" s="9"/>
      <c r="C352" s="396"/>
      <c r="D352" s="87">
        <v>8</v>
      </c>
      <c r="E352" s="260">
        <f ca="1">OFFSET('Actual RAB roll forward'!H$68,0,D352-1)-SUM('Actual RAB roll forward'!H397:OFFSET('Actual RAB roll forward'!H397,0,Input!$Y$7-1))</f>
        <v>0</v>
      </c>
      <c r="F352" s="260" t="str">
        <f>IF(A25stdlife="N/A","n/a",IF(E352=0,0,A25stdlife+D352-Input!$Y$7))</f>
        <v>n/a</v>
      </c>
      <c r="G352" s="256"/>
      <c r="H352" s="396"/>
      <c r="I352" s="87">
        <v>8</v>
      </c>
      <c r="J352" s="260">
        <f ca="1">OFFSET('Tax value roll forward'!H$64,0,I352-1)-SUM('Tax value roll forward'!H393:OFFSET('Tax value roll forward'!H393,0,Input!$Y$7-1))</f>
        <v>0</v>
      </c>
      <c r="K352" s="260" t="str">
        <f>IF(A25taxstdlife="N/A","n/a",IF(J352=0,0,A25taxstdlife+I352-Input!$Y$7))</f>
        <v>n/a</v>
      </c>
      <c r="L352" s="111"/>
      <c r="M352" s="9"/>
      <c r="N352" s="9"/>
      <c r="O352" s="9"/>
      <c r="P352" s="9"/>
      <c r="Q352" s="9"/>
      <c r="R352" s="9"/>
      <c r="S352" s="253"/>
      <c r="T352" s="253"/>
      <c r="U352" s="253"/>
      <c r="V352" s="253"/>
      <c r="W352" s="253"/>
      <c r="X352" s="253"/>
      <c r="Y352" s="253"/>
      <c r="Z352" s="253"/>
    </row>
    <row r="353" spans="1:26" hidden="1" outlineLevel="1">
      <c r="A353" s="9"/>
      <c r="B353" s="9"/>
      <c r="C353" s="396"/>
      <c r="D353" s="87">
        <v>9</v>
      </c>
      <c r="E353" s="260">
        <f ca="1">OFFSET('Actual RAB roll forward'!H$68,0,D353-1)-SUM('Actual RAB roll forward'!H398:OFFSET('Actual RAB roll forward'!H398,0,Input!$Y$7-1))</f>
        <v>0</v>
      </c>
      <c r="F353" s="260" t="str">
        <f>IF(A25stdlife="N/A","n/a",IF(E353=0,0,A25stdlife+D353-Input!$Y$7))</f>
        <v>n/a</v>
      </c>
      <c r="G353" s="256"/>
      <c r="H353" s="396"/>
      <c r="I353" s="87">
        <v>9</v>
      </c>
      <c r="J353" s="260">
        <f ca="1">OFFSET('Tax value roll forward'!H$64,0,I353-1)-SUM('Tax value roll forward'!H394:OFFSET('Tax value roll forward'!H394,0,Input!$Y$7-1))</f>
        <v>0</v>
      </c>
      <c r="K353" s="260" t="str">
        <f>IF(A25taxstdlife="N/A","n/a",IF(J353=0,0,A25taxstdlife+I353-Input!$Y$7))</f>
        <v>n/a</v>
      </c>
      <c r="L353" s="111"/>
      <c r="M353" s="9"/>
      <c r="N353" s="9"/>
      <c r="O353" s="9"/>
      <c r="P353" s="9"/>
      <c r="Q353" s="9"/>
      <c r="R353" s="9"/>
      <c r="S353" s="253"/>
      <c r="T353" s="253"/>
      <c r="U353" s="253"/>
      <c r="V353" s="253"/>
      <c r="W353" s="253"/>
      <c r="X353" s="253"/>
      <c r="Y353" s="253"/>
      <c r="Z353" s="253"/>
    </row>
    <row r="354" spans="1:26" hidden="1" outlineLevel="1">
      <c r="A354" s="9"/>
      <c r="B354" s="9"/>
      <c r="C354" s="397"/>
      <c r="D354" s="88">
        <v>10</v>
      </c>
      <c r="E354" s="260">
        <f ca="1">OFFSET('Actual RAB roll forward'!H$68,0,D354-1)-SUM('Actual RAB roll forward'!H399:OFFSET('Actual RAB roll forward'!H399,0,Input!$Y$7-1))</f>
        <v>0</v>
      </c>
      <c r="F354" s="260" t="str">
        <f>IF(A25stdlife="N/A","n/a",IF(E354=0,0,A25stdlife+D354-Input!$Y$7))</f>
        <v>n/a</v>
      </c>
      <c r="G354" s="256"/>
      <c r="H354" s="397"/>
      <c r="I354" s="88">
        <v>10</v>
      </c>
      <c r="J354" s="260">
        <f ca="1">OFFSET('Tax value roll forward'!H$64,0,I354-1)-SUM('Tax value roll forward'!H395:OFFSET('Tax value roll forward'!H395,0,Input!$Y$7-1))</f>
        <v>0</v>
      </c>
      <c r="K354" s="260" t="str">
        <f>IF(A25taxstdlife="N/A","n/a",IF(J354=0,0,A25taxstdlife+I354-Input!$Y$7))</f>
        <v>n/a</v>
      </c>
      <c r="L354" s="111"/>
      <c r="M354" s="9"/>
      <c r="N354" s="9"/>
      <c r="O354" s="9"/>
      <c r="P354" s="9"/>
      <c r="Q354" s="9"/>
      <c r="R354" s="9"/>
      <c r="S354" s="253"/>
      <c r="T354" s="253"/>
      <c r="U354" s="253"/>
      <c r="V354" s="253"/>
      <c r="W354" s="253"/>
      <c r="X354" s="253"/>
      <c r="Y354" s="253"/>
      <c r="Z354" s="253"/>
    </row>
    <row r="355" spans="1:26" collapsed="1">
      <c r="A355" s="9"/>
      <c r="B355" s="9"/>
      <c r="C355" s="274">
        <f>Asset25</f>
        <v>0</v>
      </c>
      <c r="D355" s="9"/>
      <c r="E355" s="260">
        <f ca="1">SUM(E344:E354)</f>
        <v>0</v>
      </c>
      <c r="F355" s="260">
        <f ca="1">IF(E355=0,0,SUMPRODUCT(E344:E354,F344:F354)/E355)</f>
        <v>0</v>
      </c>
      <c r="G355" s="256"/>
      <c r="H355" s="43"/>
      <c r="I355" s="260"/>
      <c r="J355" s="260">
        <f ca="1">SUM(J344:J354)</f>
        <v>0</v>
      </c>
      <c r="K355" s="260">
        <f ca="1">IF(J355=0,0,SUMPRODUCT(J344:J354,K344:K354)/J355)</f>
        <v>0</v>
      </c>
      <c r="L355" s="111"/>
      <c r="M355" s="9"/>
      <c r="N355" s="9"/>
      <c r="O355" s="9"/>
      <c r="P355" s="9"/>
      <c r="Q355" s="9"/>
      <c r="R355" s="9"/>
      <c r="S355" s="253"/>
      <c r="T355" s="253"/>
      <c r="U355" s="253"/>
      <c r="V355" s="253"/>
      <c r="W355" s="253"/>
      <c r="X355" s="253"/>
      <c r="Y355" s="253"/>
      <c r="Z355" s="253"/>
    </row>
    <row r="356" spans="1:26" hidden="1" outlineLevel="1">
      <c r="A356" s="9"/>
      <c r="B356" s="272"/>
      <c r="C356" s="9"/>
      <c r="D356" s="9"/>
      <c r="E356" s="35"/>
      <c r="F356" s="35"/>
      <c r="G356" s="256"/>
      <c r="H356" s="260"/>
      <c r="I356" s="260"/>
      <c r="J356" s="265"/>
      <c r="K356" s="260"/>
      <c r="L356" s="111"/>
      <c r="M356" s="9"/>
      <c r="N356" s="9"/>
      <c r="O356" s="9"/>
      <c r="P356" s="9"/>
      <c r="Q356" s="9"/>
      <c r="R356" s="9"/>
      <c r="S356" s="253"/>
      <c r="T356" s="253"/>
      <c r="U356" s="253"/>
      <c r="V356" s="253"/>
      <c r="W356" s="253"/>
      <c r="X356" s="253"/>
      <c r="Y356" s="253"/>
      <c r="Z356" s="253"/>
    </row>
    <row r="357" spans="1:26" hidden="1" outlineLevel="1">
      <c r="A357" s="9"/>
      <c r="B357" s="272">
        <f>Asset26</f>
        <v>0</v>
      </c>
      <c r="C357" s="9"/>
      <c r="D357" s="9"/>
      <c r="E357" s="35"/>
      <c r="F357" s="35"/>
      <c r="G357" s="256"/>
      <c r="H357" s="260"/>
      <c r="I357" s="260"/>
      <c r="J357" s="265"/>
      <c r="K357" s="260"/>
      <c r="L357" s="111"/>
      <c r="M357" s="9"/>
      <c r="N357" s="9"/>
      <c r="O357" s="9"/>
      <c r="P357" s="9"/>
      <c r="Q357" s="9"/>
      <c r="R357" s="9"/>
      <c r="S357" s="253"/>
      <c r="T357" s="253"/>
      <c r="U357" s="253"/>
      <c r="V357" s="253"/>
      <c r="W357" s="253"/>
      <c r="X357" s="253"/>
      <c r="Y357" s="253"/>
      <c r="Z357" s="253"/>
    </row>
    <row r="358" spans="1:26" ht="12.75" hidden="1" customHeight="1" outlineLevel="1">
      <c r="A358" s="9"/>
      <c r="B358" s="9"/>
      <c r="C358" s="393" t="s">
        <v>26</v>
      </c>
      <c r="D358" s="394"/>
      <c r="E358" s="260">
        <f ca="1">A26value-SUM('Actual RAB roll forward'!H401:OFFSET('Actual RAB roll forward'!H401,0,Input!$Y$7-1))</f>
        <v>0</v>
      </c>
      <c r="F358" s="260" t="str">
        <f>IF(A26remlife="N/A","n/a",A26remlife-Input!$Y$7)</f>
        <v>n/a</v>
      </c>
      <c r="G358" s="256"/>
      <c r="H358" s="298" t="s">
        <v>66</v>
      </c>
      <c r="I358" s="299"/>
      <c r="J358" s="260">
        <f ca="1">A26taxvalue-SUM('Tax value roll forward'!H397:OFFSET('Tax value roll forward'!H397,0,Input!$Y$7-1))</f>
        <v>0</v>
      </c>
      <c r="K358" s="260" t="str">
        <f>IF(A26taxremlife="N/A","n/a",A26taxremlife-Input!$Y$7)</f>
        <v>n/a</v>
      </c>
      <c r="L358" s="111"/>
      <c r="M358" s="9"/>
      <c r="N358" s="9"/>
      <c r="O358" s="9"/>
      <c r="P358" s="9"/>
      <c r="Q358" s="9"/>
      <c r="R358" s="9"/>
      <c r="S358" s="253"/>
      <c r="T358" s="253"/>
      <c r="U358" s="253"/>
      <c r="V358" s="253"/>
      <c r="W358" s="253"/>
      <c r="X358" s="253"/>
      <c r="Y358" s="253"/>
      <c r="Z358" s="253"/>
    </row>
    <row r="359" spans="1:26" hidden="1" outlineLevel="1">
      <c r="A359" s="9"/>
      <c r="B359" s="9"/>
      <c r="C359" s="395" t="s">
        <v>82</v>
      </c>
      <c r="D359" s="87">
        <v>1</v>
      </c>
      <c r="E359" s="260">
        <f ca="1">OFFSET('Actual RAB roll forward'!H$69,0,D359-1)-SUM('Actual RAB roll forward'!H403:OFFSET('Actual RAB roll forward'!H403,0,Input!$Y$7-1))</f>
        <v>0</v>
      </c>
      <c r="F359" s="260" t="str">
        <f>IF(A26stdlife="N/A","n/a",IF(E359=0,0,A26stdlife+D359-Input!$Y$7))</f>
        <v>n/a</v>
      </c>
      <c r="G359" s="256"/>
      <c r="H359" s="395" t="s">
        <v>82</v>
      </c>
      <c r="I359" s="87">
        <v>1</v>
      </c>
      <c r="J359" s="260">
        <f ca="1">OFFSET('Tax value roll forward'!H$65,0,I359-1)-SUM('Tax value roll forward'!H399:OFFSET('Tax value roll forward'!H399,0,Input!$Y$7-1))</f>
        <v>0</v>
      </c>
      <c r="K359" s="260" t="str">
        <f>IF(A26taxstdlife="N/A","n/a",IF(J359=0,0,A26taxstdlife+I359-Input!$Y$7))</f>
        <v>n/a</v>
      </c>
      <c r="L359" s="111"/>
      <c r="M359" s="9"/>
      <c r="N359" s="9"/>
      <c r="O359" s="9"/>
      <c r="P359" s="9"/>
      <c r="Q359" s="9"/>
      <c r="R359" s="9"/>
      <c r="S359" s="253"/>
      <c r="T359" s="253"/>
      <c r="U359" s="253"/>
      <c r="V359" s="253"/>
      <c r="W359" s="253"/>
      <c r="X359" s="253"/>
      <c r="Y359" s="253"/>
      <c r="Z359" s="253"/>
    </row>
    <row r="360" spans="1:26" hidden="1" outlineLevel="1">
      <c r="A360" s="9"/>
      <c r="B360" s="9"/>
      <c r="C360" s="396"/>
      <c r="D360" s="87">
        <v>2</v>
      </c>
      <c r="E360" s="260">
        <f ca="1">OFFSET('Actual RAB roll forward'!H$69,0,D360-1)-SUM('Actual RAB roll forward'!H404:OFFSET('Actual RAB roll forward'!H404,0,Input!$Y$7-1))</f>
        <v>0</v>
      </c>
      <c r="F360" s="260" t="str">
        <f>IF(A26stdlife="N/A","n/a",IF(E360=0,0,A26stdlife+D360-Input!$Y$7))</f>
        <v>n/a</v>
      </c>
      <c r="G360" s="256"/>
      <c r="H360" s="396"/>
      <c r="I360" s="87">
        <v>2</v>
      </c>
      <c r="J360" s="260">
        <f ca="1">OFFSET('Tax value roll forward'!H$65,0,I360-1)-SUM('Tax value roll forward'!H400:OFFSET('Tax value roll forward'!H400,0,Input!$Y$7-1))</f>
        <v>0</v>
      </c>
      <c r="K360" s="260" t="str">
        <f>IF(A26taxstdlife="N/A","n/a",IF(J360=0,0,A26taxstdlife+I360-Input!$Y$7))</f>
        <v>n/a</v>
      </c>
      <c r="L360" s="111"/>
      <c r="M360" s="9"/>
      <c r="N360" s="9"/>
      <c r="O360" s="9"/>
      <c r="P360" s="9"/>
      <c r="Q360" s="9"/>
      <c r="R360" s="9"/>
      <c r="S360" s="253"/>
      <c r="T360" s="253"/>
      <c r="U360" s="253"/>
      <c r="V360" s="253"/>
      <c r="W360" s="253"/>
      <c r="X360" s="253"/>
      <c r="Y360" s="253"/>
      <c r="Z360" s="253"/>
    </row>
    <row r="361" spans="1:26" hidden="1" outlineLevel="1">
      <c r="A361" s="9"/>
      <c r="B361" s="9"/>
      <c r="C361" s="396"/>
      <c r="D361" s="87">
        <v>3</v>
      </c>
      <c r="E361" s="260">
        <f ca="1">OFFSET('Actual RAB roll forward'!H$69,0,D361-1)-SUM('Actual RAB roll forward'!H405:OFFSET('Actual RAB roll forward'!H405,0,Input!$Y$7-1))</f>
        <v>0</v>
      </c>
      <c r="F361" s="260" t="str">
        <f>IF(A26stdlife="N/A","n/a",IF(E361=0,0,A26stdlife+D361-Input!$Y$7))</f>
        <v>n/a</v>
      </c>
      <c r="G361" s="256"/>
      <c r="H361" s="396"/>
      <c r="I361" s="87">
        <v>3</v>
      </c>
      <c r="J361" s="260">
        <f ca="1">OFFSET('Tax value roll forward'!H$65,0,I361-1)-SUM('Tax value roll forward'!H401:OFFSET('Tax value roll forward'!H401,0,Input!$Y$7-1))</f>
        <v>0</v>
      </c>
      <c r="K361" s="260" t="str">
        <f>IF(A26taxstdlife="N/A","n/a",IF(J361=0,0,A26taxstdlife+I361-Input!$Y$7))</f>
        <v>n/a</v>
      </c>
      <c r="L361" s="111"/>
      <c r="M361" s="9"/>
      <c r="N361" s="9"/>
      <c r="O361" s="9"/>
      <c r="P361" s="9"/>
      <c r="Q361" s="9"/>
      <c r="R361" s="9"/>
      <c r="S361" s="253"/>
      <c r="T361" s="253"/>
      <c r="U361" s="253"/>
      <c r="V361" s="253"/>
      <c r="W361" s="253"/>
      <c r="X361" s="253"/>
      <c r="Y361" s="253"/>
      <c r="Z361" s="253"/>
    </row>
    <row r="362" spans="1:26" hidden="1" outlineLevel="1">
      <c r="A362" s="9"/>
      <c r="B362" s="9"/>
      <c r="C362" s="396"/>
      <c r="D362" s="87">
        <v>4</v>
      </c>
      <c r="E362" s="260">
        <f ca="1">OFFSET('Actual RAB roll forward'!H$69,0,D362-1)-SUM('Actual RAB roll forward'!H406:OFFSET('Actual RAB roll forward'!H406,0,Input!$Y$7-1))</f>
        <v>0</v>
      </c>
      <c r="F362" s="260" t="str">
        <f>IF(A26stdlife="N/A","n/a",IF(E362=0,0,A26stdlife+D362-Input!$Y$7))</f>
        <v>n/a</v>
      </c>
      <c r="G362" s="256"/>
      <c r="H362" s="396"/>
      <c r="I362" s="87">
        <v>4</v>
      </c>
      <c r="J362" s="260">
        <f ca="1">OFFSET('Tax value roll forward'!H$65,0,I362-1)-SUM('Tax value roll forward'!H402:OFFSET('Tax value roll forward'!H402,0,Input!$Y$7-1))</f>
        <v>0</v>
      </c>
      <c r="K362" s="260" t="str">
        <f>IF(A26taxstdlife="N/A","n/a",IF(J362=0,0,A26taxstdlife+I362-Input!$Y$7))</f>
        <v>n/a</v>
      </c>
      <c r="L362" s="111"/>
      <c r="M362" s="9"/>
      <c r="N362" s="9"/>
      <c r="O362" s="9"/>
      <c r="P362" s="9"/>
      <c r="Q362" s="9"/>
      <c r="R362" s="9"/>
      <c r="S362" s="253"/>
      <c r="T362" s="253"/>
      <c r="U362" s="253"/>
      <c r="V362" s="253"/>
      <c r="W362" s="253"/>
      <c r="X362" s="253"/>
      <c r="Y362" s="253"/>
      <c r="Z362" s="253"/>
    </row>
    <row r="363" spans="1:26" hidden="1" outlineLevel="1">
      <c r="A363" s="9"/>
      <c r="B363" s="9"/>
      <c r="C363" s="396"/>
      <c r="D363" s="87">
        <v>5</v>
      </c>
      <c r="E363" s="260">
        <f ca="1">OFFSET('Actual RAB roll forward'!H$69,0,D363-1)-SUM('Actual RAB roll forward'!H407:OFFSET('Actual RAB roll forward'!H407,0,Input!$Y$7-1))</f>
        <v>0</v>
      </c>
      <c r="F363" s="260" t="str">
        <f>IF(A26stdlife="N/A","n/a",IF(E363=0,0,A26stdlife+D363-Input!$Y$7))</f>
        <v>n/a</v>
      </c>
      <c r="G363" s="256"/>
      <c r="H363" s="396"/>
      <c r="I363" s="87">
        <v>5</v>
      </c>
      <c r="J363" s="260">
        <f ca="1">OFFSET('Tax value roll forward'!H$65,0,I363-1)-SUM('Tax value roll forward'!H403:OFFSET('Tax value roll forward'!H403,0,Input!$Y$7-1))</f>
        <v>0</v>
      </c>
      <c r="K363" s="260" t="str">
        <f>IF(A26taxstdlife="N/A","n/a",IF(J363=0,0,A26taxstdlife+I363-Input!$Y$7))</f>
        <v>n/a</v>
      </c>
      <c r="L363" s="111"/>
      <c r="M363" s="9"/>
      <c r="N363" s="9"/>
      <c r="O363" s="9"/>
      <c r="P363" s="9"/>
      <c r="Q363" s="9"/>
      <c r="R363" s="9"/>
      <c r="S363" s="253"/>
      <c r="T363" s="253"/>
      <c r="U363" s="253"/>
      <c r="V363" s="253"/>
      <c r="W363" s="253"/>
      <c r="X363" s="253"/>
      <c r="Y363" s="253"/>
      <c r="Z363" s="253"/>
    </row>
    <row r="364" spans="1:26" hidden="1" outlineLevel="1">
      <c r="A364" s="9"/>
      <c r="B364" s="9"/>
      <c r="C364" s="396"/>
      <c r="D364" s="87">
        <v>6</v>
      </c>
      <c r="E364" s="260">
        <f ca="1">OFFSET('Actual RAB roll forward'!H$69,0,D364-1)-SUM('Actual RAB roll forward'!H408:OFFSET('Actual RAB roll forward'!H408,0,Input!$Y$7-1))</f>
        <v>0</v>
      </c>
      <c r="F364" s="260" t="str">
        <f>IF(A26stdlife="N/A","n/a",IF(E364=0,0,A26stdlife+D364-Input!$Y$7))</f>
        <v>n/a</v>
      </c>
      <c r="G364" s="256"/>
      <c r="H364" s="396"/>
      <c r="I364" s="87">
        <v>6</v>
      </c>
      <c r="J364" s="260">
        <f ca="1">OFFSET('Tax value roll forward'!H$65,0,I364-1)-SUM('Tax value roll forward'!H404:OFFSET('Tax value roll forward'!H404,0,Input!$Y$7-1))</f>
        <v>0</v>
      </c>
      <c r="K364" s="260" t="str">
        <f>IF(A26taxstdlife="N/A","n/a",IF(J364=0,0,A26taxstdlife+I364-Input!$Y$7))</f>
        <v>n/a</v>
      </c>
      <c r="L364" s="111"/>
      <c r="M364" s="9"/>
      <c r="N364" s="9"/>
      <c r="O364" s="9"/>
      <c r="P364" s="9"/>
      <c r="Q364" s="9"/>
      <c r="R364" s="9"/>
      <c r="S364" s="253"/>
      <c r="T364" s="253"/>
      <c r="U364" s="253"/>
      <c r="V364" s="253"/>
      <c r="W364" s="253"/>
      <c r="X364" s="253"/>
      <c r="Y364" s="253"/>
      <c r="Z364" s="253"/>
    </row>
    <row r="365" spans="1:26" hidden="1" outlineLevel="1">
      <c r="A365" s="9"/>
      <c r="B365" s="9"/>
      <c r="C365" s="396"/>
      <c r="D365" s="87">
        <v>7</v>
      </c>
      <c r="E365" s="260">
        <f ca="1">OFFSET('Actual RAB roll forward'!H$69,0,D365-1)-SUM('Actual RAB roll forward'!H409:OFFSET('Actual RAB roll forward'!H409,0,Input!$Y$7-1))</f>
        <v>0</v>
      </c>
      <c r="F365" s="260" t="str">
        <f>IF(A26stdlife="N/A","n/a",IF(E365=0,0,A26stdlife+D365-Input!$Y$7))</f>
        <v>n/a</v>
      </c>
      <c r="G365" s="256"/>
      <c r="H365" s="396"/>
      <c r="I365" s="87">
        <v>7</v>
      </c>
      <c r="J365" s="260">
        <f ca="1">OFFSET('Tax value roll forward'!H$65,0,I365-1)-SUM('Tax value roll forward'!H405:OFFSET('Tax value roll forward'!H405,0,Input!$Y$7-1))</f>
        <v>0</v>
      </c>
      <c r="K365" s="260" t="str">
        <f>IF(A26taxstdlife="N/A","n/a",IF(J365=0,0,A26taxstdlife+I365-Input!$Y$7))</f>
        <v>n/a</v>
      </c>
      <c r="L365" s="111"/>
      <c r="M365" s="9"/>
      <c r="N365" s="9"/>
      <c r="O365" s="9"/>
      <c r="P365" s="9"/>
      <c r="Q365" s="9"/>
      <c r="R365" s="9"/>
      <c r="S365" s="253"/>
      <c r="T365" s="253"/>
      <c r="U365" s="253"/>
      <c r="V365" s="253"/>
      <c r="W365" s="253"/>
      <c r="X365" s="253"/>
      <c r="Y365" s="253"/>
      <c r="Z365" s="253"/>
    </row>
    <row r="366" spans="1:26" hidden="1" outlineLevel="1">
      <c r="A366" s="9"/>
      <c r="B366" s="9"/>
      <c r="C366" s="396"/>
      <c r="D366" s="87">
        <v>8</v>
      </c>
      <c r="E366" s="260">
        <f ca="1">OFFSET('Actual RAB roll forward'!H$69,0,D366-1)-SUM('Actual RAB roll forward'!H410:OFFSET('Actual RAB roll forward'!H410,0,Input!$Y$7-1))</f>
        <v>0</v>
      </c>
      <c r="F366" s="260" t="str">
        <f>IF(A26stdlife="N/A","n/a",IF(E366=0,0,A26stdlife+D366-Input!$Y$7))</f>
        <v>n/a</v>
      </c>
      <c r="G366" s="256"/>
      <c r="H366" s="396"/>
      <c r="I366" s="87">
        <v>8</v>
      </c>
      <c r="J366" s="260">
        <f ca="1">OFFSET('Tax value roll forward'!H$65,0,I366-1)-SUM('Tax value roll forward'!H406:OFFSET('Tax value roll forward'!H406,0,Input!$Y$7-1))</f>
        <v>0</v>
      </c>
      <c r="K366" s="260" t="str">
        <f>IF(A26taxstdlife="N/A","n/a",IF(J366=0,0,A26taxstdlife+I366-Input!$Y$7))</f>
        <v>n/a</v>
      </c>
      <c r="L366" s="111"/>
      <c r="M366" s="9"/>
      <c r="N366" s="9"/>
      <c r="O366" s="9"/>
      <c r="P366" s="9"/>
      <c r="Q366" s="9"/>
      <c r="R366" s="9"/>
      <c r="S366" s="253"/>
      <c r="T366" s="253"/>
      <c r="U366" s="253"/>
      <c r="V366" s="253"/>
      <c r="W366" s="253"/>
      <c r="X366" s="253"/>
      <c r="Y366" s="253"/>
      <c r="Z366" s="253"/>
    </row>
    <row r="367" spans="1:26" hidden="1" outlineLevel="1">
      <c r="A367" s="9"/>
      <c r="B367" s="9"/>
      <c r="C367" s="396"/>
      <c r="D367" s="87">
        <v>9</v>
      </c>
      <c r="E367" s="260">
        <f ca="1">OFFSET('Actual RAB roll forward'!H$69,0,D367-1)-SUM('Actual RAB roll forward'!H411:OFFSET('Actual RAB roll forward'!H411,0,Input!$Y$7-1))</f>
        <v>0</v>
      </c>
      <c r="F367" s="260" t="str">
        <f>IF(A26stdlife="N/A","n/a",IF(E367=0,0,A26stdlife+D367-Input!$Y$7))</f>
        <v>n/a</v>
      </c>
      <c r="G367" s="256"/>
      <c r="H367" s="396"/>
      <c r="I367" s="87">
        <v>9</v>
      </c>
      <c r="J367" s="260">
        <f ca="1">OFFSET('Tax value roll forward'!H$65,0,I367-1)-SUM('Tax value roll forward'!H407:OFFSET('Tax value roll forward'!H407,0,Input!$Y$7-1))</f>
        <v>0</v>
      </c>
      <c r="K367" s="260" t="str">
        <f>IF(A26taxstdlife="N/A","n/a",IF(J367=0,0,A26taxstdlife+I367-Input!$Y$7))</f>
        <v>n/a</v>
      </c>
      <c r="L367" s="111"/>
      <c r="M367" s="9"/>
      <c r="N367" s="9"/>
      <c r="O367" s="9"/>
      <c r="P367" s="9"/>
      <c r="Q367" s="9"/>
      <c r="R367" s="9"/>
      <c r="S367" s="253"/>
      <c r="T367" s="253"/>
      <c r="U367" s="253"/>
      <c r="V367" s="253"/>
      <c r="W367" s="253"/>
      <c r="X367" s="253"/>
      <c r="Y367" s="253"/>
      <c r="Z367" s="253"/>
    </row>
    <row r="368" spans="1:26" hidden="1" outlineLevel="1">
      <c r="A368" s="9"/>
      <c r="B368" s="9"/>
      <c r="C368" s="397"/>
      <c r="D368" s="88">
        <v>10</v>
      </c>
      <c r="E368" s="260">
        <f ca="1">OFFSET('Actual RAB roll forward'!H$69,0,D368-1)-SUM('Actual RAB roll forward'!H412:OFFSET('Actual RAB roll forward'!H412,0,Input!$Y$7-1))</f>
        <v>0</v>
      </c>
      <c r="F368" s="260" t="str">
        <f>IF(A26stdlife="N/A","n/a",IF(E368=0,0,A26stdlife+D368-Input!$Y$7))</f>
        <v>n/a</v>
      </c>
      <c r="G368" s="256"/>
      <c r="H368" s="397"/>
      <c r="I368" s="88">
        <v>10</v>
      </c>
      <c r="J368" s="260">
        <f ca="1">OFFSET('Tax value roll forward'!H$65,0,I368-1)-SUM('Tax value roll forward'!H408:OFFSET('Tax value roll forward'!H408,0,Input!$Y$7-1))</f>
        <v>0</v>
      </c>
      <c r="K368" s="260" t="str">
        <f>IF(A26taxstdlife="N/A","n/a",IF(J368=0,0,A26taxstdlife+I368-Input!$Y$7))</f>
        <v>n/a</v>
      </c>
      <c r="L368" s="111"/>
      <c r="M368" s="9"/>
      <c r="N368" s="9"/>
      <c r="O368" s="9"/>
      <c r="P368" s="9"/>
      <c r="Q368" s="9"/>
      <c r="R368" s="9"/>
      <c r="S368" s="253"/>
      <c r="T368" s="253"/>
      <c r="U368" s="253"/>
      <c r="V368" s="253"/>
      <c r="W368" s="253"/>
      <c r="X368" s="253"/>
      <c r="Y368" s="253"/>
      <c r="Z368" s="253"/>
    </row>
    <row r="369" spans="1:26" collapsed="1">
      <c r="A369" s="9"/>
      <c r="B369" s="9"/>
      <c r="C369" s="274">
        <f>Asset26</f>
        <v>0</v>
      </c>
      <c r="D369" s="9"/>
      <c r="E369" s="260">
        <f ca="1">SUM(E358:E368)</f>
        <v>0</v>
      </c>
      <c r="F369" s="260">
        <f ca="1">IF(E369=0,0,SUMPRODUCT(E358:E368,F358:F368)/E369)</f>
        <v>0</v>
      </c>
      <c r="G369" s="256"/>
      <c r="H369" s="43"/>
      <c r="I369" s="260"/>
      <c r="J369" s="260">
        <f ca="1">SUM(J358:J368)</f>
        <v>0</v>
      </c>
      <c r="K369" s="260">
        <f ca="1">IF(J369=0,0,SUMPRODUCT(J358:J368,K358:K368)/J369)</f>
        <v>0</v>
      </c>
      <c r="L369" s="111"/>
      <c r="M369" s="9"/>
      <c r="N369" s="9"/>
      <c r="O369" s="9"/>
      <c r="P369" s="9"/>
      <c r="Q369" s="9"/>
      <c r="R369" s="9"/>
      <c r="S369" s="253"/>
      <c r="T369" s="253"/>
      <c r="U369" s="253"/>
      <c r="V369" s="253"/>
      <c r="W369" s="253"/>
      <c r="X369" s="253"/>
      <c r="Y369" s="253"/>
      <c r="Z369" s="253"/>
    </row>
    <row r="370" spans="1:26" hidden="1" outlineLevel="1">
      <c r="A370" s="9"/>
      <c r="B370" s="272"/>
      <c r="C370" s="9"/>
      <c r="D370" s="9"/>
      <c r="E370" s="35"/>
      <c r="F370" s="35"/>
      <c r="G370" s="256"/>
      <c r="H370" s="260"/>
      <c r="I370" s="260"/>
      <c r="J370" s="265"/>
      <c r="K370" s="260"/>
      <c r="L370" s="111"/>
      <c r="M370" s="9"/>
      <c r="N370" s="9"/>
      <c r="O370" s="9"/>
      <c r="P370" s="9"/>
      <c r="Q370" s="9"/>
      <c r="R370" s="9"/>
      <c r="S370" s="253"/>
      <c r="T370" s="253"/>
      <c r="U370" s="253"/>
      <c r="V370" s="253"/>
      <c r="W370" s="253"/>
      <c r="X370" s="253"/>
      <c r="Y370" s="253"/>
      <c r="Z370" s="253"/>
    </row>
    <row r="371" spans="1:26" hidden="1" outlineLevel="1">
      <c r="A371" s="9"/>
      <c r="B371" s="272">
        <f>Asset27</f>
        <v>0</v>
      </c>
      <c r="C371" s="9"/>
      <c r="D371" s="9"/>
      <c r="E371" s="35"/>
      <c r="F371" s="35"/>
      <c r="G371" s="256"/>
      <c r="H371" s="260"/>
      <c r="I371" s="260"/>
      <c r="J371" s="265"/>
      <c r="K371" s="260"/>
      <c r="L371" s="111"/>
      <c r="M371" s="9"/>
      <c r="N371" s="9"/>
      <c r="O371" s="9"/>
      <c r="P371" s="9"/>
      <c r="Q371" s="9"/>
      <c r="R371" s="9"/>
      <c r="S371" s="253"/>
      <c r="T371" s="253"/>
      <c r="U371" s="253"/>
      <c r="V371" s="253"/>
      <c r="W371" s="253"/>
      <c r="X371" s="253"/>
      <c r="Y371" s="253"/>
      <c r="Z371" s="253"/>
    </row>
    <row r="372" spans="1:26" ht="12.75" hidden="1" customHeight="1" outlineLevel="1">
      <c r="A372" s="9"/>
      <c r="B372" s="9"/>
      <c r="C372" s="393" t="s">
        <v>26</v>
      </c>
      <c r="D372" s="394"/>
      <c r="E372" s="260">
        <f ca="1">A27value-SUM('Actual RAB roll forward'!H414:OFFSET('Actual RAB roll forward'!H414,0,Input!$Y$7-1))</f>
        <v>0</v>
      </c>
      <c r="F372" s="260" t="str">
        <f>IF(A27remlife="N/A","n/a",A27remlife-Input!$Y$7)</f>
        <v>n/a</v>
      </c>
      <c r="G372" s="256"/>
      <c r="H372" s="298" t="s">
        <v>66</v>
      </c>
      <c r="I372" s="299"/>
      <c r="J372" s="260">
        <f ca="1">A27taxvalue-SUM('Tax value roll forward'!H410:OFFSET('Tax value roll forward'!H410,0,Input!$Y$7-1))</f>
        <v>0</v>
      </c>
      <c r="K372" s="260" t="str">
        <f>IF(A27taxremlife="N/A","n/a",A27taxremlife-Input!$Y$7)</f>
        <v>n/a</v>
      </c>
      <c r="L372" s="111"/>
      <c r="M372" s="9"/>
      <c r="N372" s="9"/>
      <c r="O372" s="9"/>
      <c r="P372" s="9"/>
      <c r="Q372" s="9"/>
      <c r="R372" s="9"/>
      <c r="S372" s="253"/>
      <c r="T372" s="253"/>
      <c r="U372" s="253"/>
      <c r="V372" s="253"/>
      <c r="W372" s="253"/>
      <c r="X372" s="253"/>
      <c r="Y372" s="253"/>
      <c r="Z372" s="253"/>
    </row>
    <row r="373" spans="1:26" hidden="1" outlineLevel="1">
      <c r="A373" s="9"/>
      <c r="B373" s="9"/>
      <c r="C373" s="395" t="s">
        <v>82</v>
      </c>
      <c r="D373" s="87">
        <v>1</v>
      </c>
      <c r="E373" s="260">
        <f ca="1">OFFSET('Actual RAB roll forward'!H$70,0,D373-1)-SUM('Actual RAB roll forward'!H416:OFFSET('Actual RAB roll forward'!H416,0,Input!$Y$7-1))</f>
        <v>0</v>
      </c>
      <c r="F373" s="260" t="str">
        <f>IF(A27stdlife="N/A","n/a",IF(E373=0,0,A27stdlife+D373-Input!$Y$7))</f>
        <v>n/a</v>
      </c>
      <c r="G373" s="256"/>
      <c r="H373" s="395" t="s">
        <v>82</v>
      </c>
      <c r="I373" s="87">
        <v>1</v>
      </c>
      <c r="J373" s="260">
        <f ca="1">OFFSET('Tax value roll forward'!H$66,0,I373-1)-SUM('Tax value roll forward'!H412:OFFSET('Tax value roll forward'!H412,0,Input!$Y$7-1))</f>
        <v>0</v>
      </c>
      <c r="K373" s="260" t="str">
        <f>IF(A27taxstdlife="N/A","n/a",IF(J373=0,0,A27taxstdlife+I373-Input!$Y$7))</f>
        <v>n/a</v>
      </c>
      <c r="L373" s="111"/>
      <c r="M373" s="9"/>
      <c r="N373" s="9"/>
      <c r="O373" s="9"/>
      <c r="P373" s="9"/>
      <c r="Q373" s="9"/>
      <c r="R373" s="9"/>
      <c r="S373" s="253"/>
      <c r="T373" s="253"/>
      <c r="U373" s="253"/>
      <c r="V373" s="253"/>
      <c r="W373" s="253"/>
      <c r="X373" s="253"/>
      <c r="Y373" s="253"/>
      <c r="Z373" s="253"/>
    </row>
    <row r="374" spans="1:26" hidden="1" outlineLevel="1">
      <c r="A374" s="9"/>
      <c r="B374" s="9"/>
      <c r="C374" s="396"/>
      <c r="D374" s="87">
        <v>2</v>
      </c>
      <c r="E374" s="260">
        <f ca="1">OFFSET('Actual RAB roll forward'!H$70,0,D374-1)-SUM('Actual RAB roll forward'!H417:OFFSET('Actual RAB roll forward'!H417,0,Input!$Y$7-1))</f>
        <v>0</v>
      </c>
      <c r="F374" s="260" t="str">
        <f>IF(A27stdlife="N/A","n/a",IF(E374=0,0,A27stdlife+D374-Input!$Y$7))</f>
        <v>n/a</v>
      </c>
      <c r="G374" s="256"/>
      <c r="H374" s="396"/>
      <c r="I374" s="87">
        <v>2</v>
      </c>
      <c r="J374" s="260">
        <f ca="1">OFFSET('Tax value roll forward'!H$66,0,I374-1)-SUM('Tax value roll forward'!H413:OFFSET('Tax value roll forward'!H413,0,Input!$Y$7-1))</f>
        <v>0</v>
      </c>
      <c r="K374" s="260" t="str">
        <f>IF(A27taxstdlife="N/A","n/a",IF(J374=0,0,A27taxstdlife+I374-Input!$Y$7))</f>
        <v>n/a</v>
      </c>
      <c r="L374" s="111"/>
      <c r="M374" s="9"/>
      <c r="N374" s="9"/>
      <c r="O374" s="9"/>
      <c r="P374" s="9"/>
      <c r="Q374" s="9"/>
      <c r="R374" s="9"/>
      <c r="S374" s="253"/>
      <c r="T374" s="253"/>
      <c r="U374" s="253"/>
      <c r="V374" s="253"/>
      <c r="W374" s="253"/>
      <c r="X374" s="253"/>
      <c r="Y374" s="253"/>
      <c r="Z374" s="253"/>
    </row>
    <row r="375" spans="1:26" hidden="1" outlineLevel="1">
      <c r="A375" s="9"/>
      <c r="B375" s="9"/>
      <c r="C375" s="396"/>
      <c r="D375" s="87">
        <v>3</v>
      </c>
      <c r="E375" s="260">
        <f ca="1">OFFSET('Actual RAB roll forward'!H$70,0,D375-1)-SUM('Actual RAB roll forward'!H418:OFFSET('Actual RAB roll forward'!H418,0,Input!$Y$7-1))</f>
        <v>0</v>
      </c>
      <c r="F375" s="260" t="str">
        <f>IF(A27stdlife="N/A","n/a",IF(E375=0,0,A27stdlife+D375-Input!$Y$7))</f>
        <v>n/a</v>
      </c>
      <c r="G375" s="256"/>
      <c r="H375" s="396"/>
      <c r="I375" s="87">
        <v>3</v>
      </c>
      <c r="J375" s="260">
        <f ca="1">OFFSET('Tax value roll forward'!H$66,0,I375-1)-SUM('Tax value roll forward'!H414:OFFSET('Tax value roll forward'!H414,0,Input!$Y$7-1))</f>
        <v>0</v>
      </c>
      <c r="K375" s="260" t="str">
        <f>IF(A27taxstdlife="N/A","n/a",IF(J375=0,0,A27taxstdlife+I375-Input!$Y$7))</f>
        <v>n/a</v>
      </c>
      <c r="L375" s="111"/>
      <c r="M375" s="9"/>
      <c r="N375" s="9"/>
      <c r="O375" s="9"/>
      <c r="P375" s="9"/>
      <c r="Q375" s="9"/>
      <c r="R375" s="9"/>
      <c r="S375" s="253"/>
      <c r="T375" s="253"/>
      <c r="U375" s="253"/>
      <c r="V375" s="253"/>
      <c r="W375" s="253"/>
      <c r="X375" s="253"/>
      <c r="Y375" s="253"/>
      <c r="Z375" s="253"/>
    </row>
    <row r="376" spans="1:26" hidden="1" outlineLevel="1">
      <c r="A376" s="9"/>
      <c r="B376" s="9"/>
      <c r="C376" s="396"/>
      <c r="D376" s="87">
        <v>4</v>
      </c>
      <c r="E376" s="260">
        <f ca="1">OFFSET('Actual RAB roll forward'!H$70,0,D376-1)-SUM('Actual RAB roll forward'!H419:OFFSET('Actual RAB roll forward'!H419,0,Input!$Y$7-1))</f>
        <v>0</v>
      </c>
      <c r="F376" s="260" t="str">
        <f>IF(A27stdlife="N/A","n/a",IF(E376=0,0,A27stdlife+D376-Input!$Y$7))</f>
        <v>n/a</v>
      </c>
      <c r="G376" s="256"/>
      <c r="H376" s="396"/>
      <c r="I376" s="87">
        <v>4</v>
      </c>
      <c r="J376" s="260">
        <f ca="1">OFFSET('Tax value roll forward'!H$66,0,I376-1)-SUM('Tax value roll forward'!H415:OFFSET('Tax value roll forward'!H415,0,Input!$Y$7-1))</f>
        <v>0</v>
      </c>
      <c r="K376" s="260" t="str">
        <f>IF(A27taxstdlife="N/A","n/a",IF(J376=0,0,A27taxstdlife+I376-Input!$Y$7))</f>
        <v>n/a</v>
      </c>
      <c r="L376" s="111"/>
      <c r="M376" s="9"/>
      <c r="N376" s="9"/>
      <c r="O376" s="9"/>
      <c r="P376" s="9"/>
      <c r="Q376" s="9"/>
      <c r="R376" s="9"/>
      <c r="S376" s="253"/>
      <c r="T376" s="253"/>
      <c r="U376" s="253"/>
      <c r="V376" s="253"/>
      <c r="W376" s="253"/>
      <c r="X376" s="253"/>
      <c r="Y376" s="253"/>
      <c r="Z376" s="253"/>
    </row>
    <row r="377" spans="1:26" hidden="1" outlineLevel="1">
      <c r="A377" s="9"/>
      <c r="B377" s="9"/>
      <c r="C377" s="396"/>
      <c r="D377" s="87">
        <v>5</v>
      </c>
      <c r="E377" s="260">
        <f ca="1">OFFSET('Actual RAB roll forward'!H$70,0,D377-1)-SUM('Actual RAB roll forward'!H420:OFFSET('Actual RAB roll forward'!H420,0,Input!$Y$7-1))</f>
        <v>0</v>
      </c>
      <c r="F377" s="260" t="str">
        <f>IF(A27stdlife="N/A","n/a",IF(E377=0,0,A27stdlife+D377-Input!$Y$7))</f>
        <v>n/a</v>
      </c>
      <c r="G377" s="256"/>
      <c r="H377" s="396"/>
      <c r="I377" s="87">
        <v>5</v>
      </c>
      <c r="J377" s="260">
        <f ca="1">OFFSET('Tax value roll forward'!H$66,0,I377-1)-SUM('Tax value roll forward'!H416:OFFSET('Tax value roll forward'!H416,0,Input!$Y$7-1))</f>
        <v>0</v>
      </c>
      <c r="K377" s="260" t="str">
        <f>IF(A27taxstdlife="N/A","n/a",IF(J377=0,0,A27taxstdlife+I377-Input!$Y$7))</f>
        <v>n/a</v>
      </c>
      <c r="L377" s="111"/>
      <c r="M377" s="9"/>
      <c r="N377" s="9"/>
      <c r="O377" s="9"/>
      <c r="P377" s="9"/>
      <c r="Q377" s="9"/>
      <c r="R377" s="9"/>
      <c r="S377" s="253"/>
      <c r="T377" s="253"/>
      <c r="U377" s="253"/>
      <c r="V377" s="253"/>
      <c r="W377" s="253"/>
      <c r="X377" s="253"/>
      <c r="Y377" s="253"/>
      <c r="Z377" s="253"/>
    </row>
    <row r="378" spans="1:26" hidden="1" outlineLevel="1">
      <c r="A378" s="9"/>
      <c r="B378" s="9"/>
      <c r="C378" s="396"/>
      <c r="D378" s="87">
        <v>6</v>
      </c>
      <c r="E378" s="260">
        <f ca="1">OFFSET('Actual RAB roll forward'!H$70,0,D378-1)-SUM('Actual RAB roll forward'!H421:OFFSET('Actual RAB roll forward'!H421,0,Input!$Y$7-1))</f>
        <v>0</v>
      </c>
      <c r="F378" s="260" t="str">
        <f>IF(A27stdlife="N/A","n/a",IF(E378=0,0,A27stdlife+D378-Input!$Y$7))</f>
        <v>n/a</v>
      </c>
      <c r="G378" s="256"/>
      <c r="H378" s="396"/>
      <c r="I378" s="87">
        <v>6</v>
      </c>
      <c r="J378" s="260">
        <f ca="1">OFFSET('Tax value roll forward'!H$66,0,I378-1)-SUM('Tax value roll forward'!H417:OFFSET('Tax value roll forward'!H417,0,Input!$Y$7-1))</f>
        <v>0</v>
      </c>
      <c r="K378" s="260" t="str">
        <f>IF(A27taxstdlife="N/A","n/a",IF(J378=0,0,A27taxstdlife+I378-Input!$Y$7))</f>
        <v>n/a</v>
      </c>
      <c r="L378" s="111"/>
      <c r="M378" s="9"/>
      <c r="N378" s="9"/>
      <c r="O378" s="9"/>
      <c r="P378" s="9"/>
      <c r="Q378" s="9"/>
      <c r="R378" s="9"/>
      <c r="S378" s="253"/>
      <c r="T378" s="253"/>
      <c r="U378" s="253"/>
      <c r="V378" s="253"/>
      <c r="W378" s="253"/>
      <c r="X378" s="253"/>
      <c r="Y378" s="253"/>
      <c r="Z378" s="253"/>
    </row>
    <row r="379" spans="1:26" hidden="1" outlineLevel="1">
      <c r="A379" s="9"/>
      <c r="B379" s="9"/>
      <c r="C379" s="396"/>
      <c r="D379" s="87">
        <v>7</v>
      </c>
      <c r="E379" s="260">
        <f ca="1">OFFSET('Actual RAB roll forward'!H$70,0,D379-1)-SUM('Actual RAB roll forward'!H422:OFFSET('Actual RAB roll forward'!H422,0,Input!$Y$7-1))</f>
        <v>0</v>
      </c>
      <c r="F379" s="260" t="str">
        <f>IF(A27stdlife="N/A","n/a",IF(E379=0,0,A27stdlife+D379-Input!$Y$7))</f>
        <v>n/a</v>
      </c>
      <c r="G379" s="256"/>
      <c r="H379" s="396"/>
      <c r="I379" s="87">
        <v>7</v>
      </c>
      <c r="J379" s="260">
        <f ca="1">OFFSET('Tax value roll forward'!H$66,0,I379-1)-SUM('Tax value roll forward'!H418:OFFSET('Tax value roll forward'!H418,0,Input!$Y$7-1))</f>
        <v>0</v>
      </c>
      <c r="K379" s="260" t="str">
        <f>IF(A27taxstdlife="N/A","n/a",IF(J379=0,0,A27taxstdlife+I379-Input!$Y$7))</f>
        <v>n/a</v>
      </c>
      <c r="L379" s="111"/>
      <c r="M379" s="9"/>
      <c r="N379" s="9"/>
      <c r="O379" s="9"/>
      <c r="P379" s="9"/>
      <c r="Q379" s="9"/>
      <c r="R379" s="9"/>
      <c r="S379" s="253"/>
      <c r="T379" s="253"/>
      <c r="U379" s="253"/>
      <c r="V379" s="253"/>
      <c r="W379" s="253"/>
      <c r="X379" s="253"/>
      <c r="Y379" s="253"/>
      <c r="Z379" s="253"/>
    </row>
    <row r="380" spans="1:26" hidden="1" outlineLevel="1">
      <c r="A380" s="9"/>
      <c r="B380" s="9"/>
      <c r="C380" s="396"/>
      <c r="D380" s="87">
        <v>8</v>
      </c>
      <c r="E380" s="260">
        <f ca="1">OFFSET('Actual RAB roll forward'!H$70,0,D380-1)-SUM('Actual RAB roll forward'!H423:OFFSET('Actual RAB roll forward'!H423,0,Input!$Y$7-1))</f>
        <v>0</v>
      </c>
      <c r="F380" s="260" t="str">
        <f>IF(A27stdlife="N/A","n/a",IF(E380=0,0,A27stdlife+D380-Input!$Y$7))</f>
        <v>n/a</v>
      </c>
      <c r="G380" s="256"/>
      <c r="H380" s="396"/>
      <c r="I380" s="87">
        <v>8</v>
      </c>
      <c r="J380" s="260">
        <f ca="1">OFFSET('Tax value roll forward'!H$66,0,I380-1)-SUM('Tax value roll forward'!H419:OFFSET('Tax value roll forward'!H419,0,Input!$Y$7-1))</f>
        <v>0</v>
      </c>
      <c r="K380" s="260" t="str">
        <f>IF(A27taxstdlife="N/A","n/a",IF(J380=0,0,A27taxstdlife+I380-Input!$Y$7))</f>
        <v>n/a</v>
      </c>
      <c r="L380" s="111"/>
      <c r="M380" s="9"/>
      <c r="N380" s="9"/>
      <c r="O380" s="9"/>
      <c r="P380" s="9"/>
      <c r="Q380" s="9"/>
      <c r="R380" s="9"/>
      <c r="S380" s="253"/>
      <c r="T380" s="253"/>
      <c r="U380" s="253"/>
      <c r="V380" s="253"/>
      <c r="W380" s="253"/>
      <c r="X380" s="253"/>
      <c r="Y380" s="253"/>
      <c r="Z380" s="253"/>
    </row>
    <row r="381" spans="1:26" hidden="1" outlineLevel="1">
      <c r="A381" s="9"/>
      <c r="B381" s="9"/>
      <c r="C381" s="396"/>
      <c r="D381" s="87">
        <v>9</v>
      </c>
      <c r="E381" s="260">
        <f ca="1">OFFSET('Actual RAB roll forward'!H$70,0,D381-1)-SUM('Actual RAB roll forward'!H424:OFFSET('Actual RAB roll forward'!H424,0,Input!$Y$7-1))</f>
        <v>0</v>
      </c>
      <c r="F381" s="260" t="str">
        <f>IF(A27stdlife="N/A","n/a",IF(E381=0,0,A27stdlife+D381-Input!$Y$7))</f>
        <v>n/a</v>
      </c>
      <c r="G381" s="256"/>
      <c r="H381" s="396"/>
      <c r="I381" s="87">
        <v>9</v>
      </c>
      <c r="J381" s="260">
        <f ca="1">OFFSET('Tax value roll forward'!H$66,0,I381-1)-SUM('Tax value roll forward'!H420:OFFSET('Tax value roll forward'!H420,0,Input!$Y$7-1))</f>
        <v>0</v>
      </c>
      <c r="K381" s="260" t="str">
        <f>IF(A27taxstdlife="N/A","n/a",IF(J381=0,0,A27taxstdlife+I381-Input!$Y$7))</f>
        <v>n/a</v>
      </c>
      <c r="L381" s="111"/>
      <c r="M381" s="9"/>
      <c r="N381" s="9"/>
      <c r="O381" s="9"/>
      <c r="P381" s="9"/>
      <c r="Q381" s="9"/>
      <c r="R381" s="9"/>
      <c r="S381" s="253"/>
      <c r="T381" s="253"/>
      <c r="U381" s="253"/>
      <c r="V381" s="253"/>
      <c r="W381" s="253"/>
      <c r="X381" s="253"/>
      <c r="Y381" s="253"/>
      <c r="Z381" s="253"/>
    </row>
    <row r="382" spans="1:26" hidden="1" outlineLevel="1">
      <c r="A382" s="9"/>
      <c r="B382" s="9"/>
      <c r="C382" s="397"/>
      <c r="D382" s="88">
        <v>10</v>
      </c>
      <c r="E382" s="260">
        <f ca="1">OFFSET('Actual RAB roll forward'!H$70,0,D382-1)-SUM('Actual RAB roll forward'!H425:OFFSET('Actual RAB roll forward'!H425,0,Input!$Y$7-1))</f>
        <v>0</v>
      </c>
      <c r="F382" s="260" t="str">
        <f>IF(A27stdlife="N/A","n/a",IF(E382=0,0,A27stdlife+D382-Input!$Y$7))</f>
        <v>n/a</v>
      </c>
      <c r="G382" s="256"/>
      <c r="H382" s="397"/>
      <c r="I382" s="88">
        <v>10</v>
      </c>
      <c r="J382" s="260">
        <f ca="1">OFFSET('Tax value roll forward'!H$66,0,I382-1)-SUM('Tax value roll forward'!H421:OFFSET('Tax value roll forward'!H421,0,Input!$Y$7-1))</f>
        <v>0</v>
      </c>
      <c r="K382" s="260" t="str">
        <f>IF(A27taxstdlife="N/A","n/a",IF(J382=0,0,A27taxstdlife+I382-Input!$Y$7))</f>
        <v>n/a</v>
      </c>
      <c r="L382" s="111"/>
      <c r="M382" s="9"/>
      <c r="N382" s="9"/>
      <c r="O382" s="9"/>
      <c r="P382" s="9"/>
      <c r="Q382" s="9"/>
      <c r="R382" s="9"/>
      <c r="S382" s="253"/>
      <c r="T382" s="253"/>
      <c r="U382" s="253"/>
      <c r="V382" s="253"/>
      <c r="W382" s="253"/>
      <c r="X382" s="253"/>
      <c r="Y382" s="253"/>
      <c r="Z382" s="253"/>
    </row>
    <row r="383" spans="1:26" collapsed="1">
      <c r="A383" s="9"/>
      <c r="B383" s="9"/>
      <c r="C383" s="274">
        <f>Asset27</f>
        <v>0</v>
      </c>
      <c r="D383" s="9"/>
      <c r="E383" s="260">
        <f ca="1">SUM(E372:E382)</f>
        <v>0</v>
      </c>
      <c r="F383" s="260">
        <f ca="1">IF(E383=0,0,SUMPRODUCT(E372:E382,F372:F382)/E383)</f>
        <v>0</v>
      </c>
      <c r="G383" s="256"/>
      <c r="H383" s="43"/>
      <c r="I383" s="260"/>
      <c r="J383" s="260">
        <f ca="1">SUM(J372:J382)</f>
        <v>0</v>
      </c>
      <c r="K383" s="260">
        <f ca="1">IF(J383=0,0,SUMPRODUCT(J372:J382,K372:K382)/J383)</f>
        <v>0</v>
      </c>
      <c r="L383" s="111"/>
      <c r="M383" s="9"/>
      <c r="N383" s="9"/>
      <c r="O383" s="9"/>
      <c r="P383" s="9"/>
      <c r="Q383" s="9"/>
      <c r="R383" s="9"/>
      <c r="S383" s="253"/>
      <c r="T383" s="253"/>
      <c r="U383" s="253"/>
      <c r="V383" s="253"/>
      <c r="W383" s="253"/>
      <c r="X383" s="253"/>
      <c r="Y383" s="253"/>
      <c r="Z383" s="253"/>
    </row>
    <row r="384" spans="1:26" hidden="1" outlineLevel="1">
      <c r="A384" s="9"/>
      <c r="B384" s="272"/>
      <c r="C384" s="9"/>
      <c r="D384" s="9"/>
      <c r="E384" s="35"/>
      <c r="F384" s="35"/>
      <c r="G384" s="256"/>
      <c r="H384" s="260"/>
      <c r="I384" s="260"/>
      <c r="J384" s="265"/>
      <c r="K384" s="260"/>
      <c r="L384" s="111"/>
      <c r="M384" s="9"/>
      <c r="N384" s="9"/>
      <c r="O384" s="9"/>
      <c r="P384" s="9"/>
      <c r="Q384" s="9"/>
      <c r="R384" s="9"/>
      <c r="S384" s="253"/>
      <c r="T384" s="253"/>
      <c r="U384" s="253"/>
      <c r="V384" s="253"/>
      <c r="W384" s="253"/>
      <c r="X384" s="253"/>
      <c r="Y384" s="253"/>
      <c r="Z384" s="253"/>
    </row>
    <row r="385" spans="1:26" hidden="1" outlineLevel="1">
      <c r="A385" s="9"/>
      <c r="B385" s="272">
        <f>Asset28</f>
        <v>0</v>
      </c>
      <c r="C385" s="9"/>
      <c r="D385" s="9"/>
      <c r="E385" s="35"/>
      <c r="F385" s="35"/>
      <c r="G385" s="256"/>
      <c r="H385" s="260"/>
      <c r="I385" s="260"/>
      <c r="J385" s="265"/>
      <c r="K385" s="260"/>
      <c r="L385" s="111"/>
      <c r="M385" s="9"/>
      <c r="N385" s="9"/>
      <c r="O385" s="9"/>
      <c r="P385" s="9"/>
      <c r="Q385" s="9"/>
      <c r="R385" s="9"/>
      <c r="S385" s="253"/>
      <c r="T385" s="253"/>
      <c r="U385" s="253"/>
      <c r="V385" s="253"/>
      <c r="W385" s="253"/>
      <c r="X385" s="253"/>
      <c r="Y385" s="253"/>
      <c r="Z385" s="253"/>
    </row>
    <row r="386" spans="1:26" ht="12.75" hidden="1" customHeight="1" outlineLevel="1">
      <c r="A386" s="9"/>
      <c r="B386" s="9"/>
      <c r="C386" s="393" t="s">
        <v>26</v>
      </c>
      <c r="D386" s="394"/>
      <c r="E386" s="260">
        <f ca="1">A28value-SUM('Actual RAB roll forward'!H427:OFFSET('Actual RAB roll forward'!H427,0,Input!$Y$7-1))</f>
        <v>0</v>
      </c>
      <c r="F386" s="260" t="str">
        <f>IF(A28remlife="N/A","n/a",A28remlife-Input!$Y$7)</f>
        <v>n/a</v>
      </c>
      <c r="G386" s="256"/>
      <c r="H386" s="298" t="s">
        <v>66</v>
      </c>
      <c r="I386" s="299"/>
      <c r="J386" s="260">
        <f ca="1">A28taxvalue-SUM('Tax value roll forward'!H423:OFFSET('Tax value roll forward'!H423,0,Input!$Y$7-1))</f>
        <v>0</v>
      </c>
      <c r="K386" s="260" t="str">
        <f>IF(A28taxremlife="N/A","n/a",A28taxremlife-Input!$Y$7)</f>
        <v>n/a</v>
      </c>
      <c r="L386" s="111"/>
      <c r="M386" s="9"/>
      <c r="N386" s="9"/>
      <c r="O386" s="9"/>
      <c r="P386" s="9"/>
      <c r="Q386" s="9"/>
      <c r="R386" s="9"/>
      <c r="S386" s="253"/>
      <c r="T386" s="253"/>
      <c r="U386" s="253"/>
      <c r="V386" s="253"/>
      <c r="W386" s="253"/>
      <c r="X386" s="253"/>
      <c r="Y386" s="253"/>
      <c r="Z386" s="253"/>
    </row>
    <row r="387" spans="1:26" hidden="1" outlineLevel="1">
      <c r="A387" s="9"/>
      <c r="B387" s="9"/>
      <c r="C387" s="395" t="s">
        <v>82</v>
      </c>
      <c r="D387" s="87">
        <v>1</v>
      </c>
      <c r="E387" s="260">
        <f ca="1">OFFSET('Actual RAB roll forward'!H$71,0,D387-1)-SUM('Actual RAB roll forward'!H429:OFFSET('Actual RAB roll forward'!H429,0,Input!$Y$7-1))</f>
        <v>0</v>
      </c>
      <c r="F387" s="260" t="str">
        <f>IF(A28stdlife="N/A","n/a",IF(E387=0,0,A28stdlife+D387-Input!$Y$7))</f>
        <v>n/a</v>
      </c>
      <c r="G387" s="256"/>
      <c r="H387" s="395" t="s">
        <v>82</v>
      </c>
      <c r="I387" s="87">
        <v>1</v>
      </c>
      <c r="J387" s="260">
        <f ca="1">OFFSET('Tax value roll forward'!H$67,0,I387-1)-SUM('Tax value roll forward'!H425:OFFSET('Tax value roll forward'!H425,0,Input!$Y$7-1))</f>
        <v>0</v>
      </c>
      <c r="K387" s="260" t="str">
        <f>IF(A28taxstdlife="N/A","n/a",IF(J387=0,0,A28taxstdlife+I387-Input!$Y$7))</f>
        <v>n/a</v>
      </c>
      <c r="L387" s="111"/>
      <c r="M387" s="9"/>
      <c r="N387" s="9"/>
      <c r="O387" s="9"/>
      <c r="P387" s="9"/>
      <c r="Q387" s="9"/>
      <c r="R387" s="9"/>
      <c r="S387" s="253"/>
      <c r="T387" s="253"/>
      <c r="U387" s="253"/>
      <c r="V387" s="253"/>
      <c r="W387" s="253"/>
      <c r="X387" s="253"/>
      <c r="Y387" s="253"/>
      <c r="Z387" s="253"/>
    </row>
    <row r="388" spans="1:26" hidden="1" outlineLevel="1">
      <c r="A388" s="9"/>
      <c r="B388" s="9"/>
      <c r="C388" s="396"/>
      <c r="D388" s="87">
        <v>2</v>
      </c>
      <c r="E388" s="260">
        <f ca="1">OFFSET('Actual RAB roll forward'!H$71,0,D388-1)-SUM('Actual RAB roll forward'!H430:OFFSET('Actual RAB roll forward'!H430,0,Input!$Y$7-1))</f>
        <v>0</v>
      </c>
      <c r="F388" s="260" t="str">
        <f>IF(A28stdlife="N/A","n/a",IF(E388=0,0,A28stdlife+D388-Input!$Y$7))</f>
        <v>n/a</v>
      </c>
      <c r="G388" s="256"/>
      <c r="H388" s="396"/>
      <c r="I388" s="87">
        <v>2</v>
      </c>
      <c r="J388" s="260">
        <f ca="1">OFFSET('Tax value roll forward'!H$67,0,I388-1)-SUM('Tax value roll forward'!H426:OFFSET('Tax value roll forward'!H426,0,Input!$Y$7-1))</f>
        <v>0</v>
      </c>
      <c r="K388" s="260" t="str">
        <f>IF(A28taxstdlife="N/A","n/a",IF(J388=0,0,A28taxstdlife+I388-Input!$Y$7))</f>
        <v>n/a</v>
      </c>
      <c r="L388" s="111"/>
      <c r="M388" s="9"/>
      <c r="N388" s="9"/>
      <c r="O388" s="9"/>
      <c r="P388" s="9"/>
      <c r="Q388" s="9"/>
      <c r="R388" s="9"/>
      <c r="S388" s="253"/>
      <c r="T388" s="253"/>
      <c r="U388" s="253"/>
      <c r="V388" s="253"/>
      <c r="W388" s="253"/>
      <c r="X388" s="253"/>
      <c r="Y388" s="253"/>
      <c r="Z388" s="253"/>
    </row>
    <row r="389" spans="1:26" hidden="1" outlineLevel="1">
      <c r="A389" s="9"/>
      <c r="B389" s="9"/>
      <c r="C389" s="396"/>
      <c r="D389" s="87">
        <v>3</v>
      </c>
      <c r="E389" s="260">
        <f ca="1">OFFSET('Actual RAB roll forward'!H$71,0,D389-1)-SUM('Actual RAB roll forward'!H431:OFFSET('Actual RAB roll forward'!H431,0,Input!$Y$7-1))</f>
        <v>0</v>
      </c>
      <c r="F389" s="260" t="str">
        <f>IF(A28stdlife="N/A","n/a",IF(E389=0,0,A28stdlife+D389-Input!$Y$7))</f>
        <v>n/a</v>
      </c>
      <c r="G389" s="256"/>
      <c r="H389" s="396"/>
      <c r="I389" s="87">
        <v>3</v>
      </c>
      <c r="J389" s="260">
        <f ca="1">OFFSET('Tax value roll forward'!H$67,0,I389-1)-SUM('Tax value roll forward'!H427:OFFSET('Tax value roll forward'!H427,0,Input!$Y$7-1))</f>
        <v>0</v>
      </c>
      <c r="K389" s="260" t="str">
        <f>IF(A28taxstdlife="N/A","n/a",IF(J389=0,0,A28taxstdlife+I389-Input!$Y$7))</f>
        <v>n/a</v>
      </c>
      <c r="L389" s="111"/>
      <c r="M389" s="9"/>
      <c r="N389" s="9"/>
      <c r="O389" s="9"/>
      <c r="P389" s="9"/>
      <c r="Q389" s="9"/>
      <c r="R389" s="9"/>
      <c r="S389" s="253"/>
      <c r="T389" s="253"/>
      <c r="U389" s="253"/>
      <c r="V389" s="253"/>
      <c r="W389" s="253"/>
      <c r="X389" s="253"/>
      <c r="Y389" s="253"/>
      <c r="Z389" s="253"/>
    </row>
    <row r="390" spans="1:26" hidden="1" outlineLevel="1">
      <c r="A390" s="9"/>
      <c r="B390" s="9"/>
      <c r="C390" s="396"/>
      <c r="D390" s="87">
        <v>4</v>
      </c>
      <c r="E390" s="260">
        <f ca="1">OFFSET('Actual RAB roll forward'!H$71,0,D390-1)-SUM('Actual RAB roll forward'!H432:OFFSET('Actual RAB roll forward'!H432,0,Input!$Y$7-1))</f>
        <v>0</v>
      </c>
      <c r="F390" s="260" t="str">
        <f>IF(A28stdlife="N/A","n/a",IF(E390=0,0,A28stdlife+D390-Input!$Y$7))</f>
        <v>n/a</v>
      </c>
      <c r="G390" s="256"/>
      <c r="H390" s="396"/>
      <c r="I390" s="87">
        <v>4</v>
      </c>
      <c r="J390" s="260">
        <f ca="1">OFFSET('Tax value roll forward'!H$67,0,I390-1)-SUM('Tax value roll forward'!H428:OFFSET('Tax value roll forward'!H428,0,Input!$Y$7-1))</f>
        <v>0</v>
      </c>
      <c r="K390" s="260" t="str">
        <f>IF(A28taxstdlife="N/A","n/a",IF(J390=0,0,A28taxstdlife+I390-Input!$Y$7))</f>
        <v>n/a</v>
      </c>
      <c r="L390" s="111"/>
      <c r="M390" s="9"/>
      <c r="N390" s="9"/>
      <c r="O390" s="9"/>
      <c r="P390" s="9"/>
      <c r="Q390" s="9"/>
      <c r="R390" s="9"/>
      <c r="S390" s="253"/>
      <c r="T390" s="253"/>
      <c r="U390" s="253"/>
      <c r="V390" s="253"/>
      <c r="W390" s="253"/>
      <c r="X390" s="253"/>
      <c r="Y390" s="253"/>
      <c r="Z390" s="253"/>
    </row>
    <row r="391" spans="1:26" hidden="1" outlineLevel="1">
      <c r="A391" s="9"/>
      <c r="B391" s="9"/>
      <c r="C391" s="396"/>
      <c r="D391" s="87">
        <v>5</v>
      </c>
      <c r="E391" s="260">
        <f ca="1">OFFSET('Actual RAB roll forward'!H$71,0,D391-1)-SUM('Actual RAB roll forward'!H433:OFFSET('Actual RAB roll forward'!H433,0,Input!$Y$7-1))</f>
        <v>0</v>
      </c>
      <c r="F391" s="260" t="str">
        <f>IF(A28stdlife="N/A","n/a",IF(E391=0,0,A28stdlife+D391-Input!$Y$7))</f>
        <v>n/a</v>
      </c>
      <c r="G391" s="256"/>
      <c r="H391" s="396"/>
      <c r="I391" s="87">
        <v>5</v>
      </c>
      <c r="J391" s="260">
        <f ca="1">OFFSET('Tax value roll forward'!H$67,0,I391-1)-SUM('Tax value roll forward'!H429:OFFSET('Tax value roll forward'!H429,0,Input!$Y$7-1))</f>
        <v>0</v>
      </c>
      <c r="K391" s="260" t="str">
        <f>IF(A28taxstdlife="N/A","n/a",IF(J391=0,0,A28taxstdlife+I391-Input!$Y$7))</f>
        <v>n/a</v>
      </c>
      <c r="L391" s="111"/>
      <c r="M391" s="9"/>
      <c r="N391" s="9"/>
      <c r="O391" s="9"/>
      <c r="P391" s="9"/>
      <c r="Q391" s="9"/>
      <c r="R391" s="9"/>
      <c r="S391" s="253"/>
      <c r="T391" s="253"/>
      <c r="U391" s="253"/>
      <c r="V391" s="253"/>
      <c r="W391" s="253"/>
      <c r="X391" s="253"/>
      <c r="Y391" s="253"/>
      <c r="Z391" s="253"/>
    </row>
    <row r="392" spans="1:26" hidden="1" outlineLevel="1">
      <c r="A392" s="9"/>
      <c r="B392" s="9"/>
      <c r="C392" s="396"/>
      <c r="D392" s="87">
        <v>6</v>
      </c>
      <c r="E392" s="260">
        <f ca="1">OFFSET('Actual RAB roll forward'!H$71,0,D392-1)-SUM('Actual RAB roll forward'!H434:OFFSET('Actual RAB roll forward'!H434,0,Input!$Y$7-1))</f>
        <v>0</v>
      </c>
      <c r="F392" s="260" t="str">
        <f>IF(A28stdlife="N/A","n/a",IF(E392=0,0,A28stdlife+D392-Input!$Y$7))</f>
        <v>n/a</v>
      </c>
      <c r="G392" s="256"/>
      <c r="H392" s="396"/>
      <c r="I392" s="87">
        <v>6</v>
      </c>
      <c r="J392" s="260">
        <f ca="1">OFFSET('Tax value roll forward'!H$67,0,I392-1)-SUM('Tax value roll forward'!H430:OFFSET('Tax value roll forward'!H430,0,Input!$Y$7-1))</f>
        <v>0</v>
      </c>
      <c r="K392" s="260" t="str">
        <f>IF(A28taxstdlife="N/A","n/a",IF(J392=0,0,A28taxstdlife+I392-Input!$Y$7))</f>
        <v>n/a</v>
      </c>
      <c r="L392" s="111"/>
      <c r="M392" s="9"/>
      <c r="N392" s="9"/>
      <c r="O392" s="9"/>
      <c r="P392" s="9"/>
      <c r="Q392" s="9"/>
      <c r="R392" s="9"/>
      <c r="S392" s="253"/>
      <c r="T392" s="253"/>
      <c r="U392" s="253"/>
      <c r="V392" s="253"/>
      <c r="W392" s="253"/>
      <c r="X392" s="253"/>
      <c r="Y392" s="253"/>
      <c r="Z392" s="253"/>
    </row>
    <row r="393" spans="1:26" hidden="1" outlineLevel="1">
      <c r="A393" s="9"/>
      <c r="B393" s="9"/>
      <c r="C393" s="396"/>
      <c r="D393" s="87">
        <v>7</v>
      </c>
      <c r="E393" s="260">
        <f ca="1">OFFSET('Actual RAB roll forward'!H$71,0,D393-1)-SUM('Actual RAB roll forward'!H435:OFFSET('Actual RAB roll forward'!H435,0,Input!$Y$7-1))</f>
        <v>0</v>
      </c>
      <c r="F393" s="260" t="str">
        <f>IF(A28stdlife="N/A","n/a",IF(E393=0,0,A28stdlife+D393-Input!$Y$7))</f>
        <v>n/a</v>
      </c>
      <c r="G393" s="256"/>
      <c r="H393" s="396"/>
      <c r="I393" s="87">
        <v>7</v>
      </c>
      <c r="J393" s="260">
        <f ca="1">OFFSET('Tax value roll forward'!H$67,0,I393-1)-SUM('Tax value roll forward'!H431:OFFSET('Tax value roll forward'!H431,0,Input!$Y$7-1))</f>
        <v>0</v>
      </c>
      <c r="K393" s="260" t="str">
        <f>IF(A28taxstdlife="N/A","n/a",IF(J393=0,0,A28taxstdlife+I393-Input!$Y$7))</f>
        <v>n/a</v>
      </c>
      <c r="L393" s="111"/>
      <c r="M393" s="9"/>
      <c r="N393" s="9"/>
      <c r="O393" s="9"/>
      <c r="P393" s="9"/>
      <c r="Q393" s="9"/>
      <c r="R393" s="9"/>
      <c r="S393" s="253"/>
      <c r="T393" s="253"/>
      <c r="U393" s="253"/>
      <c r="V393" s="253"/>
      <c r="W393" s="253"/>
      <c r="X393" s="253"/>
      <c r="Y393" s="253"/>
      <c r="Z393" s="253"/>
    </row>
    <row r="394" spans="1:26" hidden="1" outlineLevel="1">
      <c r="A394" s="9"/>
      <c r="B394" s="9"/>
      <c r="C394" s="396"/>
      <c r="D394" s="87">
        <v>8</v>
      </c>
      <c r="E394" s="260">
        <f ca="1">OFFSET('Actual RAB roll forward'!H$71,0,D394-1)-SUM('Actual RAB roll forward'!H436:OFFSET('Actual RAB roll forward'!H436,0,Input!$Y$7-1))</f>
        <v>0</v>
      </c>
      <c r="F394" s="260" t="str">
        <f>IF(A28stdlife="N/A","n/a",IF(E394=0,0,A28stdlife+D394-Input!$Y$7))</f>
        <v>n/a</v>
      </c>
      <c r="G394" s="256"/>
      <c r="H394" s="396"/>
      <c r="I394" s="87">
        <v>8</v>
      </c>
      <c r="J394" s="260">
        <f ca="1">OFFSET('Tax value roll forward'!H$67,0,I394-1)-SUM('Tax value roll forward'!H432:OFFSET('Tax value roll forward'!H432,0,Input!$Y$7-1))</f>
        <v>0</v>
      </c>
      <c r="K394" s="260" t="str">
        <f>IF(A28taxstdlife="N/A","n/a",IF(J394=0,0,A28taxstdlife+I394-Input!$Y$7))</f>
        <v>n/a</v>
      </c>
      <c r="L394" s="111"/>
      <c r="M394" s="9"/>
      <c r="N394" s="9"/>
      <c r="O394" s="9"/>
      <c r="P394" s="9"/>
      <c r="Q394" s="9"/>
      <c r="R394" s="9"/>
      <c r="S394" s="253"/>
      <c r="T394" s="253"/>
      <c r="U394" s="253"/>
      <c r="V394" s="253"/>
      <c r="W394" s="253"/>
      <c r="X394" s="253"/>
      <c r="Y394" s="253"/>
      <c r="Z394" s="253"/>
    </row>
    <row r="395" spans="1:26" hidden="1" outlineLevel="1">
      <c r="A395" s="9"/>
      <c r="B395" s="9"/>
      <c r="C395" s="396"/>
      <c r="D395" s="87">
        <v>9</v>
      </c>
      <c r="E395" s="260">
        <f ca="1">OFFSET('Actual RAB roll forward'!H$71,0,D395-1)-SUM('Actual RAB roll forward'!H437:OFFSET('Actual RAB roll forward'!H437,0,Input!$Y$7-1))</f>
        <v>0</v>
      </c>
      <c r="F395" s="260" t="str">
        <f>IF(A28stdlife="N/A","n/a",IF(E395=0,0,A28stdlife+D395-Input!$Y$7))</f>
        <v>n/a</v>
      </c>
      <c r="G395" s="256"/>
      <c r="H395" s="396"/>
      <c r="I395" s="87">
        <v>9</v>
      </c>
      <c r="J395" s="260">
        <f ca="1">OFFSET('Tax value roll forward'!H$67,0,I395-1)-SUM('Tax value roll forward'!H433:OFFSET('Tax value roll forward'!H433,0,Input!$Y$7-1))</f>
        <v>0</v>
      </c>
      <c r="K395" s="260" t="str">
        <f>IF(A28taxstdlife="N/A","n/a",IF(J395=0,0,A28taxstdlife+I395-Input!$Y$7))</f>
        <v>n/a</v>
      </c>
      <c r="L395" s="111"/>
      <c r="M395" s="9"/>
      <c r="N395" s="9"/>
      <c r="O395" s="9"/>
      <c r="P395" s="9"/>
      <c r="Q395" s="9"/>
      <c r="R395" s="9"/>
      <c r="S395" s="253"/>
      <c r="T395" s="253"/>
      <c r="U395" s="253"/>
      <c r="V395" s="253"/>
      <c r="W395" s="253"/>
      <c r="X395" s="253"/>
      <c r="Y395" s="253"/>
      <c r="Z395" s="253"/>
    </row>
    <row r="396" spans="1:26" hidden="1" outlineLevel="1">
      <c r="A396" s="9"/>
      <c r="B396" s="9"/>
      <c r="C396" s="397"/>
      <c r="D396" s="88">
        <v>10</v>
      </c>
      <c r="E396" s="260">
        <f ca="1">OFFSET('Actual RAB roll forward'!H$71,0,D396-1)-SUM('Actual RAB roll forward'!H438:OFFSET('Actual RAB roll forward'!H438,0,Input!$Y$7-1))</f>
        <v>0</v>
      </c>
      <c r="F396" s="260" t="str">
        <f>IF(A28stdlife="N/A","n/a",IF(E396=0,0,A28stdlife+D396-Input!$Y$7))</f>
        <v>n/a</v>
      </c>
      <c r="G396" s="256"/>
      <c r="H396" s="397"/>
      <c r="I396" s="88">
        <v>10</v>
      </c>
      <c r="J396" s="260">
        <f ca="1">OFFSET('Tax value roll forward'!H$67,0,I396-1)-SUM('Tax value roll forward'!H434:OFFSET('Tax value roll forward'!H434,0,Input!$Y$7-1))</f>
        <v>0</v>
      </c>
      <c r="K396" s="260" t="str">
        <f>IF(A28taxstdlife="N/A","n/a",IF(J396=0,0,A28taxstdlife+I396-Input!$Y$7))</f>
        <v>n/a</v>
      </c>
      <c r="L396" s="111"/>
      <c r="M396" s="9"/>
      <c r="N396" s="9"/>
      <c r="O396" s="9"/>
      <c r="P396" s="9"/>
      <c r="Q396" s="9"/>
      <c r="R396" s="9"/>
      <c r="S396" s="253"/>
      <c r="T396" s="253"/>
      <c r="U396" s="253"/>
      <c r="V396" s="253"/>
      <c r="W396" s="253"/>
      <c r="X396" s="253"/>
      <c r="Y396" s="253"/>
      <c r="Z396" s="253"/>
    </row>
    <row r="397" spans="1:26" collapsed="1">
      <c r="A397" s="9"/>
      <c r="B397" s="9"/>
      <c r="C397" s="274">
        <f>Asset28</f>
        <v>0</v>
      </c>
      <c r="D397" s="9"/>
      <c r="E397" s="260">
        <f ca="1">SUM(E386:E396)</f>
        <v>0</v>
      </c>
      <c r="F397" s="260">
        <f ca="1">IF(E397=0,0,SUMPRODUCT(E386:E396,F386:F396)/E397)</f>
        <v>0</v>
      </c>
      <c r="G397" s="256"/>
      <c r="H397" s="43"/>
      <c r="I397" s="260"/>
      <c r="J397" s="260">
        <f ca="1">SUM(J386:J396)</f>
        <v>0</v>
      </c>
      <c r="K397" s="260">
        <f ca="1">IF(J397=0,0,SUMPRODUCT(J386:J396,K386:K396)/J397)</f>
        <v>0</v>
      </c>
      <c r="L397" s="111"/>
      <c r="M397" s="9"/>
      <c r="N397" s="9"/>
      <c r="O397" s="9"/>
      <c r="P397" s="9"/>
      <c r="Q397" s="9"/>
      <c r="R397" s="9"/>
      <c r="S397" s="253"/>
      <c r="T397" s="253"/>
      <c r="U397" s="253"/>
      <c r="V397" s="253"/>
      <c r="W397" s="253"/>
      <c r="X397" s="253"/>
      <c r="Y397" s="253"/>
      <c r="Z397" s="253"/>
    </row>
    <row r="398" spans="1:26" hidden="1" outlineLevel="1">
      <c r="A398" s="9"/>
      <c r="B398" s="272"/>
      <c r="C398" s="9"/>
      <c r="D398" s="9"/>
      <c r="E398" s="35"/>
      <c r="F398" s="35"/>
      <c r="G398" s="256"/>
      <c r="H398" s="260"/>
      <c r="I398" s="260"/>
      <c r="J398" s="265"/>
      <c r="K398" s="260"/>
      <c r="L398" s="111"/>
      <c r="M398" s="9"/>
      <c r="N398" s="9"/>
      <c r="O398" s="9"/>
      <c r="P398" s="9"/>
      <c r="Q398" s="9"/>
      <c r="R398" s="9"/>
      <c r="S398" s="253"/>
      <c r="T398" s="253"/>
      <c r="U398" s="253"/>
      <c r="V398" s="253"/>
      <c r="W398" s="253"/>
      <c r="X398" s="253"/>
      <c r="Y398" s="253"/>
      <c r="Z398" s="253"/>
    </row>
    <row r="399" spans="1:26" hidden="1" outlineLevel="1">
      <c r="A399" s="9"/>
      <c r="B399" s="272">
        <f>Asset29</f>
        <v>0</v>
      </c>
      <c r="C399" s="9"/>
      <c r="D399" s="9"/>
      <c r="E399" s="35"/>
      <c r="F399" s="35"/>
      <c r="G399" s="256"/>
      <c r="H399" s="260"/>
      <c r="I399" s="260"/>
      <c r="J399" s="265"/>
      <c r="K399" s="260"/>
      <c r="L399" s="111"/>
      <c r="M399" s="9"/>
      <c r="N399" s="9"/>
      <c r="O399" s="9"/>
      <c r="P399" s="9"/>
      <c r="Q399" s="9"/>
      <c r="R399" s="9"/>
      <c r="S399" s="253"/>
      <c r="T399" s="253"/>
      <c r="U399" s="253"/>
      <c r="V399" s="253"/>
      <c r="W399" s="253"/>
      <c r="X399" s="253"/>
      <c r="Y399" s="253"/>
      <c r="Z399" s="253"/>
    </row>
    <row r="400" spans="1:26" ht="12.75" hidden="1" customHeight="1" outlineLevel="1">
      <c r="A400" s="9"/>
      <c r="B400" s="9"/>
      <c r="C400" s="393" t="s">
        <v>26</v>
      </c>
      <c r="D400" s="394"/>
      <c r="E400" s="260">
        <f ca="1">A29value-SUM('Actual RAB roll forward'!H440:OFFSET('Actual RAB roll forward'!H440,0,Input!$Y$7-1))</f>
        <v>0</v>
      </c>
      <c r="F400" s="260" t="str">
        <f>IF(A29remlife="N/A","n/a",A29remlife-Input!$Y$7)</f>
        <v>n/a</v>
      </c>
      <c r="G400" s="256"/>
      <c r="H400" s="298" t="s">
        <v>66</v>
      </c>
      <c r="I400" s="299"/>
      <c r="J400" s="260">
        <f ca="1">A29taxvalue-SUM('Tax value roll forward'!H436:OFFSET('Tax value roll forward'!H436,0,Input!$Y$7-1))</f>
        <v>0</v>
      </c>
      <c r="K400" s="260" t="str">
        <f>IF(A29taxremlife="N/A","n/a",A29taxremlife-Input!$Y$7)</f>
        <v>n/a</v>
      </c>
      <c r="L400" s="111"/>
      <c r="M400" s="9"/>
      <c r="N400" s="9"/>
      <c r="O400" s="9"/>
      <c r="P400" s="9"/>
      <c r="Q400" s="9"/>
      <c r="R400" s="9"/>
      <c r="S400" s="253"/>
      <c r="T400" s="253"/>
      <c r="U400" s="253"/>
      <c r="V400" s="253"/>
      <c r="W400" s="253"/>
      <c r="X400" s="253"/>
      <c r="Y400" s="253"/>
      <c r="Z400" s="253"/>
    </row>
    <row r="401" spans="1:26" hidden="1" outlineLevel="1">
      <c r="A401" s="9"/>
      <c r="B401" s="9"/>
      <c r="C401" s="395" t="s">
        <v>82</v>
      </c>
      <c r="D401" s="87">
        <v>1</v>
      </c>
      <c r="E401" s="260">
        <f ca="1">OFFSET('Actual RAB roll forward'!H$72,0,D401-1)-SUM('Actual RAB roll forward'!H442:OFFSET('Actual RAB roll forward'!H442,0,Input!$Y$7-1))</f>
        <v>0</v>
      </c>
      <c r="F401" s="260" t="str">
        <f>IF(A29stdlife="N/A","n/a",IF(E401=0,0,A29stdlife+D401-Input!$Y$7))</f>
        <v>n/a</v>
      </c>
      <c r="G401" s="256"/>
      <c r="H401" s="395" t="s">
        <v>82</v>
      </c>
      <c r="I401" s="87">
        <v>1</v>
      </c>
      <c r="J401" s="260">
        <f ca="1">OFFSET('Tax value roll forward'!H$68,0,I401-1)-SUM('Tax value roll forward'!H438:OFFSET('Tax value roll forward'!H438,0,Input!$Y$7-1))</f>
        <v>0</v>
      </c>
      <c r="K401" s="260" t="str">
        <f>IF(A29taxstdlife="N/A","n/a",IF(J401=0,0,A29taxstdlife+I401-Input!$Y$7))</f>
        <v>n/a</v>
      </c>
      <c r="L401" s="111"/>
      <c r="M401" s="9"/>
      <c r="N401" s="9"/>
      <c r="O401" s="9"/>
      <c r="P401" s="9"/>
      <c r="Q401" s="9"/>
      <c r="R401" s="9"/>
      <c r="S401" s="253"/>
      <c r="T401" s="253"/>
      <c r="U401" s="253"/>
      <c r="V401" s="253"/>
      <c r="W401" s="253"/>
      <c r="X401" s="253"/>
      <c r="Y401" s="253"/>
      <c r="Z401" s="253"/>
    </row>
    <row r="402" spans="1:26" hidden="1" outlineLevel="1">
      <c r="A402" s="9"/>
      <c r="B402" s="9"/>
      <c r="C402" s="396"/>
      <c r="D402" s="87">
        <v>2</v>
      </c>
      <c r="E402" s="260">
        <f ca="1">OFFSET('Actual RAB roll forward'!H$72,0,D402-1)-SUM('Actual RAB roll forward'!H443:OFFSET('Actual RAB roll forward'!H443,0,Input!$Y$7-1))</f>
        <v>0</v>
      </c>
      <c r="F402" s="260" t="str">
        <f>IF(A29stdlife="N/A","n/a",IF(E402=0,0,A29stdlife+D402-Input!$Y$7))</f>
        <v>n/a</v>
      </c>
      <c r="G402" s="256"/>
      <c r="H402" s="396"/>
      <c r="I402" s="87">
        <v>2</v>
      </c>
      <c r="J402" s="260">
        <f ca="1">OFFSET('Tax value roll forward'!H$68,0,I402-1)-SUM('Tax value roll forward'!H439:OFFSET('Tax value roll forward'!H439,0,Input!$Y$7-1))</f>
        <v>0</v>
      </c>
      <c r="K402" s="260" t="str">
        <f>IF(A29taxstdlife="N/A","n/a",IF(J402=0,0,A29taxstdlife+I402-Input!$Y$7))</f>
        <v>n/a</v>
      </c>
      <c r="L402" s="111"/>
      <c r="M402" s="9"/>
      <c r="N402" s="9"/>
      <c r="O402" s="9"/>
      <c r="P402" s="9"/>
      <c r="Q402" s="9"/>
      <c r="R402" s="9"/>
      <c r="S402" s="253"/>
      <c r="T402" s="253"/>
      <c r="U402" s="253"/>
      <c r="V402" s="253"/>
      <c r="W402" s="253"/>
      <c r="X402" s="253"/>
      <c r="Y402" s="253"/>
      <c r="Z402" s="253"/>
    </row>
    <row r="403" spans="1:26" hidden="1" outlineLevel="1">
      <c r="A403" s="9"/>
      <c r="B403" s="9"/>
      <c r="C403" s="396"/>
      <c r="D403" s="87">
        <v>3</v>
      </c>
      <c r="E403" s="260">
        <f ca="1">OFFSET('Actual RAB roll forward'!H$72,0,D403-1)-SUM('Actual RAB roll forward'!H444:OFFSET('Actual RAB roll forward'!H444,0,Input!$Y$7-1))</f>
        <v>0</v>
      </c>
      <c r="F403" s="260" t="str">
        <f>IF(A29stdlife="N/A","n/a",IF(E403=0,0,A29stdlife+D403-Input!$Y$7))</f>
        <v>n/a</v>
      </c>
      <c r="G403" s="256"/>
      <c r="H403" s="396"/>
      <c r="I403" s="87">
        <v>3</v>
      </c>
      <c r="J403" s="260">
        <f ca="1">OFFSET('Tax value roll forward'!H$68,0,I403-1)-SUM('Tax value roll forward'!H440:OFFSET('Tax value roll forward'!H440,0,Input!$Y$7-1))</f>
        <v>0</v>
      </c>
      <c r="K403" s="260" t="str">
        <f>IF(A29taxstdlife="N/A","n/a",IF(J403=0,0,A29taxstdlife+I403-Input!$Y$7))</f>
        <v>n/a</v>
      </c>
      <c r="L403" s="111"/>
      <c r="M403" s="9"/>
      <c r="N403" s="9"/>
      <c r="O403" s="9"/>
      <c r="P403" s="9"/>
      <c r="Q403" s="9"/>
      <c r="R403" s="9"/>
      <c r="S403" s="253"/>
      <c r="T403" s="253"/>
      <c r="U403" s="253"/>
      <c r="V403" s="253"/>
      <c r="W403" s="253"/>
      <c r="X403" s="253"/>
      <c r="Y403" s="253"/>
      <c r="Z403" s="253"/>
    </row>
    <row r="404" spans="1:26" hidden="1" outlineLevel="1">
      <c r="A404" s="9"/>
      <c r="B404" s="9"/>
      <c r="C404" s="396"/>
      <c r="D404" s="87">
        <v>4</v>
      </c>
      <c r="E404" s="260">
        <f ca="1">OFFSET('Actual RAB roll forward'!H$72,0,D404-1)-SUM('Actual RAB roll forward'!H445:OFFSET('Actual RAB roll forward'!H445,0,Input!$Y$7-1))</f>
        <v>0</v>
      </c>
      <c r="F404" s="260" t="str">
        <f>IF(A29stdlife="N/A","n/a",IF(E404=0,0,A29stdlife+D404-Input!$Y$7))</f>
        <v>n/a</v>
      </c>
      <c r="G404" s="256"/>
      <c r="H404" s="396"/>
      <c r="I404" s="87">
        <v>4</v>
      </c>
      <c r="J404" s="260">
        <f ca="1">OFFSET('Tax value roll forward'!H$68,0,I404-1)-SUM('Tax value roll forward'!H441:OFFSET('Tax value roll forward'!H441,0,Input!$Y$7-1))</f>
        <v>0</v>
      </c>
      <c r="K404" s="260" t="str">
        <f>IF(A29taxstdlife="N/A","n/a",IF(J404=0,0,A29taxstdlife+I404-Input!$Y$7))</f>
        <v>n/a</v>
      </c>
      <c r="L404" s="111"/>
      <c r="M404" s="9"/>
      <c r="N404" s="9"/>
      <c r="O404" s="9"/>
      <c r="P404" s="9"/>
      <c r="Q404" s="9"/>
      <c r="R404" s="9"/>
      <c r="S404" s="253"/>
      <c r="T404" s="253"/>
      <c r="U404" s="253"/>
      <c r="V404" s="253"/>
      <c r="W404" s="253"/>
      <c r="X404" s="253"/>
      <c r="Y404" s="253"/>
      <c r="Z404" s="253"/>
    </row>
    <row r="405" spans="1:26" hidden="1" outlineLevel="1">
      <c r="A405" s="9"/>
      <c r="B405" s="9"/>
      <c r="C405" s="396"/>
      <c r="D405" s="87">
        <v>5</v>
      </c>
      <c r="E405" s="260">
        <f ca="1">OFFSET('Actual RAB roll forward'!H$72,0,D405-1)-SUM('Actual RAB roll forward'!H446:OFFSET('Actual RAB roll forward'!H446,0,Input!$Y$7-1))</f>
        <v>0</v>
      </c>
      <c r="F405" s="260" t="str">
        <f>IF(A29stdlife="N/A","n/a",IF(E405=0,0,A29stdlife+D405-Input!$Y$7))</f>
        <v>n/a</v>
      </c>
      <c r="G405" s="256"/>
      <c r="H405" s="396"/>
      <c r="I405" s="87">
        <v>5</v>
      </c>
      <c r="J405" s="260">
        <f ca="1">OFFSET('Tax value roll forward'!H$68,0,I405-1)-SUM('Tax value roll forward'!H442:OFFSET('Tax value roll forward'!H442,0,Input!$Y$7-1))</f>
        <v>0</v>
      </c>
      <c r="K405" s="260" t="str">
        <f>IF(A29taxstdlife="N/A","n/a",IF(J405=0,0,A29taxstdlife+I405-Input!$Y$7))</f>
        <v>n/a</v>
      </c>
      <c r="L405" s="111"/>
      <c r="M405" s="9"/>
      <c r="N405" s="9"/>
      <c r="O405" s="9"/>
      <c r="P405" s="9"/>
      <c r="Q405" s="9"/>
      <c r="R405" s="9"/>
      <c r="S405" s="253"/>
      <c r="T405" s="253"/>
      <c r="U405" s="253"/>
      <c r="V405" s="253"/>
      <c r="W405" s="253"/>
      <c r="X405" s="253"/>
      <c r="Y405" s="253"/>
      <c r="Z405" s="253"/>
    </row>
    <row r="406" spans="1:26" hidden="1" outlineLevel="1">
      <c r="A406" s="9"/>
      <c r="B406" s="9"/>
      <c r="C406" s="396"/>
      <c r="D406" s="87">
        <v>6</v>
      </c>
      <c r="E406" s="260">
        <f ca="1">OFFSET('Actual RAB roll forward'!H$72,0,D406-1)-SUM('Actual RAB roll forward'!H447:OFFSET('Actual RAB roll forward'!H447,0,Input!$Y$7-1))</f>
        <v>0</v>
      </c>
      <c r="F406" s="260" t="str">
        <f>IF(A29stdlife="N/A","n/a",IF(E406=0,0,A29stdlife+D406-Input!$Y$7))</f>
        <v>n/a</v>
      </c>
      <c r="G406" s="256"/>
      <c r="H406" s="396"/>
      <c r="I406" s="87">
        <v>6</v>
      </c>
      <c r="J406" s="260">
        <f ca="1">OFFSET('Tax value roll forward'!H$68,0,I406-1)-SUM('Tax value roll forward'!H443:OFFSET('Tax value roll forward'!H443,0,Input!$Y$7-1))</f>
        <v>0</v>
      </c>
      <c r="K406" s="260" t="str">
        <f>IF(A29taxstdlife="N/A","n/a",IF(J406=0,0,A29taxstdlife+I406-Input!$Y$7))</f>
        <v>n/a</v>
      </c>
      <c r="L406" s="111"/>
      <c r="M406" s="9"/>
      <c r="N406" s="9"/>
      <c r="O406" s="9"/>
      <c r="P406" s="9"/>
      <c r="Q406" s="9"/>
      <c r="R406" s="9"/>
      <c r="S406" s="253"/>
      <c r="T406" s="253"/>
      <c r="U406" s="253"/>
      <c r="V406" s="253"/>
      <c r="W406" s="253"/>
      <c r="X406" s="253"/>
      <c r="Y406" s="253"/>
      <c r="Z406" s="253"/>
    </row>
    <row r="407" spans="1:26" hidden="1" outlineLevel="1">
      <c r="A407" s="9"/>
      <c r="B407" s="9"/>
      <c r="C407" s="396"/>
      <c r="D407" s="87">
        <v>7</v>
      </c>
      <c r="E407" s="260">
        <f ca="1">OFFSET('Actual RAB roll forward'!H$72,0,D407-1)-SUM('Actual RAB roll forward'!H448:OFFSET('Actual RAB roll forward'!H448,0,Input!$Y$7-1))</f>
        <v>0</v>
      </c>
      <c r="F407" s="260" t="str">
        <f>IF(A29stdlife="N/A","n/a",IF(E407=0,0,A29stdlife+D407-Input!$Y$7))</f>
        <v>n/a</v>
      </c>
      <c r="G407" s="256"/>
      <c r="H407" s="396"/>
      <c r="I407" s="87">
        <v>7</v>
      </c>
      <c r="J407" s="260">
        <f ca="1">OFFSET('Tax value roll forward'!H$68,0,I407-1)-SUM('Tax value roll forward'!H444:OFFSET('Tax value roll forward'!H444,0,Input!$Y$7-1))</f>
        <v>0</v>
      </c>
      <c r="K407" s="260" t="str">
        <f>IF(A29taxstdlife="N/A","n/a",IF(J407=0,0,A29taxstdlife+I407-Input!$Y$7))</f>
        <v>n/a</v>
      </c>
      <c r="L407" s="111"/>
      <c r="M407" s="9"/>
      <c r="N407" s="9"/>
      <c r="O407" s="9"/>
      <c r="P407" s="9"/>
      <c r="Q407" s="9"/>
      <c r="R407" s="9"/>
      <c r="S407" s="253"/>
      <c r="T407" s="253"/>
      <c r="U407" s="253"/>
      <c r="V407" s="253"/>
      <c r="W407" s="253"/>
      <c r="X407" s="253"/>
      <c r="Y407" s="253"/>
      <c r="Z407" s="253"/>
    </row>
    <row r="408" spans="1:26" hidden="1" outlineLevel="1">
      <c r="A408" s="9"/>
      <c r="B408" s="9"/>
      <c r="C408" s="396"/>
      <c r="D408" s="87">
        <v>8</v>
      </c>
      <c r="E408" s="260">
        <f ca="1">OFFSET('Actual RAB roll forward'!H$72,0,D408-1)-SUM('Actual RAB roll forward'!H449:OFFSET('Actual RAB roll forward'!H449,0,Input!$Y$7-1))</f>
        <v>0</v>
      </c>
      <c r="F408" s="260" t="str">
        <f>IF(A29stdlife="N/A","n/a",IF(E408=0,0,A29stdlife+D408-Input!$Y$7))</f>
        <v>n/a</v>
      </c>
      <c r="G408" s="256"/>
      <c r="H408" s="396"/>
      <c r="I408" s="87">
        <v>8</v>
      </c>
      <c r="J408" s="260">
        <f ca="1">OFFSET('Tax value roll forward'!H$68,0,I408-1)-SUM('Tax value roll forward'!H445:OFFSET('Tax value roll forward'!H445,0,Input!$Y$7-1))</f>
        <v>0</v>
      </c>
      <c r="K408" s="260" t="str">
        <f>IF(A29taxstdlife="N/A","n/a",IF(J408=0,0,A29taxstdlife+I408-Input!$Y$7))</f>
        <v>n/a</v>
      </c>
      <c r="L408" s="111"/>
      <c r="M408" s="9"/>
      <c r="N408" s="9"/>
      <c r="O408" s="9"/>
      <c r="P408" s="9"/>
      <c r="Q408" s="9"/>
      <c r="R408" s="9"/>
      <c r="S408" s="253"/>
      <c r="T408" s="253"/>
      <c r="U408" s="253"/>
      <c r="V408" s="253"/>
      <c r="W408" s="253"/>
      <c r="X408" s="253"/>
      <c r="Y408" s="253"/>
      <c r="Z408" s="253"/>
    </row>
    <row r="409" spans="1:26" hidden="1" outlineLevel="1">
      <c r="A409" s="9"/>
      <c r="B409" s="9"/>
      <c r="C409" s="396"/>
      <c r="D409" s="87">
        <v>9</v>
      </c>
      <c r="E409" s="260">
        <f ca="1">OFFSET('Actual RAB roll forward'!H$72,0,D409-1)-SUM('Actual RAB roll forward'!H450:OFFSET('Actual RAB roll forward'!H450,0,Input!$Y$7-1))</f>
        <v>0</v>
      </c>
      <c r="F409" s="260" t="str">
        <f>IF(A29stdlife="N/A","n/a",IF(E409=0,0,A29stdlife+D409-Input!$Y$7))</f>
        <v>n/a</v>
      </c>
      <c r="G409" s="256"/>
      <c r="H409" s="396"/>
      <c r="I409" s="87">
        <v>9</v>
      </c>
      <c r="J409" s="260">
        <f ca="1">OFFSET('Tax value roll forward'!H$68,0,I409-1)-SUM('Tax value roll forward'!H446:OFFSET('Tax value roll forward'!H446,0,Input!$Y$7-1))</f>
        <v>0</v>
      </c>
      <c r="K409" s="260" t="str">
        <f>IF(A29taxstdlife="N/A","n/a",IF(J409=0,0,A29taxstdlife+I409-Input!$Y$7))</f>
        <v>n/a</v>
      </c>
      <c r="L409" s="111"/>
      <c r="M409" s="9"/>
      <c r="N409" s="9"/>
      <c r="O409" s="9"/>
      <c r="P409" s="9"/>
      <c r="Q409" s="9"/>
      <c r="R409" s="9"/>
      <c r="S409" s="253"/>
      <c r="T409" s="253"/>
      <c r="U409" s="253"/>
      <c r="V409" s="253"/>
      <c r="W409" s="253"/>
      <c r="X409" s="253"/>
      <c r="Y409" s="253"/>
      <c r="Z409" s="253"/>
    </row>
    <row r="410" spans="1:26" hidden="1" outlineLevel="1">
      <c r="A410" s="9"/>
      <c r="B410" s="9"/>
      <c r="C410" s="397"/>
      <c r="D410" s="88">
        <v>10</v>
      </c>
      <c r="E410" s="260">
        <f ca="1">OFFSET('Actual RAB roll forward'!H$72,0,D410-1)-SUM('Actual RAB roll forward'!H451:OFFSET('Actual RAB roll forward'!H451,0,Input!$Y$7-1))</f>
        <v>0</v>
      </c>
      <c r="F410" s="260" t="str">
        <f>IF(A29stdlife="N/A","n/a",IF(E410=0,0,A29stdlife+D410-Input!$Y$7))</f>
        <v>n/a</v>
      </c>
      <c r="G410" s="256"/>
      <c r="H410" s="397"/>
      <c r="I410" s="88">
        <v>10</v>
      </c>
      <c r="J410" s="260">
        <f ca="1">OFFSET('Tax value roll forward'!H$68,0,I410-1)-SUM('Tax value roll forward'!H447:OFFSET('Tax value roll forward'!H447,0,Input!$Y$7-1))</f>
        <v>0</v>
      </c>
      <c r="K410" s="260" t="str">
        <f>IF(A29taxstdlife="N/A","n/a",IF(J410=0,0,A29taxstdlife+I410-Input!$Y$7))</f>
        <v>n/a</v>
      </c>
      <c r="L410" s="111"/>
      <c r="M410" s="9"/>
      <c r="N410" s="9"/>
      <c r="O410" s="9"/>
      <c r="P410" s="9"/>
      <c r="Q410" s="9"/>
      <c r="R410" s="9"/>
      <c r="S410" s="253"/>
      <c r="T410" s="253"/>
      <c r="U410" s="253"/>
      <c r="V410" s="253"/>
      <c r="W410" s="253"/>
      <c r="X410" s="253"/>
      <c r="Y410" s="253"/>
      <c r="Z410" s="253"/>
    </row>
    <row r="411" spans="1:26" collapsed="1">
      <c r="A411" s="9"/>
      <c r="B411" s="9"/>
      <c r="C411" s="274">
        <f>Asset29</f>
        <v>0</v>
      </c>
      <c r="D411" s="9"/>
      <c r="E411" s="260">
        <f ca="1">SUM(E400:E410)</f>
        <v>0</v>
      </c>
      <c r="F411" s="260">
        <f ca="1">IF(E411=0,0,SUMPRODUCT(E400:E410,F400:F410)/E411)</f>
        <v>0</v>
      </c>
      <c r="G411" s="256"/>
      <c r="H411" s="43"/>
      <c r="I411" s="260"/>
      <c r="J411" s="260">
        <f ca="1">SUM(J400:J410)</f>
        <v>0</v>
      </c>
      <c r="K411" s="260">
        <f ca="1">IF(J411=0,0,SUMPRODUCT(J400:J410,K400:K410)/J411)</f>
        <v>0</v>
      </c>
      <c r="L411" s="111"/>
      <c r="M411" s="9"/>
      <c r="N411" s="9"/>
      <c r="O411" s="9"/>
      <c r="P411" s="9"/>
      <c r="Q411" s="9"/>
      <c r="R411" s="9"/>
      <c r="S411" s="253"/>
      <c r="T411" s="253"/>
      <c r="U411" s="253"/>
      <c r="V411" s="253"/>
      <c r="W411" s="253"/>
      <c r="X411" s="253"/>
      <c r="Y411" s="253"/>
      <c r="Z411" s="253"/>
    </row>
    <row r="412" spans="1:26" hidden="1" outlineLevel="1">
      <c r="A412" s="9"/>
      <c r="B412" s="272"/>
      <c r="C412" s="9"/>
      <c r="D412" s="9"/>
      <c r="E412" s="35"/>
      <c r="F412" s="35"/>
      <c r="G412" s="256"/>
      <c r="H412" s="260"/>
      <c r="I412" s="260"/>
      <c r="J412" s="265"/>
      <c r="K412" s="260"/>
      <c r="L412" s="111"/>
      <c r="M412" s="9"/>
      <c r="N412" s="9"/>
      <c r="O412" s="9"/>
      <c r="P412" s="9"/>
      <c r="Q412" s="9"/>
      <c r="R412" s="9"/>
      <c r="S412" s="253"/>
      <c r="T412" s="253"/>
      <c r="U412" s="253"/>
      <c r="V412" s="253"/>
      <c r="W412" s="253"/>
      <c r="X412" s="253"/>
      <c r="Y412" s="253"/>
      <c r="Z412" s="253"/>
    </row>
    <row r="413" spans="1:26" hidden="1" outlineLevel="1">
      <c r="A413" s="9"/>
      <c r="B413" s="272">
        <f>Asset30</f>
        <v>0</v>
      </c>
      <c r="C413" s="9"/>
      <c r="D413" s="9"/>
      <c r="E413" s="35"/>
      <c r="F413" s="35"/>
      <c r="G413" s="256"/>
      <c r="H413" s="260"/>
      <c r="I413" s="260"/>
      <c r="J413" s="265"/>
      <c r="K413" s="260"/>
      <c r="L413" s="111"/>
      <c r="M413" s="9"/>
      <c r="N413" s="9"/>
      <c r="O413" s="9"/>
      <c r="P413" s="9"/>
      <c r="Q413" s="9"/>
      <c r="R413" s="9"/>
      <c r="S413" s="253"/>
      <c r="T413" s="253"/>
      <c r="U413" s="253"/>
      <c r="V413" s="253"/>
      <c r="W413" s="253"/>
      <c r="X413" s="253"/>
      <c r="Y413" s="253"/>
      <c r="Z413" s="253"/>
    </row>
    <row r="414" spans="1:26" ht="12.75" hidden="1" customHeight="1" outlineLevel="1">
      <c r="A414" s="9"/>
      <c r="B414" s="9"/>
      <c r="C414" s="393" t="s">
        <v>26</v>
      </c>
      <c r="D414" s="394"/>
      <c r="E414" s="260">
        <f ca="1">A30value-SUM('Actual RAB roll forward'!H453:OFFSET('Actual RAB roll forward'!H453,0,Input!$Y$7-1))</f>
        <v>0</v>
      </c>
      <c r="F414" s="260" t="str">
        <f>IF(A30remlife="N/A","n/a",A30remlife-Input!$Y$7)</f>
        <v>n/a</v>
      </c>
      <c r="G414" s="256"/>
      <c r="H414" s="298" t="s">
        <v>66</v>
      </c>
      <c r="I414" s="299"/>
      <c r="J414" s="260">
        <f ca="1">A30taxvalue-SUM('Tax value roll forward'!H449:OFFSET('Tax value roll forward'!H449,0,Input!$Y$7-1))</f>
        <v>0</v>
      </c>
      <c r="K414" s="260" t="str">
        <f>IF(A30taxremlife="N/A","n/a",A30taxremlife-Input!$Y$7)</f>
        <v>n/a</v>
      </c>
      <c r="L414" s="111"/>
      <c r="M414" s="9"/>
      <c r="N414" s="9"/>
      <c r="O414" s="9"/>
      <c r="P414" s="9"/>
      <c r="Q414" s="9"/>
      <c r="R414" s="9"/>
      <c r="S414" s="253"/>
      <c r="T414" s="253"/>
      <c r="U414" s="253"/>
      <c r="V414" s="253"/>
      <c r="W414" s="253"/>
      <c r="X414" s="253"/>
      <c r="Y414" s="253"/>
      <c r="Z414" s="253"/>
    </row>
    <row r="415" spans="1:26" hidden="1" outlineLevel="1">
      <c r="A415" s="9"/>
      <c r="B415" s="9"/>
      <c r="C415" s="395" t="s">
        <v>82</v>
      </c>
      <c r="D415" s="87">
        <v>1</v>
      </c>
      <c r="E415" s="260">
        <f ca="1">OFFSET('Actual RAB roll forward'!H$73,0,D415-1)-SUM('Actual RAB roll forward'!H455:OFFSET('Actual RAB roll forward'!H455,0,Input!$Y$7-1))</f>
        <v>0</v>
      </c>
      <c r="F415" s="260" t="str">
        <f>IF(A30stdlife="N/A","n/a",IF(E415=0,0,A30stdlife+D415-Input!$Y$7))</f>
        <v>n/a</v>
      </c>
      <c r="G415" s="256"/>
      <c r="H415" s="395" t="s">
        <v>82</v>
      </c>
      <c r="I415" s="87">
        <v>1</v>
      </c>
      <c r="J415" s="260">
        <f ca="1">OFFSET('Tax value roll forward'!H$69,0,I415-1)-SUM('Tax value roll forward'!H451:OFFSET('Tax value roll forward'!H451,0,Input!$Y$7-1))</f>
        <v>0</v>
      </c>
      <c r="K415" s="260" t="str">
        <f>IF(A30taxstdlife="N/A","n/a",IF(J415=0,0,A30taxstdlife+I415-Input!$Y$7))</f>
        <v>n/a</v>
      </c>
      <c r="L415" s="111"/>
      <c r="M415" s="9"/>
      <c r="N415" s="9"/>
      <c r="O415" s="9"/>
      <c r="P415" s="9"/>
      <c r="Q415" s="9"/>
      <c r="R415" s="9"/>
      <c r="S415" s="253"/>
      <c r="T415" s="253"/>
      <c r="U415" s="253"/>
      <c r="V415" s="253"/>
      <c r="W415" s="253"/>
      <c r="X415" s="253"/>
      <c r="Y415" s="253"/>
      <c r="Z415" s="253"/>
    </row>
    <row r="416" spans="1:26" hidden="1" outlineLevel="1">
      <c r="A416" s="9"/>
      <c r="B416" s="9"/>
      <c r="C416" s="396"/>
      <c r="D416" s="87">
        <v>2</v>
      </c>
      <c r="E416" s="260">
        <f ca="1">OFFSET('Actual RAB roll forward'!H$73,0,D416-1)-SUM('Actual RAB roll forward'!H456:OFFSET('Actual RAB roll forward'!H456,0,Input!$Y$7-1))</f>
        <v>0</v>
      </c>
      <c r="F416" s="260" t="str">
        <f>IF(A30stdlife="N/A","n/a",IF(E416=0,0,A30stdlife+D416-Input!$Y$7))</f>
        <v>n/a</v>
      </c>
      <c r="G416" s="256"/>
      <c r="H416" s="396"/>
      <c r="I416" s="87">
        <v>2</v>
      </c>
      <c r="J416" s="260">
        <f ca="1">OFFSET('Tax value roll forward'!H$69,0,I416-1)-SUM('Tax value roll forward'!H452:OFFSET('Tax value roll forward'!H452,0,Input!$Y$7-1))</f>
        <v>0</v>
      </c>
      <c r="K416" s="260" t="str">
        <f>IF(A30taxstdlife="N/A","n/a",IF(J416=0,0,A30taxstdlife+I416-Input!$Y$7))</f>
        <v>n/a</v>
      </c>
      <c r="L416" s="111"/>
      <c r="M416" s="9"/>
      <c r="N416" s="9"/>
      <c r="O416" s="9"/>
      <c r="P416" s="9"/>
      <c r="Q416" s="9"/>
      <c r="R416" s="9"/>
      <c r="S416" s="253"/>
      <c r="T416" s="253"/>
      <c r="U416" s="253"/>
      <c r="V416" s="253"/>
      <c r="W416" s="253"/>
      <c r="X416" s="253"/>
      <c r="Y416" s="253"/>
      <c r="Z416" s="253"/>
    </row>
    <row r="417" spans="1:26" hidden="1" outlineLevel="1">
      <c r="A417" s="9"/>
      <c r="B417" s="9"/>
      <c r="C417" s="396"/>
      <c r="D417" s="87">
        <v>3</v>
      </c>
      <c r="E417" s="260">
        <f ca="1">OFFSET('Actual RAB roll forward'!H$73,0,D417-1)-SUM('Actual RAB roll forward'!H457:OFFSET('Actual RAB roll forward'!H457,0,Input!$Y$7-1))</f>
        <v>0</v>
      </c>
      <c r="F417" s="260" t="str">
        <f>IF(A30stdlife="N/A","n/a",IF(E417=0,0,A30stdlife+D417-Input!$Y$7))</f>
        <v>n/a</v>
      </c>
      <c r="G417" s="256"/>
      <c r="H417" s="396"/>
      <c r="I417" s="87">
        <v>3</v>
      </c>
      <c r="J417" s="260">
        <f ca="1">OFFSET('Tax value roll forward'!H$69,0,I417-1)-SUM('Tax value roll forward'!H453:OFFSET('Tax value roll forward'!H453,0,Input!$Y$7-1))</f>
        <v>0</v>
      </c>
      <c r="K417" s="260" t="str">
        <f>IF(A30taxstdlife="N/A","n/a",IF(J417=0,0,A30taxstdlife+I417-Input!$Y$7))</f>
        <v>n/a</v>
      </c>
      <c r="L417" s="111"/>
      <c r="M417" s="9"/>
      <c r="N417" s="9"/>
      <c r="O417" s="9"/>
      <c r="P417" s="9"/>
      <c r="Q417" s="9"/>
      <c r="R417" s="9"/>
      <c r="S417" s="253"/>
      <c r="T417" s="253"/>
      <c r="U417" s="253"/>
      <c r="V417" s="253"/>
      <c r="W417" s="253"/>
      <c r="X417" s="253"/>
      <c r="Y417" s="253"/>
      <c r="Z417" s="253"/>
    </row>
    <row r="418" spans="1:26" hidden="1" outlineLevel="1">
      <c r="A418" s="9"/>
      <c r="B418" s="9"/>
      <c r="C418" s="396"/>
      <c r="D418" s="87">
        <v>4</v>
      </c>
      <c r="E418" s="260">
        <f ca="1">OFFSET('Actual RAB roll forward'!H$73,0,D418-1)-SUM('Actual RAB roll forward'!H458:OFFSET('Actual RAB roll forward'!H458,0,Input!$Y$7-1))</f>
        <v>0</v>
      </c>
      <c r="F418" s="260" t="str">
        <f>IF(A30stdlife="N/A","n/a",IF(E418=0,0,A30stdlife+D418-Input!$Y$7))</f>
        <v>n/a</v>
      </c>
      <c r="G418" s="256"/>
      <c r="H418" s="396"/>
      <c r="I418" s="87">
        <v>4</v>
      </c>
      <c r="J418" s="260">
        <f ca="1">OFFSET('Tax value roll forward'!H$69,0,I418-1)-SUM('Tax value roll forward'!H454:OFFSET('Tax value roll forward'!H454,0,Input!$Y$7-1))</f>
        <v>0</v>
      </c>
      <c r="K418" s="260" t="str">
        <f>IF(A30taxstdlife="N/A","n/a",IF(J418=0,0,A30taxstdlife+I418-Input!$Y$7))</f>
        <v>n/a</v>
      </c>
      <c r="L418" s="111"/>
      <c r="M418" s="9"/>
      <c r="N418" s="9"/>
      <c r="O418" s="9"/>
      <c r="P418" s="9"/>
      <c r="Q418" s="9"/>
      <c r="R418" s="9"/>
      <c r="S418" s="253"/>
      <c r="T418" s="253"/>
      <c r="U418" s="253"/>
      <c r="V418" s="253"/>
      <c r="W418" s="253"/>
      <c r="X418" s="253"/>
      <c r="Y418" s="253"/>
      <c r="Z418" s="253"/>
    </row>
    <row r="419" spans="1:26" hidden="1" outlineLevel="1">
      <c r="A419" s="9"/>
      <c r="B419" s="9"/>
      <c r="C419" s="396"/>
      <c r="D419" s="87">
        <v>5</v>
      </c>
      <c r="E419" s="260">
        <f ca="1">OFFSET('Actual RAB roll forward'!H$73,0,D419-1)-SUM('Actual RAB roll forward'!H459:OFFSET('Actual RAB roll forward'!H459,0,Input!$Y$7-1))</f>
        <v>0</v>
      </c>
      <c r="F419" s="260" t="str">
        <f>IF(A30stdlife="N/A","n/a",IF(E419=0,0,A30stdlife+D419-Input!$Y$7))</f>
        <v>n/a</v>
      </c>
      <c r="G419" s="256"/>
      <c r="H419" s="396"/>
      <c r="I419" s="87">
        <v>5</v>
      </c>
      <c r="J419" s="260">
        <f ca="1">OFFSET('Tax value roll forward'!H$69,0,I419-1)-SUM('Tax value roll forward'!H455:OFFSET('Tax value roll forward'!H455,0,Input!$Y$7-1))</f>
        <v>0</v>
      </c>
      <c r="K419" s="260" t="str">
        <f>IF(A30taxstdlife="N/A","n/a",IF(J419=0,0,A30taxstdlife+I419-Input!$Y$7))</f>
        <v>n/a</v>
      </c>
      <c r="L419" s="111"/>
      <c r="M419" s="9"/>
      <c r="N419" s="9"/>
      <c r="O419" s="9"/>
      <c r="P419" s="9"/>
      <c r="Q419" s="9"/>
      <c r="R419" s="9"/>
      <c r="S419" s="253"/>
      <c r="T419" s="253"/>
      <c r="U419" s="253"/>
      <c r="V419" s="253"/>
      <c r="W419" s="253"/>
      <c r="X419" s="253"/>
      <c r="Y419" s="253"/>
      <c r="Z419" s="253"/>
    </row>
    <row r="420" spans="1:26" hidden="1" outlineLevel="1">
      <c r="A420" s="9"/>
      <c r="B420" s="9"/>
      <c r="C420" s="396"/>
      <c r="D420" s="87">
        <v>6</v>
      </c>
      <c r="E420" s="260">
        <f ca="1">OFFSET('Actual RAB roll forward'!H$73,0,D420-1)-SUM('Actual RAB roll forward'!H460:OFFSET('Actual RAB roll forward'!H460,0,Input!$Y$7-1))</f>
        <v>0</v>
      </c>
      <c r="F420" s="260" t="str">
        <f>IF(A30stdlife="N/A","n/a",IF(E420=0,0,A30stdlife+D420-Input!$Y$7))</f>
        <v>n/a</v>
      </c>
      <c r="G420" s="256"/>
      <c r="H420" s="396"/>
      <c r="I420" s="87">
        <v>6</v>
      </c>
      <c r="J420" s="260">
        <f ca="1">OFFSET('Tax value roll forward'!H$69,0,I420-1)-SUM('Tax value roll forward'!H456:OFFSET('Tax value roll forward'!H456,0,Input!$Y$7-1))</f>
        <v>0</v>
      </c>
      <c r="K420" s="260" t="str">
        <f>IF(A30taxstdlife="N/A","n/a",IF(J420=0,0,A30taxstdlife+I420-Input!$Y$7))</f>
        <v>n/a</v>
      </c>
      <c r="L420" s="111"/>
      <c r="M420" s="9"/>
      <c r="N420" s="9"/>
      <c r="O420" s="9"/>
      <c r="P420" s="9"/>
      <c r="Q420" s="9"/>
      <c r="R420" s="9"/>
      <c r="S420" s="253"/>
      <c r="T420" s="253"/>
      <c r="U420" s="253"/>
      <c r="V420" s="253"/>
      <c r="W420" s="253"/>
      <c r="X420" s="253"/>
      <c r="Y420" s="253"/>
      <c r="Z420" s="253"/>
    </row>
    <row r="421" spans="1:26" hidden="1" outlineLevel="1">
      <c r="A421" s="9"/>
      <c r="B421" s="9"/>
      <c r="C421" s="396"/>
      <c r="D421" s="87">
        <v>7</v>
      </c>
      <c r="E421" s="260">
        <f ca="1">OFFSET('Actual RAB roll forward'!H$73,0,D421-1)-SUM('Actual RAB roll forward'!H461:OFFSET('Actual RAB roll forward'!H461,0,Input!$Y$7-1))</f>
        <v>0</v>
      </c>
      <c r="F421" s="260" t="str">
        <f>IF(A30stdlife="N/A","n/a",IF(E421=0,0,A30stdlife+D421-Input!$Y$7))</f>
        <v>n/a</v>
      </c>
      <c r="G421" s="256"/>
      <c r="H421" s="396"/>
      <c r="I421" s="87">
        <v>7</v>
      </c>
      <c r="J421" s="260">
        <f ca="1">OFFSET('Tax value roll forward'!H$69,0,I421-1)-SUM('Tax value roll forward'!H457:OFFSET('Tax value roll forward'!H457,0,Input!$Y$7-1))</f>
        <v>0</v>
      </c>
      <c r="K421" s="260" t="str">
        <f>IF(A30taxstdlife="N/A","n/a",IF(J421=0,0,A30taxstdlife+I421-Input!$Y$7))</f>
        <v>n/a</v>
      </c>
      <c r="L421" s="111"/>
      <c r="M421" s="9"/>
      <c r="N421" s="9"/>
      <c r="O421" s="9"/>
      <c r="P421" s="9"/>
      <c r="Q421" s="9"/>
      <c r="R421" s="9"/>
      <c r="S421" s="253"/>
      <c r="T421" s="253"/>
      <c r="U421" s="253"/>
      <c r="V421" s="253"/>
      <c r="W421" s="253"/>
      <c r="X421" s="253"/>
      <c r="Y421" s="253"/>
      <c r="Z421" s="253"/>
    </row>
    <row r="422" spans="1:26" hidden="1" outlineLevel="1">
      <c r="A422" s="9"/>
      <c r="B422" s="9"/>
      <c r="C422" s="396"/>
      <c r="D422" s="87">
        <v>8</v>
      </c>
      <c r="E422" s="260">
        <f ca="1">OFFSET('Actual RAB roll forward'!H$73,0,D422-1)-SUM('Actual RAB roll forward'!H462:OFFSET('Actual RAB roll forward'!H462,0,Input!$Y$7-1))</f>
        <v>0</v>
      </c>
      <c r="F422" s="260" t="str">
        <f>IF(A30stdlife="N/A","n/a",IF(E422=0,0,A30stdlife+D422-Input!$Y$7))</f>
        <v>n/a</v>
      </c>
      <c r="G422" s="256"/>
      <c r="H422" s="396"/>
      <c r="I422" s="87">
        <v>8</v>
      </c>
      <c r="J422" s="260">
        <f ca="1">OFFSET('Tax value roll forward'!H$69,0,I422-1)-SUM('Tax value roll forward'!H458:OFFSET('Tax value roll forward'!H458,0,Input!$Y$7-1))</f>
        <v>0</v>
      </c>
      <c r="K422" s="260" t="str">
        <f>IF(A30taxstdlife="N/A","n/a",IF(J422=0,0,A30taxstdlife+I422-Input!$Y$7))</f>
        <v>n/a</v>
      </c>
      <c r="L422" s="111"/>
      <c r="M422" s="9"/>
      <c r="N422" s="9"/>
      <c r="O422" s="9"/>
      <c r="P422" s="9"/>
      <c r="Q422" s="9"/>
      <c r="R422" s="9"/>
      <c r="S422" s="253"/>
      <c r="T422" s="253"/>
      <c r="U422" s="253"/>
      <c r="V422" s="253"/>
      <c r="W422" s="253"/>
      <c r="X422" s="253"/>
      <c r="Y422" s="253"/>
      <c r="Z422" s="253"/>
    </row>
    <row r="423" spans="1:26" hidden="1" outlineLevel="1">
      <c r="A423" s="9"/>
      <c r="B423" s="9"/>
      <c r="C423" s="396"/>
      <c r="D423" s="87">
        <v>9</v>
      </c>
      <c r="E423" s="260">
        <f ca="1">OFFSET('Actual RAB roll forward'!H$73,0,D423-1)-SUM('Actual RAB roll forward'!H463:OFFSET('Actual RAB roll forward'!H463,0,Input!$Y$7-1))</f>
        <v>0</v>
      </c>
      <c r="F423" s="260" t="str">
        <f>IF(A30stdlife="N/A","n/a",IF(E423=0,0,A30stdlife+D423-Input!$Y$7))</f>
        <v>n/a</v>
      </c>
      <c r="G423" s="256"/>
      <c r="H423" s="396"/>
      <c r="I423" s="87">
        <v>9</v>
      </c>
      <c r="J423" s="260">
        <f ca="1">OFFSET('Tax value roll forward'!H$69,0,I423-1)-SUM('Tax value roll forward'!H459:OFFSET('Tax value roll forward'!H459,0,Input!$Y$7-1))</f>
        <v>0</v>
      </c>
      <c r="K423" s="260" t="str">
        <f>IF(A30taxstdlife="N/A","n/a",IF(J423=0,0,A30taxstdlife+I423-Input!$Y$7))</f>
        <v>n/a</v>
      </c>
      <c r="L423" s="111"/>
      <c r="M423" s="9"/>
      <c r="N423" s="9"/>
      <c r="O423" s="9"/>
      <c r="P423" s="9"/>
      <c r="Q423" s="9"/>
      <c r="R423" s="9"/>
      <c r="S423" s="253"/>
      <c r="T423" s="253"/>
      <c r="U423" s="253"/>
      <c r="V423" s="253"/>
      <c r="W423" s="253"/>
      <c r="X423" s="253"/>
      <c r="Y423" s="253"/>
      <c r="Z423" s="253"/>
    </row>
    <row r="424" spans="1:26" hidden="1" outlineLevel="1">
      <c r="A424" s="9"/>
      <c r="B424" s="9"/>
      <c r="C424" s="397"/>
      <c r="D424" s="88">
        <v>10</v>
      </c>
      <c r="E424" s="260">
        <f ca="1">OFFSET('Actual RAB roll forward'!H$73,0,D424-1)-SUM('Actual RAB roll forward'!H464:OFFSET('Actual RAB roll forward'!H464,0,Input!$Y$7-1))</f>
        <v>0</v>
      </c>
      <c r="F424" s="260" t="str">
        <f>IF(A30stdlife="N/A","n/a",IF(E424=0,0,A30stdlife+D424-Input!$Y$7))</f>
        <v>n/a</v>
      </c>
      <c r="G424" s="256"/>
      <c r="H424" s="397"/>
      <c r="I424" s="88">
        <v>10</v>
      </c>
      <c r="J424" s="260">
        <f ca="1">OFFSET('Tax value roll forward'!H$69,0,I424-1)-SUM('Tax value roll forward'!H460:OFFSET('Tax value roll forward'!H460,0,Input!$Y$7-1))</f>
        <v>0</v>
      </c>
      <c r="K424" s="260" t="str">
        <f>IF(A30taxstdlife="N/A","n/a",IF(J424=0,0,A30taxstdlife+I424-Input!$Y$7))</f>
        <v>n/a</v>
      </c>
      <c r="L424" s="111"/>
      <c r="M424" s="9"/>
      <c r="N424" s="9"/>
      <c r="O424" s="9"/>
      <c r="P424" s="9"/>
      <c r="Q424" s="9"/>
      <c r="R424" s="9"/>
      <c r="S424" s="253"/>
      <c r="T424" s="253"/>
      <c r="U424" s="253"/>
      <c r="V424" s="253"/>
      <c r="W424" s="253"/>
      <c r="X424" s="253"/>
      <c r="Y424" s="253"/>
      <c r="Z424" s="253"/>
    </row>
    <row r="425" spans="1:26" collapsed="1">
      <c r="A425" s="9"/>
      <c r="B425" s="9"/>
      <c r="C425" s="274">
        <f>Asset30</f>
        <v>0</v>
      </c>
      <c r="D425" s="9"/>
      <c r="E425" s="260">
        <f ca="1">SUM(E414:E424)</f>
        <v>0</v>
      </c>
      <c r="F425" s="260">
        <f ca="1">IF(E425=0,0,SUMPRODUCT(E414:E424,F414:F424)/E425)</f>
        <v>0</v>
      </c>
      <c r="G425" s="256"/>
      <c r="H425" s="43"/>
      <c r="J425" s="260">
        <f ca="1">SUM(J414:J424)</f>
        <v>0</v>
      </c>
      <c r="K425" s="260">
        <f ca="1">IF(J425=0,0,SUMPRODUCT(J414:J424,K414:K424)/J425)</f>
        <v>0</v>
      </c>
      <c r="L425" s="111"/>
      <c r="M425" s="9"/>
      <c r="N425" s="9"/>
      <c r="O425" s="9"/>
      <c r="P425" s="9"/>
      <c r="Q425" s="9"/>
      <c r="R425" s="9"/>
      <c r="S425" s="253"/>
      <c r="T425" s="253"/>
      <c r="U425" s="253"/>
      <c r="V425" s="253"/>
      <c r="W425" s="253"/>
      <c r="X425" s="253"/>
      <c r="Y425" s="253"/>
      <c r="Z425" s="253"/>
    </row>
    <row r="426" spans="1:26">
      <c r="A426" s="9"/>
      <c r="B426" s="9"/>
      <c r="C426" s="9"/>
      <c r="D426" s="9"/>
      <c r="E426" s="35"/>
      <c r="F426" s="35"/>
      <c r="G426" s="256"/>
      <c r="H426" s="265"/>
      <c r="I426" s="260"/>
      <c r="J426" s="265"/>
      <c r="K426" s="260"/>
      <c r="L426" s="111"/>
      <c r="M426" s="9"/>
      <c r="N426" s="9"/>
      <c r="O426" s="9"/>
      <c r="P426" s="9"/>
      <c r="Q426" s="9"/>
      <c r="R426" s="9"/>
      <c r="S426" s="253"/>
      <c r="T426" s="253"/>
      <c r="U426" s="253"/>
      <c r="V426" s="253"/>
      <c r="W426" s="253"/>
      <c r="X426" s="253"/>
      <c r="Y426" s="253"/>
      <c r="Z426" s="253"/>
    </row>
    <row r="427" spans="1:26">
      <c r="A427" s="9"/>
      <c r="B427" s="9"/>
      <c r="C427" s="9"/>
      <c r="D427" s="9"/>
      <c r="E427" s="35"/>
      <c r="F427" s="35"/>
      <c r="G427" s="256"/>
      <c r="H427" s="265"/>
      <c r="I427" s="260"/>
      <c r="J427" s="265"/>
      <c r="K427" s="260"/>
      <c r="L427" s="111"/>
      <c r="M427" s="9"/>
      <c r="N427" s="9"/>
      <c r="O427" s="9"/>
      <c r="P427" s="9"/>
      <c r="Q427" s="9"/>
      <c r="R427" s="9"/>
      <c r="S427" s="253"/>
      <c r="T427" s="253"/>
      <c r="U427" s="253"/>
      <c r="V427" s="253"/>
      <c r="W427" s="253"/>
      <c r="X427" s="253"/>
      <c r="Y427" s="253"/>
      <c r="Z427" s="253"/>
    </row>
    <row r="428" spans="1:26">
      <c r="A428" s="9"/>
      <c r="B428" s="9"/>
      <c r="C428" s="9"/>
      <c r="D428" s="9"/>
      <c r="E428" s="35"/>
      <c r="F428" s="35"/>
      <c r="G428" s="256"/>
      <c r="H428" s="265"/>
      <c r="I428" s="260"/>
      <c r="J428" s="265"/>
      <c r="K428" s="260"/>
      <c r="L428" s="111"/>
      <c r="M428" s="9"/>
      <c r="N428" s="9"/>
      <c r="O428" s="9"/>
      <c r="P428" s="9"/>
      <c r="Q428" s="9"/>
      <c r="R428" s="9"/>
      <c r="S428" s="253"/>
      <c r="T428" s="253"/>
      <c r="U428" s="253"/>
      <c r="V428" s="253"/>
      <c r="W428" s="253"/>
      <c r="X428" s="253"/>
      <c r="Y428" s="253"/>
      <c r="Z428" s="253"/>
    </row>
    <row r="429" spans="1:26">
      <c r="A429" s="9"/>
      <c r="B429" s="9"/>
      <c r="C429" s="9"/>
      <c r="D429" s="9"/>
      <c r="E429" s="35"/>
      <c r="F429" s="35"/>
      <c r="G429" s="256"/>
      <c r="H429" s="265"/>
      <c r="I429" s="260"/>
      <c r="J429" s="265"/>
      <c r="K429" s="260"/>
      <c r="L429" s="111"/>
      <c r="M429" s="9"/>
      <c r="N429" s="9"/>
      <c r="O429" s="9"/>
      <c r="P429" s="9"/>
      <c r="Q429" s="9"/>
      <c r="R429" s="9"/>
      <c r="S429" s="253"/>
      <c r="T429" s="253"/>
      <c r="U429" s="253"/>
      <c r="V429" s="253"/>
      <c r="W429" s="253"/>
      <c r="X429" s="253"/>
      <c r="Y429" s="253"/>
      <c r="Z429" s="253"/>
    </row>
    <row r="430" spans="1:26">
      <c r="A430" s="9"/>
      <c r="B430" s="9"/>
      <c r="C430" s="9"/>
      <c r="D430" s="9"/>
      <c r="E430" s="35"/>
      <c r="F430" s="35"/>
      <c r="G430" s="256"/>
      <c r="H430" s="265"/>
      <c r="I430" s="260"/>
      <c r="J430" s="265"/>
      <c r="K430" s="260"/>
      <c r="L430" s="111"/>
      <c r="M430" s="9"/>
      <c r="N430" s="9"/>
      <c r="O430" s="9"/>
      <c r="P430" s="9"/>
      <c r="Q430" s="9"/>
      <c r="R430" s="9"/>
      <c r="S430" s="253"/>
      <c r="T430" s="253"/>
      <c r="U430" s="253"/>
      <c r="V430" s="253"/>
      <c r="W430" s="253"/>
      <c r="X430" s="253"/>
      <c r="Y430" s="253"/>
      <c r="Z430" s="253"/>
    </row>
    <row r="431" spans="1:26">
      <c r="A431" s="9"/>
      <c r="B431" s="9"/>
      <c r="C431" s="9"/>
      <c r="D431" s="9"/>
      <c r="E431" s="35"/>
      <c r="F431" s="35"/>
      <c r="G431" s="256"/>
      <c r="H431" s="265"/>
      <c r="I431" s="260"/>
      <c r="J431" s="265"/>
      <c r="K431" s="260"/>
      <c r="L431" s="111"/>
      <c r="M431" s="9"/>
      <c r="N431" s="9"/>
      <c r="O431" s="9"/>
      <c r="P431" s="9"/>
      <c r="Q431" s="9"/>
      <c r="R431" s="9"/>
      <c r="S431" s="253"/>
      <c r="T431" s="253"/>
      <c r="U431" s="253"/>
      <c r="V431" s="253"/>
      <c r="W431" s="253"/>
      <c r="X431" s="253"/>
      <c r="Y431" s="253"/>
      <c r="Z431" s="253"/>
    </row>
    <row r="432" spans="1:26">
      <c r="A432" s="9"/>
      <c r="B432" s="9"/>
      <c r="C432" s="9"/>
      <c r="D432" s="9"/>
      <c r="E432" s="35"/>
      <c r="F432" s="35"/>
      <c r="G432" s="256"/>
      <c r="H432" s="265"/>
      <c r="I432" s="260"/>
      <c r="J432" s="265"/>
      <c r="K432" s="260"/>
      <c r="L432" s="111"/>
      <c r="M432" s="9"/>
      <c r="N432" s="9"/>
      <c r="O432" s="9"/>
      <c r="P432" s="9"/>
      <c r="Q432" s="9"/>
      <c r="R432" s="9"/>
      <c r="S432" s="253"/>
      <c r="T432" s="253"/>
      <c r="U432" s="253"/>
      <c r="V432" s="253"/>
      <c r="W432" s="253"/>
      <c r="X432" s="253"/>
      <c r="Y432" s="253"/>
      <c r="Z432" s="253"/>
    </row>
    <row r="433" spans="1:26">
      <c r="A433" s="9"/>
      <c r="B433" s="9"/>
      <c r="C433" s="9"/>
      <c r="D433" s="9"/>
      <c r="E433" s="35"/>
      <c r="F433" s="35"/>
      <c r="G433" s="256"/>
      <c r="H433" s="265"/>
      <c r="I433" s="260"/>
      <c r="J433" s="265"/>
      <c r="K433" s="260"/>
      <c r="L433" s="111"/>
      <c r="M433" s="9"/>
      <c r="N433" s="9"/>
      <c r="O433" s="9"/>
      <c r="P433" s="9"/>
      <c r="Q433" s="9"/>
      <c r="R433" s="9"/>
      <c r="S433" s="253"/>
      <c r="T433" s="253"/>
      <c r="U433" s="253"/>
      <c r="V433" s="253"/>
      <c r="W433" s="253"/>
      <c r="X433" s="253"/>
      <c r="Y433" s="253"/>
      <c r="Z433" s="253"/>
    </row>
    <row r="434" spans="1:26">
      <c r="A434" s="9"/>
      <c r="B434" s="9"/>
      <c r="C434" s="9"/>
      <c r="D434" s="9"/>
      <c r="E434" s="35"/>
      <c r="F434" s="35"/>
      <c r="G434" s="256"/>
      <c r="H434" s="265"/>
      <c r="I434" s="260"/>
      <c r="J434" s="265"/>
      <c r="K434" s="260"/>
      <c r="L434" s="111"/>
      <c r="M434" s="9"/>
      <c r="N434" s="9"/>
      <c r="O434" s="9"/>
      <c r="P434" s="9"/>
      <c r="Q434" s="9"/>
      <c r="R434" s="9"/>
      <c r="S434" s="253"/>
      <c r="T434" s="253"/>
      <c r="U434" s="253"/>
      <c r="V434" s="253"/>
      <c r="W434" s="253"/>
      <c r="X434" s="253"/>
      <c r="Y434" s="253"/>
      <c r="Z434" s="253"/>
    </row>
    <row r="435" spans="1:26">
      <c r="A435" s="9"/>
      <c r="B435" s="9"/>
      <c r="C435" s="9"/>
      <c r="D435" s="9"/>
      <c r="E435" s="35"/>
      <c r="F435" s="35"/>
      <c r="G435" s="256"/>
      <c r="H435" s="265"/>
      <c r="I435" s="260"/>
      <c r="J435" s="265"/>
      <c r="K435" s="260"/>
      <c r="L435" s="111"/>
      <c r="M435" s="9"/>
      <c r="N435" s="9"/>
      <c r="O435" s="9"/>
      <c r="P435" s="9"/>
      <c r="Q435" s="9"/>
      <c r="R435" s="9"/>
      <c r="S435" s="253"/>
      <c r="T435" s="253"/>
      <c r="U435" s="253"/>
      <c r="V435" s="253"/>
      <c r="W435" s="253"/>
      <c r="X435" s="253"/>
      <c r="Y435" s="253"/>
      <c r="Z435" s="253"/>
    </row>
    <row r="436" spans="1:26">
      <c r="A436" s="9"/>
      <c r="B436" s="9"/>
      <c r="C436" s="9"/>
      <c r="D436" s="9"/>
      <c r="E436" s="35"/>
      <c r="F436" s="35"/>
      <c r="G436" s="256"/>
      <c r="H436" s="265"/>
      <c r="I436" s="260"/>
      <c r="J436" s="265"/>
      <c r="K436" s="260"/>
      <c r="L436" s="111"/>
      <c r="M436" s="9"/>
      <c r="N436" s="9"/>
      <c r="O436" s="9"/>
      <c r="P436" s="9"/>
      <c r="Q436" s="9"/>
      <c r="R436" s="9"/>
      <c r="S436" s="253"/>
      <c r="T436" s="253"/>
      <c r="U436" s="253"/>
      <c r="V436" s="253"/>
      <c r="W436" s="253"/>
      <c r="X436" s="253"/>
      <c r="Y436" s="253"/>
      <c r="Z436" s="253"/>
    </row>
    <row r="437" spans="1:26">
      <c r="A437" s="9"/>
      <c r="B437" s="9"/>
      <c r="C437" s="9"/>
      <c r="D437" s="9"/>
      <c r="E437" s="35"/>
      <c r="F437" s="35"/>
      <c r="G437" s="256"/>
      <c r="H437" s="265"/>
      <c r="I437" s="260"/>
      <c r="J437" s="265"/>
      <c r="K437" s="260"/>
      <c r="L437" s="111"/>
      <c r="M437" s="9"/>
      <c r="N437" s="9"/>
      <c r="O437" s="9"/>
      <c r="P437" s="9"/>
      <c r="Q437" s="9"/>
      <c r="R437" s="9"/>
      <c r="S437" s="253"/>
      <c r="T437" s="253"/>
      <c r="U437" s="253"/>
      <c r="V437" s="253"/>
      <c r="W437" s="253"/>
      <c r="X437" s="253"/>
      <c r="Y437" s="253"/>
      <c r="Z437" s="253"/>
    </row>
    <row r="438" spans="1:26">
      <c r="A438" s="9"/>
      <c r="B438" s="9"/>
      <c r="C438" s="9"/>
      <c r="D438" s="9"/>
      <c r="E438" s="35"/>
      <c r="F438" s="35"/>
      <c r="G438" s="256"/>
      <c r="H438" s="265"/>
      <c r="I438" s="260"/>
      <c r="J438" s="265"/>
      <c r="K438" s="260"/>
      <c r="L438" s="111"/>
      <c r="M438" s="9"/>
      <c r="N438" s="9"/>
      <c r="O438" s="9"/>
      <c r="P438" s="9"/>
      <c r="Q438" s="9"/>
      <c r="R438" s="9"/>
      <c r="S438" s="253"/>
      <c r="T438" s="253"/>
      <c r="U438" s="253"/>
      <c r="V438" s="253"/>
      <c r="W438" s="253"/>
      <c r="X438" s="253"/>
      <c r="Y438" s="253"/>
      <c r="Z438" s="253"/>
    </row>
    <row r="439" spans="1:26">
      <c r="A439" s="9"/>
      <c r="B439" s="9"/>
      <c r="C439" s="9"/>
      <c r="D439" s="9"/>
      <c r="E439" s="35"/>
      <c r="F439" s="35"/>
      <c r="G439" s="256"/>
      <c r="H439" s="265"/>
      <c r="I439" s="260"/>
      <c r="J439" s="265"/>
      <c r="K439" s="260"/>
      <c r="L439" s="111"/>
      <c r="M439" s="9"/>
      <c r="N439" s="9"/>
      <c r="O439" s="9"/>
      <c r="P439" s="9"/>
      <c r="Q439" s="9"/>
      <c r="R439" s="9"/>
      <c r="S439" s="253"/>
      <c r="T439" s="253"/>
      <c r="U439" s="253"/>
      <c r="V439" s="253"/>
      <c r="W439" s="253"/>
      <c r="X439" s="253"/>
      <c r="Y439" s="253"/>
      <c r="Z439" s="253"/>
    </row>
    <row r="440" spans="1:26">
      <c r="A440" s="9"/>
      <c r="B440" s="9"/>
      <c r="C440" s="9"/>
      <c r="D440" s="9"/>
      <c r="E440" s="35"/>
      <c r="F440" s="35"/>
      <c r="G440" s="256"/>
      <c r="H440" s="265"/>
      <c r="I440" s="260"/>
      <c r="J440" s="265"/>
      <c r="K440" s="260"/>
      <c r="L440" s="111"/>
      <c r="M440" s="9"/>
      <c r="N440" s="9"/>
      <c r="O440" s="9"/>
      <c r="P440" s="9"/>
      <c r="Q440" s="9"/>
      <c r="R440" s="9"/>
      <c r="S440" s="253"/>
      <c r="T440" s="253"/>
      <c r="U440" s="253"/>
      <c r="V440" s="253"/>
      <c r="W440" s="253"/>
      <c r="X440" s="253"/>
      <c r="Y440" s="253"/>
      <c r="Z440" s="253"/>
    </row>
    <row r="441" spans="1:26">
      <c r="A441" s="9"/>
      <c r="B441" s="9"/>
      <c r="C441" s="9"/>
      <c r="D441" s="9"/>
      <c r="E441" s="35"/>
      <c r="F441" s="35"/>
      <c r="G441" s="256"/>
      <c r="H441" s="265"/>
      <c r="I441" s="260"/>
      <c r="J441" s="265"/>
      <c r="K441" s="260"/>
      <c r="L441" s="111"/>
      <c r="M441" s="9"/>
      <c r="N441" s="9"/>
      <c r="O441" s="9"/>
      <c r="P441" s="9"/>
      <c r="Q441" s="9"/>
      <c r="R441" s="9"/>
      <c r="S441" s="253"/>
      <c r="T441" s="253"/>
      <c r="U441" s="253"/>
      <c r="V441" s="253"/>
      <c r="W441" s="253"/>
      <c r="X441" s="253"/>
      <c r="Y441" s="253"/>
      <c r="Z441" s="253"/>
    </row>
    <row r="442" spans="1:26">
      <c r="A442" s="9"/>
      <c r="B442" s="9"/>
      <c r="C442" s="9"/>
      <c r="D442" s="9"/>
      <c r="E442" s="35"/>
      <c r="F442" s="35"/>
      <c r="G442" s="256"/>
      <c r="H442" s="265"/>
      <c r="I442" s="260"/>
      <c r="J442" s="265"/>
      <c r="K442" s="260"/>
      <c r="L442" s="111"/>
      <c r="M442" s="9"/>
      <c r="N442" s="9"/>
      <c r="O442" s="9"/>
      <c r="P442" s="9"/>
      <c r="Q442" s="9"/>
      <c r="R442" s="9"/>
      <c r="S442" s="253"/>
      <c r="T442" s="253"/>
      <c r="U442" s="253"/>
      <c r="V442" s="253"/>
      <c r="W442" s="253"/>
      <c r="X442" s="253"/>
      <c r="Y442" s="253"/>
      <c r="Z442" s="253"/>
    </row>
    <row r="443" spans="1:26">
      <c r="A443" s="9"/>
      <c r="B443" s="9"/>
      <c r="C443" s="9"/>
      <c r="D443" s="9"/>
      <c r="E443" s="35"/>
      <c r="F443" s="35"/>
      <c r="G443" s="256"/>
      <c r="H443" s="265"/>
      <c r="I443" s="260"/>
      <c r="J443" s="265"/>
      <c r="K443" s="260"/>
      <c r="L443" s="111"/>
      <c r="M443" s="9"/>
      <c r="N443" s="9"/>
      <c r="O443" s="9"/>
      <c r="P443" s="9"/>
      <c r="Q443" s="9"/>
      <c r="R443" s="9"/>
      <c r="S443" s="253"/>
      <c r="T443" s="253"/>
      <c r="U443" s="253"/>
      <c r="V443" s="253"/>
      <c r="W443" s="253"/>
      <c r="X443" s="253"/>
      <c r="Y443" s="253"/>
      <c r="Z443" s="253"/>
    </row>
    <row r="444" spans="1:26">
      <c r="A444" s="9"/>
      <c r="B444" s="9"/>
      <c r="C444" s="9"/>
      <c r="D444" s="9"/>
      <c r="E444" s="35"/>
      <c r="F444" s="35"/>
      <c r="G444" s="256"/>
      <c r="H444" s="265"/>
      <c r="I444" s="260"/>
      <c r="J444" s="265"/>
      <c r="K444" s="260"/>
      <c r="L444" s="111"/>
      <c r="M444" s="9"/>
      <c r="N444" s="9"/>
      <c r="O444" s="9"/>
      <c r="P444" s="9"/>
      <c r="Q444" s="9"/>
      <c r="R444" s="9"/>
      <c r="S444" s="253"/>
      <c r="T444" s="253"/>
      <c r="U444" s="253"/>
      <c r="V444" s="253"/>
      <c r="W444" s="253"/>
      <c r="X444" s="253"/>
      <c r="Y444" s="253"/>
      <c r="Z444" s="253"/>
    </row>
    <row r="445" spans="1:26">
      <c r="A445" s="9"/>
      <c r="B445" s="9"/>
      <c r="C445" s="9"/>
      <c r="D445" s="9"/>
      <c r="E445" s="35"/>
      <c r="F445" s="35"/>
      <c r="G445" s="256"/>
      <c r="H445" s="265"/>
      <c r="I445" s="260"/>
      <c r="J445" s="265"/>
      <c r="K445" s="260"/>
      <c r="L445" s="111"/>
      <c r="M445" s="9"/>
      <c r="N445" s="9"/>
      <c r="O445" s="9"/>
      <c r="P445" s="9"/>
      <c r="Q445" s="9"/>
      <c r="R445" s="9"/>
      <c r="S445" s="253"/>
      <c r="T445" s="253"/>
      <c r="U445" s="253"/>
      <c r="V445" s="253"/>
      <c r="W445" s="253"/>
      <c r="X445" s="253"/>
      <c r="Y445" s="253"/>
      <c r="Z445" s="253"/>
    </row>
    <row r="446" spans="1:26">
      <c r="A446" s="9"/>
      <c r="B446" s="9"/>
      <c r="C446" s="9"/>
      <c r="D446" s="9"/>
      <c r="E446" s="35"/>
      <c r="F446" s="35"/>
      <c r="G446" s="256"/>
      <c r="H446" s="265"/>
      <c r="I446" s="260"/>
      <c r="J446" s="265"/>
      <c r="K446" s="260"/>
      <c r="L446" s="111"/>
      <c r="M446" s="9"/>
      <c r="N446" s="9"/>
      <c r="O446" s="9"/>
      <c r="P446" s="9"/>
      <c r="Q446" s="9"/>
      <c r="R446" s="9"/>
      <c r="S446" s="253"/>
      <c r="T446" s="253"/>
      <c r="U446" s="253"/>
      <c r="V446" s="253"/>
      <c r="W446" s="253"/>
      <c r="X446" s="253"/>
      <c r="Y446" s="253"/>
      <c r="Z446" s="253"/>
    </row>
    <row r="447" spans="1:26">
      <c r="A447" s="9"/>
      <c r="B447" s="9"/>
      <c r="C447" s="9"/>
      <c r="D447" s="9"/>
      <c r="E447" s="35"/>
      <c r="F447" s="35"/>
      <c r="G447" s="256"/>
      <c r="H447" s="265"/>
      <c r="I447" s="260"/>
      <c r="J447" s="265"/>
      <c r="K447" s="260"/>
      <c r="L447" s="111"/>
      <c r="M447" s="9"/>
      <c r="N447" s="9"/>
      <c r="O447" s="9"/>
      <c r="P447" s="9"/>
      <c r="Q447" s="9"/>
      <c r="R447" s="9"/>
      <c r="S447" s="253"/>
      <c r="T447" s="253"/>
      <c r="U447" s="253"/>
      <c r="V447" s="253"/>
      <c r="W447" s="253"/>
      <c r="X447" s="253"/>
      <c r="Y447" s="253"/>
      <c r="Z447" s="253"/>
    </row>
    <row r="448" spans="1:26">
      <c r="A448" s="9"/>
      <c r="B448" s="9"/>
      <c r="C448" s="9"/>
      <c r="D448" s="9"/>
      <c r="E448" s="35"/>
      <c r="F448" s="35"/>
      <c r="G448" s="256"/>
      <c r="H448" s="265"/>
      <c r="I448" s="260"/>
      <c r="J448" s="265"/>
      <c r="K448" s="260"/>
      <c r="L448" s="111"/>
      <c r="M448" s="9"/>
      <c r="N448" s="9"/>
      <c r="O448" s="9"/>
      <c r="P448" s="9"/>
      <c r="Q448" s="9"/>
      <c r="R448" s="9"/>
      <c r="S448" s="253"/>
      <c r="T448" s="253"/>
      <c r="U448" s="253"/>
      <c r="V448" s="253"/>
      <c r="W448" s="253"/>
      <c r="X448" s="253"/>
      <c r="Y448" s="253"/>
      <c r="Z448" s="253"/>
    </row>
    <row r="449" spans="1:26">
      <c r="A449" s="9"/>
      <c r="B449" s="9"/>
      <c r="C449" s="9"/>
      <c r="D449" s="9"/>
      <c r="E449" s="35"/>
      <c r="F449" s="35"/>
      <c r="G449" s="256"/>
      <c r="H449" s="265"/>
      <c r="I449" s="260"/>
      <c r="J449" s="265"/>
      <c r="K449" s="260"/>
      <c r="L449" s="111"/>
      <c r="M449" s="9"/>
      <c r="N449" s="9"/>
      <c r="O449" s="9"/>
      <c r="P449" s="9"/>
      <c r="Q449" s="9"/>
      <c r="R449" s="9"/>
      <c r="S449" s="253"/>
      <c r="T449" s="253"/>
      <c r="U449" s="253"/>
      <c r="V449" s="253"/>
      <c r="W449" s="253"/>
      <c r="X449" s="253"/>
      <c r="Y449" s="253"/>
      <c r="Z449" s="253"/>
    </row>
    <row r="450" spans="1:26">
      <c r="A450" s="9"/>
      <c r="B450" s="9"/>
      <c r="C450" s="9"/>
      <c r="D450" s="9"/>
      <c r="E450" s="35"/>
      <c r="F450" s="35"/>
      <c r="G450" s="256"/>
      <c r="H450" s="265"/>
      <c r="I450" s="260"/>
      <c r="J450" s="265"/>
      <c r="K450" s="260"/>
      <c r="L450" s="111"/>
      <c r="M450" s="9"/>
      <c r="N450" s="9"/>
      <c r="O450" s="9"/>
      <c r="P450" s="9"/>
      <c r="Q450" s="9"/>
      <c r="R450" s="9"/>
      <c r="S450" s="253"/>
      <c r="T450" s="253"/>
      <c r="U450" s="253"/>
      <c r="V450" s="253"/>
      <c r="W450" s="253"/>
      <c r="X450" s="253"/>
      <c r="Y450" s="253"/>
      <c r="Z450" s="253"/>
    </row>
    <row r="451" spans="1:26">
      <c r="A451" s="9"/>
      <c r="B451" s="9"/>
      <c r="C451" s="9"/>
      <c r="D451" s="9"/>
      <c r="E451" s="35"/>
      <c r="F451" s="35"/>
      <c r="G451" s="256"/>
      <c r="H451" s="265"/>
      <c r="I451" s="260"/>
      <c r="J451" s="265"/>
      <c r="K451" s="260"/>
      <c r="L451" s="111"/>
      <c r="M451" s="9"/>
      <c r="N451" s="9"/>
      <c r="O451" s="9"/>
      <c r="P451" s="9"/>
      <c r="Q451" s="9"/>
      <c r="R451" s="9"/>
      <c r="S451" s="253"/>
      <c r="T451" s="253"/>
      <c r="U451" s="253"/>
      <c r="V451" s="253"/>
      <c r="W451" s="253"/>
      <c r="X451" s="253"/>
      <c r="Y451" s="253"/>
      <c r="Z451" s="253"/>
    </row>
    <row r="452" spans="1:26">
      <c r="A452" s="9"/>
      <c r="B452" s="9"/>
      <c r="C452" s="9"/>
      <c r="D452" s="9"/>
      <c r="E452" s="35"/>
      <c r="F452" s="35"/>
      <c r="G452" s="256"/>
      <c r="H452" s="265"/>
      <c r="I452" s="260"/>
      <c r="J452" s="265"/>
      <c r="K452" s="260"/>
      <c r="L452" s="111"/>
      <c r="M452" s="9"/>
      <c r="N452" s="9"/>
      <c r="O452" s="9"/>
      <c r="P452" s="9"/>
      <c r="Q452" s="9"/>
      <c r="R452" s="9"/>
      <c r="S452" s="253"/>
      <c r="T452" s="253"/>
      <c r="U452" s="253"/>
      <c r="V452" s="253"/>
      <c r="W452" s="253"/>
      <c r="X452" s="253"/>
      <c r="Y452" s="253"/>
      <c r="Z452" s="253"/>
    </row>
    <row r="453" spans="1:26">
      <c r="A453" s="9"/>
      <c r="B453" s="9"/>
      <c r="C453" s="9"/>
      <c r="D453" s="9"/>
      <c r="E453" s="35"/>
      <c r="F453" s="35"/>
      <c r="G453" s="256"/>
      <c r="H453" s="265"/>
      <c r="I453" s="260"/>
      <c r="J453" s="265"/>
      <c r="K453" s="260"/>
      <c r="L453" s="111"/>
      <c r="M453" s="9"/>
      <c r="N453" s="9"/>
      <c r="O453" s="9"/>
      <c r="P453" s="9"/>
      <c r="Q453" s="9"/>
      <c r="R453" s="9"/>
      <c r="S453" s="253"/>
      <c r="T453" s="253"/>
      <c r="U453" s="253"/>
      <c r="V453" s="253"/>
      <c r="W453" s="253"/>
      <c r="X453" s="253"/>
      <c r="Y453" s="253"/>
      <c r="Z453" s="253"/>
    </row>
    <row r="454" spans="1:26">
      <c r="A454" s="9"/>
      <c r="B454" s="9"/>
      <c r="C454" s="9"/>
      <c r="D454" s="9"/>
      <c r="E454" s="35"/>
      <c r="F454" s="35"/>
      <c r="G454" s="256"/>
      <c r="H454" s="265"/>
      <c r="I454" s="260"/>
      <c r="J454" s="265"/>
      <c r="K454" s="260"/>
      <c r="L454" s="111"/>
      <c r="M454" s="9"/>
      <c r="N454" s="9"/>
      <c r="O454" s="9"/>
      <c r="P454" s="9"/>
      <c r="Q454" s="9"/>
      <c r="R454" s="9"/>
      <c r="S454" s="253"/>
      <c r="T454" s="253"/>
      <c r="U454" s="253"/>
      <c r="V454" s="253"/>
      <c r="W454" s="253"/>
      <c r="X454" s="253"/>
      <c r="Y454" s="253"/>
      <c r="Z454" s="253"/>
    </row>
    <row r="455" spans="1:26">
      <c r="A455" s="9"/>
      <c r="B455" s="9"/>
      <c r="C455" s="9"/>
      <c r="D455" s="9"/>
      <c r="E455" s="35"/>
      <c r="F455" s="35"/>
      <c r="G455" s="256"/>
      <c r="H455" s="265"/>
      <c r="I455" s="260"/>
      <c r="J455" s="265"/>
      <c r="K455" s="260"/>
      <c r="L455" s="111"/>
      <c r="M455" s="9"/>
      <c r="N455" s="9"/>
      <c r="O455" s="9"/>
      <c r="P455" s="9"/>
      <c r="Q455" s="9"/>
      <c r="R455" s="9"/>
      <c r="S455" s="253"/>
      <c r="T455" s="253"/>
      <c r="U455" s="253"/>
      <c r="V455" s="253"/>
      <c r="W455" s="253"/>
      <c r="X455" s="253"/>
      <c r="Y455" s="253"/>
      <c r="Z455" s="253"/>
    </row>
    <row r="456" spans="1:26">
      <c r="A456" s="9"/>
      <c r="B456" s="9"/>
      <c r="C456" s="9"/>
      <c r="D456" s="9"/>
      <c r="E456" s="35"/>
      <c r="F456" s="35"/>
      <c r="G456" s="256"/>
      <c r="H456" s="265"/>
      <c r="I456" s="260"/>
      <c r="J456" s="265"/>
      <c r="K456" s="260"/>
      <c r="L456" s="111"/>
      <c r="M456" s="9"/>
      <c r="N456" s="9"/>
      <c r="O456" s="9"/>
      <c r="P456" s="9"/>
      <c r="Q456" s="9"/>
      <c r="R456" s="9"/>
      <c r="S456" s="253"/>
      <c r="T456" s="253"/>
      <c r="U456" s="253"/>
      <c r="V456" s="253"/>
      <c r="W456" s="253"/>
      <c r="X456" s="253"/>
      <c r="Y456" s="253"/>
      <c r="Z456" s="253"/>
    </row>
    <row r="457" spans="1:26">
      <c r="A457" s="9"/>
      <c r="B457" s="9"/>
      <c r="C457" s="9"/>
      <c r="D457" s="9"/>
      <c r="E457" s="35"/>
      <c r="F457" s="35"/>
      <c r="G457" s="256"/>
      <c r="H457" s="265"/>
      <c r="I457" s="260"/>
      <c r="J457" s="265"/>
      <c r="K457" s="260"/>
      <c r="L457" s="111"/>
      <c r="M457" s="9"/>
      <c r="N457" s="9"/>
      <c r="O457" s="9"/>
      <c r="P457" s="9"/>
      <c r="Q457" s="9"/>
      <c r="R457" s="9"/>
      <c r="S457" s="253"/>
      <c r="T457" s="253"/>
      <c r="U457" s="253"/>
      <c r="V457" s="253"/>
      <c r="W457" s="253"/>
      <c r="X457" s="253"/>
      <c r="Y457" s="253"/>
      <c r="Z457" s="253"/>
    </row>
    <row r="458" spans="1:26">
      <c r="A458" s="9"/>
      <c r="B458" s="9"/>
      <c r="C458" s="9"/>
      <c r="D458" s="9"/>
      <c r="E458" s="35"/>
      <c r="F458" s="35"/>
      <c r="G458" s="256"/>
      <c r="H458" s="265"/>
      <c r="I458" s="260"/>
      <c r="J458" s="265"/>
      <c r="K458" s="260"/>
      <c r="L458" s="111"/>
      <c r="M458" s="9"/>
      <c r="N458" s="9"/>
      <c r="O458" s="9"/>
      <c r="P458" s="9"/>
      <c r="Q458" s="9"/>
      <c r="R458" s="9"/>
      <c r="S458" s="253"/>
      <c r="T458" s="253"/>
      <c r="U458" s="253"/>
      <c r="V458" s="253"/>
      <c r="W458" s="253"/>
      <c r="X458" s="253"/>
      <c r="Y458" s="253"/>
      <c r="Z458" s="253"/>
    </row>
    <row r="459" spans="1:26">
      <c r="A459" s="9"/>
      <c r="B459" s="9"/>
      <c r="C459" s="9"/>
      <c r="D459" s="9"/>
      <c r="E459" s="35"/>
      <c r="F459" s="35"/>
      <c r="G459" s="256"/>
      <c r="H459" s="265"/>
      <c r="I459" s="260"/>
      <c r="J459" s="265"/>
      <c r="K459" s="260"/>
      <c r="L459" s="111"/>
      <c r="M459" s="9"/>
      <c r="N459" s="9"/>
      <c r="O459" s="9"/>
      <c r="P459" s="9"/>
      <c r="Q459" s="9"/>
      <c r="R459" s="9"/>
      <c r="S459" s="253"/>
      <c r="T459" s="253"/>
      <c r="U459" s="253"/>
      <c r="V459" s="253"/>
      <c r="W459" s="253"/>
      <c r="X459" s="253"/>
      <c r="Y459" s="253"/>
      <c r="Z459" s="253"/>
    </row>
    <row r="460" spans="1:26">
      <c r="A460" s="9"/>
      <c r="B460" s="9"/>
      <c r="C460" s="9"/>
      <c r="D460" s="9"/>
      <c r="E460" s="35"/>
      <c r="F460" s="35"/>
      <c r="G460" s="256"/>
      <c r="H460" s="265"/>
      <c r="I460" s="260"/>
      <c r="J460" s="265"/>
      <c r="K460" s="260"/>
      <c r="L460" s="111"/>
      <c r="M460" s="9"/>
      <c r="N460" s="9"/>
      <c r="O460" s="9"/>
      <c r="P460" s="9"/>
      <c r="Q460" s="9"/>
      <c r="R460" s="9"/>
      <c r="S460" s="253"/>
      <c r="T460" s="253"/>
      <c r="U460" s="253"/>
      <c r="V460" s="253"/>
      <c r="W460" s="253"/>
      <c r="X460" s="253"/>
      <c r="Y460" s="253"/>
      <c r="Z460" s="253"/>
    </row>
    <row r="461" spans="1:26">
      <c r="A461" s="9"/>
      <c r="B461" s="9"/>
      <c r="C461" s="9"/>
      <c r="D461" s="9"/>
      <c r="E461" s="35"/>
      <c r="F461" s="35"/>
      <c r="G461" s="256"/>
      <c r="H461" s="265"/>
      <c r="I461" s="260"/>
      <c r="J461" s="265"/>
      <c r="K461" s="260"/>
      <c r="L461" s="111"/>
      <c r="M461" s="9"/>
      <c r="N461" s="9"/>
      <c r="O461" s="9"/>
      <c r="P461" s="9"/>
      <c r="Q461" s="9"/>
      <c r="R461" s="9"/>
      <c r="S461" s="253"/>
      <c r="T461" s="253"/>
      <c r="U461" s="253"/>
      <c r="V461" s="253"/>
      <c r="W461" s="253"/>
      <c r="X461" s="253"/>
      <c r="Y461" s="253"/>
      <c r="Z461" s="253"/>
    </row>
    <row r="462" spans="1:26">
      <c r="A462" s="9"/>
      <c r="B462" s="9"/>
      <c r="C462" s="9"/>
      <c r="D462" s="9"/>
      <c r="E462" s="35"/>
      <c r="F462" s="35"/>
      <c r="G462" s="256"/>
      <c r="H462" s="265"/>
      <c r="I462" s="260"/>
      <c r="J462" s="265"/>
      <c r="K462" s="260"/>
      <c r="L462" s="111"/>
      <c r="M462" s="9"/>
      <c r="N462" s="9"/>
      <c r="O462" s="9"/>
      <c r="P462" s="9"/>
      <c r="Q462" s="9"/>
      <c r="R462" s="9"/>
      <c r="S462" s="253"/>
      <c r="T462" s="253"/>
      <c r="U462" s="253"/>
      <c r="V462" s="253"/>
      <c r="W462" s="253"/>
      <c r="X462" s="253"/>
      <c r="Y462" s="253"/>
      <c r="Z462" s="253"/>
    </row>
    <row r="463" spans="1:26">
      <c r="A463" s="9"/>
      <c r="B463" s="9"/>
      <c r="C463" s="9"/>
      <c r="D463" s="9"/>
      <c r="E463" s="35"/>
      <c r="F463" s="35"/>
      <c r="G463" s="256"/>
      <c r="H463" s="265"/>
      <c r="I463" s="260"/>
      <c r="J463" s="265"/>
      <c r="K463" s="260"/>
      <c r="L463" s="111"/>
      <c r="M463" s="9"/>
      <c r="N463" s="9"/>
      <c r="O463" s="9"/>
      <c r="P463" s="9"/>
      <c r="Q463" s="9"/>
      <c r="R463" s="9"/>
      <c r="S463" s="253"/>
      <c r="T463" s="253"/>
      <c r="U463" s="253"/>
      <c r="V463" s="253"/>
      <c r="W463" s="253"/>
      <c r="X463" s="253"/>
      <c r="Y463" s="253"/>
      <c r="Z463" s="253"/>
    </row>
    <row r="464" spans="1:26">
      <c r="A464" s="9"/>
      <c r="B464" s="9"/>
      <c r="C464" s="9"/>
      <c r="D464" s="9"/>
      <c r="E464" s="35"/>
      <c r="F464" s="35"/>
      <c r="G464" s="256"/>
      <c r="H464" s="265"/>
      <c r="I464" s="260"/>
      <c r="J464" s="265"/>
      <c r="K464" s="260"/>
      <c r="L464" s="111"/>
      <c r="M464" s="9"/>
      <c r="N464" s="9"/>
      <c r="O464" s="9"/>
      <c r="P464" s="9"/>
      <c r="Q464" s="9"/>
      <c r="R464" s="9"/>
      <c r="S464" s="253"/>
      <c r="T464" s="253"/>
      <c r="U464" s="253"/>
      <c r="V464" s="253"/>
      <c r="W464" s="253"/>
      <c r="X464" s="253"/>
      <c r="Y464" s="253"/>
      <c r="Z464" s="253"/>
    </row>
    <row r="465" spans="1:26">
      <c r="A465" s="9"/>
      <c r="B465" s="9"/>
      <c r="C465" s="9"/>
      <c r="D465" s="9"/>
      <c r="E465" s="35"/>
      <c r="F465" s="35"/>
      <c r="G465" s="256"/>
      <c r="H465" s="265"/>
      <c r="I465" s="260"/>
      <c r="J465" s="265"/>
      <c r="K465" s="260"/>
      <c r="L465" s="111"/>
      <c r="M465" s="9"/>
      <c r="N465" s="9"/>
      <c r="O465" s="9"/>
      <c r="P465" s="9"/>
      <c r="Q465" s="9"/>
      <c r="R465" s="9"/>
      <c r="S465" s="253"/>
      <c r="T465" s="253"/>
      <c r="U465" s="253"/>
      <c r="V465" s="253"/>
      <c r="W465" s="253"/>
      <c r="X465" s="253"/>
      <c r="Y465" s="253"/>
      <c r="Z465" s="253"/>
    </row>
    <row r="466" spans="1:26">
      <c r="A466" s="9"/>
      <c r="B466" s="9"/>
      <c r="C466" s="9"/>
      <c r="D466" s="9"/>
      <c r="E466" s="35"/>
      <c r="F466" s="35"/>
      <c r="G466" s="256"/>
      <c r="H466" s="265"/>
      <c r="I466" s="260"/>
      <c r="J466" s="265"/>
      <c r="K466" s="260"/>
      <c r="L466" s="111"/>
      <c r="M466" s="9"/>
      <c r="N466" s="9"/>
      <c r="O466" s="9"/>
      <c r="P466" s="9"/>
      <c r="Q466" s="9"/>
      <c r="R466" s="9"/>
      <c r="S466" s="253"/>
      <c r="T466" s="253"/>
      <c r="U466" s="253"/>
      <c r="V466" s="253"/>
      <c r="W466" s="253"/>
      <c r="X466" s="253"/>
      <c r="Y466" s="253"/>
      <c r="Z466" s="253"/>
    </row>
    <row r="467" spans="1:26">
      <c r="A467" s="9"/>
      <c r="B467" s="9"/>
      <c r="C467" s="9"/>
      <c r="D467" s="9"/>
      <c r="E467" s="35"/>
      <c r="F467" s="35"/>
      <c r="G467" s="256"/>
      <c r="H467" s="265"/>
      <c r="I467" s="260"/>
      <c r="J467" s="265"/>
      <c r="K467" s="260"/>
      <c r="L467" s="111"/>
      <c r="M467" s="9"/>
      <c r="N467" s="9"/>
      <c r="O467" s="9"/>
      <c r="P467" s="9"/>
      <c r="Q467" s="9"/>
      <c r="R467" s="9"/>
      <c r="S467" s="253"/>
      <c r="T467" s="253"/>
      <c r="U467" s="253"/>
      <c r="V467" s="253"/>
      <c r="W467" s="253"/>
      <c r="X467" s="253"/>
      <c r="Y467" s="253"/>
      <c r="Z467" s="253"/>
    </row>
    <row r="468" spans="1:26">
      <c r="A468" s="9"/>
      <c r="B468" s="9"/>
      <c r="C468" s="9"/>
      <c r="D468" s="9"/>
      <c r="E468" s="35"/>
      <c r="F468" s="35"/>
      <c r="G468" s="256"/>
      <c r="H468" s="265"/>
      <c r="I468" s="260"/>
      <c r="J468" s="265"/>
      <c r="K468" s="260"/>
      <c r="L468" s="111"/>
      <c r="M468" s="9"/>
      <c r="N468" s="9"/>
      <c r="O468" s="9"/>
      <c r="P468" s="9"/>
      <c r="Q468" s="9"/>
      <c r="R468" s="9"/>
      <c r="S468" s="253"/>
      <c r="T468" s="253"/>
      <c r="U468" s="253"/>
      <c r="V468" s="253"/>
      <c r="W468" s="253"/>
      <c r="X468" s="253"/>
      <c r="Y468" s="253"/>
      <c r="Z468" s="253"/>
    </row>
    <row r="469" spans="1:26">
      <c r="A469" s="9"/>
      <c r="B469" s="9"/>
      <c r="C469" s="9"/>
      <c r="D469" s="9"/>
      <c r="E469" s="35"/>
      <c r="F469" s="35"/>
      <c r="G469" s="256"/>
      <c r="H469" s="265"/>
      <c r="I469" s="260"/>
      <c r="J469" s="265"/>
      <c r="K469" s="260"/>
      <c r="L469" s="111"/>
      <c r="M469" s="9"/>
      <c r="N469" s="9"/>
      <c r="O469" s="9"/>
      <c r="P469" s="9"/>
      <c r="Q469" s="9"/>
      <c r="R469" s="9"/>
      <c r="S469" s="253"/>
      <c r="T469" s="253"/>
      <c r="U469" s="253"/>
      <c r="V469" s="253"/>
      <c r="W469" s="253"/>
      <c r="X469" s="253"/>
      <c r="Y469" s="253"/>
      <c r="Z469" s="253"/>
    </row>
    <row r="470" spans="1:26">
      <c r="A470" s="9"/>
      <c r="B470" s="9"/>
      <c r="C470" s="9"/>
      <c r="D470" s="9"/>
      <c r="E470" s="35"/>
      <c r="F470" s="35"/>
      <c r="G470" s="256"/>
      <c r="H470" s="265"/>
      <c r="I470" s="260"/>
      <c r="J470" s="265"/>
      <c r="K470" s="260"/>
      <c r="L470" s="111"/>
      <c r="M470" s="9"/>
      <c r="N470" s="9"/>
      <c r="O470" s="9"/>
      <c r="P470" s="9"/>
      <c r="Q470" s="9"/>
      <c r="R470" s="9"/>
      <c r="S470" s="253"/>
      <c r="T470" s="253"/>
      <c r="U470" s="253"/>
      <c r="V470" s="253"/>
      <c r="W470" s="253"/>
      <c r="X470" s="253"/>
      <c r="Y470" s="253"/>
      <c r="Z470" s="253"/>
    </row>
    <row r="471" spans="1:26">
      <c r="A471" s="9"/>
      <c r="B471" s="9"/>
      <c r="C471" s="9"/>
      <c r="D471" s="9"/>
      <c r="E471" s="35"/>
      <c r="F471" s="35"/>
      <c r="G471" s="256"/>
      <c r="H471" s="265"/>
      <c r="I471" s="260"/>
      <c r="J471" s="265"/>
      <c r="K471" s="260"/>
      <c r="L471" s="111"/>
      <c r="M471" s="9"/>
      <c r="N471" s="9"/>
      <c r="O471" s="9"/>
      <c r="P471" s="9"/>
      <c r="Q471" s="9"/>
      <c r="R471" s="9"/>
      <c r="S471" s="253"/>
      <c r="T471" s="253"/>
      <c r="U471" s="253"/>
      <c r="V471" s="253"/>
      <c r="W471" s="253"/>
      <c r="X471" s="253"/>
      <c r="Y471" s="253"/>
      <c r="Z471" s="253"/>
    </row>
    <row r="472" spans="1:26">
      <c r="A472" s="9"/>
      <c r="B472" s="9"/>
      <c r="C472" s="9"/>
      <c r="D472" s="9"/>
      <c r="E472" s="35"/>
      <c r="F472" s="35"/>
      <c r="G472" s="256"/>
      <c r="H472" s="265"/>
      <c r="I472" s="260"/>
      <c r="J472" s="265"/>
      <c r="K472" s="260"/>
      <c r="L472" s="111"/>
      <c r="M472" s="9"/>
      <c r="N472" s="9"/>
      <c r="O472" s="9"/>
      <c r="P472" s="9"/>
      <c r="Q472" s="9"/>
      <c r="R472" s="9"/>
      <c r="S472" s="253"/>
      <c r="T472" s="253"/>
      <c r="U472" s="253"/>
      <c r="V472" s="253"/>
      <c r="W472" s="253"/>
      <c r="X472" s="253"/>
      <c r="Y472" s="253"/>
      <c r="Z472" s="253"/>
    </row>
    <row r="473" spans="1:26">
      <c r="A473" s="9"/>
      <c r="B473" s="9"/>
      <c r="C473" s="9"/>
      <c r="D473" s="9"/>
      <c r="E473" s="35"/>
      <c r="F473" s="35"/>
      <c r="G473" s="256"/>
      <c r="H473" s="265"/>
      <c r="I473" s="260"/>
      <c r="J473" s="265"/>
      <c r="K473" s="260"/>
      <c r="L473" s="111"/>
      <c r="M473" s="9"/>
      <c r="N473" s="9"/>
      <c r="O473" s="9"/>
      <c r="P473" s="9"/>
      <c r="Q473" s="9"/>
      <c r="R473" s="9"/>
      <c r="S473" s="253"/>
      <c r="T473" s="253"/>
      <c r="U473" s="253"/>
      <c r="V473" s="253"/>
      <c r="W473" s="253"/>
      <c r="X473" s="253"/>
      <c r="Y473" s="253"/>
      <c r="Z473" s="253"/>
    </row>
    <row r="474" spans="1:26">
      <c r="A474" s="9"/>
      <c r="B474" s="9"/>
      <c r="C474" s="9"/>
      <c r="D474" s="9"/>
      <c r="E474" s="35"/>
      <c r="F474" s="35"/>
      <c r="G474" s="256"/>
      <c r="H474" s="265"/>
      <c r="I474" s="260"/>
      <c r="J474" s="265"/>
      <c r="K474" s="260"/>
      <c r="L474" s="111"/>
      <c r="M474" s="9"/>
      <c r="N474" s="9"/>
      <c r="O474" s="9"/>
      <c r="P474" s="9"/>
      <c r="Q474" s="9"/>
      <c r="R474" s="9"/>
      <c r="S474" s="253"/>
      <c r="T474" s="253"/>
      <c r="U474" s="253"/>
      <c r="V474" s="253"/>
      <c r="W474" s="253"/>
      <c r="X474" s="253"/>
      <c r="Y474" s="253"/>
      <c r="Z474" s="253"/>
    </row>
    <row r="475" spans="1:26">
      <c r="A475" s="9"/>
      <c r="B475" s="9"/>
      <c r="C475" s="9"/>
      <c r="D475" s="9"/>
      <c r="E475" s="35"/>
      <c r="F475" s="35"/>
      <c r="G475" s="256"/>
      <c r="H475" s="265"/>
      <c r="I475" s="260"/>
      <c r="J475" s="265"/>
      <c r="K475" s="260"/>
      <c r="L475" s="111"/>
      <c r="M475" s="9"/>
      <c r="N475" s="9"/>
      <c r="O475" s="9"/>
      <c r="P475" s="9"/>
      <c r="Q475" s="9"/>
      <c r="R475" s="9"/>
      <c r="S475" s="253"/>
      <c r="T475" s="253"/>
      <c r="U475" s="253"/>
      <c r="V475" s="253"/>
      <c r="W475" s="253"/>
      <c r="X475" s="253"/>
      <c r="Y475" s="253"/>
      <c r="Z475" s="253"/>
    </row>
    <row r="476" spans="1:26">
      <c r="A476" s="9"/>
      <c r="B476" s="9"/>
      <c r="C476" s="9"/>
      <c r="D476" s="9"/>
      <c r="E476" s="35"/>
      <c r="F476" s="35"/>
      <c r="G476" s="256"/>
      <c r="H476" s="265"/>
      <c r="I476" s="260"/>
      <c r="J476" s="265"/>
      <c r="K476" s="260"/>
      <c r="L476" s="111"/>
      <c r="M476" s="9"/>
      <c r="N476" s="9"/>
      <c r="O476" s="9"/>
      <c r="P476" s="9"/>
      <c r="Q476" s="9"/>
      <c r="R476" s="9"/>
      <c r="S476" s="253"/>
      <c r="T476" s="253"/>
      <c r="U476" s="253"/>
      <c r="V476" s="253"/>
      <c r="W476" s="253"/>
      <c r="X476" s="253"/>
      <c r="Y476" s="253"/>
      <c r="Z476" s="253"/>
    </row>
    <row r="477" spans="1:26">
      <c r="A477" s="9"/>
      <c r="B477" s="9"/>
      <c r="C477" s="9"/>
      <c r="D477" s="9"/>
      <c r="E477" s="35"/>
      <c r="F477" s="35"/>
      <c r="G477" s="256"/>
      <c r="H477" s="265"/>
      <c r="I477" s="260"/>
      <c r="J477" s="265"/>
      <c r="K477" s="260"/>
      <c r="L477" s="111"/>
      <c r="M477" s="9"/>
      <c r="N477" s="9"/>
      <c r="O477" s="9"/>
      <c r="P477" s="9"/>
      <c r="Q477" s="9"/>
      <c r="R477" s="9"/>
      <c r="S477" s="253"/>
      <c r="T477" s="253"/>
      <c r="U477" s="253"/>
      <c r="V477" s="253"/>
      <c r="W477" s="253"/>
      <c r="X477" s="253"/>
      <c r="Y477" s="253"/>
      <c r="Z477" s="253"/>
    </row>
    <row r="478" spans="1:26">
      <c r="A478" s="9"/>
      <c r="B478" s="9"/>
      <c r="C478" s="9"/>
      <c r="D478" s="9"/>
      <c r="E478" s="35"/>
      <c r="F478" s="35"/>
      <c r="G478" s="256"/>
      <c r="H478" s="265"/>
      <c r="I478" s="260"/>
      <c r="J478" s="265"/>
      <c r="K478" s="260"/>
      <c r="L478" s="111"/>
      <c r="M478" s="9"/>
      <c r="N478" s="9"/>
      <c r="O478" s="9"/>
      <c r="P478" s="9"/>
      <c r="Q478" s="9"/>
      <c r="R478" s="9"/>
      <c r="S478" s="253"/>
      <c r="T478" s="253"/>
      <c r="U478" s="253"/>
      <c r="V478" s="253"/>
      <c r="W478" s="253"/>
      <c r="X478" s="253"/>
      <c r="Y478" s="253"/>
      <c r="Z478" s="253"/>
    </row>
    <row r="479" spans="1:26">
      <c r="A479" s="9"/>
      <c r="B479" s="9"/>
      <c r="C479" s="9"/>
      <c r="D479" s="9"/>
      <c r="E479" s="35"/>
      <c r="F479" s="35"/>
      <c r="G479" s="256"/>
      <c r="H479" s="265"/>
      <c r="I479" s="260"/>
      <c r="J479" s="265"/>
      <c r="K479" s="260"/>
      <c r="L479" s="111"/>
      <c r="M479" s="9"/>
      <c r="N479" s="9"/>
      <c r="O479" s="9"/>
      <c r="P479" s="9"/>
      <c r="Q479" s="9"/>
      <c r="R479" s="9"/>
      <c r="S479" s="253"/>
      <c r="T479" s="253"/>
      <c r="U479" s="253"/>
      <c r="V479" s="253"/>
      <c r="W479" s="253"/>
      <c r="X479" s="253"/>
      <c r="Y479" s="253"/>
      <c r="Z479" s="253"/>
    </row>
    <row r="480" spans="1:26">
      <c r="A480" s="9"/>
      <c r="B480" s="9"/>
      <c r="C480" s="9"/>
      <c r="D480" s="9"/>
      <c r="E480" s="35"/>
      <c r="F480" s="35"/>
      <c r="G480" s="256"/>
      <c r="H480" s="265"/>
      <c r="I480" s="260"/>
      <c r="J480" s="265"/>
      <c r="K480" s="260"/>
      <c r="L480" s="111"/>
      <c r="M480" s="9"/>
      <c r="N480" s="9"/>
      <c r="O480" s="9"/>
      <c r="P480" s="9"/>
      <c r="Q480" s="9"/>
      <c r="R480" s="9"/>
      <c r="S480" s="253"/>
      <c r="T480" s="253"/>
      <c r="U480" s="253"/>
      <c r="V480" s="253"/>
      <c r="W480" s="253"/>
      <c r="X480" s="253"/>
      <c r="Y480" s="253"/>
      <c r="Z480" s="253"/>
    </row>
    <row r="481" spans="1:26">
      <c r="A481" s="9"/>
      <c r="B481" s="9"/>
      <c r="C481" s="9"/>
      <c r="D481" s="9"/>
      <c r="E481" s="35"/>
      <c r="F481" s="35"/>
      <c r="G481" s="256"/>
      <c r="H481" s="265"/>
      <c r="I481" s="260"/>
      <c r="J481" s="265"/>
      <c r="K481" s="260"/>
      <c r="L481" s="111"/>
      <c r="M481" s="9"/>
      <c r="N481" s="9"/>
      <c r="O481" s="9"/>
      <c r="P481" s="9"/>
      <c r="Q481" s="9"/>
      <c r="R481" s="9"/>
      <c r="S481" s="253"/>
      <c r="T481" s="253"/>
      <c r="U481" s="253"/>
      <c r="V481" s="253"/>
      <c r="W481" s="253"/>
      <c r="X481" s="253"/>
      <c r="Y481" s="253"/>
      <c r="Z481" s="253"/>
    </row>
    <row r="482" spans="1:26">
      <c r="A482" s="9"/>
      <c r="B482" s="9"/>
      <c r="C482" s="9"/>
      <c r="D482" s="9"/>
      <c r="E482" s="35"/>
      <c r="F482" s="35"/>
      <c r="G482" s="256"/>
      <c r="H482" s="265"/>
      <c r="I482" s="260"/>
      <c r="J482" s="265"/>
      <c r="K482" s="260"/>
      <c r="L482" s="111"/>
      <c r="M482" s="9"/>
      <c r="N482" s="9"/>
      <c r="O482" s="9"/>
      <c r="P482" s="9"/>
      <c r="Q482" s="9"/>
      <c r="R482" s="9"/>
      <c r="S482" s="253"/>
      <c r="T482" s="253"/>
      <c r="U482" s="253"/>
      <c r="V482" s="253"/>
      <c r="W482" s="253"/>
      <c r="X482" s="253"/>
      <c r="Y482" s="253"/>
      <c r="Z482" s="253"/>
    </row>
    <row r="483" spans="1:26">
      <c r="A483" s="9"/>
      <c r="B483" s="9"/>
      <c r="C483" s="9"/>
      <c r="D483" s="9"/>
      <c r="E483" s="35"/>
      <c r="F483" s="35"/>
      <c r="G483" s="256"/>
      <c r="H483" s="265"/>
      <c r="I483" s="260"/>
      <c r="J483" s="265"/>
      <c r="K483" s="260"/>
      <c r="L483" s="111"/>
      <c r="M483" s="9"/>
      <c r="N483" s="9"/>
      <c r="O483" s="9"/>
      <c r="P483" s="9"/>
      <c r="Q483" s="9"/>
      <c r="R483" s="9"/>
      <c r="S483" s="253"/>
      <c r="T483" s="253"/>
      <c r="U483" s="253"/>
      <c r="V483" s="253"/>
      <c r="W483" s="253"/>
      <c r="X483" s="253"/>
      <c r="Y483" s="253"/>
      <c r="Z483" s="253"/>
    </row>
    <row r="484" spans="1:26">
      <c r="A484" s="9"/>
      <c r="B484" s="9"/>
      <c r="C484" s="9"/>
      <c r="D484" s="9"/>
      <c r="E484" s="35"/>
      <c r="F484" s="35"/>
      <c r="G484" s="256"/>
      <c r="H484" s="265"/>
      <c r="I484" s="260"/>
      <c r="J484" s="265"/>
      <c r="K484" s="260"/>
      <c r="L484" s="111"/>
      <c r="M484" s="9"/>
      <c r="N484" s="9"/>
      <c r="O484" s="9"/>
      <c r="P484" s="9"/>
      <c r="Q484" s="9"/>
      <c r="R484" s="9"/>
      <c r="S484" s="253"/>
      <c r="T484" s="253"/>
      <c r="U484" s="253"/>
      <c r="V484" s="253"/>
      <c r="W484" s="253"/>
      <c r="X484" s="253"/>
      <c r="Y484" s="253"/>
      <c r="Z484" s="253"/>
    </row>
    <row r="485" spans="1:26">
      <c r="A485" s="9"/>
      <c r="B485" s="9"/>
      <c r="C485" s="9"/>
      <c r="D485" s="9"/>
      <c r="E485" s="35"/>
      <c r="F485" s="35"/>
      <c r="G485" s="256"/>
      <c r="H485" s="265"/>
      <c r="I485" s="260"/>
      <c r="J485" s="265"/>
      <c r="K485" s="260"/>
      <c r="L485" s="111"/>
      <c r="M485" s="9"/>
      <c r="N485" s="9"/>
      <c r="O485" s="9"/>
      <c r="P485" s="9"/>
      <c r="Q485" s="9"/>
      <c r="R485" s="9"/>
      <c r="S485" s="253"/>
      <c r="T485" s="253"/>
      <c r="U485" s="253"/>
      <c r="V485" s="253"/>
      <c r="W485" s="253"/>
      <c r="X485" s="253"/>
      <c r="Y485" s="253"/>
      <c r="Z485" s="253"/>
    </row>
    <row r="486" spans="1:26">
      <c r="A486" s="9"/>
      <c r="B486" s="9"/>
      <c r="C486" s="9"/>
      <c r="D486" s="9"/>
      <c r="E486" s="35"/>
      <c r="F486" s="35"/>
      <c r="G486" s="256"/>
      <c r="H486" s="265"/>
      <c r="I486" s="260"/>
      <c r="J486" s="265"/>
      <c r="K486" s="260"/>
      <c r="L486" s="111"/>
      <c r="M486" s="9"/>
      <c r="N486" s="9"/>
      <c r="O486" s="9"/>
      <c r="P486" s="9"/>
      <c r="Q486" s="9"/>
      <c r="R486" s="9"/>
      <c r="S486" s="253"/>
      <c r="T486" s="253"/>
      <c r="U486" s="253"/>
      <c r="V486" s="253"/>
      <c r="W486" s="253"/>
      <c r="X486" s="253"/>
      <c r="Y486" s="253"/>
      <c r="Z486" s="253"/>
    </row>
    <row r="487" spans="1:26">
      <c r="A487" s="9"/>
      <c r="B487" s="9"/>
      <c r="C487" s="9"/>
      <c r="D487" s="9"/>
      <c r="E487" s="35"/>
      <c r="F487" s="35"/>
      <c r="G487" s="256"/>
      <c r="H487" s="265"/>
      <c r="I487" s="260"/>
      <c r="J487" s="265"/>
      <c r="K487" s="260"/>
      <c r="L487" s="111"/>
      <c r="M487" s="9"/>
      <c r="N487" s="9"/>
      <c r="O487" s="9"/>
      <c r="P487" s="9"/>
      <c r="Q487" s="9"/>
      <c r="R487" s="9"/>
      <c r="S487" s="253"/>
      <c r="T487" s="253"/>
      <c r="U487" s="253"/>
      <c r="V487" s="253"/>
      <c r="W487" s="253"/>
      <c r="X487" s="253"/>
      <c r="Y487" s="253"/>
      <c r="Z487" s="253"/>
    </row>
    <row r="488" spans="1:26">
      <c r="A488" s="9"/>
      <c r="B488" s="9"/>
      <c r="C488" s="9"/>
      <c r="D488" s="9"/>
      <c r="E488" s="35"/>
      <c r="F488" s="35"/>
      <c r="G488" s="256"/>
      <c r="H488" s="265"/>
      <c r="I488" s="260"/>
      <c r="J488" s="265"/>
      <c r="K488" s="260"/>
      <c r="L488" s="111"/>
      <c r="M488" s="9"/>
      <c r="N488" s="9"/>
      <c r="O488" s="9"/>
      <c r="P488" s="9"/>
      <c r="Q488" s="9"/>
      <c r="R488" s="9"/>
      <c r="S488" s="253"/>
      <c r="T488" s="253"/>
      <c r="U488" s="253"/>
      <c r="V488" s="253"/>
      <c r="W488" s="253"/>
      <c r="X488" s="253"/>
      <c r="Y488" s="253"/>
      <c r="Z488" s="253"/>
    </row>
    <row r="489" spans="1:26">
      <c r="A489" s="9"/>
      <c r="B489" s="9"/>
      <c r="C489" s="9"/>
      <c r="D489" s="9"/>
      <c r="E489" s="35"/>
      <c r="F489" s="35"/>
      <c r="G489" s="256"/>
      <c r="H489" s="265"/>
      <c r="I489" s="260"/>
      <c r="J489" s="265"/>
      <c r="K489" s="260"/>
      <c r="L489" s="111"/>
      <c r="M489" s="9"/>
      <c r="N489" s="9"/>
      <c r="O489" s="9"/>
      <c r="P489" s="9"/>
      <c r="Q489" s="9"/>
      <c r="R489" s="9"/>
      <c r="S489" s="253"/>
      <c r="T489" s="253"/>
      <c r="U489" s="253"/>
      <c r="V489" s="253"/>
      <c r="W489" s="253"/>
      <c r="X489" s="253"/>
      <c r="Y489" s="253"/>
      <c r="Z489" s="253"/>
    </row>
    <row r="490" spans="1:26">
      <c r="A490" s="9"/>
      <c r="B490" s="9"/>
      <c r="C490" s="9"/>
      <c r="D490" s="9"/>
      <c r="E490" s="35"/>
      <c r="F490" s="35"/>
      <c r="G490" s="256"/>
      <c r="H490" s="265"/>
      <c r="I490" s="260"/>
      <c r="J490" s="265"/>
      <c r="K490" s="260"/>
      <c r="L490" s="111"/>
      <c r="M490" s="9"/>
      <c r="N490" s="9"/>
      <c r="O490" s="9"/>
      <c r="P490" s="9"/>
      <c r="Q490" s="9"/>
      <c r="R490" s="9"/>
      <c r="S490" s="253"/>
      <c r="T490" s="253"/>
      <c r="U490" s="253"/>
      <c r="V490" s="253"/>
      <c r="W490" s="253"/>
      <c r="X490" s="253"/>
      <c r="Y490" s="253"/>
      <c r="Z490" s="253"/>
    </row>
    <row r="491" spans="1:26">
      <c r="A491" s="9"/>
      <c r="B491" s="9"/>
      <c r="C491" s="9"/>
      <c r="D491" s="9"/>
      <c r="E491" s="35"/>
      <c r="F491" s="35"/>
      <c r="G491" s="256"/>
      <c r="H491" s="265"/>
      <c r="I491" s="260"/>
      <c r="J491" s="265"/>
      <c r="K491" s="260"/>
      <c r="L491" s="111"/>
      <c r="M491" s="9"/>
      <c r="N491" s="9"/>
      <c r="O491" s="9"/>
      <c r="P491" s="9"/>
      <c r="Q491" s="9"/>
      <c r="R491" s="9"/>
      <c r="S491" s="253"/>
      <c r="T491" s="253"/>
      <c r="U491" s="253"/>
      <c r="V491" s="253"/>
      <c r="W491" s="253"/>
      <c r="X491" s="253"/>
      <c r="Y491" s="253"/>
      <c r="Z491" s="253"/>
    </row>
    <row r="492" spans="1:26">
      <c r="A492" s="9"/>
      <c r="B492" s="9"/>
      <c r="C492" s="9"/>
      <c r="D492" s="9"/>
      <c r="E492" s="35"/>
      <c r="F492" s="35"/>
      <c r="G492" s="256"/>
      <c r="H492" s="265"/>
      <c r="I492" s="260"/>
      <c r="J492" s="265"/>
      <c r="K492" s="260"/>
      <c r="L492" s="111"/>
      <c r="M492" s="9"/>
      <c r="N492" s="9"/>
      <c r="O492" s="9"/>
      <c r="P492" s="9"/>
      <c r="Q492" s="9"/>
      <c r="R492" s="9"/>
      <c r="S492" s="253"/>
      <c r="T492" s="253"/>
      <c r="U492" s="253"/>
      <c r="V492" s="253"/>
      <c r="W492" s="253"/>
      <c r="X492" s="253"/>
      <c r="Y492" s="253"/>
      <c r="Z492" s="253"/>
    </row>
    <row r="493" spans="1:26">
      <c r="A493" s="9"/>
      <c r="B493" s="9"/>
      <c r="C493" s="9"/>
      <c r="D493" s="9"/>
      <c r="E493" s="35"/>
      <c r="F493" s="35"/>
      <c r="G493" s="256"/>
      <c r="H493" s="265"/>
      <c r="I493" s="260"/>
      <c r="J493" s="265"/>
      <c r="K493" s="260"/>
      <c r="L493" s="111"/>
      <c r="M493" s="9"/>
      <c r="N493" s="9"/>
      <c r="O493" s="9"/>
      <c r="P493" s="9"/>
      <c r="Q493" s="9"/>
      <c r="R493" s="9"/>
      <c r="S493" s="253"/>
      <c r="T493" s="253"/>
      <c r="U493" s="253"/>
      <c r="V493" s="253"/>
      <c r="W493" s="253"/>
      <c r="X493" s="253"/>
      <c r="Y493" s="253"/>
      <c r="Z493" s="253"/>
    </row>
    <row r="494" spans="1:26">
      <c r="A494" s="9"/>
      <c r="B494" s="9"/>
      <c r="C494" s="9"/>
      <c r="D494" s="9"/>
      <c r="E494" s="35"/>
      <c r="F494" s="35"/>
      <c r="G494" s="256"/>
      <c r="H494" s="265"/>
      <c r="I494" s="260"/>
      <c r="J494" s="265"/>
      <c r="K494" s="260"/>
      <c r="L494" s="111"/>
      <c r="M494" s="9"/>
      <c r="N494" s="9"/>
      <c r="O494" s="9"/>
      <c r="P494" s="9"/>
      <c r="Q494" s="9"/>
      <c r="R494" s="9"/>
      <c r="S494" s="253"/>
      <c r="T494" s="253"/>
      <c r="U494" s="253"/>
      <c r="V494" s="253"/>
      <c r="W494" s="253"/>
      <c r="X494" s="253"/>
      <c r="Y494" s="253"/>
      <c r="Z494" s="253"/>
    </row>
    <row r="495" spans="1:26">
      <c r="A495" s="9"/>
      <c r="B495" s="9"/>
      <c r="C495" s="9"/>
      <c r="D495" s="9"/>
      <c r="E495" s="35"/>
      <c r="F495" s="35"/>
      <c r="G495" s="256"/>
      <c r="H495" s="265"/>
      <c r="I495" s="260"/>
      <c r="J495" s="265"/>
      <c r="K495" s="260"/>
      <c r="L495" s="111"/>
      <c r="M495" s="9"/>
      <c r="N495" s="9"/>
      <c r="O495" s="9"/>
      <c r="P495" s="9"/>
      <c r="Q495" s="9"/>
      <c r="R495" s="9"/>
      <c r="S495" s="253"/>
      <c r="T495" s="253"/>
      <c r="U495" s="253"/>
      <c r="V495" s="253"/>
      <c r="W495" s="253"/>
      <c r="X495" s="253"/>
      <c r="Y495" s="253"/>
      <c r="Z495" s="253"/>
    </row>
    <row r="496" spans="1:26">
      <c r="A496" s="9"/>
      <c r="B496" s="9"/>
      <c r="C496" s="9"/>
      <c r="D496" s="9"/>
      <c r="E496" s="35"/>
      <c r="F496" s="35"/>
      <c r="G496" s="256"/>
      <c r="H496" s="265"/>
      <c r="I496" s="260"/>
      <c r="J496" s="265"/>
      <c r="K496" s="260"/>
      <c r="L496" s="111"/>
      <c r="M496" s="9"/>
      <c r="N496" s="9"/>
      <c r="O496" s="9"/>
      <c r="P496" s="9"/>
      <c r="Q496" s="9"/>
      <c r="R496" s="9"/>
      <c r="S496" s="253"/>
      <c r="T496" s="253"/>
      <c r="U496" s="253"/>
      <c r="V496" s="253"/>
      <c r="W496" s="253"/>
      <c r="X496" s="253"/>
      <c r="Y496" s="253"/>
      <c r="Z496" s="253"/>
    </row>
    <row r="497" spans="1:26">
      <c r="A497" s="9"/>
      <c r="B497" s="9"/>
      <c r="C497" s="9"/>
      <c r="D497" s="9"/>
      <c r="E497" s="35"/>
      <c r="F497" s="35"/>
      <c r="G497" s="256"/>
      <c r="H497" s="265"/>
      <c r="I497" s="260"/>
      <c r="J497" s="265"/>
      <c r="K497" s="260"/>
      <c r="L497" s="111"/>
      <c r="M497" s="9"/>
      <c r="N497" s="9"/>
      <c r="O497" s="9"/>
      <c r="P497" s="9"/>
      <c r="Q497" s="9"/>
      <c r="R497" s="9"/>
      <c r="S497" s="253"/>
      <c r="T497" s="253"/>
      <c r="U497" s="253"/>
      <c r="V497" s="253"/>
      <c r="W497" s="253"/>
      <c r="X497" s="253"/>
      <c r="Y497" s="253"/>
      <c r="Z497" s="253"/>
    </row>
    <row r="498" spans="1:26">
      <c r="A498" s="9"/>
      <c r="B498" s="9"/>
      <c r="C498" s="9"/>
      <c r="D498" s="9"/>
      <c r="E498" s="35"/>
      <c r="F498" s="35"/>
      <c r="G498" s="256"/>
      <c r="H498" s="265"/>
      <c r="I498" s="260"/>
      <c r="J498" s="265"/>
      <c r="K498" s="260"/>
      <c r="L498" s="111"/>
      <c r="M498" s="9"/>
      <c r="N498" s="9"/>
      <c r="O498" s="9"/>
      <c r="P498" s="9"/>
      <c r="Q498" s="9"/>
      <c r="R498" s="9"/>
      <c r="S498" s="253"/>
      <c r="T498" s="253"/>
      <c r="U498" s="253"/>
      <c r="V498" s="253"/>
      <c r="W498" s="253"/>
      <c r="X498" s="253"/>
      <c r="Y498" s="253"/>
      <c r="Z498" s="253"/>
    </row>
    <row r="499" spans="1:26">
      <c r="A499" s="9"/>
      <c r="B499" s="9"/>
      <c r="C499" s="9"/>
      <c r="D499" s="9"/>
      <c r="E499" s="35"/>
      <c r="F499" s="35"/>
      <c r="G499" s="256"/>
      <c r="H499" s="265"/>
      <c r="I499" s="260"/>
      <c r="J499" s="265"/>
      <c r="K499" s="260"/>
      <c r="L499" s="111"/>
      <c r="M499" s="9"/>
      <c r="N499" s="9"/>
      <c r="O499" s="9"/>
      <c r="P499" s="9"/>
      <c r="Q499" s="9"/>
      <c r="R499" s="9"/>
      <c r="S499" s="253"/>
      <c r="T499" s="253"/>
      <c r="U499" s="253"/>
      <c r="V499" s="253"/>
      <c r="W499" s="253"/>
      <c r="X499" s="253"/>
      <c r="Y499" s="253"/>
      <c r="Z499" s="253"/>
    </row>
    <row r="500" spans="1:26">
      <c r="A500" s="9"/>
      <c r="B500" s="9"/>
      <c r="C500" s="9"/>
      <c r="D500" s="9"/>
      <c r="E500" s="35"/>
      <c r="F500" s="35"/>
      <c r="G500" s="256"/>
      <c r="H500" s="265"/>
      <c r="I500" s="260"/>
      <c r="J500" s="265"/>
      <c r="K500" s="260"/>
      <c r="L500" s="111"/>
      <c r="M500" s="9"/>
      <c r="N500" s="9"/>
      <c r="O500" s="9"/>
      <c r="P500" s="9"/>
      <c r="Q500" s="9"/>
      <c r="R500" s="9"/>
      <c r="S500" s="253"/>
      <c r="T500" s="253"/>
      <c r="U500" s="253"/>
      <c r="V500" s="253"/>
      <c r="W500" s="253"/>
      <c r="X500" s="253"/>
      <c r="Y500" s="253"/>
      <c r="Z500" s="253"/>
    </row>
    <row r="501" spans="1:26">
      <c r="A501" s="9"/>
      <c r="B501" s="9"/>
      <c r="C501" s="9"/>
      <c r="D501" s="9"/>
      <c r="E501" s="35"/>
      <c r="F501" s="35"/>
      <c r="G501" s="256"/>
      <c r="H501" s="265"/>
      <c r="I501" s="260"/>
      <c r="J501" s="265"/>
      <c r="K501" s="260"/>
      <c r="L501" s="111"/>
      <c r="M501" s="9"/>
      <c r="N501" s="9"/>
      <c r="O501" s="9"/>
      <c r="P501" s="9"/>
      <c r="Q501" s="9"/>
      <c r="R501" s="9"/>
      <c r="S501" s="253"/>
      <c r="T501" s="253"/>
      <c r="U501" s="253"/>
      <c r="V501" s="253"/>
      <c r="W501" s="253"/>
      <c r="X501" s="253"/>
      <c r="Y501" s="253"/>
      <c r="Z501" s="253"/>
    </row>
    <row r="502" spans="1:26">
      <c r="A502" s="9"/>
      <c r="B502" s="9"/>
      <c r="C502" s="9"/>
      <c r="D502" s="9"/>
      <c r="E502" s="35"/>
      <c r="F502" s="35"/>
      <c r="G502" s="256"/>
      <c r="H502" s="265"/>
      <c r="I502" s="260"/>
      <c r="J502" s="265"/>
      <c r="K502" s="260"/>
      <c r="L502" s="111"/>
      <c r="M502" s="9"/>
      <c r="N502" s="9"/>
      <c r="O502" s="9"/>
      <c r="P502" s="9"/>
      <c r="Q502" s="9"/>
      <c r="R502" s="9"/>
      <c r="S502" s="253"/>
      <c r="T502" s="253"/>
      <c r="U502" s="253"/>
      <c r="V502" s="253"/>
      <c r="W502" s="253"/>
      <c r="X502" s="253"/>
      <c r="Y502" s="253"/>
      <c r="Z502" s="253"/>
    </row>
    <row r="503" spans="1:26">
      <c r="A503" s="9"/>
      <c r="B503" s="9"/>
      <c r="C503" s="9"/>
      <c r="D503" s="9"/>
      <c r="E503" s="35"/>
      <c r="F503" s="35"/>
      <c r="G503" s="256"/>
      <c r="H503" s="265"/>
      <c r="I503" s="260"/>
      <c r="J503" s="265"/>
      <c r="K503" s="260"/>
      <c r="L503" s="111"/>
      <c r="M503" s="9"/>
      <c r="N503" s="9"/>
      <c r="O503" s="9"/>
      <c r="P503" s="9"/>
      <c r="Q503" s="9"/>
      <c r="R503" s="9"/>
      <c r="S503" s="253"/>
      <c r="T503" s="253"/>
      <c r="U503" s="253"/>
      <c r="V503" s="253"/>
      <c r="W503" s="253"/>
      <c r="X503" s="253"/>
      <c r="Y503" s="253"/>
      <c r="Z503" s="253"/>
    </row>
    <row r="504" spans="1:26">
      <c r="A504" s="9"/>
      <c r="B504" s="9"/>
      <c r="C504" s="9"/>
      <c r="D504" s="9"/>
      <c r="E504" s="35"/>
      <c r="F504" s="35"/>
      <c r="G504" s="256"/>
      <c r="H504" s="265"/>
      <c r="I504" s="260"/>
      <c r="J504" s="265"/>
      <c r="K504" s="260"/>
      <c r="L504" s="111"/>
      <c r="M504" s="9"/>
      <c r="N504" s="9"/>
      <c r="O504" s="9"/>
      <c r="P504" s="9"/>
      <c r="Q504" s="9"/>
      <c r="R504" s="9"/>
      <c r="S504" s="253"/>
      <c r="T504" s="253"/>
      <c r="U504" s="253"/>
      <c r="V504" s="253"/>
      <c r="W504" s="253"/>
      <c r="X504" s="253"/>
      <c r="Y504" s="253"/>
      <c r="Z504" s="253"/>
    </row>
    <row r="505" spans="1:26">
      <c r="A505" s="9"/>
      <c r="B505" s="9"/>
      <c r="C505" s="9"/>
      <c r="D505" s="9"/>
      <c r="E505" s="35"/>
      <c r="F505" s="35"/>
      <c r="G505" s="256"/>
      <c r="H505" s="265"/>
      <c r="I505" s="260"/>
      <c r="J505" s="265"/>
      <c r="K505" s="260"/>
      <c r="L505" s="111"/>
      <c r="M505" s="9"/>
      <c r="N505" s="9"/>
      <c r="O505" s="9"/>
      <c r="P505" s="9"/>
      <c r="Q505" s="9"/>
      <c r="R505" s="9"/>
      <c r="S505" s="253"/>
      <c r="T505" s="253"/>
      <c r="U505" s="253"/>
      <c r="V505" s="253"/>
      <c r="W505" s="253"/>
      <c r="X505" s="253"/>
      <c r="Y505" s="253"/>
      <c r="Z505" s="253"/>
    </row>
    <row r="506" spans="1:26">
      <c r="A506" s="9"/>
      <c r="B506" s="9"/>
      <c r="C506" s="9"/>
      <c r="D506" s="9"/>
      <c r="E506" s="35"/>
      <c r="F506" s="35"/>
      <c r="G506" s="256"/>
      <c r="H506" s="265"/>
      <c r="I506" s="260"/>
      <c r="J506" s="265"/>
      <c r="K506" s="260"/>
      <c r="L506" s="111"/>
      <c r="M506" s="9"/>
      <c r="N506" s="9"/>
      <c r="O506" s="9"/>
      <c r="P506" s="9"/>
      <c r="Q506" s="9"/>
      <c r="R506" s="9"/>
      <c r="S506" s="253"/>
      <c r="T506" s="253"/>
      <c r="U506" s="253"/>
      <c r="V506" s="253"/>
      <c r="W506" s="253"/>
      <c r="X506" s="253"/>
      <c r="Y506" s="253"/>
      <c r="Z506" s="253"/>
    </row>
    <row r="507" spans="1:26">
      <c r="A507" s="9"/>
      <c r="B507" s="9"/>
      <c r="C507" s="9"/>
      <c r="D507" s="9"/>
      <c r="E507" s="35"/>
      <c r="F507" s="35"/>
      <c r="G507" s="256"/>
      <c r="H507" s="265"/>
      <c r="I507" s="260"/>
      <c r="J507" s="265"/>
      <c r="K507" s="260"/>
      <c r="L507" s="111"/>
      <c r="M507" s="9"/>
      <c r="N507" s="9"/>
      <c r="O507" s="9"/>
      <c r="P507" s="9"/>
      <c r="Q507" s="9"/>
      <c r="R507" s="9"/>
      <c r="S507" s="253"/>
      <c r="T507" s="253"/>
      <c r="U507" s="253"/>
      <c r="V507" s="253"/>
      <c r="W507" s="253"/>
      <c r="X507" s="253"/>
      <c r="Y507" s="253"/>
      <c r="Z507" s="253"/>
    </row>
    <row r="508" spans="1:26">
      <c r="A508" s="9"/>
      <c r="B508" s="9"/>
      <c r="C508" s="9"/>
      <c r="D508" s="9"/>
      <c r="E508" s="35"/>
      <c r="F508" s="35"/>
      <c r="G508" s="256"/>
      <c r="H508" s="265"/>
      <c r="I508" s="260"/>
      <c r="J508" s="265"/>
      <c r="K508" s="260"/>
      <c r="L508" s="111"/>
      <c r="M508" s="9"/>
      <c r="N508" s="9"/>
      <c r="O508" s="9"/>
      <c r="P508" s="9"/>
      <c r="Q508" s="9"/>
      <c r="R508" s="9"/>
      <c r="S508" s="253"/>
      <c r="T508" s="253"/>
      <c r="U508" s="253"/>
      <c r="V508" s="253"/>
      <c r="W508" s="253"/>
      <c r="X508" s="253"/>
      <c r="Y508" s="253"/>
      <c r="Z508" s="253"/>
    </row>
    <row r="509" spans="1:26">
      <c r="A509" s="9"/>
      <c r="B509" s="9"/>
      <c r="C509" s="9"/>
      <c r="D509" s="9"/>
      <c r="E509" s="35"/>
      <c r="F509" s="35"/>
      <c r="G509" s="256"/>
      <c r="H509" s="265"/>
      <c r="I509" s="260"/>
      <c r="J509" s="265"/>
      <c r="K509" s="260"/>
      <c r="L509" s="111"/>
      <c r="M509" s="9"/>
      <c r="N509" s="9"/>
      <c r="O509" s="9"/>
      <c r="P509" s="9"/>
      <c r="Q509" s="9"/>
      <c r="R509" s="9"/>
      <c r="S509" s="253"/>
      <c r="T509" s="253"/>
      <c r="U509" s="253"/>
      <c r="V509" s="253"/>
      <c r="W509" s="253"/>
      <c r="X509" s="253"/>
      <c r="Y509" s="253"/>
      <c r="Z509" s="253"/>
    </row>
    <row r="510" spans="1:26">
      <c r="A510" s="9"/>
      <c r="B510" s="9"/>
      <c r="C510" s="9"/>
      <c r="D510" s="9"/>
      <c r="E510" s="35"/>
      <c r="F510" s="35"/>
      <c r="G510" s="256"/>
      <c r="H510" s="265"/>
      <c r="I510" s="260"/>
      <c r="J510" s="265"/>
      <c r="K510" s="260"/>
      <c r="L510" s="111"/>
      <c r="M510" s="9"/>
      <c r="N510" s="9"/>
      <c r="O510" s="9"/>
      <c r="P510" s="9"/>
      <c r="Q510" s="9"/>
      <c r="R510" s="9"/>
      <c r="S510" s="253"/>
      <c r="T510" s="253"/>
      <c r="U510" s="253"/>
      <c r="V510" s="253"/>
      <c r="W510" s="253"/>
      <c r="X510" s="253"/>
      <c r="Y510" s="253"/>
      <c r="Z510" s="253"/>
    </row>
    <row r="511" spans="1:26">
      <c r="A511" s="9"/>
      <c r="B511" s="9"/>
      <c r="C511" s="9"/>
      <c r="D511" s="9"/>
      <c r="E511" s="35"/>
      <c r="F511" s="35"/>
      <c r="G511" s="256"/>
      <c r="H511" s="265"/>
      <c r="I511" s="260"/>
      <c r="J511" s="265"/>
      <c r="K511" s="260"/>
      <c r="L511" s="111"/>
      <c r="M511" s="9"/>
      <c r="N511" s="9"/>
      <c r="O511" s="9"/>
      <c r="P511" s="9"/>
      <c r="Q511" s="9"/>
      <c r="R511" s="9"/>
      <c r="S511" s="253"/>
      <c r="T511" s="253"/>
      <c r="U511" s="253"/>
      <c r="V511" s="253"/>
      <c r="W511" s="253"/>
      <c r="X511" s="253"/>
      <c r="Y511" s="253"/>
      <c r="Z511" s="253"/>
    </row>
    <row r="512" spans="1:26">
      <c r="A512" s="9"/>
      <c r="B512" s="9"/>
      <c r="C512" s="9"/>
      <c r="D512" s="9"/>
      <c r="E512" s="35"/>
      <c r="F512" s="35"/>
      <c r="G512" s="256"/>
      <c r="H512" s="265"/>
      <c r="I512" s="260"/>
      <c r="J512" s="265"/>
      <c r="K512" s="260"/>
      <c r="L512" s="111"/>
      <c r="M512" s="9"/>
      <c r="N512" s="9"/>
      <c r="O512" s="9"/>
      <c r="P512" s="9"/>
      <c r="Q512" s="9"/>
      <c r="R512" s="9"/>
      <c r="S512" s="253"/>
      <c r="T512" s="253"/>
      <c r="U512" s="253"/>
      <c r="V512" s="253"/>
      <c r="W512" s="253"/>
      <c r="X512" s="253"/>
      <c r="Y512" s="253"/>
      <c r="Z512" s="253"/>
    </row>
    <row r="513" spans="1:26">
      <c r="A513" s="9"/>
      <c r="B513" s="9"/>
      <c r="C513" s="9"/>
      <c r="D513" s="9"/>
      <c r="E513" s="35"/>
      <c r="F513" s="35"/>
      <c r="G513" s="256"/>
      <c r="H513" s="265"/>
      <c r="I513" s="260"/>
      <c r="J513" s="265"/>
      <c r="K513" s="260"/>
      <c r="L513" s="111"/>
      <c r="M513" s="9"/>
      <c r="N513" s="9"/>
      <c r="O513" s="9"/>
      <c r="P513" s="9"/>
      <c r="Q513" s="9"/>
      <c r="R513" s="9"/>
      <c r="S513" s="253"/>
      <c r="T513" s="253"/>
      <c r="U513" s="253"/>
      <c r="V513" s="253"/>
      <c r="W513" s="253"/>
      <c r="X513" s="253"/>
      <c r="Y513" s="253"/>
      <c r="Z513" s="253"/>
    </row>
    <row r="514" spans="1:26">
      <c r="A514" s="9"/>
      <c r="B514" s="9"/>
      <c r="C514" s="9"/>
      <c r="D514" s="9"/>
      <c r="E514" s="35"/>
      <c r="F514" s="35"/>
      <c r="G514" s="256"/>
      <c r="H514" s="265"/>
      <c r="I514" s="260"/>
      <c r="J514" s="265"/>
      <c r="K514" s="260"/>
      <c r="L514" s="111"/>
      <c r="M514" s="9"/>
      <c r="N514" s="9"/>
      <c r="O514" s="9"/>
      <c r="P514" s="9"/>
      <c r="Q514" s="9"/>
      <c r="R514" s="9"/>
      <c r="S514" s="253"/>
      <c r="T514" s="253"/>
      <c r="U514" s="253"/>
      <c r="V514" s="253"/>
      <c r="W514" s="253"/>
      <c r="X514" s="253"/>
      <c r="Y514" s="253"/>
      <c r="Z514" s="253"/>
    </row>
    <row r="515" spans="1:26">
      <c r="A515" s="9"/>
      <c r="B515" s="9"/>
      <c r="C515" s="9"/>
      <c r="D515" s="9"/>
      <c r="E515" s="35"/>
      <c r="F515" s="35"/>
      <c r="G515" s="256"/>
      <c r="H515" s="265"/>
      <c r="I515" s="260"/>
      <c r="J515" s="265"/>
      <c r="K515" s="260"/>
      <c r="L515" s="111"/>
      <c r="M515" s="9"/>
      <c r="N515" s="9"/>
      <c r="O515" s="9"/>
      <c r="P515" s="9"/>
      <c r="Q515" s="9"/>
      <c r="R515" s="9"/>
      <c r="S515" s="253"/>
      <c r="T515" s="253"/>
      <c r="U515" s="253"/>
      <c r="V515" s="253"/>
      <c r="W515" s="253"/>
      <c r="X515" s="253"/>
      <c r="Y515" s="253"/>
      <c r="Z515" s="253"/>
    </row>
    <row r="516" spans="1:26">
      <c r="A516" s="9"/>
      <c r="B516" s="9"/>
      <c r="C516" s="9"/>
      <c r="D516" s="9"/>
      <c r="E516" s="35"/>
      <c r="F516" s="35"/>
      <c r="G516" s="256"/>
      <c r="H516" s="265"/>
      <c r="I516" s="260"/>
      <c r="J516" s="265"/>
      <c r="K516" s="260"/>
      <c r="L516" s="111"/>
      <c r="M516" s="9"/>
      <c r="N516" s="9"/>
      <c r="O516" s="9"/>
      <c r="P516" s="9"/>
      <c r="Q516" s="9"/>
      <c r="R516" s="9"/>
      <c r="S516" s="253"/>
      <c r="T516" s="253"/>
      <c r="U516" s="253"/>
      <c r="V516" s="253"/>
      <c r="W516" s="253"/>
      <c r="X516" s="253"/>
      <c r="Y516" s="253"/>
      <c r="Z516" s="253"/>
    </row>
    <row r="517" spans="1:26">
      <c r="A517" s="9"/>
      <c r="B517" s="9"/>
      <c r="C517" s="9"/>
      <c r="D517" s="9"/>
      <c r="E517" s="35"/>
      <c r="F517" s="35"/>
      <c r="G517" s="256"/>
      <c r="H517" s="265"/>
      <c r="I517" s="260"/>
      <c r="J517" s="265"/>
      <c r="K517" s="260"/>
      <c r="L517" s="111"/>
      <c r="M517" s="9"/>
      <c r="N517" s="9"/>
      <c r="O517" s="9"/>
      <c r="P517" s="9"/>
      <c r="Q517" s="9"/>
      <c r="R517" s="9"/>
      <c r="S517" s="253"/>
      <c r="T517" s="253"/>
      <c r="U517" s="253"/>
      <c r="V517" s="253"/>
      <c r="W517" s="253"/>
      <c r="X517" s="253"/>
      <c r="Y517" s="253"/>
      <c r="Z517" s="253"/>
    </row>
    <row r="518" spans="1:26">
      <c r="A518" s="9"/>
      <c r="B518" s="9"/>
      <c r="C518" s="9"/>
      <c r="D518" s="9"/>
      <c r="E518" s="35"/>
      <c r="F518" s="35"/>
      <c r="G518" s="256"/>
      <c r="H518" s="265"/>
      <c r="I518" s="260"/>
      <c r="J518" s="265"/>
      <c r="K518" s="260"/>
      <c r="L518" s="111"/>
      <c r="M518" s="9"/>
      <c r="N518" s="9"/>
      <c r="O518" s="9"/>
      <c r="P518" s="9"/>
      <c r="Q518" s="9"/>
      <c r="R518" s="9"/>
      <c r="S518" s="253"/>
      <c r="T518" s="253"/>
      <c r="U518" s="253"/>
      <c r="V518" s="253"/>
      <c r="W518" s="253"/>
      <c r="X518" s="253"/>
      <c r="Y518" s="253"/>
      <c r="Z518" s="253"/>
    </row>
    <row r="519" spans="1:26">
      <c r="A519" s="9"/>
      <c r="B519" s="9"/>
      <c r="C519" s="9"/>
      <c r="D519" s="9"/>
      <c r="E519" s="35"/>
      <c r="F519" s="35"/>
      <c r="G519" s="256"/>
      <c r="H519" s="265"/>
      <c r="I519" s="260"/>
      <c r="J519" s="265"/>
      <c r="K519" s="260"/>
      <c r="L519" s="111"/>
      <c r="M519" s="9"/>
      <c r="N519" s="9"/>
      <c r="O519" s="9"/>
      <c r="P519" s="9"/>
      <c r="Q519" s="9"/>
      <c r="R519" s="9"/>
      <c r="S519" s="253"/>
      <c r="T519" s="253"/>
      <c r="U519" s="253"/>
      <c r="V519" s="253"/>
      <c r="W519" s="253"/>
      <c r="X519" s="253"/>
      <c r="Y519" s="253"/>
      <c r="Z519" s="253"/>
    </row>
    <row r="520" spans="1:26">
      <c r="A520" s="9"/>
      <c r="B520" s="9"/>
      <c r="C520" s="9"/>
      <c r="D520" s="9"/>
      <c r="E520" s="35"/>
      <c r="F520" s="35"/>
      <c r="G520" s="256"/>
      <c r="H520" s="265"/>
      <c r="I520" s="260"/>
      <c r="J520" s="265"/>
      <c r="K520" s="260"/>
      <c r="L520" s="111"/>
      <c r="M520" s="9"/>
      <c r="N520" s="9"/>
      <c r="O520" s="9"/>
      <c r="P520" s="9"/>
      <c r="Q520" s="9"/>
      <c r="R520" s="9"/>
      <c r="S520" s="253"/>
      <c r="T520" s="253"/>
      <c r="U520" s="253"/>
      <c r="V520" s="253"/>
      <c r="W520" s="253"/>
      <c r="X520" s="253"/>
      <c r="Y520" s="253"/>
      <c r="Z520" s="253"/>
    </row>
    <row r="521" spans="1:26">
      <c r="A521" s="9"/>
      <c r="B521" s="9"/>
      <c r="C521" s="9"/>
      <c r="D521" s="9"/>
      <c r="E521" s="35"/>
      <c r="F521" s="35"/>
      <c r="G521" s="256"/>
      <c r="H521" s="265"/>
      <c r="I521" s="260"/>
      <c r="J521" s="265"/>
      <c r="K521" s="260"/>
      <c r="L521" s="111"/>
      <c r="M521" s="9"/>
      <c r="N521" s="9"/>
      <c r="O521" s="9"/>
      <c r="P521" s="9"/>
      <c r="Q521" s="9"/>
      <c r="R521" s="9"/>
      <c r="S521" s="253"/>
      <c r="T521" s="253"/>
      <c r="U521" s="253"/>
      <c r="V521" s="253"/>
      <c r="W521" s="253"/>
      <c r="X521" s="253"/>
      <c r="Y521" s="253"/>
      <c r="Z521" s="253"/>
    </row>
    <row r="522" spans="1:26">
      <c r="A522" s="9"/>
      <c r="B522" s="9"/>
      <c r="C522" s="9"/>
      <c r="D522" s="9"/>
      <c r="E522" s="35"/>
      <c r="F522" s="35"/>
      <c r="G522" s="256"/>
      <c r="H522" s="265"/>
      <c r="I522" s="260"/>
      <c r="J522" s="265"/>
      <c r="K522" s="260"/>
      <c r="L522" s="111"/>
      <c r="M522" s="9"/>
      <c r="N522" s="9"/>
      <c r="O522" s="9"/>
      <c r="P522" s="9"/>
      <c r="Q522" s="9"/>
      <c r="R522" s="9"/>
      <c r="S522" s="253"/>
      <c r="T522" s="253"/>
      <c r="U522" s="253"/>
      <c r="V522" s="253"/>
      <c r="W522" s="253"/>
      <c r="X522" s="253"/>
      <c r="Y522" s="253"/>
      <c r="Z522" s="253"/>
    </row>
    <row r="523" spans="1:26">
      <c r="A523" s="9"/>
      <c r="B523" s="9"/>
      <c r="C523" s="9"/>
      <c r="D523" s="9"/>
      <c r="E523" s="35"/>
      <c r="F523" s="35"/>
      <c r="G523" s="256"/>
      <c r="H523" s="265"/>
      <c r="I523" s="260"/>
      <c r="J523" s="265"/>
      <c r="K523" s="260"/>
      <c r="L523" s="111"/>
      <c r="M523" s="9"/>
      <c r="N523" s="9"/>
      <c r="O523" s="9"/>
      <c r="P523" s="9"/>
      <c r="Q523" s="9"/>
      <c r="R523" s="9"/>
      <c r="S523" s="253"/>
      <c r="T523" s="253"/>
      <c r="U523" s="253"/>
      <c r="V523" s="253"/>
      <c r="W523" s="253"/>
      <c r="X523" s="253"/>
      <c r="Y523" s="253"/>
      <c r="Z523" s="253"/>
    </row>
    <row r="524" spans="1:26">
      <c r="A524" s="9"/>
      <c r="B524" s="9"/>
      <c r="C524" s="9"/>
      <c r="D524" s="9"/>
      <c r="E524" s="35"/>
      <c r="F524" s="35"/>
      <c r="G524" s="256"/>
      <c r="H524" s="265"/>
      <c r="I524" s="260"/>
      <c r="J524" s="265"/>
      <c r="K524" s="260"/>
      <c r="L524" s="111"/>
      <c r="M524" s="9"/>
      <c r="N524" s="9"/>
      <c r="O524" s="9"/>
      <c r="P524" s="9"/>
      <c r="Q524" s="9"/>
      <c r="R524" s="9"/>
      <c r="S524" s="253"/>
      <c r="T524" s="253"/>
      <c r="U524" s="253"/>
      <c r="V524" s="253"/>
      <c r="W524" s="253"/>
      <c r="X524" s="253"/>
      <c r="Y524" s="253"/>
      <c r="Z524" s="253"/>
    </row>
    <row r="525" spans="1:26">
      <c r="A525" s="9"/>
      <c r="B525" s="9"/>
      <c r="C525" s="9"/>
      <c r="D525" s="9"/>
      <c r="E525" s="35"/>
      <c r="F525" s="35"/>
      <c r="G525" s="256"/>
      <c r="H525" s="265"/>
      <c r="I525" s="260"/>
      <c r="J525" s="265"/>
      <c r="K525" s="260"/>
      <c r="L525" s="111"/>
      <c r="M525" s="9"/>
      <c r="N525" s="9"/>
      <c r="O525" s="9"/>
      <c r="P525" s="9"/>
      <c r="Q525" s="9"/>
      <c r="R525" s="9"/>
      <c r="S525" s="253"/>
      <c r="T525" s="253"/>
      <c r="U525" s="253"/>
      <c r="V525" s="253"/>
      <c r="W525" s="253"/>
      <c r="X525" s="253"/>
      <c r="Y525" s="253"/>
      <c r="Z525" s="253"/>
    </row>
    <row r="526" spans="1:26">
      <c r="A526" s="9"/>
      <c r="B526" s="9"/>
      <c r="C526" s="9"/>
      <c r="D526" s="9"/>
      <c r="E526" s="35"/>
      <c r="F526" s="35"/>
      <c r="G526" s="256"/>
      <c r="H526" s="265"/>
      <c r="I526" s="260"/>
      <c r="J526" s="265"/>
      <c r="K526" s="260"/>
      <c r="L526" s="111"/>
      <c r="M526" s="9"/>
      <c r="N526" s="9"/>
      <c r="O526" s="9"/>
      <c r="P526" s="9"/>
      <c r="Q526" s="9"/>
      <c r="R526" s="9"/>
      <c r="S526" s="253"/>
      <c r="T526" s="253"/>
      <c r="U526" s="253"/>
      <c r="V526" s="253"/>
      <c r="W526" s="253"/>
      <c r="X526" s="253"/>
      <c r="Y526" s="253"/>
      <c r="Z526" s="253"/>
    </row>
    <row r="527" spans="1:26">
      <c r="A527" s="9"/>
      <c r="B527" s="9"/>
      <c r="C527" s="9"/>
      <c r="D527" s="9"/>
      <c r="E527" s="35"/>
      <c r="F527" s="35"/>
      <c r="G527" s="256"/>
      <c r="H527" s="265"/>
      <c r="I527" s="260"/>
      <c r="J527" s="265"/>
      <c r="K527" s="260"/>
      <c r="L527" s="111"/>
      <c r="M527" s="9"/>
      <c r="N527" s="9"/>
      <c r="O527" s="9"/>
      <c r="P527" s="9"/>
      <c r="Q527" s="9"/>
      <c r="R527" s="9"/>
      <c r="S527" s="253"/>
      <c r="T527" s="253"/>
      <c r="U527" s="253"/>
      <c r="V527" s="253"/>
      <c r="W527" s="253"/>
      <c r="X527" s="253"/>
      <c r="Y527" s="253"/>
      <c r="Z527" s="253"/>
    </row>
    <row r="528" spans="1:26">
      <c r="A528" s="9"/>
      <c r="B528" s="9"/>
      <c r="C528" s="9"/>
      <c r="D528" s="9"/>
      <c r="E528" s="35"/>
      <c r="F528" s="35"/>
      <c r="G528" s="256"/>
      <c r="H528" s="265"/>
      <c r="I528" s="260"/>
      <c r="J528" s="265"/>
      <c r="K528" s="260"/>
      <c r="L528" s="111"/>
      <c r="M528" s="9"/>
      <c r="N528" s="9"/>
      <c r="O528" s="9"/>
      <c r="P528" s="9"/>
      <c r="Q528" s="9"/>
      <c r="R528" s="9"/>
      <c r="S528" s="253"/>
      <c r="T528" s="253"/>
      <c r="U528" s="253"/>
      <c r="V528" s="253"/>
      <c r="W528" s="253"/>
      <c r="X528" s="253"/>
      <c r="Y528" s="253"/>
      <c r="Z528" s="253"/>
    </row>
    <row r="529" spans="1:26">
      <c r="A529" s="9"/>
      <c r="B529" s="9"/>
      <c r="C529" s="9"/>
      <c r="D529" s="9"/>
      <c r="E529" s="35"/>
      <c r="F529" s="35"/>
      <c r="G529" s="256"/>
      <c r="H529" s="265"/>
      <c r="I529" s="260"/>
      <c r="J529" s="265"/>
      <c r="K529" s="260"/>
      <c r="L529" s="111"/>
      <c r="M529" s="9"/>
      <c r="N529" s="9"/>
      <c r="O529" s="9"/>
      <c r="P529" s="9"/>
      <c r="Q529" s="9"/>
      <c r="R529" s="9"/>
      <c r="S529" s="253"/>
      <c r="T529" s="253"/>
      <c r="U529" s="253"/>
      <c r="V529" s="253"/>
      <c r="W529" s="253"/>
      <c r="X529" s="253"/>
      <c r="Y529" s="253"/>
      <c r="Z529" s="253"/>
    </row>
    <row r="530" spans="1:26">
      <c r="A530" s="9"/>
      <c r="B530" s="9"/>
      <c r="C530" s="9"/>
      <c r="D530" s="9"/>
      <c r="E530" s="35"/>
      <c r="F530" s="35"/>
      <c r="G530" s="256"/>
      <c r="H530" s="265"/>
      <c r="I530" s="260"/>
      <c r="J530" s="265"/>
      <c r="K530" s="260"/>
      <c r="L530" s="111"/>
      <c r="M530" s="9"/>
      <c r="N530" s="9"/>
      <c r="O530" s="9"/>
      <c r="P530" s="9"/>
      <c r="Q530" s="9"/>
      <c r="R530" s="9"/>
      <c r="S530" s="253"/>
      <c r="T530" s="253"/>
      <c r="U530" s="253"/>
      <c r="V530" s="253"/>
      <c r="W530" s="253"/>
      <c r="X530" s="253"/>
      <c r="Y530" s="253"/>
      <c r="Z530" s="253"/>
    </row>
    <row r="531" spans="1:26">
      <c r="A531" s="9"/>
      <c r="B531" s="9"/>
      <c r="C531" s="9"/>
      <c r="D531" s="9"/>
      <c r="E531" s="35"/>
      <c r="F531" s="35"/>
      <c r="G531" s="256"/>
      <c r="H531" s="265"/>
      <c r="I531" s="260"/>
      <c r="J531" s="265"/>
      <c r="K531" s="260"/>
      <c r="L531" s="111"/>
      <c r="M531" s="9"/>
      <c r="N531" s="9"/>
      <c r="O531" s="9"/>
      <c r="P531" s="9"/>
      <c r="Q531" s="9"/>
      <c r="R531" s="9"/>
      <c r="S531" s="253"/>
      <c r="T531" s="253"/>
      <c r="U531" s="253"/>
      <c r="V531" s="253"/>
      <c r="W531" s="253"/>
      <c r="X531" s="253"/>
      <c r="Y531" s="253"/>
      <c r="Z531" s="253"/>
    </row>
    <row r="532" spans="1:26">
      <c r="A532" s="9"/>
      <c r="B532" s="9"/>
      <c r="C532" s="9"/>
      <c r="D532" s="9"/>
      <c r="E532" s="35"/>
      <c r="F532" s="35"/>
      <c r="G532" s="256"/>
      <c r="H532" s="265"/>
      <c r="I532" s="260"/>
      <c r="J532" s="265"/>
      <c r="K532" s="260"/>
      <c r="L532" s="111"/>
      <c r="M532" s="9"/>
      <c r="N532" s="9"/>
      <c r="O532" s="9"/>
      <c r="P532" s="9"/>
      <c r="Q532" s="9"/>
      <c r="R532" s="9"/>
      <c r="S532" s="253"/>
      <c r="T532" s="253"/>
      <c r="U532" s="253"/>
      <c r="V532" s="253"/>
      <c r="W532" s="253"/>
      <c r="X532" s="253"/>
      <c r="Y532" s="253"/>
      <c r="Z532" s="253"/>
    </row>
    <row r="533" spans="1:26">
      <c r="A533" s="9"/>
      <c r="B533" s="9"/>
      <c r="C533" s="9"/>
      <c r="D533" s="9"/>
      <c r="E533" s="35"/>
      <c r="F533" s="35"/>
      <c r="G533" s="256"/>
      <c r="H533" s="265"/>
      <c r="I533" s="260"/>
      <c r="J533" s="265"/>
      <c r="K533" s="260"/>
      <c r="L533" s="111"/>
      <c r="M533" s="9"/>
      <c r="N533" s="9"/>
      <c r="O533" s="9"/>
      <c r="P533" s="9"/>
      <c r="Q533" s="9"/>
      <c r="R533" s="9"/>
      <c r="S533" s="253"/>
      <c r="T533" s="253"/>
      <c r="U533" s="253"/>
      <c r="V533" s="253"/>
      <c r="W533" s="253"/>
      <c r="X533" s="253"/>
      <c r="Y533" s="253"/>
      <c r="Z533" s="253"/>
    </row>
    <row r="534" spans="1:26">
      <c r="A534" s="9"/>
      <c r="B534" s="9"/>
      <c r="C534" s="9"/>
      <c r="D534" s="9"/>
      <c r="E534" s="35"/>
      <c r="F534" s="35"/>
      <c r="G534" s="256"/>
      <c r="H534" s="265"/>
      <c r="I534" s="260"/>
      <c r="J534" s="265"/>
      <c r="K534" s="260"/>
      <c r="L534" s="111"/>
      <c r="M534" s="9"/>
      <c r="N534" s="9"/>
      <c r="O534" s="9"/>
      <c r="P534" s="9"/>
      <c r="Q534" s="9"/>
      <c r="R534" s="9"/>
      <c r="S534" s="253"/>
      <c r="T534" s="253"/>
      <c r="U534" s="253"/>
      <c r="V534" s="253"/>
      <c r="W534" s="253"/>
      <c r="X534" s="253"/>
      <c r="Y534" s="253"/>
      <c r="Z534" s="253"/>
    </row>
    <row r="535" spans="1:26">
      <c r="A535" s="9"/>
      <c r="B535" s="9"/>
      <c r="C535" s="9"/>
      <c r="D535" s="9"/>
      <c r="E535" s="35"/>
      <c r="F535" s="35"/>
      <c r="G535" s="256"/>
      <c r="H535" s="265"/>
      <c r="I535" s="260"/>
      <c r="J535" s="265"/>
      <c r="K535" s="260"/>
      <c r="L535" s="111"/>
      <c r="M535" s="9"/>
      <c r="N535" s="9"/>
      <c r="O535" s="9"/>
      <c r="P535" s="9"/>
      <c r="Q535" s="9"/>
      <c r="R535" s="9"/>
      <c r="S535" s="253"/>
      <c r="T535" s="253"/>
      <c r="U535" s="253"/>
      <c r="V535" s="253"/>
      <c r="W535" s="253"/>
      <c r="X535" s="253"/>
      <c r="Y535" s="253"/>
      <c r="Z535" s="253"/>
    </row>
    <row r="536" spans="1:26">
      <c r="A536" s="9"/>
      <c r="B536" s="9"/>
      <c r="C536" s="9"/>
      <c r="D536" s="9"/>
      <c r="E536" s="35"/>
      <c r="F536" s="35"/>
      <c r="G536" s="256"/>
      <c r="H536" s="265"/>
      <c r="I536" s="260"/>
      <c r="J536" s="265"/>
      <c r="K536" s="260"/>
      <c r="L536" s="111"/>
      <c r="M536" s="9"/>
      <c r="N536" s="9"/>
      <c r="O536" s="9"/>
      <c r="P536" s="9"/>
      <c r="Q536" s="9"/>
      <c r="R536" s="9"/>
      <c r="S536" s="253"/>
      <c r="T536" s="253"/>
      <c r="U536" s="253"/>
      <c r="V536" s="253"/>
      <c r="W536" s="253"/>
      <c r="X536" s="253"/>
      <c r="Y536" s="253"/>
      <c r="Z536" s="253"/>
    </row>
    <row r="537" spans="1:26">
      <c r="A537" s="9"/>
      <c r="B537" s="9"/>
      <c r="C537" s="9"/>
      <c r="D537" s="9"/>
      <c r="E537" s="35"/>
      <c r="F537" s="35"/>
      <c r="G537" s="256"/>
      <c r="H537" s="265"/>
      <c r="I537" s="260"/>
      <c r="J537" s="265"/>
      <c r="K537" s="260"/>
      <c r="L537" s="111"/>
      <c r="M537" s="9"/>
      <c r="N537" s="9"/>
      <c r="O537" s="9"/>
      <c r="P537" s="9"/>
      <c r="Q537" s="9"/>
      <c r="R537" s="9"/>
      <c r="S537" s="253"/>
      <c r="T537" s="253"/>
      <c r="U537" s="253"/>
      <c r="V537" s="253"/>
      <c r="W537" s="253"/>
      <c r="X537" s="253"/>
      <c r="Y537" s="253"/>
      <c r="Z537" s="253"/>
    </row>
    <row r="538" spans="1:26">
      <c r="A538" s="9"/>
      <c r="B538" s="9"/>
      <c r="C538" s="9"/>
      <c r="D538" s="9"/>
      <c r="E538" s="35"/>
      <c r="F538" s="35"/>
      <c r="G538" s="256"/>
      <c r="H538" s="265"/>
      <c r="I538" s="260"/>
      <c r="J538" s="265"/>
      <c r="K538" s="260"/>
      <c r="L538" s="111"/>
      <c r="M538" s="9"/>
      <c r="N538" s="9"/>
      <c r="O538" s="9"/>
      <c r="P538" s="9"/>
      <c r="Q538" s="9"/>
      <c r="R538" s="9"/>
      <c r="S538" s="253"/>
      <c r="T538" s="253"/>
      <c r="U538" s="253"/>
      <c r="V538" s="253"/>
      <c r="W538" s="253"/>
      <c r="X538" s="253"/>
      <c r="Y538" s="253"/>
      <c r="Z538" s="253"/>
    </row>
    <row r="539" spans="1:26">
      <c r="A539" s="9"/>
      <c r="B539" s="9"/>
      <c r="C539" s="9"/>
      <c r="D539" s="9"/>
      <c r="E539" s="35"/>
      <c r="F539" s="35"/>
      <c r="G539" s="256"/>
      <c r="H539" s="265"/>
      <c r="I539" s="260"/>
      <c r="J539" s="265"/>
      <c r="K539" s="260"/>
      <c r="L539" s="111"/>
      <c r="M539" s="9"/>
      <c r="N539" s="9"/>
      <c r="O539" s="9"/>
      <c r="P539" s="9"/>
      <c r="Q539" s="9"/>
      <c r="R539" s="9"/>
      <c r="S539" s="253"/>
      <c r="T539" s="253"/>
      <c r="U539" s="253"/>
      <c r="V539" s="253"/>
      <c r="W539" s="253"/>
      <c r="X539" s="253"/>
      <c r="Y539" s="253"/>
      <c r="Z539" s="253"/>
    </row>
    <row r="540" spans="1:26">
      <c r="A540" s="9"/>
      <c r="B540" s="9"/>
      <c r="C540" s="9"/>
      <c r="D540" s="9"/>
      <c r="E540" s="35"/>
      <c r="F540" s="35"/>
      <c r="G540" s="256"/>
      <c r="H540" s="265"/>
      <c r="I540" s="260"/>
      <c r="J540" s="265"/>
      <c r="K540" s="260"/>
      <c r="L540" s="111"/>
      <c r="M540" s="9"/>
      <c r="N540" s="9"/>
      <c r="O540" s="9"/>
      <c r="P540" s="9"/>
      <c r="Q540" s="9"/>
      <c r="R540" s="9"/>
      <c r="S540" s="253"/>
      <c r="T540" s="253"/>
      <c r="U540" s="253"/>
      <c r="V540" s="253"/>
      <c r="W540" s="253"/>
      <c r="X540" s="253"/>
      <c r="Y540" s="253"/>
      <c r="Z540" s="253"/>
    </row>
    <row r="541" spans="1:26">
      <c r="A541" s="9"/>
      <c r="B541" s="9"/>
      <c r="C541" s="9"/>
      <c r="D541" s="9"/>
      <c r="E541" s="35"/>
      <c r="F541" s="35"/>
      <c r="G541" s="256"/>
      <c r="H541" s="265"/>
      <c r="I541" s="260"/>
      <c r="J541" s="265"/>
      <c r="K541" s="260"/>
      <c r="L541" s="111"/>
      <c r="M541" s="9"/>
      <c r="N541" s="9"/>
      <c r="O541" s="9"/>
      <c r="P541" s="9"/>
      <c r="Q541" s="9"/>
      <c r="R541" s="9"/>
      <c r="S541" s="253"/>
      <c r="T541" s="253"/>
      <c r="U541" s="253"/>
      <c r="V541" s="253"/>
      <c r="W541" s="253"/>
      <c r="X541" s="253"/>
      <c r="Y541" s="253"/>
      <c r="Z541" s="253"/>
    </row>
    <row r="542" spans="1:26">
      <c r="A542" s="9"/>
      <c r="B542" s="9"/>
      <c r="C542" s="9"/>
      <c r="D542" s="9"/>
      <c r="E542" s="35"/>
      <c r="F542" s="35"/>
      <c r="G542" s="256"/>
      <c r="H542" s="265"/>
      <c r="I542" s="260"/>
      <c r="J542" s="265"/>
      <c r="K542" s="260"/>
      <c r="L542" s="111"/>
      <c r="M542" s="9"/>
      <c r="N542" s="9"/>
      <c r="O542" s="9"/>
      <c r="P542" s="9"/>
      <c r="Q542" s="9"/>
      <c r="R542" s="9"/>
      <c r="S542" s="253"/>
      <c r="T542" s="253"/>
      <c r="U542" s="253"/>
      <c r="V542" s="253"/>
      <c r="W542" s="253"/>
      <c r="X542" s="253"/>
      <c r="Y542" s="253"/>
      <c r="Z542" s="253"/>
    </row>
    <row r="543" spans="1:26">
      <c r="A543" s="9"/>
      <c r="B543" s="9"/>
      <c r="C543" s="9"/>
      <c r="D543" s="9"/>
      <c r="E543" s="35"/>
      <c r="F543" s="35"/>
      <c r="G543" s="256"/>
      <c r="H543" s="265"/>
      <c r="I543" s="260"/>
      <c r="J543" s="265"/>
      <c r="K543" s="260"/>
      <c r="L543" s="111"/>
      <c r="M543" s="9"/>
      <c r="N543" s="9"/>
      <c r="O543" s="9"/>
      <c r="P543" s="9"/>
      <c r="Q543" s="9"/>
      <c r="R543" s="9"/>
      <c r="S543" s="253"/>
      <c r="T543" s="253"/>
      <c r="U543" s="253"/>
      <c r="V543" s="253"/>
      <c r="W543" s="253"/>
      <c r="X543" s="253"/>
      <c r="Y543" s="253"/>
      <c r="Z543" s="253"/>
    </row>
    <row r="544" spans="1:26">
      <c r="A544" s="9"/>
      <c r="B544" s="9"/>
      <c r="C544" s="9"/>
      <c r="D544" s="9"/>
      <c r="E544" s="35"/>
      <c r="F544" s="35"/>
      <c r="G544" s="256"/>
      <c r="H544" s="265"/>
      <c r="I544" s="260"/>
      <c r="J544" s="265"/>
      <c r="K544" s="260"/>
      <c r="L544" s="111"/>
      <c r="M544" s="9"/>
      <c r="N544" s="9"/>
      <c r="O544" s="9"/>
      <c r="P544" s="9"/>
      <c r="Q544" s="9"/>
      <c r="R544" s="9"/>
      <c r="S544" s="253"/>
      <c r="T544" s="253"/>
      <c r="U544" s="253"/>
      <c r="V544" s="253"/>
      <c r="W544" s="253"/>
      <c r="X544" s="253"/>
      <c r="Y544" s="253"/>
      <c r="Z544" s="253"/>
    </row>
    <row r="545" spans="1:26">
      <c r="A545" s="9"/>
      <c r="B545" s="9"/>
      <c r="C545" s="9"/>
      <c r="D545" s="9"/>
      <c r="E545" s="35"/>
      <c r="F545" s="35"/>
      <c r="G545" s="256"/>
      <c r="H545" s="265"/>
      <c r="I545" s="260"/>
      <c r="J545" s="265"/>
      <c r="K545" s="260"/>
      <c r="L545" s="111"/>
      <c r="M545" s="9"/>
      <c r="N545" s="9"/>
      <c r="O545" s="9"/>
      <c r="P545" s="9"/>
      <c r="Q545" s="9"/>
      <c r="R545" s="9"/>
      <c r="S545" s="253"/>
      <c r="T545" s="253"/>
      <c r="U545" s="253"/>
      <c r="V545" s="253"/>
      <c r="W545" s="253"/>
      <c r="X545" s="253"/>
      <c r="Y545" s="253"/>
      <c r="Z545" s="253"/>
    </row>
    <row r="546" spans="1:26">
      <c r="A546" s="9"/>
      <c r="B546" s="9"/>
      <c r="C546" s="9"/>
      <c r="D546" s="9"/>
      <c r="E546" s="35"/>
      <c r="F546" s="35"/>
      <c r="G546" s="256"/>
      <c r="H546" s="265"/>
      <c r="I546" s="260"/>
      <c r="J546" s="265"/>
      <c r="K546" s="260"/>
      <c r="L546" s="111"/>
      <c r="M546" s="9"/>
      <c r="N546" s="9"/>
      <c r="O546" s="9"/>
      <c r="P546" s="9"/>
      <c r="Q546" s="9"/>
      <c r="R546" s="9"/>
      <c r="S546" s="253"/>
      <c r="T546" s="253"/>
      <c r="U546" s="253"/>
      <c r="V546" s="253"/>
      <c r="W546" s="253"/>
      <c r="X546" s="253"/>
      <c r="Y546" s="253"/>
      <c r="Z546" s="253"/>
    </row>
    <row r="547" spans="1:26">
      <c r="A547" s="9"/>
      <c r="B547" s="9"/>
      <c r="C547" s="9"/>
      <c r="D547" s="9"/>
      <c r="E547" s="35"/>
      <c r="F547" s="35"/>
      <c r="G547" s="256"/>
      <c r="H547" s="265"/>
      <c r="I547" s="260"/>
      <c r="J547" s="265"/>
      <c r="K547" s="260"/>
      <c r="L547" s="111"/>
      <c r="M547" s="9"/>
      <c r="N547" s="9"/>
      <c r="O547" s="9"/>
      <c r="P547" s="9"/>
      <c r="Q547" s="9"/>
      <c r="R547" s="9"/>
      <c r="S547" s="253"/>
      <c r="T547" s="253"/>
      <c r="U547" s="253"/>
      <c r="V547" s="253"/>
      <c r="W547" s="253"/>
      <c r="X547" s="253"/>
      <c r="Y547" s="253"/>
      <c r="Z547" s="253"/>
    </row>
    <row r="548" spans="1:26">
      <c r="A548" s="9"/>
      <c r="B548" s="9"/>
      <c r="C548" s="9"/>
      <c r="D548" s="9"/>
      <c r="E548" s="35"/>
      <c r="F548" s="35"/>
      <c r="G548" s="256"/>
      <c r="H548" s="265"/>
      <c r="I548" s="260"/>
      <c r="J548" s="265"/>
      <c r="K548" s="260"/>
      <c r="L548" s="111"/>
      <c r="M548" s="9"/>
      <c r="N548" s="9"/>
      <c r="O548" s="9"/>
      <c r="P548" s="9"/>
      <c r="Q548" s="9"/>
      <c r="R548" s="9"/>
      <c r="S548" s="253"/>
      <c r="T548" s="253"/>
      <c r="U548" s="253"/>
      <c r="V548" s="253"/>
      <c r="W548" s="253"/>
      <c r="X548" s="253"/>
      <c r="Y548" s="253"/>
      <c r="Z548" s="253"/>
    </row>
    <row r="549" spans="1:26">
      <c r="A549" s="9"/>
      <c r="B549" s="9"/>
      <c r="C549" s="9"/>
      <c r="D549" s="9"/>
      <c r="E549" s="35"/>
      <c r="F549" s="35"/>
      <c r="G549" s="256"/>
      <c r="H549" s="265"/>
      <c r="I549" s="260"/>
      <c r="J549" s="265"/>
      <c r="K549" s="260"/>
      <c r="L549" s="111"/>
      <c r="M549" s="9"/>
      <c r="N549" s="9"/>
      <c r="O549" s="9"/>
      <c r="P549" s="9"/>
      <c r="Q549" s="9"/>
      <c r="R549" s="9"/>
      <c r="S549" s="253"/>
      <c r="T549" s="253"/>
      <c r="U549" s="253"/>
      <c r="V549" s="253"/>
      <c r="W549" s="253"/>
      <c r="X549" s="253"/>
      <c r="Y549" s="253"/>
      <c r="Z549" s="253"/>
    </row>
    <row r="550" spans="1:26">
      <c r="A550" s="9"/>
      <c r="B550" s="9"/>
      <c r="C550" s="9"/>
      <c r="D550" s="9"/>
      <c r="E550" s="35"/>
      <c r="F550" s="35"/>
      <c r="G550" s="256"/>
      <c r="H550" s="265"/>
      <c r="I550" s="260"/>
      <c r="J550" s="265"/>
      <c r="K550" s="260"/>
      <c r="L550" s="111"/>
      <c r="M550" s="9"/>
      <c r="N550" s="9"/>
      <c r="O550" s="9"/>
      <c r="P550" s="9"/>
      <c r="Q550" s="9"/>
      <c r="R550" s="9"/>
      <c r="S550" s="253"/>
      <c r="T550" s="253"/>
      <c r="U550" s="253"/>
      <c r="V550" s="253"/>
      <c r="W550" s="253"/>
      <c r="X550" s="253"/>
      <c r="Y550" s="253"/>
      <c r="Z550" s="253"/>
    </row>
    <row r="551" spans="1:26">
      <c r="A551" s="9"/>
      <c r="B551" s="9"/>
      <c r="C551" s="9"/>
      <c r="D551" s="9"/>
      <c r="E551" s="35"/>
      <c r="F551" s="35"/>
      <c r="G551" s="256"/>
      <c r="H551" s="265"/>
      <c r="I551" s="260"/>
      <c r="J551" s="265"/>
      <c r="K551" s="260"/>
      <c r="L551" s="111"/>
      <c r="M551" s="9"/>
      <c r="N551" s="9"/>
      <c r="O551" s="9"/>
      <c r="P551" s="9"/>
      <c r="Q551" s="9"/>
      <c r="R551" s="9"/>
      <c r="S551" s="253"/>
      <c r="T551" s="253"/>
      <c r="U551" s="253"/>
      <c r="V551" s="253"/>
      <c r="W551" s="253"/>
      <c r="X551" s="253"/>
      <c r="Y551" s="253"/>
      <c r="Z551" s="253"/>
    </row>
    <row r="552" spans="1:26">
      <c r="A552" s="9"/>
      <c r="B552" s="9"/>
      <c r="C552" s="9"/>
      <c r="D552" s="9"/>
      <c r="E552" s="35"/>
      <c r="F552" s="35"/>
      <c r="G552" s="256"/>
      <c r="H552" s="265"/>
      <c r="I552" s="260"/>
      <c r="J552" s="265"/>
      <c r="K552" s="260"/>
      <c r="L552" s="111"/>
      <c r="M552" s="9"/>
      <c r="N552" s="9"/>
      <c r="O552" s="9"/>
      <c r="P552" s="9"/>
      <c r="Q552" s="9"/>
      <c r="R552" s="9"/>
      <c r="S552" s="253"/>
      <c r="T552" s="253"/>
      <c r="U552" s="253"/>
      <c r="V552" s="253"/>
      <c r="W552" s="253"/>
      <c r="X552" s="253"/>
      <c r="Y552" s="253"/>
      <c r="Z552" s="253"/>
    </row>
    <row r="553" spans="1:26">
      <c r="A553" s="9"/>
      <c r="B553" s="9"/>
      <c r="C553" s="9"/>
      <c r="D553" s="9"/>
      <c r="E553" s="35"/>
      <c r="F553" s="35"/>
      <c r="G553" s="256"/>
      <c r="H553" s="265"/>
      <c r="I553" s="260"/>
      <c r="J553" s="265"/>
      <c r="K553" s="260"/>
      <c r="L553" s="111"/>
      <c r="M553" s="9"/>
      <c r="N553" s="9"/>
      <c r="O553" s="9"/>
      <c r="P553" s="9"/>
      <c r="Q553" s="9"/>
      <c r="R553" s="9"/>
      <c r="S553" s="253"/>
      <c r="T553" s="253"/>
      <c r="U553" s="253"/>
      <c r="V553" s="253"/>
      <c r="W553" s="253"/>
      <c r="X553" s="253"/>
      <c r="Y553" s="253"/>
      <c r="Z553" s="253"/>
    </row>
    <row r="554" spans="1:26">
      <c r="A554" s="9"/>
      <c r="B554" s="9"/>
      <c r="C554" s="9"/>
      <c r="D554" s="9"/>
      <c r="E554" s="35"/>
      <c r="F554" s="35"/>
      <c r="G554" s="256"/>
      <c r="H554" s="265"/>
      <c r="I554" s="260"/>
      <c r="J554" s="265"/>
      <c r="K554" s="260"/>
      <c r="L554" s="111"/>
      <c r="M554" s="9"/>
      <c r="N554" s="9"/>
      <c r="O554" s="9"/>
      <c r="P554" s="9"/>
      <c r="Q554" s="9"/>
      <c r="R554" s="9"/>
      <c r="S554" s="253"/>
      <c r="T554" s="253"/>
      <c r="U554" s="253"/>
      <c r="V554" s="253"/>
      <c r="W554" s="253"/>
      <c r="X554" s="253"/>
      <c r="Y554" s="253"/>
      <c r="Z554" s="253"/>
    </row>
    <row r="555" spans="1:26">
      <c r="A555" s="9"/>
      <c r="B555" s="9"/>
      <c r="C555" s="9"/>
      <c r="D555" s="9"/>
      <c r="E555" s="35"/>
      <c r="F555" s="35"/>
      <c r="G555" s="256"/>
      <c r="H555" s="265"/>
      <c r="I555" s="260"/>
      <c r="J555" s="265"/>
      <c r="K555" s="260"/>
      <c r="L555" s="111"/>
      <c r="M555" s="9"/>
      <c r="N555" s="9"/>
      <c r="O555" s="9"/>
      <c r="P555" s="9"/>
      <c r="Q555" s="9"/>
      <c r="R555" s="9"/>
      <c r="S555" s="253"/>
      <c r="T555" s="253"/>
      <c r="U555" s="253"/>
      <c r="V555" s="253"/>
      <c r="W555" s="253"/>
      <c r="X555" s="253"/>
      <c r="Y555" s="253"/>
      <c r="Z555" s="253"/>
    </row>
    <row r="556" spans="1:26">
      <c r="A556" s="9"/>
      <c r="B556" s="9"/>
      <c r="C556" s="9"/>
      <c r="D556" s="9"/>
      <c r="E556" s="35"/>
      <c r="F556" s="35"/>
      <c r="G556" s="256"/>
      <c r="H556" s="265"/>
      <c r="I556" s="260"/>
      <c r="J556" s="265"/>
      <c r="K556" s="260"/>
      <c r="L556" s="111"/>
      <c r="M556" s="9"/>
      <c r="N556" s="9"/>
      <c r="O556" s="9"/>
      <c r="P556" s="9"/>
      <c r="Q556" s="9"/>
      <c r="R556" s="9"/>
      <c r="S556" s="253"/>
      <c r="T556" s="253"/>
      <c r="U556" s="253"/>
      <c r="V556" s="253"/>
      <c r="W556" s="253"/>
      <c r="X556" s="253"/>
      <c r="Y556" s="253"/>
      <c r="Z556" s="253"/>
    </row>
    <row r="557" spans="1:26">
      <c r="A557" s="9"/>
      <c r="B557" s="9"/>
      <c r="C557" s="9"/>
      <c r="D557" s="9"/>
      <c r="E557" s="35"/>
      <c r="F557" s="35"/>
      <c r="G557" s="256"/>
      <c r="H557" s="265"/>
      <c r="I557" s="260"/>
      <c r="J557" s="265"/>
      <c r="K557" s="260"/>
      <c r="L557" s="111"/>
      <c r="M557" s="9"/>
      <c r="N557" s="9"/>
      <c r="O557" s="9"/>
      <c r="P557" s="9"/>
      <c r="Q557" s="9"/>
      <c r="R557" s="9"/>
      <c r="S557" s="253"/>
      <c r="T557" s="253"/>
      <c r="U557" s="253"/>
      <c r="V557" s="253"/>
      <c r="W557" s="253"/>
      <c r="X557" s="253"/>
      <c r="Y557" s="253"/>
      <c r="Z557" s="253"/>
    </row>
    <row r="558" spans="1:26">
      <c r="A558" s="9"/>
      <c r="B558" s="9"/>
      <c r="C558" s="9"/>
      <c r="D558" s="9"/>
      <c r="E558" s="35"/>
      <c r="F558" s="35"/>
      <c r="G558" s="256"/>
      <c r="H558" s="265"/>
      <c r="I558" s="260"/>
      <c r="J558" s="265"/>
      <c r="K558" s="260"/>
      <c r="L558" s="111"/>
      <c r="M558" s="9"/>
      <c r="N558" s="9"/>
      <c r="O558" s="9"/>
      <c r="P558" s="9"/>
      <c r="Q558" s="9"/>
      <c r="R558" s="9"/>
      <c r="S558" s="253"/>
      <c r="T558" s="253"/>
      <c r="U558" s="253"/>
      <c r="V558" s="253"/>
      <c r="W558" s="253"/>
      <c r="X558" s="253"/>
      <c r="Y558" s="253"/>
      <c r="Z558" s="253"/>
    </row>
    <row r="559" spans="1:26">
      <c r="A559" s="9"/>
      <c r="B559" s="9"/>
      <c r="C559" s="9"/>
      <c r="D559" s="9"/>
      <c r="E559" s="35"/>
      <c r="F559" s="35"/>
      <c r="G559" s="256"/>
      <c r="H559" s="265"/>
      <c r="I559" s="260"/>
      <c r="J559" s="265"/>
      <c r="K559" s="260"/>
      <c r="L559" s="111"/>
      <c r="M559" s="9"/>
      <c r="N559" s="9"/>
      <c r="O559" s="9"/>
      <c r="P559" s="9"/>
      <c r="Q559" s="9"/>
      <c r="R559" s="9"/>
      <c r="S559" s="253"/>
      <c r="T559" s="253"/>
      <c r="U559" s="253"/>
      <c r="V559" s="253"/>
      <c r="W559" s="253"/>
      <c r="X559" s="253"/>
      <c r="Y559" s="253"/>
      <c r="Z559" s="253"/>
    </row>
    <row r="560" spans="1:26">
      <c r="A560" s="9"/>
      <c r="B560" s="9"/>
      <c r="C560" s="9"/>
      <c r="D560" s="9"/>
      <c r="E560" s="35"/>
      <c r="F560" s="35"/>
      <c r="G560" s="256"/>
      <c r="H560" s="265"/>
      <c r="I560" s="260"/>
      <c r="J560" s="265"/>
      <c r="K560" s="260"/>
      <c r="L560" s="111"/>
      <c r="M560" s="9"/>
      <c r="N560" s="9"/>
      <c r="O560" s="9"/>
      <c r="P560" s="9"/>
      <c r="Q560" s="9"/>
      <c r="R560" s="9"/>
      <c r="S560" s="253"/>
      <c r="T560" s="253"/>
      <c r="U560" s="253"/>
      <c r="V560" s="253"/>
      <c r="W560" s="253"/>
      <c r="X560" s="253"/>
      <c r="Y560" s="253"/>
      <c r="Z560" s="253"/>
    </row>
    <row r="561" spans="1:26">
      <c r="A561" s="9"/>
      <c r="B561" s="9"/>
      <c r="C561" s="9"/>
      <c r="D561" s="9"/>
      <c r="E561" s="35"/>
      <c r="F561" s="35"/>
      <c r="G561" s="256"/>
      <c r="H561" s="265"/>
      <c r="I561" s="260"/>
      <c r="J561" s="265"/>
      <c r="K561" s="260"/>
      <c r="L561" s="111"/>
      <c r="M561" s="9"/>
      <c r="N561" s="9"/>
      <c r="O561" s="9"/>
      <c r="P561" s="9"/>
      <c r="Q561" s="9"/>
      <c r="R561" s="9"/>
      <c r="S561" s="253"/>
      <c r="T561" s="253"/>
      <c r="U561" s="253"/>
      <c r="V561" s="253"/>
      <c r="W561" s="253"/>
      <c r="X561" s="253"/>
      <c r="Y561" s="253"/>
      <c r="Z561" s="253"/>
    </row>
    <row r="562" spans="1:26">
      <c r="A562" s="9"/>
      <c r="B562" s="9"/>
      <c r="C562" s="9"/>
      <c r="D562" s="9"/>
      <c r="E562" s="35"/>
      <c r="F562" s="35"/>
      <c r="G562" s="256"/>
      <c r="H562" s="265"/>
      <c r="I562" s="260"/>
      <c r="J562" s="265"/>
      <c r="K562" s="260"/>
      <c r="L562" s="111"/>
      <c r="M562" s="9"/>
      <c r="N562" s="9"/>
      <c r="O562" s="9"/>
      <c r="P562" s="9"/>
      <c r="Q562" s="9"/>
      <c r="R562" s="9"/>
      <c r="S562" s="253"/>
      <c r="T562" s="253"/>
      <c r="U562" s="253"/>
      <c r="V562" s="253"/>
      <c r="W562" s="253"/>
      <c r="X562" s="253"/>
      <c r="Y562" s="253"/>
      <c r="Z562" s="253"/>
    </row>
    <row r="563" spans="1:26">
      <c r="A563" s="9"/>
      <c r="B563" s="9"/>
      <c r="C563" s="9"/>
      <c r="D563" s="9"/>
      <c r="E563" s="35"/>
      <c r="F563" s="35"/>
      <c r="G563" s="256"/>
      <c r="H563" s="265"/>
      <c r="I563" s="260"/>
      <c r="J563" s="265"/>
      <c r="K563" s="260"/>
      <c r="L563" s="111"/>
      <c r="M563" s="9"/>
      <c r="N563" s="9"/>
      <c r="O563" s="9"/>
      <c r="P563" s="9"/>
      <c r="Q563" s="9"/>
      <c r="R563" s="9"/>
      <c r="S563" s="253"/>
      <c r="T563" s="253"/>
      <c r="U563" s="253"/>
      <c r="V563" s="253"/>
      <c r="W563" s="253"/>
      <c r="X563" s="253"/>
      <c r="Y563" s="253"/>
      <c r="Z563" s="253"/>
    </row>
    <row r="564" spans="1:26">
      <c r="A564" s="9"/>
      <c r="B564" s="9"/>
      <c r="C564" s="9"/>
      <c r="D564" s="9"/>
      <c r="E564" s="35"/>
      <c r="F564" s="35"/>
      <c r="G564" s="256"/>
      <c r="H564" s="265"/>
      <c r="I564" s="260"/>
      <c r="J564" s="265"/>
      <c r="K564" s="260"/>
      <c r="L564" s="111"/>
      <c r="M564" s="9"/>
      <c r="N564" s="9"/>
      <c r="O564" s="9"/>
      <c r="P564" s="9"/>
      <c r="Q564" s="9"/>
      <c r="R564" s="9"/>
      <c r="S564" s="253"/>
      <c r="T564" s="253"/>
      <c r="U564" s="253"/>
      <c r="V564" s="253"/>
      <c r="W564" s="253"/>
      <c r="X564" s="253"/>
      <c r="Y564" s="253"/>
      <c r="Z564" s="253"/>
    </row>
    <row r="565" spans="1:26">
      <c r="A565" s="9"/>
      <c r="B565" s="9"/>
      <c r="C565" s="9"/>
      <c r="D565" s="9"/>
      <c r="E565" s="35"/>
      <c r="F565" s="35"/>
      <c r="G565" s="256"/>
      <c r="H565" s="265"/>
      <c r="I565" s="260"/>
      <c r="J565" s="265"/>
      <c r="K565" s="260"/>
      <c r="L565" s="111"/>
      <c r="M565" s="9"/>
      <c r="N565" s="9"/>
      <c r="O565" s="9"/>
      <c r="P565" s="9"/>
      <c r="Q565" s="9"/>
      <c r="R565" s="9"/>
      <c r="S565" s="253"/>
      <c r="T565" s="253"/>
      <c r="U565" s="253"/>
      <c r="V565" s="253"/>
      <c r="W565" s="253"/>
      <c r="X565" s="253"/>
      <c r="Y565" s="253"/>
      <c r="Z565" s="253"/>
    </row>
    <row r="566" spans="1:26">
      <c r="A566" s="9"/>
      <c r="B566" s="9"/>
      <c r="C566" s="9"/>
      <c r="D566" s="9"/>
      <c r="E566" s="35"/>
      <c r="F566" s="35"/>
      <c r="G566" s="256"/>
      <c r="H566" s="265"/>
      <c r="I566" s="260"/>
      <c r="J566" s="265"/>
      <c r="K566" s="260"/>
      <c r="L566" s="111"/>
      <c r="M566" s="9"/>
      <c r="N566" s="9"/>
      <c r="O566" s="9"/>
      <c r="P566" s="9"/>
      <c r="Q566" s="9"/>
      <c r="R566" s="9"/>
      <c r="S566" s="253"/>
      <c r="T566" s="253"/>
      <c r="U566" s="253"/>
      <c r="V566" s="253"/>
      <c r="W566" s="253"/>
      <c r="X566" s="253"/>
      <c r="Y566" s="253"/>
      <c r="Z566" s="253"/>
    </row>
    <row r="567" spans="1:26">
      <c r="A567" s="9"/>
      <c r="B567" s="9"/>
      <c r="C567" s="9"/>
      <c r="D567" s="9"/>
      <c r="E567" s="35"/>
      <c r="F567" s="35"/>
      <c r="G567" s="256"/>
      <c r="H567" s="265"/>
      <c r="I567" s="260"/>
      <c r="J567" s="265"/>
      <c r="K567" s="260"/>
      <c r="L567" s="111"/>
      <c r="M567" s="9"/>
      <c r="N567" s="9"/>
      <c r="O567" s="9"/>
      <c r="P567" s="9"/>
      <c r="Q567" s="9"/>
      <c r="R567" s="9"/>
      <c r="S567" s="253"/>
      <c r="T567" s="253"/>
      <c r="U567" s="253"/>
      <c r="V567" s="253"/>
      <c r="W567" s="253"/>
      <c r="X567" s="253"/>
      <c r="Y567" s="253"/>
      <c r="Z567" s="253"/>
    </row>
    <row r="568" spans="1:26">
      <c r="A568" s="9"/>
      <c r="B568" s="9"/>
      <c r="C568" s="9"/>
      <c r="D568" s="9"/>
      <c r="E568" s="35"/>
      <c r="F568" s="35"/>
      <c r="G568" s="256"/>
      <c r="H568" s="265"/>
      <c r="I568" s="260"/>
      <c r="J568" s="265"/>
      <c r="K568" s="260"/>
      <c r="L568" s="111"/>
      <c r="M568" s="9"/>
      <c r="N568" s="9"/>
      <c r="O568" s="9"/>
      <c r="P568" s="9"/>
      <c r="Q568" s="9"/>
      <c r="R568" s="9"/>
      <c r="S568" s="253"/>
      <c r="T568" s="253"/>
      <c r="U568" s="253"/>
      <c r="V568" s="253"/>
      <c r="W568" s="253"/>
      <c r="X568" s="253"/>
      <c r="Y568" s="253"/>
      <c r="Z568" s="253"/>
    </row>
    <row r="569" spans="1:26">
      <c r="A569" s="9"/>
      <c r="B569" s="9"/>
      <c r="C569" s="9"/>
      <c r="D569" s="9"/>
      <c r="E569" s="35"/>
      <c r="F569" s="35"/>
      <c r="G569" s="256"/>
      <c r="H569" s="265"/>
      <c r="I569" s="260"/>
      <c r="J569" s="265"/>
      <c r="K569" s="260"/>
      <c r="L569" s="111"/>
      <c r="M569" s="9"/>
      <c r="N569" s="9"/>
      <c r="O569" s="9"/>
      <c r="P569" s="9"/>
      <c r="Q569" s="9"/>
      <c r="R569" s="9"/>
      <c r="S569" s="253"/>
      <c r="T569" s="253"/>
      <c r="U569" s="253"/>
      <c r="V569" s="253"/>
      <c r="W569" s="253"/>
      <c r="X569" s="253"/>
      <c r="Y569" s="253"/>
      <c r="Z569" s="253"/>
    </row>
    <row r="570" spans="1:26">
      <c r="A570" s="9"/>
      <c r="B570" s="9"/>
      <c r="C570" s="9"/>
      <c r="D570" s="9"/>
      <c r="E570" s="35"/>
      <c r="F570" s="35"/>
      <c r="G570" s="256"/>
      <c r="H570" s="265"/>
      <c r="I570" s="260"/>
      <c r="J570" s="265"/>
      <c r="K570" s="260"/>
      <c r="L570" s="111"/>
      <c r="M570" s="9"/>
      <c r="N570" s="9"/>
      <c r="O570" s="9"/>
      <c r="P570" s="9"/>
      <c r="Q570" s="9"/>
      <c r="R570" s="9"/>
      <c r="S570" s="253"/>
      <c r="T570" s="253"/>
      <c r="U570" s="253"/>
      <c r="V570" s="253"/>
      <c r="W570" s="253"/>
      <c r="X570" s="253"/>
      <c r="Y570" s="253"/>
      <c r="Z570" s="253"/>
    </row>
    <row r="571" spans="1:26">
      <c r="A571" s="9"/>
      <c r="B571" s="9"/>
      <c r="C571" s="9"/>
      <c r="D571" s="9"/>
      <c r="E571" s="35"/>
      <c r="F571" s="35"/>
      <c r="G571" s="256"/>
      <c r="H571" s="265"/>
      <c r="I571" s="260"/>
      <c r="J571" s="265"/>
      <c r="K571" s="260"/>
      <c r="L571" s="111"/>
      <c r="M571" s="9"/>
      <c r="N571" s="9"/>
      <c r="O571" s="9"/>
      <c r="P571" s="9"/>
      <c r="Q571" s="9"/>
      <c r="R571" s="9"/>
      <c r="S571" s="253"/>
      <c r="T571" s="253"/>
      <c r="U571" s="253"/>
      <c r="V571" s="253"/>
      <c r="W571" s="253"/>
      <c r="X571" s="253"/>
      <c r="Y571" s="253"/>
      <c r="Z571" s="253"/>
    </row>
    <row r="572" spans="1:26">
      <c r="A572" s="9"/>
      <c r="B572" s="9"/>
      <c r="C572" s="9"/>
      <c r="D572" s="9"/>
      <c r="E572" s="35"/>
      <c r="F572" s="35"/>
      <c r="G572" s="256"/>
      <c r="H572" s="265"/>
      <c r="I572" s="260"/>
      <c r="J572" s="265"/>
      <c r="K572" s="260"/>
      <c r="L572" s="111"/>
      <c r="M572" s="9"/>
      <c r="N572" s="9"/>
      <c r="O572" s="9"/>
      <c r="P572" s="9"/>
      <c r="Q572" s="9"/>
      <c r="R572" s="9"/>
      <c r="S572" s="253"/>
      <c r="T572" s="253"/>
      <c r="U572" s="253"/>
      <c r="V572" s="253"/>
      <c r="W572" s="253"/>
      <c r="X572" s="253"/>
      <c r="Y572" s="253"/>
      <c r="Z572" s="253"/>
    </row>
    <row r="573" spans="1:26">
      <c r="A573" s="9"/>
      <c r="B573" s="9"/>
      <c r="C573" s="9"/>
      <c r="D573" s="9"/>
      <c r="E573" s="35"/>
      <c r="F573" s="35"/>
      <c r="G573" s="256"/>
      <c r="H573" s="265"/>
      <c r="I573" s="260"/>
      <c r="J573" s="265"/>
      <c r="K573" s="260"/>
      <c r="L573" s="111"/>
      <c r="M573" s="9"/>
      <c r="N573" s="9"/>
      <c r="O573" s="9"/>
      <c r="P573" s="9"/>
      <c r="Q573" s="9"/>
      <c r="R573" s="9"/>
      <c r="S573" s="253"/>
      <c r="T573" s="253"/>
      <c r="U573" s="253"/>
      <c r="V573" s="253"/>
      <c r="W573" s="253"/>
      <c r="X573" s="253"/>
      <c r="Y573" s="253"/>
      <c r="Z573" s="253"/>
    </row>
    <row r="574" spans="1:26">
      <c r="A574" s="9"/>
      <c r="B574" s="9"/>
      <c r="C574" s="9"/>
      <c r="D574" s="9"/>
      <c r="E574" s="35"/>
      <c r="F574" s="35"/>
      <c r="G574" s="256"/>
      <c r="H574" s="265"/>
      <c r="I574" s="260"/>
      <c r="J574" s="265"/>
      <c r="K574" s="260"/>
      <c r="L574" s="111"/>
      <c r="M574" s="9"/>
      <c r="N574" s="9"/>
      <c r="O574" s="9"/>
      <c r="P574" s="9"/>
      <c r="Q574" s="9"/>
      <c r="R574" s="9"/>
      <c r="S574" s="253"/>
      <c r="T574" s="253"/>
      <c r="U574" s="253"/>
      <c r="V574" s="253"/>
      <c r="W574" s="253"/>
      <c r="X574" s="253"/>
      <c r="Y574" s="253"/>
      <c r="Z574" s="253"/>
    </row>
    <row r="575" spans="1:26">
      <c r="A575" s="9"/>
      <c r="B575" s="9"/>
      <c r="C575" s="9"/>
      <c r="D575" s="9"/>
      <c r="E575" s="35"/>
      <c r="F575" s="35"/>
      <c r="G575" s="256"/>
      <c r="H575" s="265"/>
      <c r="I575" s="260"/>
      <c r="J575" s="265"/>
      <c r="K575" s="260"/>
      <c r="L575" s="111"/>
      <c r="M575" s="9"/>
      <c r="N575" s="9"/>
      <c r="O575" s="9"/>
      <c r="P575" s="9"/>
      <c r="Q575" s="9"/>
      <c r="R575" s="9"/>
      <c r="S575" s="253"/>
      <c r="T575" s="253"/>
      <c r="U575" s="253"/>
      <c r="V575" s="253"/>
      <c r="W575" s="253"/>
      <c r="X575" s="253"/>
      <c r="Y575" s="253"/>
      <c r="Z575" s="253"/>
    </row>
    <row r="576" spans="1:26">
      <c r="A576" s="9"/>
      <c r="B576" s="9"/>
      <c r="C576" s="9"/>
      <c r="D576" s="9"/>
      <c r="E576" s="35"/>
      <c r="F576" s="35"/>
      <c r="G576" s="256"/>
      <c r="H576" s="265"/>
      <c r="I576" s="260"/>
      <c r="J576" s="265"/>
      <c r="K576" s="260"/>
      <c r="L576" s="111"/>
      <c r="M576" s="9"/>
      <c r="N576" s="9"/>
      <c r="O576" s="9"/>
      <c r="P576" s="9"/>
      <c r="Q576" s="9"/>
      <c r="R576" s="9"/>
      <c r="S576" s="253"/>
      <c r="T576" s="253"/>
      <c r="U576" s="253"/>
      <c r="V576" s="253"/>
      <c r="W576" s="253"/>
      <c r="X576" s="253"/>
      <c r="Y576" s="253"/>
      <c r="Z576" s="253"/>
    </row>
    <row r="577" spans="1:26">
      <c r="A577" s="9"/>
      <c r="B577" s="9"/>
      <c r="C577" s="9"/>
      <c r="D577" s="9"/>
      <c r="E577" s="35"/>
      <c r="F577" s="35"/>
      <c r="G577" s="256"/>
      <c r="H577" s="265"/>
      <c r="I577" s="260"/>
      <c r="J577" s="265"/>
      <c r="K577" s="260"/>
      <c r="L577" s="111"/>
      <c r="M577" s="9"/>
      <c r="N577" s="9"/>
      <c r="O577" s="9"/>
      <c r="P577" s="9"/>
      <c r="Q577" s="9"/>
      <c r="R577" s="9"/>
      <c r="S577" s="253"/>
      <c r="T577" s="253"/>
      <c r="U577" s="253"/>
      <c r="V577" s="253"/>
      <c r="W577" s="253"/>
      <c r="X577" s="253"/>
      <c r="Y577" s="253"/>
      <c r="Z577" s="253"/>
    </row>
    <row r="578" spans="1:26">
      <c r="A578" s="9"/>
      <c r="B578" s="9"/>
      <c r="C578" s="9"/>
      <c r="D578" s="9"/>
      <c r="E578" s="35"/>
      <c r="F578" s="35"/>
      <c r="G578" s="256"/>
      <c r="H578" s="265"/>
      <c r="I578" s="260"/>
      <c r="J578" s="265"/>
      <c r="K578" s="260"/>
      <c r="L578" s="111"/>
      <c r="M578" s="9"/>
      <c r="N578" s="9"/>
      <c r="O578" s="9"/>
      <c r="P578" s="9"/>
      <c r="Q578" s="9"/>
      <c r="R578" s="9"/>
      <c r="S578" s="253"/>
      <c r="T578" s="253"/>
      <c r="U578" s="253"/>
      <c r="V578" s="253"/>
      <c r="W578" s="253"/>
      <c r="X578" s="253"/>
      <c r="Y578" s="253"/>
      <c r="Z578" s="253"/>
    </row>
    <row r="579" spans="1:26">
      <c r="A579" s="9"/>
      <c r="B579" s="9"/>
      <c r="C579" s="9"/>
      <c r="D579" s="9"/>
      <c r="E579" s="35"/>
      <c r="F579" s="35"/>
      <c r="G579" s="256"/>
      <c r="H579" s="265"/>
      <c r="I579" s="260"/>
      <c r="J579" s="265"/>
      <c r="K579" s="260"/>
      <c r="L579" s="111"/>
      <c r="M579" s="9"/>
      <c r="N579" s="9"/>
      <c r="O579" s="9"/>
      <c r="P579" s="9"/>
      <c r="Q579" s="9"/>
      <c r="R579" s="9"/>
      <c r="S579" s="253"/>
      <c r="T579" s="253"/>
      <c r="U579" s="253"/>
      <c r="V579" s="253"/>
      <c r="W579" s="253"/>
      <c r="X579" s="253"/>
      <c r="Y579" s="253"/>
      <c r="Z579" s="253"/>
    </row>
    <row r="580" spans="1:26">
      <c r="A580" s="9"/>
      <c r="B580" s="9"/>
      <c r="C580" s="9"/>
      <c r="D580" s="9"/>
      <c r="E580" s="35"/>
      <c r="F580" s="35"/>
      <c r="G580" s="256"/>
      <c r="H580" s="265"/>
      <c r="I580" s="260"/>
      <c r="J580" s="265"/>
      <c r="K580" s="260"/>
      <c r="L580" s="111"/>
      <c r="M580" s="9"/>
      <c r="N580" s="9"/>
      <c r="O580" s="9"/>
      <c r="P580" s="9"/>
      <c r="Q580" s="9"/>
      <c r="R580" s="9"/>
      <c r="S580" s="253"/>
      <c r="T580" s="253"/>
      <c r="U580" s="253"/>
      <c r="V580" s="253"/>
      <c r="W580" s="253"/>
      <c r="X580" s="253"/>
      <c r="Y580" s="253"/>
      <c r="Z580" s="253"/>
    </row>
    <row r="581" spans="1:26">
      <c r="A581" s="9"/>
      <c r="B581" s="9"/>
      <c r="C581" s="9"/>
      <c r="D581" s="9"/>
      <c r="E581" s="35"/>
      <c r="F581" s="35"/>
      <c r="G581" s="256"/>
      <c r="H581" s="265"/>
      <c r="I581" s="260"/>
      <c r="J581" s="265"/>
      <c r="K581" s="260"/>
      <c r="L581" s="111"/>
      <c r="M581" s="9"/>
      <c r="N581" s="9"/>
      <c r="O581" s="9"/>
      <c r="P581" s="9"/>
      <c r="Q581" s="9"/>
      <c r="R581" s="9"/>
      <c r="S581" s="253"/>
      <c r="T581" s="253"/>
      <c r="U581" s="253"/>
      <c r="V581" s="253"/>
      <c r="W581" s="253"/>
      <c r="X581" s="253"/>
      <c r="Y581" s="253"/>
      <c r="Z581" s="253"/>
    </row>
    <row r="582" spans="1:26">
      <c r="A582" s="9"/>
      <c r="B582" s="9"/>
      <c r="C582" s="9"/>
      <c r="D582" s="9"/>
      <c r="E582" s="35"/>
      <c r="F582" s="35"/>
      <c r="G582" s="256"/>
      <c r="H582" s="265"/>
      <c r="I582" s="260"/>
      <c r="J582" s="265"/>
      <c r="K582" s="260"/>
      <c r="L582" s="111"/>
      <c r="M582" s="9"/>
      <c r="N582" s="9"/>
      <c r="O582" s="9"/>
      <c r="P582" s="9"/>
      <c r="Q582" s="9"/>
      <c r="R582" s="9"/>
      <c r="S582" s="253"/>
      <c r="T582" s="253"/>
      <c r="U582" s="253"/>
      <c r="V582" s="253"/>
      <c r="W582" s="253"/>
      <c r="X582" s="253"/>
      <c r="Y582" s="253"/>
      <c r="Z582" s="253"/>
    </row>
    <row r="583" spans="1:26">
      <c r="A583" s="9"/>
      <c r="B583" s="9"/>
      <c r="C583" s="9"/>
      <c r="D583" s="9"/>
      <c r="E583" s="35"/>
      <c r="F583" s="35"/>
      <c r="G583" s="256"/>
      <c r="H583" s="265"/>
      <c r="I583" s="260"/>
      <c r="J583" s="265"/>
      <c r="K583" s="260"/>
      <c r="L583" s="111"/>
      <c r="M583" s="9"/>
      <c r="N583" s="9"/>
      <c r="O583" s="9"/>
      <c r="P583" s="9"/>
      <c r="Q583" s="9"/>
      <c r="R583" s="9"/>
      <c r="S583" s="253"/>
      <c r="T583" s="253"/>
      <c r="U583" s="253"/>
      <c r="V583" s="253"/>
      <c r="W583" s="253"/>
      <c r="X583" s="253"/>
      <c r="Y583" s="253"/>
      <c r="Z583" s="253"/>
    </row>
    <row r="584" spans="1:26">
      <c r="A584" s="9"/>
      <c r="B584" s="9"/>
      <c r="C584" s="9"/>
      <c r="D584" s="9"/>
      <c r="E584" s="35"/>
      <c r="F584" s="35"/>
      <c r="G584" s="256"/>
      <c r="H584" s="265"/>
      <c r="I584" s="260"/>
      <c r="J584" s="265"/>
      <c r="K584" s="260"/>
      <c r="L584" s="111"/>
      <c r="M584" s="9"/>
      <c r="N584" s="9"/>
      <c r="O584" s="9"/>
      <c r="P584" s="9"/>
      <c r="Q584" s="9"/>
      <c r="R584" s="9"/>
      <c r="S584" s="253"/>
      <c r="T584" s="253"/>
      <c r="U584" s="253"/>
      <c r="V584" s="253"/>
      <c r="W584" s="253"/>
      <c r="X584" s="253"/>
      <c r="Y584" s="253"/>
      <c r="Z584" s="253"/>
    </row>
    <row r="585" spans="1:26">
      <c r="A585" s="9"/>
      <c r="B585" s="9"/>
      <c r="C585" s="9"/>
      <c r="D585" s="9"/>
      <c r="E585" s="35"/>
      <c r="F585" s="35"/>
      <c r="G585" s="256"/>
      <c r="H585" s="265"/>
      <c r="I585" s="260"/>
      <c r="J585" s="265"/>
      <c r="K585" s="260"/>
      <c r="L585" s="111"/>
      <c r="M585" s="9"/>
      <c r="N585" s="9"/>
      <c r="O585" s="9"/>
      <c r="P585" s="9"/>
      <c r="Q585" s="9"/>
      <c r="R585" s="9"/>
      <c r="S585" s="253"/>
      <c r="T585" s="253"/>
      <c r="U585" s="253"/>
      <c r="V585" s="253"/>
      <c r="W585" s="253"/>
      <c r="X585" s="253"/>
      <c r="Y585" s="253"/>
      <c r="Z585" s="253"/>
    </row>
    <row r="586" spans="1:26">
      <c r="A586" s="9"/>
      <c r="B586" s="9"/>
      <c r="C586" s="9"/>
      <c r="D586" s="9"/>
      <c r="E586" s="35"/>
      <c r="F586" s="35"/>
      <c r="G586" s="256"/>
      <c r="H586" s="265"/>
      <c r="I586" s="260"/>
      <c r="J586" s="265"/>
      <c r="K586" s="260"/>
      <c r="L586" s="111"/>
      <c r="M586" s="9"/>
      <c r="N586" s="9"/>
      <c r="O586" s="9"/>
      <c r="P586" s="9"/>
      <c r="Q586" s="9"/>
      <c r="R586" s="9"/>
      <c r="S586" s="253"/>
      <c r="T586" s="253"/>
      <c r="U586" s="253"/>
      <c r="V586" s="253"/>
      <c r="W586" s="253"/>
      <c r="X586" s="253"/>
      <c r="Y586" s="253"/>
      <c r="Z586" s="253"/>
    </row>
    <row r="587" spans="1:26">
      <c r="A587" s="9"/>
      <c r="B587" s="9"/>
      <c r="C587" s="9"/>
      <c r="D587" s="9"/>
      <c r="E587" s="35"/>
      <c r="F587" s="35"/>
      <c r="G587" s="256"/>
      <c r="H587" s="265"/>
      <c r="I587" s="260"/>
      <c r="J587" s="265"/>
      <c r="K587" s="260"/>
      <c r="L587" s="111"/>
      <c r="M587" s="9"/>
      <c r="N587" s="9"/>
      <c r="O587" s="9"/>
      <c r="P587" s="9"/>
      <c r="Q587" s="9"/>
      <c r="R587" s="9"/>
      <c r="S587" s="253"/>
      <c r="T587" s="253"/>
      <c r="U587" s="253"/>
      <c r="V587" s="253"/>
      <c r="W587" s="253"/>
      <c r="X587" s="253"/>
      <c r="Y587" s="253"/>
      <c r="Z587" s="253"/>
    </row>
    <row r="588" spans="1:26">
      <c r="A588" s="9"/>
      <c r="B588" s="9"/>
      <c r="C588" s="9"/>
      <c r="D588" s="9"/>
      <c r="E588" s="35"/>
      <c r="F588" s="35"/>
      <c r="G588" s="256"/>
      <c r="H588" s="265"/>
      <c r="I588" s="260"/>
      <c r="J588" s="265"/>
      <c r="K588" s="260"/>
      <c r="L588" s="111"/>
      <c r="M588" s="9"/>
      <c r="N588" s="9"/>
      <c r="O588" s="9"/>
      <c r="P588" s="9"/>
      <c r="Q588" s="9"/>
      <c r="R588" s="9"/>
      <c r="S588" s="253"/>
      <c r="T588" s="253"/>
      <c r="U588" s="253"/>
      <c r="V588" s="253"/>
      <c r="W588" s="253"/>
      <c r="X588" s="253"/>
      <c r="Y588" s="253"/>
      <c r="Z588" s="253"/>
    </row>
    <row r="589" spans="1:26">
      <c r="A589" s="9"/>
      <c r="B589" s="9"/>
      <c r="C589" s="9"/>
      <c r="D589" s="9"/>
      <c r="E589" s="35"/>
      <c r="F589" s="35"/>
      <c r="G589" s="256"/>
      <c r="H589" s="265"/>
      <c r="I589" s="260"/>
      <c r="J589" s="265"/>
      <c r="K589" s="260"/>
      <c r="L589" s="111"/>
      <c r="M589" s="9"/>
      <c r="N589" s="9"/>
      <c r="O589" s="9"/>
      <c r="P589" s="9"/>
      <c r="Q589" s="9"/>
      <c r="R589" s="9"/>
      <c r="S589" s="253"/>
      <c r="T589" s="253"/>
      <c r="U589" s="253"/>
      <c r="V589" s="253"/>
      <c r="W589" s="253"/>
      <c r="X589" s="253"/>
      <c r="Y589" s="253"/>
      <c r="Z589" s="253"/>
    </row>
    <row r="590" spans="1:26">
      <c r="A590" s="9"/>
      <c r="B590" s="9"/>
      <c r="C590" s="9"/>
      <c r="D590" s="9"/>
      <c r="E590" s="35"/>
      <c r="F590" s="35"/>
      <c r="G590" s="256"/>
      <c r="H590" s="265"/>
      <c r="I590" s="260"/>
      <c r="J590" s="265"/>
      <c r="K590" s="260"/>
      <c r="L590" s="111"/>
      <c r="M590" s="9"/>
      <c r="N590" s="9"/>
      <c r="O590" s="9"/>
      <c r="P590" s="9"/>
      <c r="Q590" s="9"/>
      <c r="R590" s="9"/>
      <c r="S590" s="253"/>
      <c r="T590" s="253"/>
      <c r="U590" s="253"/>
      <c r="V590" s="253"/>
      <c r="W590" s="253"/>
      <c r="X590" s="253"/>
      <c r="Y590" s="253"/>
      <c r="Z590" s="253"/>
    </row>
    <row r="591" spans="1:26">
      <c r="A591" s="9"/>
      <c r="B591" s="9"/>
      <c r="C591" s="9"/>
      <c r="D591" s="9"/>
      <c r="E591" s="35"/>
      <c r="F591" s="35"/>
      <c r="G591" s="256"/>
      <c r="H591" s="265"/>
      <c r="I591" s="260"/>
      <c r="J591" s="265"/>
      <c r="K591" s="260"/>
      <c r="L591" s="111"/>
      <c r="M591" s="9"/>
      <c r="N591" s="9"/>
      <c r="O591" s="9"/>
      <c r="P591" s="9"/>
      <c r="Q591" s="9"/>
      <c r="R591" s="9"/>
      <c r="S591" s="253"/>
      <c r="T591" s="253"/>
      <c r="U591" s="253"/>
      <c r="V591" s="253"/>
      <c r="W591" s="253"/>
      <c r="X591" s="253"/>
      <c r="Y591" s="253"/>
      <c r="Z591" s="253"/>
    </row>
    <row r="592" spans="1:26">
      <c r="A592" s="9"/>
      <c r="B592" s="9"/>
      <c r="C592" s="9"/>
      <c r="D592" s="9"/>
      <c r="E592" s="35"/>
      <c r="F592" s="35"/>
      <c r="G592" s="256"/>
      <c r="H592" s="265"/>
      <c r="I592" s="260"/>
      <c r="J592" s="265"/>
      <c r="K592" s="260"/>
      <c r="L592" s="111"/>
      <c r="M592" s="9"/>
      <c r="N592" s="9"/>
      <c r="O592" s="9"/>
      <c r="P592" s="9"/>
      <c r="Q592" s="9"/>
      <c r="R592" s="9"/>
      <c r="S592" s="253"/>
      <c r="T592" s="253"/>
      <c r="U592" s="253"/>
      <c r="V592" s="253"/>
      <c r="W592" s="253"/>
      <c r="X592" s="253"/>
      <c r="Y592" s="253"/>
      <c r="Z592" s="253"/>
    </row>
    <row r="593" spans="1:26">
      <c r="A593" s="9"/>
      <c r="B593" s="9"/>
      <c r="C593" s="9"/>
      <c r="D593" s="9"/>
      <c r="E593" s="35"/>
      <c r="F593" s="35"/>
      <c r="G593" s="256"/>
      <c r="H593" s="265"/>
      <c r="I593" s="260"/>
      <c r="J593" s="265"/>
      <c r="K593" s="260"/>
      <c r="L593" s="111"/>
      <c r="M593" s="9"/>
      <c r="N593" s="9"/>
      <c r="O593" s="9"/>
      <c r="P593" s="9"/>
      <c r="Q593" s="9"/>
      <c r="R593" s="9"/>
      <c r="S593" s="253"/>
      <c r="T593" s="253"/>
      <c r="U593" s="253"/>
      <c r="V593" s="253"/>
      <c r="W593" s="253"/>
      <c r="X593" s="253"/>
      <c r="Y593" s="253"/>
      <c r="Z593" s="253"/>
    </row>
    <row r="594" spans="1:26">
      <c r="A594" s="9"/>
      <c r="B594" s="9"/>
      <c r="C594" s="9"/>
      <c r="D594" s="9"/>
      <c r="E594" s="35"/>
      <c r="F594" s="35"/>
      <c r="G594" s="256"/>
      <c r="H594" s="265"/>
      <c r="I594" s="260"/>
      <c r="J594" s="265"/>
      <c r="K594" s="260"/>
      <c r="L594" s="111"/>
      <c r="M594" s="9"/>
      <c r="N594" s="9"/>
      <c r="O594" s="9"/>
      <c r="P594" s="9"/>
      <c r="Q594" s="9"/>
      <c r="R594" s="9"/>
      <c r="S594" s="253"/>
      <c r="T594" s="253"/>
      <c r="U594" s="253"/>
      <c r="V594" s="253"/>
      <c r="W594" s="253"/>
      <c r="X594" s="253"/>
      <c r="Y594" s="253"/>
      <c r="Z594" s="253"/>
    </row>
    <row r="595" spans="1:26">
      <c r="A595" s="9"/>
      <c r="B595" s="9"/>
      <c r="C595" s="9"/>
      <c r="D595" s="9"/>
      <c r="E595" s="35"/>
      <c r="F595" s="35"/>
      <c r="G595" s="256"/>
      <c r="H595" s="265"/>
      <c r="I595" s="260"/>
      <c r="J595" s="265"/>
      <c r="K595" s="260"/>
      <c r="L595" s="111"/>
      <c r="M595" s="9"/>
      <c r="N595" s="9"/>
      <c r="O595" s="9"/>
      <c r="P595" s="9"/>
      <c r="Q595" s="9"/>
      <c r="R595" s="9"/>
      <c r="S595" s="253"/>
      <c r="T595" s="253"/>
      <c r="U595" s="253"/>
      <c r="V595" s="253"/>
      <c r="W595" s="253"/>
      <c r="X595" s="253"/>
      <c r="Y595" s="253"/>
      <c r="Z595" s="253"/>
    </row>
    <row r="596" spans="1:26">
      <c r="A596" s="9"/>
      <c r="B596" s="9"/>
      <c r="C596" s="9"/>
      <c r="D596" s="9"/>
      <c r="E596" s="35"/>
      <c r="F596" s="35"/>
      <c r="G596" s="256"/>
      <c r="H596" s="265"/>
      <c r="I596" s="260"/>
      <c r="J596" s="265"/>
      <c r="K596" s="260"/>
      <c r="L596" s="111"/>
      <c r="M596" s="9"/>
      <c r="N596" s="9"/>
      <c r="O596" s="9"/>
      <c r="P596" s="9"/>
      <c r="Q596" s="9"/>
      <c r="R596" s="9"/>
      <c r="S596" s="253"/>
      <c r="T596" s="253"/>
      <c r="U596" s="253"/>
      <c r="V596" s="253"/>
      <c r="W596" s="253"/>
      <c r="X596" s="253"/>
      <c r="Y596" s="253"/>
      <c r="Z596" s="253"/>
    </row>
    <row r="597" spans="1:26">
      <c r="A597" s="9"/>
      <c r="B597" s="9"/>
      <c r="C597" s="9"/>
      <c r="D597" s="9"/>
      <c r="E597" s="35"/>
      <c r="F597" s="35"/>
      <c r="G597" s="256"/>
      <c r="H597" s="265"/>
      <c r="I597" s="260"/>
      <c r="J597" s="265"/>
      <c r="K597" s="260"/>
      <c r="L597" s="111"/>
      <c r="M597" s="9"/>
      <c r="N597" s="9"/>
      <c r="O597" s="9"/>
      <c r="P597" s="9"/>
      <c r="Q597" s="9"/>
      <c r="R597" s="9"/>
      <c r="S597" s="253"/>
      <c r="T597" s="253"/>
      <c r="U597" s="253"/>
      <c r="V597" s="253"/>
      <c r="W597" s="253"/>
      <c r="X597" s="253"/>
      <c r="Y597" s="253"/>
      <c r="Z597" s="253"/>
    </row>
    <row r="598" spans="1:26">
      <c r="A598" s="9"/>
      <c r="B598" s="9"/>
      <c r="C598" s="9"/>
      <c r="D598" s="9"/>
      <c r="E598" s="35"/>
      <c r="F598" s="35"/>
      <c r="G598" s="256"/>
      <c r="H598" s="265"/>
      <c r="I598" s="260"/>
      <c r="J598" s="265"/>
      <c r="K598" s="260"/>
      <c r="L598" s="111"/>
      <c r="M598" s="9"/>
      <c r="N598" s="9"/>
      <c r="O598" s="9"/>
      <c r="P598" s="9"/>
      <c r="Q598" s="9"/>
      <c r="R598" s="9"/>
      <c r="S598" s="253"/>
      <c r="T598" s="253"/>
      <c r="U598" s="253"/>
      <c r="V598" s="253"/>
      <c r="W598" s="253"/>
      <c r="X598" s="253"/>
      <c r="Y598" s="253"/>
      <c r="Z598" s="253"/>
    </row>
    <row r="599" spans="1:26">
      <c r="A599" s="9"/>
      <c r="B599" s="9"/>
      <c r="C599" s="9"/>
      <c r="D599" s="9"/>
      <c r="E599" s="35"/>
      <c r="F599" s="35"/>
      <c r="G599" s="256"/>
      <c r="H599" s="265"/>
      <c r="I599" s="260"/>
      <c r="J599" s="265"/>
      <c r="K599" s="260"/>
      <c r="L599" s="111"/>
      <c r="M599" s="9"/>
      <c r="N599" s="9"/>
      <c r="O599" s="9"/>
      <c r="P599" s="9"/>
      <c r="Q599" s="9"/>
      <c r="R599" s="9"/>
      <c r="S599" s="253"/>
      <c r="T599" s="253"/>
      <c r="U599" s="253"/>
      <c r="V599" s="253"/>
      <c r="W599" s="253"/>
      <c r="X599" s="253"/>
      <c r="Y599" s="253"/>
      <c r="Z599" s="253"/>
    </row>
    <row r="600" spans="1:26">
      <c r="A600" s="9"/>
      <c r="B600" s="9"/>
      <c r="C600" s="9"/>
      <c r="D600" s="9"/>
      <c r="E600" s="35"/>
      <c r="F600" s="35"/>
      <c r="G600" s="256"/>
      <c r="H600" s="265"/>
      <c r="I600" s="260"/>
      <c r="J600" s="265"/>
      <c r="K600" s="260"/>
      <c r="L600" s="111"/>
      <c r="M600" s="9"/>
      <c r="N600" s="9"/>
      <c r="O600" s="9"/>
      <c r="P600" s="9"/>
      <c r="Q600" s="9"/>
      <c r="R600" s="9"/>
      <c r="S600" s="253"/>
      <c r="T600" s="253"/>
      <c r="U600" s="253"/>
      <c r="V600" s="253"/>
      <c r="W600" s="253"/>
      <c r="X600" s="253"/>
      <c r="Y600" s="253"/>
      <c r="Z600" s="253"/>
    </row>
    <row r="601" spans="1:26">
      <c r="A601" s="9"/>
      <c r="B601" s="9"/>
      <c r="C601" s="9"/>
      <c r="D601" s="9"/>
      <c r="E601" s="35"/>
      <c r="F601" s="35"/>
      <c r="G601" s="256"/>
      <c r="H601" s="265"/>
      <c r="I601" s="260"/>
      <c r="J601" s="265"/>
      <c r="K601" s="260"/>
      <c r="L601" s="111"/>
      <c r="M601" s="9"/>
      <c r="N601" s="9"/>
      <c r="O601" s="9"/>
      <c r="P601" s="9"/>
      <c r="Q601" s="9"/>
      <c r="R601" s="9"/>
      <c r="S601" s="253"/>
      <c r="T601" s="253"/>
      <c r="U601" s="253"/>
      <c r="V601" s="253"/>
      <c r="W601" s="253"/>
      <c r="X601" s="253"/>
      <c r="Y601" s="253"/>
      <c r="Z601" s="253"/>
    </row>
    <row r="602" spans="1:26">
      <c r="A602" s="9"/>
      <c r="B602" s="9"/>
      <c r="C602" s="9"/>
      <c r="D602" s="9"/>
      <c r="E602" s="35"/>
      <c r="F602" s="35"/>
      <c r="G602" s="256"/>
      <c r="H602" s="265"/>
      <c r="I602" s="260"/>
      <c r="J602" s="265"/>
      <c r="K602" s="260"/>
      <c r="L602" s="111"/>
      <c r="M602" s="9"/>
      <c r="N602" s="9"/>
      <c r="O602" s="9"/>
      <c r="P602" s="9"/>
      <c r="Q602" s="9"/>
      <c r="R602" s="9"/>
      <c r="S602" s="253"/>
      <c r="T602" s="253"/>
      <c r="U602" s="253"/>
      <c r="V602" s="253"/>
      <c r="W602" s="253"/>
      <c r="X602" s="253"/>
      <c r="Y602" s="253"/>
      <c r="Z602" s="253"/>
    </row>
    <row r="603" spans="1:26">
      <c r="A603" s="9"/>
      <c r="B603" s="9"/>
      <c r="C603" s="9"/>
      <c r="D603" s="9"/>
      <c r="E603" s="35"/>
      <c r="F603" s="35"/>
      <c r="G603" s="256"/>
      <c r="H603" s="265"/>
      <c r="I603" s="260"/>
      <c r="J603" s="265"/>
      <c r="K603" s="260"/>
      <c r="L603" s="111"/>
      <c r="M603" s="9"/>
      <c r="N603" s="9"/>
      <c r="O603" s="9"/>
      <c r="P603" s="9"/>
      <c r="Q603" s="9"/>
      <c r="R603" s="9"/>
      <c r="S603" s="253"/>
      <c r="T603" s="253"/>
      <c r="U603" s="253"/>
      <c r="V603" s="253"/>
      <c r="W603" s="253"/>
      <c r="X603" s="253"/>
      <c r="Y603" s="253"/>
      <c r="Z603" s="253"/>
    </row>
    <row r="604" spans="1:26">
      <c r="A604" s="9"/>
      <c r="B604" s="9"/>
      <c r="C604" s="9"/>
      <c r="D604" s="9"/>
      <c r="E604" s="35"/>
      <c r="F604" s="35"/>
      <c r="G604" s="256"/>
      <c r="H604" s="265"/>
      <c r="I604" s="260"/>
      <c r="J604" s="265"/>
      <c r="K604" s="260"/>
      <c r="L604" s="111"/>
      <c r="M604" s="9"/>
      <c r="N604" s="9"/>
      <c r="O604" s="9"/>
      <c r="P604" s="9"/>
      <c r="Q604" s="9"/>
      <c r="R604" s="9"/>
      <c r="S604" s="253"/>
      <c r="T604" s="253"/>
      <c r="U604" s="253"/>
      <c r="V604" s="253"/>
      <c r="W604" s="253"/>
      <c r="X604" s="253"/>
      <c r="Y604" s="253"/>
      <c r="Z604" s="253"/>
    </row>
    <row r="605" spans="1:26">
      <c r="A605" s="9"/>
      <c r="B605" s="9"/>
      <c r="C605" s="9"/>
      <c r="D605" s="9"/>
      <c r="E605" s="35"/>
      <c r="F605" s="35"/>
      <c r="G605" s="256"/>
      <c r="H605" s="265"/>
      <c r="I605" s="260"/>
      <c r="J605" s="265"/>
      <c r="K605" s="260"/>
      <c r="L605" s="111"/>
      <c r="M605" s="9"/>
      <c r="N605" s="9"/>
      <c r="O605" s="9"/>
      <c r="P605" s="9"/>
      <c r="Q605" s="9"/>
      <c r="R605" s="9"/>
      <c r="S605" s="253"/>
      <c r="T605" s="253"/>
      <c r="U605" s="253"/>
      <c r="V605" s="253"/>
      <c r="W605" s="253"/>
      <c r="X605" s="253"/>
      <c r="Y605" s="253"/>
      <c r="Z605" s="253"/>
    </row>
    <row r="606" spans="1:26">
      <c r="A606" s="9"/>
      <c r="B606" s="9"/>
      <c r="C606" s="9"/>
      <c r="D606" s="9"/>
      <c r="E606" s="35"/>
      <c r="F606" s="35"/>
      <c r="G606" s="256"/>
      <c r="H606" s="265"/>
      <c r="I606" s="260"/>
      <c r="J606" s="265"/>
      <c r="K606" s="260"/>
      <c r="L606" s="111"/>
      <c r="M606" s="9"/>
      <c r="N606" s="9"/>
      <c r="O606" s="9"/>
      <c r="P606" s="9"/>
      <c r="Q606" s="9"/>
      <c r="R606" s="9"/>
      <c r="S606" s="253"/>
      <c r="T606" s="253"/>
      <c r="U606" s="253"/>
      <c r="V606" s="253"/>
      <c r="W606" s="253"/>
      <c r="X606" s="253"/>
      <c r="Y606" s="253"/>
      <c r="Z606" s="253"/>
    </row>
    <row r="607" spans="1:26">
      <c r="A607" s="9"/>
      <c r="B607" s="9"/>
      <c r="C607" s="9"/>
      <c r="D607" s="9"/>
      <c r="E607" s="35"/>
      <c r="F607" s="35"/>
      <c r="G607" s="256"/>
      <c r="H607" s="265"/>
      <c r="I607" s="260"/>
      <c r="J607" s="265"/>
      <c r="K607" s="260"/>
      <c r="L607" s="111"/>
      <c r="M607" s="9"/>
      <c r="N607" s="9"/>
      <c r="O607" s="9"/>
      <c r="P607" s="9"/>
      <c r="Q607" s="9"/>
      <c r="R607" s="9"/>
      <c r="S607" s="253"/>
      <c r="T607" s="253"/>
      <c r="U607" s="253"/>
      <c r="V607" s="253"/>
      <c r="W607" s="253"/>
      <c r="X607" s="253"/>
      <c r="Y607" s="253"/>
      <c r="Z607" s="253"/>
    </row>
    <row r="608" spans="1:26">
      <c r="A608" s="9"/>
      <c r="B608" s="9"/>
      <c r="C608" s="9"/>
      <c r="D608" s="9"/>
      <c r="E608" s="35"/>
      <c r="F608" s="35"/>
      <c r="G608" s="256"/>
      <c r="H608" s="265"/>
      <c r="I608" s="260"/>
      <c r="J608" s="265"/>
      <c r="K608" s="260"/>
      <c r="L608" s="111"/>
      <c r="M608" s="9"/>
      <c r="N608" s="9"/>
      <c r="O608" s="9"/>
      <c r="P608" s="9"/>
      <c r="Q608" s="9"/>
      <c r="R608" s="9"/>
      <c r="S608" s="253"/>
      <c r="T608" s="253"/>
      <c r="U608" s="253"/>
      <c r="V608" s="253"/>
      <c r="W608" s="253"/>
      <c r="X608" s="253"/>
      <c r="Y608" s="253"/>
      <c r="Z608" s="253"/>
    </row>
    <row r="609" spans="1:26">
      <c r="A609" s="9"/>
      <c r="B609" s="9"/>
      <c r="C609" s="9"/>
      <c r="D609" s="9"/>
      <c r="E609" s="35"/>
      <c r="F609" s="35"/>
      <c r="G609" s="256"/>
      <c r="H609" s="265"/>
      <c r="I609" s="260"/>
      <c r="J609" s="265"/>
      <c r="K609" s="260"/>
      <c r="L609" s="111"/>
      <c r="M609" s="9"/>
      <c r="N609" s="9"/>
      <c r="O609" s="9"/>
      <c r="P609" s="9"/>
      <c r="Q609" s="9"/>
      <c r="R609" s="9"/>
      <c r="S609" s="253"/>
      <c r="T609" s="253"/>
      <c r="U609" s="253"/>
      <c r="V609" s="253"/>
      <c r="W609" s="253"/>
      <c r="X609" s="253"/>
      <c r="Y609" s="253"/>
      <c r="Z609" s="253"/>
    </row>
    <row r="610" spans="1:26">
      <c r="A610" s="9"/>
      <c r="B610" s="9"/>
      <c r="C610" s="9"/>
      <c r="D610" s="9"/>
      <c r="E610" s="35"/>
      <c r="F610" s="35"/>
      <c r="G610" s="256"/>
      <c r="H610" s="265"/>
      <c r="I610" s="260"/>
      <c r="J610" s="265"/>
      <c r="K610" s="260"/>
      <c r="L610" s="111"/>
      <c r="M610" s="9"/>
      <c r="N610" s="9"/>
      <c r="O610" s="9"/>
      <c r="P610" s="9"/>
      <c r="Q610" s="9"/>
      <c r="R610" s="9"/>
      <c r="S610" s="253"/>
      <c r="T610" s="253"/>
      <c r="U610" s="253"/>
      <c r="V610" s="253"/>
      <c r="W610" s="253"/>
      <c r="X610" s="253"/>
      <c r="Y610" s="253"/>
      <c r="Z610" s="253"/>
    </row>
    <row r="611" spans="1:26">
      <c r="A611" s="9"/>
      <c r="B611" s="9"/>
      <c r="C611" s="9"/>
      <c r="D611" s="9"/>
      <c r="E611" s="35"/>
      <c r="F611" s="35"/>
      <c r="G611" s="256"/>
      <c r="H611" s="265"/>
      <c r="I611" s="260"/>
      <c r="J611" s="265"/>
      <c r="K611" s="260"/>
      <c r="L611" s="111"/>
      <c r="M611" s="9"/>
      <c r="N611" s="9"/>
      <c r="O611" s="9"/>
      <c r="P611" s="9"/>
      <c r="Q611" s="9"/>
      <c r="R611" s="9"/>
      <c r="S611" s="253"/>
      <c r="T611" s="253"/>
      <c r="U611" s="253"/>
      <c r="V611" s="253"/>
      <c r="W611" s="253"/>
      <c r="X611" s="253"/>
      <c r="Y611" s="253"/>
      <c r="Z611" s="253"/>
    </row>
    <row r="612" spans="1:26">
      <c r="A612" s="9"/>
      <c r="B612" s="9"/>
      <c r="C612" s="9"/>
      <c r="D612" s="9"/>
      <c r="E612" s="35"/>
      <c r="F612" s="35"/>
      <c r="G612" s="256"/>
      <c r="H612" s="265"/>
      <c r="I612" s="260"/>
      <c r="J612" s="265"/>
      <c r="K612" s="260"/>
      <c r="L612" s="111"/>
      <c r="M612" s="9"/>
      <c r="N612" s="9"/>
      <c r="O612" s="9"/>
      <c r="P612" s="9"/>
      <c r="Q612" s="9"/>
      <c r="R612" s="9"/>
      <c r="S612" s="253"/>
      <c r="T612" s="253"/>
      <c r="U612" s="253"/>
      <c r="V612" s="253"/>
      <c r="W612" s="253"/>
      <c r="X612" s="253"/>
      <c r="Y612" s="253"/>
      <c r="Z612" s="253"/>
    </row>
    <row r="613" spans="1:26">
      <c r="A613" s="9"/>
      <c r="B613" s="9"/>
      <c r="C613" s="9"/>
      <c r="D613" s="9"/>
      <c r="E613" s="35"/>
      <c r="F613" s="35"/>
      <c r="G613" s="256"/>
      <c r="H613" s="265"/>
      <c r="I613" s="260"/>
      <c r="J613" s="265"/>
      <c r="K613" s="260"/>
      <c r="L613" s="111"/>
      <c r="M613" s="9"/>
      <c r="N613" s="9"/>
      <c r="O613" s="9"/>
      <c r="P613" s="9"/>
      <c r="Q613" s="9"/>
      <c r="R613" s="9"/>
      <c r="S613" s="253"/>
      <c r="T613" s="253"/>
      <c r="U613" s="253"/>
      <c r="V613" s="253"/>
      <c r="W613" s="253"/>
      <c r="X613" s="253"/>
      <c r="Y613" s="253"/>
      <c r="Z613" s="253"/>
    </row>
    <row r="614" spans="1:26">
      <c r="A614" s="9"/>
      <c r="B614" s="9"/>
      <c r="C614" s="9"/>
      <c r="D614" s="9"/>
      <c r="E614" s="35"/>
      <c r="F614" s="35"/>
      <c r="G614" s="256"/>
      <c r="H614" s="265"/>
      <c r="I614" s="260"/>
      <c r="J614" s="265"/>
      <c r="K614" s="260"/>
      <c r="L614" s="111"/>
      <c r="M614" s="9"/>
      <c r="N614" s="9"/>
      <c r="O614" s="9"/>
      <c r="P614" s="9"/>
      <c r="Q614" s="9"/>
      <c r="R614" s="9"/>
      <c r="S614" s="253"/>
      <c r="T614" s="253"/>
      <c r="U614" s="253"/>
      <c r="V614" s="253"/>
      <c r="W614" s="253"/>
      <c r="X614" s="253"/>
      <c r="Y614" s="253"/>
      <c r="Z614" s="253"/>
    </row>
    <row r="615" spans="1:26">
      <c r="A615" s="9"/>
      <c r="B615" s="9"/>
      <c r="C615" s="9"/>
      <c r="D615" s="9"/>
      <c r="E615" s="35"/>
      <c r="F615" s="35"/>
      <c r="G615" s="256"/>
      <c r="H615" s="265"/>
      <c r="I615" s="260"/>
      <c r="J615" s="265"/>
      <c r="K615" s="260"/>
      <c r="L615" s="111"/>
      <c r="M615" s="9"/>
      <c r="N615" s="9"/>
      <c r="O615" s="9"/>
      <c r="P615" s="9"/>
      <c r="Q615" s="9"/>
      <c r="R615" s="9"/>
      <c r="S615" s="253"/>
      <c r="T615" s="253"/>
      <c r="U615" s="253"/>
      <c r="V615" s="253"/>
      <c r="W615" s="253"/>
      <c r="X615" s="253"/>
      <c r="Y615" s="253"/>
      <c r="Z615" s="253"/>
    </row>
    <row r="616" spans="1:26">
      <c r="A616" s="9"/>
      <c r="B616" s="9"/>
      <c r="C616" s="9"/>
      <c r="D616" s="9"/>
      <c r="E616" s="35"/>
      <c r="F616" s="35"/>
      <c r="G616" s="256"/>
      <c r="H616" s="265"/>
      <c r="I616" s="260"/>
      <c r="J616" s="265"/>
      <c r="K616" s="260"/>
      <c r="L616" s="111"/>
      <c r="M616" s="9"/>
      <c r="N616" s="9"/>
      <c r="O616" s="9"/>
      <c r="P616" s="9"/>
      <c r="Q616" s="9"/>
      <c r="R616" s="9"/>
      <c r="S616" s="253"/>
      <c r="T616" s="253"/>
      <c r="U616" s="253"/>
      <c r="V616" s="253"/>
      <c r="W616" s="253"/>
      <c r="X616" s="253"/>
      <c r="Y616" s="253"/>
      <c r="Z616" s="253"/>
    </row>
    <row r="617" spans="1:26">
      <c r="A617" s="9"/>
      <c r="B617" s="9"/>
      <c r="C617" s="9"/>
      <c r="D617" s="9"/>
      <c r="E617" s="35"/>
      <c r="F617" s="35"/>
      <c r="G617" s="256"/>
      <c r="H617" s="265"/>
      <c r="I617" s="260"/>
      <c r="J617" s="265"/>
      <c r="K617" s="260"/>
      <c r="L617" s="111"/>
      <c r="M617" s="9"/>
      <c r="N617" s="9"/>
      <c r="O617" s="9"/>
      <c r="P617" s="9"/>
      <c r="Q617" s="9"/>
      <c r="R617" s="9"/>
      <c r="S617" s="253"/>
      <c r="T617" s="253"/>
      <c r="U617" s="253"/>
      <c r="V617" s="253"/>
      <c r="W617" s="253"/>
      <c r="X617" s="253"/>
      <c r="Y617" s="253"/>
      <c r="Z617" s="253"/>
    </row>
    <row r="618" spans="1:26">
      <c r="A618" s="9"/>
      <c r="B618" s="9"/>
      <c r="C618" s="9"/>
      <c r="D618" s="9"/>
      <c r="E618" s="35"/>
      <c r="F618" s="35"/>
      <c r="G618" s="256"/>
      <c r="H618" s="265"/>
      <c r="I618" s="260"/>
      <c r="J618" s="265"/>
      <c r="K618" s="260"/>
      <c r="L618" s="111"/>
      <c r="M618" s="9"/>
      <c r="N618" s="9"/>
      <c r="O618" s="9"/>
      <c r="P618" s="9"/>
      <c r="Q618" s="9"/>
      <c r="R618" s="9"/>
      <c r="S618" s="253"/>
      <c r="T618" s="253"/>
      <c r="U618" s="253"/>
      <c r="V618" s="253"/>
      <c r="W618" s="253"/>
      <c r="X618" s="253"/>
      <c r="Y618" s="253"/>
      <c r="Z618" s="253"/>
    </row>
    <row r="619" spans="1:26">
      <c r="A619" s="9"/>
      <c r="B619" s="9"/>
      <c r="C619" s="9"/>
      <c r="D619" s="9"/>
      <c r="E619" s="35"/>
      <c r="F619" s="35"/>
      <c r="G619" s="256"/>
      <c r="H619" s="265"/>
      <c r="I619" s="260"/>
      <c r="J619" s="265"/>
      <c r="K619" s="260"/>
      <c r="L619" s="111"/>
      <c r="M619" s="9"/>
      <c r="N619" s="9"/>
      <c r="O619" s="9"/>
      <c r="P619" s="9"/>
      <c r="Q619" s="9"/>
      <c r="R619" s="9"/>
      <c r="S619" s="253"/>
      <c r="T619" s="253"/>
      <c r="U619" s="253"/>
      <c r="V619" s="253"/>
      <c r="W619" s="253"/>
      <c r="X619" s="253"/>
      <c r="Y619" s="253"/>
      <c r="Z619" s="253"/>
    </row>
    <row r="620" spans="1:26">
      <c r="A620" s="9"/>
      <c r="B620" s="9"/>
      <c r="C620" s="9"/>
      <c r="D620" s="9"/>
      <c r="E620" s="35"/>
      <c r="F620" s="35"/>
      <c r="G620" s="256"/>
      <c r="H620" s="265"/>
      <c r="I620" s="260"/>
      <c r="J620" s="265"/>
      <c r="K620" s="260"/>
      <c r="L620" s="111"/>
      <c r="M620" s="9"/>
      <c r="N620" s="9"/>
      <c r="O620" s="9"/>
      <c r="P620" s="9"/>
      <c r="Q620" s="9"/>
      <c r="R620" s="9"/>
      <c r="S620" s="253"/>
      <c r="T620" s="253"/>
      <c r="U620" s="253"/>
      <c r="V620" s="253"/>
      <c r="W620" s="253"/>
      <c r="X620" s="253"/>
      <c r="Y620" s="253"/>
      <c r="Z620" s="253"/>
    </row>
    <row r="621" spans="1:26">
      <c r="A621" s="9"/>
      <c r="B621" s="9"/>
      <c r="C621" s="9"/>
      <c r="D621" s="9"/>
      <c r="E621" s="35"/>
      <c r="F621" s="35"/>
      <c r="G621" s="256"/>
      <c r="H621" s="265"/>
      <c r="I621" s="260"/>
      <c r="J621" s="265"/>
      <c r="K621" s="260"/>
      <c r="L621" s="111"/>
      <c r="M621" s="9"/>
      <c r="N621" s="9"/>
      <c r="O621" s="9"/>
      <c r="P621" s="9"/>
      <c r="Q621" s="9"/>
      <c r="R621" s="9"/>
      <c r="S621" s="253"/>
      <c r="T621" s="253"/>
      <c r="U621" s="253"/>
      <c r="V621" s="253"/>
      <c r="W621" s="253"/>
      <c r="X621" s="253"/>
      <c r="Y621" s="253"/>
      <c r="Z621" s="253"/>
    </row>
    <row r="622" spans="1:26">
      <c r="A622" s="9"/>
      <c r="B622" s="9"/>
      <c r="C622" s="9"/>
      <c r="D622" s="9"/>
      <c r="E622" s="35"/>
      <c r="F622" s="35"/>
      <c r="G622" s="256"/>
      <c r="H622" s="265"/>
      <c r="I622" s="260"/>
      <c r="J622" s="265"/>
      <c r="K622" s="260"/>
      <c r="L622" s="111"/>
      <c r="M622" s="9"/>
      <c r="N622" s="9"/>
      <c r="O622" s="9"/>
      <c r="P622" s="9"/>
      <c r="Q622" s="9"/>
      <c r="R622" s="9"/>
      <c r="S622" s="253"/>
      <c r="T622" s="253"/>
      <c r="U622" s="253"/>
      <c r="V622" s="253"/>
      <c r="W622" s="253"/>
      <c r="X622" s="253"/>
      <c r="Y622" s="253"/>
      <c r="Z622" s="253"/>
    </row>
    <row r="623" spans="1:26">
      <c r="A623" s="9"/>
      <c r="B623" s="9"/>
      <c r="C623" s="9"/>
      <c r="D623" s="9"/>
      <c r="E623" s="35"/>
      <c r="F623" s="35"/>
      <c r="G623" s="256"/>
      <c r="H623" s="265"/>
      <c r="I623" s="260"/>
      <c r="J623" s="265"/>
      <c r="K623" s="260"/>
      <c r="L623" s="111"/>
      <c r="M623" s="9"/>
      <c r="N623" s="9"/>
      <c r="O623" s="9"/>
      <c r="P623" s="9"/>
      <c r="Q623" s="9"/>
      <c r="R623" s="9"/>
      <c r="S623" s="253"/>
      <c r="T623" s="253"/>
      <c r="U623" s="253"/>
      <c r="V623" s="253"/>
      <c r="W623" s="253"/>
      <c r="X623" s="253"/>
      <c r="Y623" s="253"/>
      <c r="Z623" s="253"/>
    </row>
    <row r="624" spans="1:26">
      <c r="A624" s="9"/>
      <c r="B624" s="9"/>
      <c r="C624" s="9"/>
      <c r="D624" s="9"/>
      <c r="E624" s="35"/>
      <c r="F624" s="35"/>
      <c r="G624" s="256"/>
      <c r="H624" s="265"/>
      <c r="I624" s="260"/>
      <c r="J624" s="265"/>
      <c r="K624" s="260"/>
      <c r="L624" s="111"/>
      <c r="M624" s="9"/>
      <c r="N624" s="9"/>
      <c r="O624" s="9"/>
      <c r="P624" s="9"/>
      <c r="Q624" s="9"/>
      <c r="R624" s="9"/>
      <c r="S624" s="253"/>
      <c r="T624" s="253"/>
      <c r="U624" s="253"/>
      <c r="V624" s="253"/>
      <c r="W624" s="253"/>
      <c r="X624" s="253"/>
      <c r="Y624" s="253"/>
      <c r="Z624" s="253"/>
    </row>
    <row r="625" spans="1:26">
      <c r="A625" s="9"/>
      <c r="B625" s="9"/>
      <c r="C625" s="9"/>
      <c r="D625" s="9"/>
      <c r="E625" s="35"/>
      <c r="F625" s="35"/>
      <c r="G625" s="256"/>
      <c r="H625" s="265"/>
      <c r="I625" s="260"/>
      <c r="J625" s="265"/>
      <c r="K625" s="260"/>
      <c r="L625" s="111"/>
      <c r="M625" s="9"/>
      <c r="N625" s="9"/>
      <c r="O625" s="9"/>
      <c r="P625" s="9"/>
      <c r="Q625" s="9"/>
      <c r="R625" s="9"/>
      <c r="S625" s="253"/>
      <c r="T625" s="253"/>
      <c r="U625" s="253"/>
      <c r="V625" s="253"/>
      <c r="W625" s="253"/>
      <c r="X625" s="253"/>
      <c r="Y625" s="253"/>
      <c r="Z625" s="253"/>
    </row>
    <row r="626" spans="1:26">
      <c r="A626" s="9"/>
      <c r="B626" s="9"/>
      <c r="C626" s="9"/>
      <c r="D626" s="9"/>
      <c r="E626" s="35"/>
      <c r="F626" s="35"/>
      <c r="G626" s="256"/>
      <c r="H626" s="265"/>
      <c r="I626" s="260"/>
      <c r="J626" s="265"/>
      <c r="K626" s="260"/>
      <c r="L626" s="111"/>
      <c r="M626" s="9"/>
      <c r="N626" s="9"/>
      <c r="O626" s="9"/>
      <c r="P626" s="9"/>
      <c r="Q626" s="9"/>
      <c r="R626" s="9"/>
      <c r="S626" s="253"/>
      <c r="T626" s="253"/>
      <c r="U626" s="253"/>
      <c r="V626" s="253"/>
      <c r="W626" s="253"/>
      <c r="X626" s="253"/>
      <c r="Y626" s="253"/>
      <c r="Z626" s="253"/>
    </row>
    <row r="627" spans="1:26">
      <c r="A627" s="9"/>
      <c r="B627" s="9"/>
      <c r="C627" s="9"/>
      <c r="D627" s="9"/>
      <c r="E627" s="35"/>
      <c r="F627" s="35"/>
      <c r="G627" s="256"/>
      <c r="H627" s="265"/>
      <c r="I627" s="260"/>
      <c r="J627" s="265"/>
      <c r="K627" s="260"/>
      <c r="L627" s="111"/>
      <c r="M627" s="9"/>
      <c r="N627" s="9"/>
      <c r="O627" s="9"/>
      <c r="P627" s="9"/>
      <c r="Q627" s="9"/>
      <c r="R627" s="9"/>
      <c r="S627" s="253"/>
      <c r="T627" s="253"/>
      <c r="U627" s="253"/>
      <c r="V627" s="253"/>
      <c r="W627" s="253"/>
      <c r="X627" s="253"/>
      <c r="Y627" s="253"/>
      <c r="Z627" s="253"/>
    </row>
    <row r="628" spans="1:26">
      <c r="A628" s="9"/>
      <c r="B628" s="9"/>
      <c r="C628" s="9"/>
      <c r="D628" s="9"/>
      <c r="E628" s="35"/>
      <c r="F628" s="35"/>
      <c r="G628" s="256"/>
      <c r="H628" s="265"/>
      <c r="I628" s="260"/>
      <c r="J628" s="265"/>
      <c r="K628" s="260"/>
      <c r="L628" s="111"/>
      <c r="M628" s="9"/>
      <c r="N628" s="9"/>
      <c r="O628" s="9"/>
      <c r="P628" s="9"/>
      <c r="Q628" s="9"/>
      <c r="R628" s="9"/>
      <c r="S628" s="253"/>
      <c r="T628" s="253"/>
      <c r="U628" s="253"/>
      <c r="V628" s="253"/>
      <c r="W628" s="253"/>
      <c r="X628" s="253"/>
      <c r="Y628" s="253"/>
      <c r="Z628" s="253"/>
    </row>
    <row r="629" spans="1:26">
      <c r="A629" s="9"/>
      <c r="B629" s="9"/>
      <c r="C629" s="9"/>
      <c r="D629" s="9"/>
      <c r="E629" s="35"/>
      <c r="F629" s="35"/>
      <c r="G629" s="256"/>
      <c r="H629" s="265"/>
      <c r="I629" s="260"/>
      <c r="J629" s="265"/>
      <c r="K629" s="260"/>
      <c r="L629" s="111"/>
      <c r="M629" s="9"/>
      <c r="N629" s="9"/>
      <c r="O629" s="9"/>
      <c r="P629" s="9"/>
      <c r="Q629" s="9"/>
      <c r="R629" s="9"/>
      <c r="S629" s="253"/>
      <c r="T629" s="253"/>
      <c r="U629" s="253"/>
      <c r="V629" s="253"/>
      <c r="W629" s="253"/>
      <c r="X629" s="253"/>
      <c r="Y629" s="253"/>
      <c r="Z629" s="253"/>
    </row>
    <row r="630" spans="1:26">
      <c r="A630" s="9"/>
      <c r="B630" s="9"/>
      <c r="C630" s="9"/>
      <c r="D630" s="9"/>
      <c r="E630" s="35"/>
      <c r="F630" s="35"/>
      <c r="G630" s="256"/>
      <c r="H630" s="265"/>
      <c r="I630" s="260"/>
      <c r="J630" s="265"/>
      <c r="K630" s="260"/>
      <c r="L630" s="111"/>
      <c r="M630" s="9"/>
      <c r="N630" s="9"/>
      <c r="O630" s="9"/>
      <c r="P630" s="9"/>
      <c r="Q630" s="9"/>
      <c r="R630" s="9"/>
      <c r="S630" s="253"/>
      <c r="T630" s="253"/>
      <c r="U630" s="253"/>
      <c r="V630" s="253"/>
      <c r="W630" s="253"/>
      <c r="X630" s="253"/>
      <c r="Y630" s="253"/>
      <c r="Z630" s="253"/>
    </row>
    <row r="631" spans="1:26">
      <c r="A631" s="9"/>
      <c r="B631" s="9"/>
      <c r="C631" s="9"/>
      <c r="D631" s="9"/>
      <c r="E631" s="35"/>
      <c r="F631" s="35"/>
      <c r="G631" s="256"/>
      <c r="H631" s="265"/>
      <c r="I631" s="260"/>
      <c r="J631" s="265"/>
      <c r="K631" s="260"/>
      <c r="L631" s="111"/>
      <c r="M631" s="9"/>
      <c r="N631" s="9"/>
      <c r="O631" s="9"/>
      <c r="P631" s="9"/>
      <c r="Q631" s="9"/>
      <c r="R631" s="9"/>
      <c r="S631" s="253"/>
      <c r="T631" s="253"/>
      <c r="U631" s="253"/>
      <c r="V631" s="253"/>
      <c r="W631" s="253"/>
      <c r="X631" s="253"/>
      <c r="Y631" s="253"/>
      <c r="Z631" s="253"/>
    </row>
    <row r="632" spans="1:26">
      <c r="A632" s="9"/>
      <c r="B632" s="9"/>
      <c r="C632" s="9"/>
      <c r="D632" s="9"/>
      <c r="E632" s="35"/>
      <c r="F632" s="35"/>
      <c r="G632" s="256"/>
      <c r="H632" s="265"/>
      <c r="I632" s="260"/>
      <c r="J632" s="265"/>
      <c r="K632" s="260"/>
      <c r="L632" s="111"/>
      <c r="M632" s="9"/>
      <c r="N632" s="9"/>
      <c r="O632" s="9"/>
      <c r="P632" s="9"/>
      <c r="Q632" s="9"/>
      <c r="R632" s="9"/>
      <c r="S632" s="9"/>
      <c r="T632" s="9"/>
      <c r="U632" s="9"/>
      <c r="V632" s="9"/>
      <c r="W632" s="9"/>
      <c r="X632" s="9"/>
      <c r="Y632" s="9"/>
      <c r="Z632" s="9"/>
    </row>
    <row r="633" spans="1:26">
      <c r="A633" s="9"/>
      <c r="B633" s="9"/>
      <c r="C633" s="9"/>
      <c r="D633" s="9"/>
      <c r="E633" s="35"/>
      <c r="F633" s="35"/>
      <c r="G633" s="256"/>
      <c r="H633" s="265"/>
      <c r="I633" s="260"/>
      <c r="J633" s="265"/>
      <c r="K633" s="260"/>
      <c r="L633" s="111"/>
      <c r="M633" s="9"/>
      <c r="N633" s="9"/>
      <c r="O633" s="9"/>
      <c r="P633" s="9"/>
      <c r="Q633" s="9"/>
      <c r="R633" s="9"/>
      <c r="S633" s="9"/>
      <c r="T633" s="9"/>
      <c r="U633" s="9"/>
      <c r="V633" s="9"/>
      <c r="W633" s="9"/>
      <c r="X633" s="9"/>
      <c r="Y633" s="9"/>
      <c r="Z633" s="9"/>
    </row>
    <row r="634" spans="1:26">
      <c r="A634" s="9"/>
      <c r="B634" s="9"/>
      <c r="C634" s="9"/>
      <c r="D634" s="9"/>
      <c r="E634" s="35"/>
      <c r="F634" s="35"/>
      <c r="G634" s="256"/>
      <c r="H634" s="265"/>
      <c r="I634" s="260"/>
      <c r="J634" s="265"/>
      <c r="K634" s="260"/>
      <c r="L634" s="111"/>
      <c r="M634" s="9"/>
      <c r="N634" s="9"/>
      <c r="O634" s="9"/>
      <c r="P634" s="9"/>
      <c r="Q634" s="9"/>
      <c r="R634" s="9"/>
      <c r="S634" s="9"/>
      <c r="T634" s="9"/>
      <c r="U634" s="9"/>
      <c r="V634" s="9"/>
      <c r="W634" s="9"/>
      <c r="X634" s="9"/>
      <c r="Y634" s="9"/>
      <c r="Z634" s="9"/>
    </row>
    <row r="635" spans="1:26">
      <c r="A635" s="9"/>
      <c r="B635" s="9"/>
      <c r="C635" s="9"/>
      <c r="D635" s="9"/>
      <c r="E635" s="35"/>
      <c r="F635" s="35"/>
      <c r="G635" s="256"/>
      <c r="H635" s="265"/>
      <c r="I635" s="260"/>
      <c r="J635" s="265"/>
      <c r="K635" s="260"/>
      <c r="L635" s="111"/>
      <c r="M635" s="9"/>
      <c r="N635" s="9"/>
      <c r="O635" s="9"/>
      <c r="P635" s="9"/>
      <c r="Q635" s="9"/>
      <c r="R635" s="9"/>
      <c r="S635" s="9"/>
      <c r="T635" s="9"/>
      <c r="U635" s="9"/>
      <c r="V635" s="9"/>
      <c r="W635" s="9"/>
      <c r="X635" s="9"/>
      <c r="Y635" s="9"/>
      <c r="Z635" s="9"/>
    </row>
    <row r="636" spans="1:26">
      <c r="A636" s="9"/>
      <c r="B636" s="9"/>
      <c r="C636" s="9"/>
      <c r="D636" s="9"/>
      <c r="E636" s="35"/>
      <c r="F636" s="35"/>
      <c r="G636" s="256"/>
      <c r="H636" s="265"/>
      <c r="I636" s="260"/>
      <c r="J636" s="265"/>
      <c r="K636" s="260"/>
      <c r="L636" s="111"/>
      <c r="M636" s="9"/>
      <c r="N636" s="9"/>
      <c r="O636" s="9"/>
      <c r="P636" s="9"/>
      <c r="Q636" s="9"/>
      <c r="R636" s="9"/>
      <c r="S636" s="9"/>
      <c r="T636" s="9"/>
      <c r="U636" s="9"/>
      <c r="V636" s="9"/>
      <c r="W636" s="9"/>
      <c r="X636" s="9"/>
      <c r="Y636" s="9"/>
      <c r="Z636" s="9"/>
    </row>
    <row r="637" spans="1:26">
      <c r="A637" s="9"/>
      <c r="B637" s="9"/>
      <c r="C637" s="9"/>
      <c r="D637" s="9"/>
      <c r="E637" s="35"/>
      <c r="F637" s="35"/>
      <c r="G637" s="256"/>
      <c r="H637" s="265"/>
      <c r="I637" s="260"/>
      <c r="J637" s="265"/>
      <c r="K637" s="260"/>
      <c r="L637" s="111"/>
      <c r="M637" s="9"/>
      <c r="N637" s="9"/>
      <c r="O637" s="9"/>
      <c r="P637" s="9"/>
      <c r="Q637" s="9"/>
      <c r="R637" s="9"/>
      <c r="S637" s="9"/>
      <c r="T637" s="9"/>
      <c r="U637" s="9"/>
      <c r="V637" s="9"/>
      <c r="W637" s="9"/>
      <c r="X637" s="9"/>
      <c r="Y637" s="9"/>
      <c r="Z637" s="9"/>
    </row>
    <row r="638" spans="1:26">
      <c r="A638" s="9"/>
      <c r="B638" s="9"/>
      <c r="C638" s="9"/>
      <c r="D638" s="9"/>
      <c r="E638" s="35"/>
      <c r="F638" s="35"/>
      <c r="G638" s="256"/>
      <c r="H638" s="265"/>
      <c r="I638" s="260"/>
      <c r="J638" s="265"/>
      <c r="K638" s="260"/>
      <c r="L638" s="111"/>
      <c r="M638" s="9"/>
      <c r="N638" s="9"/>
      <c r="O638" s="9"/>
      <c r="P638" s="9"/>
      <c r="Q638" s="9"/>
      <c r="R638" s="9"/>
      <c r="S638" s="9"/>
      <c r="T638" s="9"/>
      <c r="U638" s="9"/>
      <c r="V638" s="9"/>
      <c r="W638" s="9"/>
      <c r="X638" s="9"/>
      <c r="Y638" s="9"/>
      <c r="Z638" s="9"/>
    </row>
    <row r="639" spans="1:26">
      <c r="A639" s="9"/>
      <c r="B639" s="9"/>
      <c r="C639" s="9"/>
      <c r="D639" s="9"/>
      <c r="E639" s="35"/>
      <c r="F639" s="35"/>
      <c r="G639" s="256"/>
      <c r="H639" s="265"/>
      <c r="I639" s="260"/>
      <c r="J639" s="265"/>
      <c r="K639" s="260"/>
      <c r="L639" s="111"/>
      <c r="M639" s="9"/>
      <c r="N639" s="9"/>
      <c r="O639" s="9"/>
      <c r="P639" s="9"/>
      <c r="Q639" s="9"/>
      <c r="R639" s="9"/>
      <c r="S639" s="9"/>
      <c r="T639" s="9"/>
      <c r="U639" s="9"/>
      <c r="V639" s="9"/>
      <c r="W639" s="9"/>
      <c r="X639" s="9"/>
      <c r="Y639" s="9"/>
      <c r="Z639" s="9"/>
    </row>
    <row r="640" spans="1:26">
      <c r="A640" s="9"/>
      <c r="B640" s="9"/>
      <c r="C640" s="9"/>
      <c r="D640" s="9"/>
      <c r="E640" s="35"/>
      <c r="F640" s="35"/>
      <c r="G640" s="256"/>
      <c r="H640" s="265"/>
      <c r="I640" s="260"/>
      <c r="J640" s="265"/>
      <c r="K640" s="260"/>
      <c r="L640" s="111"/>
      <c r="M640" s="9"/>
      <c r="N640" s="9"/>
      <c r="O640" s="9"/>
      <c r="P640" s="9"/>
      <c r="Q640" s="9"/>
      <c r="R640" s="9"/>
      <c r="S640" s="9"/>
      <c r="T640" s="9"/>
      <c r="U640" s="9"/>
      <c r="V640" s="9"/>
      <c r="W640" s="9"/>
      <c r="X640" s="9"/>
      <c r="Y640" s="9"/>
      <c r="Z640" s="9"/>
    </row>
    <row r="641" spans="1:26">
      <c r="A641" s="9"/>
      <c r="B641" s="9"/>
      <c r="C641" s="9"/>
      <c r="D641" s="9"/>
      <c r="E641" s="35"/>
      <c r="F641" s="35"/>
      <c r="G641" s="256"/>
      <c r="H641" s="265"/>
      <c r="I641" s="260"/>
      <c r="J641" s="265"/>
      <c r="K641" s="260"/>
      <c r="L641" s="111"/>
      <c r="M641" s="9"/>
      <c r="N641" s="9"/>
      <c r="O641" s="9"/>
      <c r="P641" s="9"/>
      <c r="Q641" s="9"/>
      <c r="R641" s="9"/>
      <c r="S641" s="9"/>
      <c r="T641" s="9"/>
      <c r="U641" s="9"/>
      <c r="V641" s="9"/>
      <c r="W641" s="9"/>
      <c r="X641" s="9"/>
      <c r="Y641" s="9"/>
      <c r="Z641" s="9"/>
    </row>
    <row r="642" spans="1:26">
      <c r="A642" s="9"/>
      <c r="B642" s="9"/>
      <c r="C642" s="9"/>
      <c r="D642" s="9"/>
      <c r="E642" s="35"/>
      <c r="F642" s="35"/>
      <c r="G642" s="256"/>
      <c r="H642" s="265"/>
      <c r="I642" s="260"/>
      <c r="J642" s="265"/>
      <c r="K642" s="260"/>
      <c r="L642" s="111"/>
      <c r="M642" s="9"/>
      <c r="N642" s="9"/>
      <c r="O642" s="9"/>
      <c r="P642" s="9"/>
      <c r="Q642" s="9"/>
      <c r="R642" s="9"/>
      <c r="S642" s="9"/>
      <c r="T642" s="9"/>
      <c r="U642" s="9"/>
      <c r="V642" s="9"/>
      <c r="W642" s="9"/>
      <c r="X642" s="9"/>
      <c r="Y642" s="9"/>
      <c r="Z642" s="9"/>
    </row>
    <row r="643" spans="1:26">
      <c r="A643" s="9"/>
      <c r="B643" s="9"/>
      <c r="C643" s="9"/>
      <c r="D643" s="9"/>
      <c r="E643" s="35"/>
      <c r="F643" s="35"/>
      <c r="G643" s="256"/>
      <c r="H643" s="265"/>
      <c r="I643" s="260"/>
      <c r="J643" s="265"/>
      <c r="K643" s="260"/>
      <c r="L643" s="111"/>
      <c r="M643" s="9"/>
      <c r="N643" s="9"/>
      <c r="O643" s="9"/>
      <c r="P643" s="9"/>
      <c r="Q643" s="9"/>
      <c r="R643" s="9"/>
      <c r="S643" s="9"/>
      <c r="T643" s="9"/>
      <c r="U643" s="9"/>
      <c r="V643" s="9"/>
      <c r="W643" s="9"/>
      <c r="X643" s="9"/>
      <c r="Y643" s="9"/>
      <c r="Z643" s="9"/>
    </row>
    <row r="644" spans="1:26">
      <c r="A644" s="9"/>
      <c r="B644" s="9"/>
      <c r="C644" s="9"/>
      <c r="D644" s="9"/>
      <c r="E644" s="35"/>
      <c r="F644" s="35"/>
      <c r="G644" s="256"/>
      <c r="H644" s="265"/>
      <c r="I644" s="260"/>
      <c r="J644" s="265"/>
      <c r="K644" s="260"/>
      <c r="L644" s="111"/>
      <c r="M644" s="9"/>
      <c r="N644" s="9"/>
      <c r="O644" s="9"/>
      <c r="P644" s="9"/>
      <c r="Q644" s="9"/>
      <c r="R644" s="9"/>
      <c r="S644" s="9"/>
      <c r="T644" s="9"/>
      <c r="U644" s="9"/>
      <c r="V644" s="9"/>
      <c r="W644" s="9"/>
      <c r="X644" s="9"/>
      <c r="Y644" s="9"/>
      <c r="Z644" s="9"/>
    </row>
    <row r="645" spans="1:26">
      <c r="A645" s="9"/>
      <c r="B645" s="9"/>
      <c r="C645" s="9"/>
      <c r="D645" s="9"/>
      <c r="E645" s="35"/>
      <c r="F645" s="35"/>
      <c r="G645" s="256"/>
      <c r="H645" s="265"/>
      <c r="I645" s="260"/>
      <c r="J645" s="265"/>
      <c r="K645" s="260"/>
      <c r="L645" s="111"/>
      <c r="M645" s="9"/>
      <c r="N645" s="9"/>
      <c r="O645" s="9"/>
      <c r="P645" s="9"/>
      <c r="Q645" s="9"/>
      <c r="R645" s="9"/>
      <c r="S645" s="9"/>
      <c r="T645" s="9"/>
      <c r="U645" s="9"/>
      <c r="V645" s="9"/>
      <c r="W645" s="9"/>
      <c r="X645" s="9"/>
      <c r="Y645" s="9"/>
      <c r="Z645" s="9"/>
    </row>
    <row r="646" spans="1:26">
      <c r="A646" s="9"/>
      <c r="B646" s="9"/>
      <c r="C646" s="9"/>
      <c r="D646" s="9"/>
      <c r="E646" s="35"/>
      <c r="F646" s="35"/>
      <c r="G646" s="256"/>
      <c r="H646" s="265"/>
      <c r="I646" s="260"/>
      <c r="J646" s="265"/>
      <c r="K646" s="260"/>
      <c r="L646" s="111"/>
      <c r="M646" s="9"/>
      <c r="N646" s="9"/>
      <c r="O646" s="9"/>
      <c r="P646" s="9"/>
      <c r="Q646" s="9"/>
      <c r="R646" s="9"/>
      <c r="S646" s="9"/>
      <c r="T646" s="9"/>
      <c r="U646" s="9"/>
      <c r="V646" s="9"/>
      <c r="W646" s="9"/>
      <c r="X646" s="9"/>
      <c r="Y646" s="9"/>
      <c r="Z646" s="9"/>
    </row>
    <row r="647" spans="1:26">
      <c r="A647" s="9"/>
      <c r="B647" s="9"/>
      <c r="C647" s="9"/>
      <c r="D647" s="9"/>
      <c r="E647" s="35"/>
      <c r="F647" s="35"/>
      <c r="G647" s="256"/>
      <c r="H647" s="265"/>
      <c r="I647" s="260"/>
      <c r="J647" s="265"/>
      <c r="K647" s="260"/>
      <c r="L647" s="111"/>
      <c r="M647" s="9"/>
      <c r="N647" s="9"/>
      <c r="O647" s="9"/>
      <c r="P647" s="9"/>
      <c r="Q647" s="9"/>
      <c r="R647" s="9"/>
      <c r="S647" s="9"/>
      <c r="T647" s="9"/>
      <c r="U647" s="9"/>
      <c r="V647" s="9"/>
      <c r="W647" s="9"/>
      <c r="X647" s="9"/>
      <c r="Y647" s="9"/>
      <c r="Z647" s="9"/>
    </row>
    <row r="648" spans="1:26">
      <c r="A648" s="9"/>
      <c r="B648" s="9"/>
      <c r="C648" s="9"/>
      <c r="D648" s="9"/>
      <c r="E648" s="35"/>
      <c r="F648" s="35"/>
      <c r="G648" s="256"/>
      <c r="H648" s="265"/>
      <c r="I648" s="260"/>
      <c r="J648" s="265"/>
      <c r="K648" s="260"/>
      <c r="L648" s="111"/>
      <c r="M648" s="9"/>
      <c r="N648" s="9"/>
      <c r="O648" s="9"/>
      <c r="P648" s="9"/>
      <c r="Q648" s="9"/>
      <c r="R648" s="9"/>
      <c r="S648" s="9"/>
      <c r="T648" s="9"/>
      <c r="U648" s="9"/>
      <c r="V648" s="9"/>
      <c r="W648" s="9"/>
      <c r="X648" s="9"/>
      <c r="Y648" s="9"/>
      <c r="Z648" s="9"/>
    </row>
    <row r="649" spans="1:26">
      <c r="A649" s="9"/>
      <c r="B649" s="9"/>
      <c r="C649" s="9"/>
      <c r="D649" s="9"/>
      <c r="E649" s="35"/>
      <c r="F649" s="35"/>
      <c r="G649" s="256"/>
      <c r="H649" s="265"/>
      <c r="I649" s="260"/>
      <c r="J649" s="265"/>
      <c r="K649" s="260"/>
      <c r="L649" s="111"/>
      <c r="M649" s="9"/>
      <c r="N649" s="9"/>
      <c r="O649" s="9"/>
      <c r="P649" s="9"/>
      <c r="Q649" s="9"/>
      <c r="R649" s="9"/>
      <c r="S649" s="9"/>
      <c r="T649" s="9"/>
      <c r="U649" s="9"/>
      <c r="V649" s="9"/>
      <c r="W649" s="9"/>
      <c r="X649" s="9"/>
      <c r="Y649" s="9"/>
      <c r="Z649" s="9"/>
    </row>
    <row r="650" spans="1:26">
      <c r="A650" s="9"/>
      <c r="B650" s="9"/>
      <c r="C650" s="9"/>
      <c r="D650" s="9"/>
      <c r="E650" s="35"/>
      <c r="F650" s="35"/>
      <c r="G650" s="256"/>
      <c r="H650" s="265"/>
      <c r="I650" s="260"/>
      <c r="J650" s="265"/>
      <c r="K650" s="260"/>
      <c r="L650" s="111"/>
      <c r="M650" s="9"/>
      <c r="N650" s="9"/>
      <c r="O650" s="9"/>
      <c r="P650" s="9"/>
      <c r="Q650" s="9"/>
      <c r="R650" s="9"/>
      <c r="S650" s="9"/>
      <c r="T650" s="9"/>
      <c r="U650" s="9"/>
      <c r="V650" s="9"/>
      <c r="W650" s="9"/>
      <c r="X650" s="9"/>
      <c r="Y650" s="9"/>
      <c r="Z650" s="9"/>
    </row>
    <row r="651" spans="1:26">
      <c r="A651" s="9"/>
      <c r="B651" s="9"/>
      <c r="C651" s="9"/>
      <c r="D651" s="9"/>
      <c r="E651" s="35"/>
      <c r="F651" s="35"/>
      <c r="G651" s="256"/>
      <c r="H651" s="265"/>
      <c r="I651" s="260"/>
      <c r="J651" s="265"/>
      <c r="K651" s="260"/>
      <c r="L651" s="111"/>
      <c r="M651" s="9"/>
      <c r="N651" s="9"/>
      <c r="O651" s="9"/>
      <c r="P651" s="9"/>
      <c r="Q651" s="9"/>
      <c r="R651" s="9"/>
      <c r="S651" s="9"/>
      <c r="T651" s="9"/>
      <c r="U651" s="9"/>
      <c r="V651" s="9"/>
      <c r="W651" s="9"/>
      <c r="X651" s="9"/>
      <c r="Y651" s="9"/>
      <c r="Z651" s="9"/>
    </row>
    <row r="652" spans="1:26">
      <c r="A652" s="9"/>
      <c r="B652" s="9"/>
      <c r="C652" s="9"/>
      <c r="D652" s="9"/>
      <c r="E652" s="35"/>
      <c r="F652" s="35"/>
      <c r="G652" s="256"/>
      <c r="H652" s="265"/>
      <c r="I652" s="260"/>
      <c r="J652" s="265"/>
      <c r="K652" s="260"/>
      <c r="L652" s="111"/>
      <c r="M652" s="9"/>
      <c r="N652" s="9"/>
      <c r="O652" s="9"/>
      <c r="P652" s="9"/>
      <c r="Q652" s="9"/>
      <c r="R652" s="9"/>
      <c r="S652" s="9"/>
      <c r="T652" s="9"/>
      <c r="U652" s="9"/>
      <c r="V652" s="9"/>
      <c r="W652" s="9"/>
      <c r="X652" s="9"/>
      <c r="Y652" s="9"/>
      <c r="Z652" s="9"/>
    </row>
    <row r="653" spans="1:26">
      <c r="A653" s="9"/>
      <c r="B653" s="9"/>
      <c r="C653" s="9"/>
      <c r="D653" s="9"/>
      <c r="E653" s="35"/>
      <c r="F653" s="35"/>
      <c r="G653" s="256"/>
      <c r="H653" s="265"/>
      <c r="I653" s="260"/>
      <c r="J653" s="265"/>
      <c r="K653" s="260"/>
      <c r="L653" s="111"/>
      <c r="M653" s="9"/>
      <c r="N653" s="9"/>
      <c r="O653" s="9"/>
      <c r="P653" s="9"/>
      <c r="Q653" s="9"/>
      <c r="R653" s="9"/>
      <c r="S653" s="9"/>
      <c r="T653" s="9"/>
      <c r="U653" s="9"/>
      <c r="V653" s="9"/>
      <c r="W653" s="9"/>
      <c r="X653" s="9"/>
      <c r="Y653" s="9"/>
      <c r="Z653" s="9"/>
    </row>
    <row r="654" spans="1:26">
      <c r="A654" s="9"/>
      <c r="B654" s="9"/>
      <c r="C654" s="9"/>
      <c r="D654" s="9"/>
      <c r="E654" s="35"/>
      <c r="F654" s="35"/>
      <c r="G654" s="256"/>
      <c r="H654" s="265"/>
      <c r="I654" s="260"/>
      <c r="J654" s="265"/>
      <c r="K654" s="260"/>
      <c r="L654" s="111"/>
      <c r="M654" s="9"/>
      <c r="N654" s="9"/>
      <c r="O654" s="9"/>
      <c r="P654" s="9"/>
      <c r="Q654" s="9"/>
      <c r="R654" s="9"/>
      <c r="S654" s="9"/>
      <c r="T654" s="9"/>
      <c r="U654" s="9"/>
      <c r="V654" s="9"/>
      <c r="W654" s="9"/>
      <c r="X654" s="9"/>
      <c r="Y654" s="9"/>
      <c r="Z654" s="9"/>
    </row>
    <row r="655" spans="1:26">
      <c r="A655" s="9"/>
      <c r="B655" s="9"/>
      <c r="C655" s="9"/>
      <c r="D655" s="9"/>
      <c r="E655" s="35"/>
      <c r="F655" s="35"/>
      <c r="G655" s="256"/>
      <c r="H655" s="265"/>
      <c r="I655" s="260"/>
      <c r="J655" s="265"/>
      <c r="K655" s="260"/>
      <c r="L655" s="111"/>
      <c r="M655" s="9"/>
      <c r="N655" s="9"/>
      <c r="O655" s="9"/>
      <c r="P655" s="9"/>
      <c r="Q655" s="9"/>
      <c r="R655" s="9"/>
      <c r="S655" s="9"/>
      <c r="T655" s="9"/>
      <c r="U655" s="9"/>
      <c r="V655" s="9"/>
      <c r="W655" s="9"/>
      <c r="X655" s="9"/>
      <c r="Y655" s="9"/>
      <c r="Z655" s="9"/>
    </row>
    <row r="656" spans="1:26">
      <c r="A656" s="9"/>
      <c r="B656" s="9"/>
      <c r="C656" s="9"/>
      <c r="D656" s="9"/>
      <c r="E656" s="35"/>
      <c r="F656" s="35"/>
      <c r="G656" s="256"/>
      <c r="H656" s="265"/>
      <c r="I656" s="260"/>
      <c r="J656" s="265"/>
      <c r="K656" s="260"/>
      <c r="L656" s="111"/>
      <c r="M656" s="9"/>
      <c r="N656" s="9"/>
      <c r="O656" s="9"/>
      <c r="P656" s="9"/>
      <c r="Q656" s="9"/>
      <c r="R656" s="9"/>
      <c r="S656" s="9"/>
      <c r="T656" s="9"/>
      <c r="U656" s="9"/>
      <c r="V656" s="9"/>
      <c r="W656" s="9"/>
      <c r="X656" s="9"/>
      <c r="Y656" s="9"/>
      <c r="Z656" s="9"/>
    </row>
    <row r="657" spans="1:26">
      <c r="A657" s="9"/>
      <c r="B657" s="9"/>
      <c r="C657" s="9"/>
      <c r="D657" s="9"/>
      <c r="E657" s="35"/>
      <c r="F657" s="35"/>
      <c r="G657" s="256"/>
      <c r="H657" s="265"/>
      <c r="I657" s="260"/>
      <c r="J657" s="265"/>
      <c r="K657" s="260"/>
      <c r="L657" s="111"/>
      <c r="M657" s="9"/>
      <c r="N657" s="9"/>
      <c r="O657" s="9"/>
      <c r="P657" s="9"/>
      <c r="Q657" s="9"/>
      <c r="R657" s="9"/>
      <c r="S657" s="9"/>
      <c r="T657" s="9"/>
      <c r="U657" s="9"/>
      <c r="V657" s="9"/>
      <c r="W657" s="9"/>
      <c r="X657" s="9"/>
      <c r="Y657" s="9"/>
      <c r="Z657" s="9"/>
    </row>
    <row r="658" spans="1:26">
      <c r="A658" s="9"/>
      <c r="B658" s="9"/>
      <c r="C658" s="9"/>
      <c r="D658" s="9"/>
      <c r="E658" s="35"/>
      <c r="F658" s="35"/>
      <c r="G658" s="256"/>
      <c r="H658" s="265"/>
      <c r="I658" s="260"/>
      <c r="J658" s="265"/>
      <c r="K658" s="260"/>
      <c r="L658" s="111"/>
      <c r="M658" s="9"/>
      <c r="N658" s="9"/>
      <c r="O658" s="9"/>
      <c r="P658" s="9"/>
      <c r="Q658" s="9"/>
      <c r="R658" s="9"/>
      <c r="S658" s="9"/>
      <c r="T658" s="9"/>
      <c r="U658" s="9"/>
      <c r="V658" s="9"/>
      <c r="W658" s="9"/>
      <c r="X658" s="9"/>
      <c r="Y658" s="9"/>
      <c r="Z658" s="9"/>
    </row>
    <row r="659" spans="1:26">
      <c r="A659" s="9"/>
      <c r="B659" s="9"/>
      <c r="C659" s="9"/>
      <c r="D659" s="9"/>
      <c r="E659" s="35"/>
      <c r="F659" s="35"/>
      <c r="G659" s="256"/>
      <c r="H659" s="265"/>
      <c r="I659" s="260"/>
      <c r="J659" s="265"/>
      <c r="K659" s="260"/>
      <c r="L659" s="111"/>
      <c r="M659" s="9"/>
      <c r="N659" s="9"/>
      <c r="O659" s="9"/>
      <c r="P659" s="9"/>
      <c r="Q659" s="9"/>
      <c r="R659" s="9"/>
      <c r="S659" s="9"/>
      <c r="T659" s="9"/>
      <c r="U659" s="9"/>
      <c r="V659" s="9"/>
      <c r="W659" s="9"/>
      <c r="X659" s="9"/>
      <c r="Y659" s="9"/>
      <c r="Z659" s="9"/>
    </row>
    <row r="660" spans="1:26">
      <c r="A660" s="9"/>
      <c r="B660" s="9"/>
      <c r="C660" s="9"/>
      <c r="D660" s="9"/>
      <c r="E660" s="35"/>
      <c r="F660" s="35"/>
      <c r="G660" s="256"/>
      <c r="H660" s="265"/>
      <c r="I660" s="260"/>
      <c r="J660" s="265"/>
      <c r="K660" s="260"/>
      <c r="L660" s="111"/>
      <c r="M660" s="9"/>
      <c r="N660" s="9"/>
      <c r="O660" s="9"/>
      <c r="P660" s="9"/>
      <c r="Q660" s="9"/>
      <c r="R660" s="9"/>
      <c r="S660" s="9"/>
      <c r="T660" s="9"/>
      <c r="U660" s="9"/>
      <c r="V660" s="9"/>
      <c r="W660" s="9"/>
      <c r="X660" s="9"/>
      <c r="Y660" s="9"/>
      <c r="Z660" s="9"/>
    </row>
  </sheetData>
  <dataConsolidate/>
  <mergeCells count="90">
    <mergeCell ref="C415:C424"/>
    <mergeCell ref="H415:H424"/>
    <mergeCell ref="C400:D400"/>
    <mergeCell ref="C401:C410"/>
    <mergeCell ref="H401:H410"/>
    <mergeCell ref="C414:D414"/>
    <mergeCell ref="C386:D386"/>
    <mergeCell ref="C387:C396"/>
    <mergeCell ref="H387:H396"/>
    <mergeCell ref="C316:D316"/>
    <mergeCell ref="C317:C326"/>
    <mergeCell ref="H317:H326"/>
    <mergeCell ref="C330:D330"/>
    <mergeCell ref="C331:C340"/>
    <mergeCell ref="H331:H340"/>
    <mergeCell ref="C344:D344"/>
    <mergeCell ref="C358:D358"/>
    <mergeCell ref="C359:C368"/>
    <mergeCell ref="H359:H368"/>
    <mergeCell ref="C372:D372"/>
    <mergeCell ref="C373:C382"/>
    <mergeCell ref="H373:H382"/>
    <mergeCell ref="H345:H354"/>
    <mergeCell ref="H107:H116"/>
    <mergeCell ref="C8:D8"/>
    <mergeCell ref="C36:D36"/>
    <mergeCell ref="C121:C130"/>
    <mergeCell ref="C9:C18"/>
    <mergeCell ref="C23:C32"/>
    <mergeCell ref="C22:D22"/>
    <mergeCell ref="C64:D64"/>
    <mergeCell ref="C50:D50"/>
    <mergeCell ref="C65:C74"/>
    <mergeCell ref="C37:C46"/>
    <mergeCell ref="C135:C144"/>
    <mergeCell ref="C149:C158"/>
    <mergeCell ref="C120:D120"/>
    <mergeCell ref="C78:D78"/>
    <mergeCell ref="C106:D106"/>
    <mergeCell ref="C107:C116"/>
    <mergeCell ref="C79:C88"/>
    <mergeCell ref="C345:C354"/>
    <mergeCell ref="C260:D260"/>
    <mergeCell ref="C190:D190"/>
    <mergeCell ref="C247:C256"/>
    <mergeCell ref="C204:D204"/>
    <mergeCell ref="C218:D218"/>
    <mergeCell ref="C191:C200"/>
    <mergeCell ref="C205:C214"/>
    <mergeCell ref="C219:C228"/>
    <mergeCell ref="C233:C242"/>
    <mergeCell ref="C232:D232"/>
    <mergeCell ref="C246:D246"/>
    <mergeCell ref="C92:D92"/>
    <mergeCell ref="H9:H18"/>
    <mergeCell ref="H23:H32"/>
    <mergeCell ref="H149:H158"/>
    <mergeCell ref="H37:H46"/>
    <mergeCell ref="H51:H60"/>
    <mergeCell ref="H65:H74"/>
    <mergeCell ref="H79:H88"/>
    <mergeCell ref="H93:H102"/>
    <mergeCell ref="H121:H130"/>
    <mergeCell ref="H135:H144"/>
    <mergeCell ref="C93:C102"/>
    <mergeCell ref="H163:H172"/>
    <mergeCell ref="H177:H186"/>
    <mergeCell ref="C51:C60"/>
    <mergeCell ref="H261:H270"/>
    <mergeCell ref="H205:H214"/>
    <mergeCell ref="H219:H228"/>
    <mergeCell ref="H233:H242"/>
    <mergeCell ref="H247:H256"/>
    <mergeCell ref="C134:D134"/>
    <mergeCell ref="C148:D148"/>
    <mergeCell ref="C176:D176"/>
    <mergeCell ref="C163:C172"/>
    <mergeCell ref="C162:D162"/>
    <mergeCell ref="H191:H200"/>
    <mergeCell ref="C177:C186"/>
    <mergeCell ref="C274:D274"/>
    <mergeCell ref="C261:C270"/>
    <mergeCell ref="H275:H284"/>
    <mergeCell ref="C303:C312"/>
    <mergeCell ref="H303:H312"/>
    <mergeCell ref="C288:D288"/>
    <mergeCell ref="C289:C298"/>
    <mergeCell ref="H289:H298"/>
    <mergeCell ref="C302:D302"/>
    <mergeCell ref="C275:C284"/>
  </mergeCells>
  <phoneticPr fontId="15" type="noConversion"/>
  <pageMargins left="0.7" right="0.7" top="0.75" bottom="0.75" header="0.3" footer="0.3"/>
  <pageSetup paperSize="9" scale="59" orientation="portrait" r:id="rId1"/>
  <colBreaks count="1" manualBreakCount="1">
    <brk id="15" max="519" man="1"/>
  </colBreaks>
</worksheet>
</file>

<file path=xl/worksheets/sheet9.xml><?xml version="1.0" encoding="utf-8"?>
<worksheet xmlns="http://schemas.openxmlformats.org/spreadsheetml/2006/main" xmlns:r="http://schemas.openxmlformats.org/officeDocument/2006/relationships">
  <sheetPr codeName="Sheet8"/>
  <dimension ref="A1:Z260"/>
  <sheetViews>
    <sheetView zoomScaleNormal="100" workbookViewId="0">
      <selection activeCell="F54" sqref="F54"/>
    </sheetView>
  </sheetViews>
  <sheetFormatPr defaultRowHeight="12.75" outlineLevelRow="1"/>
  <cols>
    <col min="1" max="4" width="0.85546875" customWidth="1"/>
    <col min="5" max="5" width="29.5703125" style="254" customWidth="1"/>
    <col min="6" max="6" width="14.28515625" style="254" customWidth="1"/>
    <col min="7" max="7" width="14.28515625" style="263" customWidth="1"/>
    <col min="8" max="8" width="14.28515625" style="266" customWidth="1"/>
    <col min="9" max="9" width="14.28515625" style="264" customWidth="1"/>
    <col min="10" max="10" width="15.140625" style="264" customWidth="1"/>
    <col min="11" max="11" width="16.140625" style="266" customWidth="1"/>
    <col min="12" max="12" width="14.28515625" style="264" customWidth="1"/>
    <col min="13" max="13" width="12.28515625" style="279" customWidth="1"/>
    <col min="14" max="14" width="11.28515625" customWidth="1"/>
    <col min="15" max="15" width="14.28515625" customWidth="1"/>
    <col min="16" max="17" width="12.5703125" customWidth="1"/>
    <col min="18" max="18" width="13.7109375" customWidth="1"/>
  </cols>
  <sheetData>
    <row r="1" spans="1:26" ht="15.75">
      <c r="A1" s="252"/>
      <c r="B1" s="252"/>
      <c r="C1" s="252"/>
      <c r="D1" s="252"/>
      <c r="E1" s="362" t="str">
        <f>'SP AusNet record of changes'!$B$2</f>
        <v>SP AusNet  - RFM - data as at 28-February-2013</v>
      </c>
      <c r="F1" s="252"/>
      <c r="G1" s="252"/>
      <c r="H1" s="252"/>
      <c r="I1" s="252"/>
      <c r="J1" s="252"/>
      <c r="K1" s="252"/>
      <c r="L1" s="252"/>
      <c r="M1" s="252"/>
      <c r="N1" s="252"/>
      <c r="O1" s="252"/>
      <c r="P1" s="252"/>
      <c r="Q1" s="252"/>
      <c r="R1" s="252"/>
      <c r="S1" s="252"/>
      <c r="T1" s="252"/>
      <c r="U1" s="252"/>
      <c r="V1" s="252"/>
      <c r="W1" s="252"/>
      <c r="X1" s="252"/>
      <c r="Y1" s="252"/>
      <c r="Z1" s="252"/>
    </row>
    <row r="2" spans="1:26" s="198" customFormat="1" ht="15.75">
      <c r="A2" s="252"/>
      <c r="B2" s="57"/>
      <c r="C2" s="44"/>
      <c r="D2" s="44"/>
      <c r="E2" s="296"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row>
    <row r="3" spans="1:26">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6.5" customHeight="1">
      <c r="A4" s="82"/>
      <c r="B4" s="83"/>
      <c r="C4" s="82"/>
      <c r="D4" s="82"/>
      <c r="E4" s="82"/>
      <c r="F4" s="82"/>
      <c r="G4" s="144"/>
      <c r="H4" s="144"/>
      <c r="I4" s="144"/>
      <c r="J4" s="144"/>
      <c r="K4" s="144"/>
      <c r="L4" s="144"/>
      <c r="M4" s="144"/>
      <c r="N4" s="144"/>
      <c r="O4" s="144"/>
      <c r="P4" s="144"/>
      <c r="Q4" s="144"/>
      <c r="R4" s="144"/>
      <c r="S4" s="44"/>
      <c r="T4" s="44"/>
      <c r="U4" s="44"/>
      <c r="V4" s="44"/>
      <c r="W4" s="44"/>
      <c r="X4" s="44"/>
      <c r="Y4" s="44"/>
      <c r="Z4" s="44"/>
    </row>
    <row r="5" spans="1:26">
      <c r="A5" s="74"/>
      <c r="B5" s="156"/>
      <c r="C5" s="156"/>
      <c r="D5" s="156"/>
      <c r="E5" s="387" t="str">
        <f>"Opening Regulatory Asset Base for "&amp;Q7&amp;" ($m Nominal)"</f>
        <v>Opening Regulatory Asset Base for 2014-15 ($m Nominal)</v>
      </c>
      <c r="F5" s="387"/>
      <c r="G5" s="387"/>
      <c r="H5" s="387"/>
      <c r="I5" s="275"/>
      <c r="J5" s="275"/>
      <c r="K5" s="275"/>
      <c r="L5" s="275"/>
      <c r="M5" s="74"/>
      <c r="N5" s="74"/>
      <c r="O5" s="74"/>
      <c r="P5" s="74"/>
      <c r="Q5" s="74"/>
      <c r="R5" s="74"/>
      <c r="S5" s="44"/>
      <c r="T5" s="44"/>
      <c r="U5" s="44"/>
      <c r="V5" s="44"/>
      <c r="W5" s="44"/>
      <c r="X5" s="44"/>
      <c r="Y5" s="44"/>
      <c r="Z5" s="44"/>
    </row>
    <row r="6" spans="1:26" s="285" customFormat="1" ht="51.75" customHeight="1">
      <c r="A6" s="283"/>
      <c r="B6" s="283"/>
      <c r="C6" s="283"/>
      <c r="D6" s="283"/>
      <c r="E6" s="284"/>
      <c r="F6" s="284"/>
      <c r="G6" s="404" t="s">
        <v>83</v>
      </c>
      <c r="H6" s="404"/>
      <c r="I6" s="404"/>
      <c r="J6" s="288" t="s">
        <v>110</v>
      </c>
      <c r="K6" s="288" t="s">
        <v>109</v>
      </c>
      <c r="L6" s="289" t="s">
        <v>100</v>
      </c>
      <c r="M6" s="289" t="s">
        <v>93</v>
      </c>
      <c r="N6" s="288" t="s">
        <v>65</v>
      </c>
      <c r="O6" s="288" t="s">
        <v>101</v>
      </c>
      <c r="P6" s="288" t="s">
        <v>92</v>
      </c>
      <c r="Q6" s="288" t="s">
        <v>21</v>
      </c>
      <c r="R6" s="288" t="s">
        <v>94</v>
      </c>
      <c r="S6" s="283"/>
      <c r="T6" s="283"/>
      <c r="U6" s="283"/>
      <c r="V6" s="283"/>
      <c r="W6" s="283"/>
      <c r="X6" s="283"/>
      <c r="Y6" s="283"/>
      <c r="Z6" s="283"/>
    </row>
    <row r="7" spans="1:26">
      <c r="A7" s="9"/>
      <c r="B7" s="9"/>
      <c r="C7" s="9"/>
      <c r="D7" s="9"/>
      <c r="E7" s="402" t="str">
        <f>Input!F7</f>
        <v>Asset Class 1</v>
      </c>
      <c r="F7" s="403"/>
      <c r="G7" s="405" t="str">
        <f>Asset1</f>
        <v>Secondary</v>
      </c>
      <c r="H7" s="406"/>
      <c r="I7" s="406"/>
      <c r="J7" s="307">
        <f>HLOOKUP(IF(Input!$Y$7="",5,Input!$Y$7),'Total actual RAB roll forward'!$L$437:$Q$468,3,FALSE)</f>
        <v>175.67510853763036</v>
      </c>
      <c r="K7" s="290">
        <f>HLOOKUP(IF(Input!$Y$7="",5,Input!$Y$7),'Total actual RAB roll forward'!$L$806:$Q$837,3,FALSE)</f>
        <v>144.89689276237527</v>
      </c>
      <c r="L7" s="290">
        <f ca="1">IF('Asset lives roll forward'!F19=0,"n/a",'Asset lives roll forward'!F19)</f>
        <v>8.8576297623415385</v>
      </c>
      <c r="M7" s="291"/>
      <c r="N7" s="319">
        <f>HLOOKUP(IF(Input!$Y$7="",5,Input!$Y$7),'Tax value roll forward'!$M$2:$R$37,7,FALSE)</f>
        <v>169.77126383682722</v>
      </c>
      <c r="O7" s="290">
        <f ca="1">IF('Asset lives roll forward'!K19=0,"n/a",'Asset lives roll forward'!K19)</f>
        <v>13.116260482945453</v>
      </c>
      <c r="P7" s="291"/>
      <c r="Q7" s="294" t="str">
        <f>HLOOKUP(IF(Input!Y7="",5,Input!Y7),'Tax value roll forward'!I2:R4,3,FALSE)</f>
        <v>2014-15</v>
      </c>
      <c r="R7" s="292"/>
      <c r="S7" s="44"/>
      <c r="T7" s="44"/>
      <c r="U7" s="44"/>
      <c r="V7" s="44"/>
      <c r="W7" s="44"/>
      <c r="X7" s="44"/>
      <c r="Y7" s="44"/>
      <c r="Z7" s="44"/>
    </row>
    <row r="8" spans="1:26">
      <c r="A8" s="9"/>
      <c r="B8" s="9"/>
      <c r="C8" s="9"/>
      <c r="D8" s="9"/>
      <c r="E8" s="402" t="str">
        <f>Input!F8</f>
        <v>Asset Class 2</v>
      </c>
      <c r="F8" s="403"/>
      <c r="G8" s="400" t="str">
        <f>Asset2</f>
        <v>Switchgear</v>
      </c>
      <c r="H8" s="401"/>
      <c r="I8" s="401"/>
      <c r="J8" s="306">
        <f>HLOOKUP(IF(Input!$Y$7="",5,Input!$Y$7),'Total actual RAB roll forward'!$L$437:$Q$468,4,FALSE)</f>
        <v>526.40672128550204</v>
      </c>
      <c r="K8" s="286">
        <f>HLOOKUP(IF(Input!$Y$7="",5,Input!$Y$7),'Total actual RAB roll forward'!$L$806:$Q$837,4,FALSE)</f>
        <v>498.49010572684944</v>
      </c>
      <c r="L8" s="286">
        <f ca="1">IF('Asset lives roll forward'!F33=0,"n/a",'Asset lives roll forward'!F33)</f>
        <v>29.743923923649703</v>
      </c>
      <c r="M8" s="287"/>
      <c r="N8" s="314">
        <f>HLOOKUP(IF(Input!$Y$7="",5,Input!$Y$7),'Tax value roll forward'!$M$2:$R$37,8,FALSE)</f>
        <v>425.37817126494207</v>
      </c>
      <c r="O8" s="286">
        <f ca="1">IF('Asset lives roll forward'!K33=0,"n/a",'Asset lives roll forward'!K33)</f>
        <v>28.645555066830202</v>
      </c>
      <c r="P8" s="287"/>
      <c r="Q8" s="277"/>
      <c r="R8" s="12"/>
      <c r="S8" s="44"/>
      <c r="T8" s="44"/>
      <c r="U8" s="44"/>
      <c r="V8" s="44"/>
      <c r="W8" s="44"/>
      <c r="X8" s="44"/>
      <c r="Y8" s="44"/>
      <c r="Z8" s="44"/>
    </row>
    <row r="9" spans="1:26">
      <c r="A9" s="9"/>
      <c r="B9" s="9"/>
      <c r="C9" s="9"/>
      <c r="D9" s="9"/>
      <c r="E9" s="402" t="str">
        <f>Input!F9</f>
        <v>Asset Class 3</v>
      </c>
      <c r="F9" s="403"/>
      <c r="G9" s="400" t="str">
        <f>Asset3</f>
        <v>Transformers</v>
      </c>
      <c r="H9" s="401"/>
      <c r="I9" s="401"/>
      <c r="J9" s="306">
        <f>HLOOKUP(IF(Input!$Y$7="",5,Input!$Y$7),'Total actual RAB roll forward'!$L$437:$Q$468,5,FALSE)</f>
        <v>249.94043670460226</v>
      </c>
      <c r="K9" s="286">
        <f>HLOOKUP(IF(Input!$Y$7="",5,Input!$Y$7),'Total actual RAB roll forward'!$L$806:$Q$837,5,FALSE)</f>
        <v>210.50550637764931</v>
      </c>
      <c r="L9" s="286">
        <f ca="1">IF('Asset lives roll forward'!F47=0,"n/a",'Asset lives roll forward'!F47)</f>
        <v>26.381825298912371</v>
      </c>
      <c r="M9" s="287"/>
      <c r="N9" s="314">
        <f>HLOOKUP(IF(Input!$Y$7="",5,Input!$Y$7),'Tax value roll forward'!$M$2:$R$37,9,FALSE)</f>
        <v>195.29659434747191</v>
      </c>
      <c r="O9" s="286">
        <f ca="1">IF('Asset lives roll forward'!K47=0,"n/a",'Asset lives roll forward'!K47)</f>
        <v>25.721448429986395</v>
      </c>
      <c r="P9" s="287"/>
      <c r="Q9" s="277"/>
      <c r="R9" s="12"/>
      <c r="S9" s="44"/>
      <c r="T9" s="44"/>
      <c r="U9" s="44"/>
      <c r="V9" s="44"/>
      <c r="W9" s="44"/>
      <c r="X9" s="44"/>
      <c r="Y9" s="44"/>
      <c r="Z9" s="44"/>
    </row>
    <row r="10" spans="1:26">
      <c r="A10" s="9"/>
      <c r="B10" s="9"/>
      <c r="C10" s="9"/>
      <c r="D10" s="9"/>
      <c r="E10" s="402" t="str">
        <f>Input!F10</f>
        <v>Asset Class 4</v>
      </c>
      <c r="F10" s="403"/>
      <c r="G10" s="400" t="str">
        <f>Asset4</f>
        <v>Reactive</v>
      </c>
      <c r="H10" s="401"/>
      <c r="I10" s="401"/>
      <c r="J10" s="306">
        <f>HLOOKUP(IF(Input!$Y$7="",5,Input!$Y$7),'Total actual RAB roll forward'!$L$437:$Q$468,6,FALSE)</f>
        <v>80.017920153563537</v>
      </c>
      <c r="K10" s="286">
        <f>HLOOKUP(IF(Input!$Y$7="",5,Input!$Y$7),'Total actual RAB roll forward'!$L$806:$Q$837,6,FALSE)</f>
        <v>75.295585991961602</v>
      </c>
      <c r="L10" s="286">
        <f ca="1">IF('Asset lives roll forward'!F61=0,"n/a",'Asset lives roll forward'!F61)</f>
        <v>17.281135934644226</v>
      </c>
      <c r="M10" s="287"/>
      <c r="N10" s="314">
        <f>HLOOKUP(IF(Input!$Y$7="",5,Input!$Y$7),'Tax value roll forward'!$M$2:$R$37,10,FALSE)</f>
        <v>58.122727262291193</v>
      </c>
      <c r="O10" s="286">
        <f ca="1">IF('Asset lives roll forward'!K61=0,"n/a",'Asset lives roll forward'!K61)</f>
        <v>17.258819666136606</v>
      </c>
      <c r="P10" s="287"/>
      <c r="Q10" s="277"/>
      <c r="R10" s="12"/>
      <c r="S10" s="44"/>
      <c r="T10" s="44"/>
      <c r="U10" s="44"/>
      <c r="V10" s="44"/>
      <c r="W10" s="44"/>
      <c r="X10" s="44"/>
      <c r="Y10" s="44"/>
      <c r="Z10" s="44"/>
    </row>
    <row r="11" spans="1:26">
      <c r="A11" s="9"/>
      <c r="B11" s="9"/>
      <c r="C11" s="9"/>
      <c r="D11" s="9"/>
      <c r="E11" s="402" t="str">
        <f>Input!F11</f>
        <v>Asset Class 5</v>
      </c>
      <c r="F11" s="403"/>
      <c r="G11" s="400" t="str">
        <f>Asset5</f>
        <v>Towers and Conductor</v>
      </c>
      <c r="H11" s="401"/>
      <c r="I11" s="401"/>
      <c r="J11" s="306">
        <f>HLOOKUP(IF(Input!$Y$7="",5,Input!$Y$7),'Total actual RAB roll forward'!$L$437:$Q$468,7,FALSE)</f>
        <v>1085.5109972894495</v>
      </c>
      <c r="K11" s="286">
        <f>HLOOKUP(IF(Input!$Y$7="",5,Input!$Y$7),'Total actual RAB roll forward'!$L$806:$Q$837,7,FALSE)</f>
        <v>1076.7385553355823</v>
      </c>
      <c r="L11" s="286">
        <f ca="1">IF('Asset lives roll forward'!F75=0,"n/a",'Asset lives roll forward'!F75)</f>
        <v>26.902754818629546</v>
      </c>
      <c r="M11" s="287"/>
      <c r="N11" s="314">
        <f>HLOOKUP(IF(Input!$Y$7="",5,Input!$Y$7),'Tax value roll forward'!$M$2:$R$37,11,FALSE)</f>
        <v>799.61030206880594</v>
      </c>
      <c r="O11" s="286">
        <f ca="1">IF('Asset lives roll forward'!K75=0,"n/a",'Asset lives roll forward'!K75)</f>
        <v>26.004978656496625</v>
      </c>
      <c r="P11" s="287"/>
      <c r="Q11" s="277"/>
      <c r="R11" s="12"/>
      <c r="S11" s="44"/>
      <c r="T11" s="44"/>
      <c r="U11" s="44"/>
      <c r="V11" s="44"/>
      <c r="W11" s="44"/>
      <c r="X11" s="44"/>
      <c r="Y11" s="44"/>
      <c r="Z11" s="44"/>
    </row>
    <row r="12" spans="1:26">
      <c r="A12" s="9"/>
      <c r="B12" s="9"/>
      <c r="C12" s="9"/>
      <c r="D12" s="9"/>
      <c r="E12" s="402" t="str">
        <f>Input!F12</f>
        <v>Asset Class 6</v>
      </c>
      <c r="F12" s="403"/>
      <c r="G12" s="400" t="str">
        <f>Asset6</f>
        <v>Establishment</v>
      </c>
      <c r="H12" s="401"/>
      <c r="I12" s="401"/>
      <c r="J12" s="306">
        <f>HLOOKUP(IF(Input!$Y$7="",5,Input!$Y$7),'Total actual RAB roll forward'!$L$437:$Q$468,8,FALSE)</f>
        <v>176.67745120673959</v>
      </c>
      <c r="K12" s="286">
        <f>HLOOKUP(IF(Input!$Y$7="",5,Input!$Y$7),'Total actual RAB roll forward'!$L$806:$Q$837,8,FALSE)</f>
        <v>147.66929897409022</v>
      </c>
      <c r="L12" s="286">
        <f ca="1">IF('Asset lives roll forward'!F89=0,"n/a",'Asset lives roll forward'!F89)</f>
        <v>33.556811022201828</v>
      </c>
      <c r="M12" s="287"/>
      <c r="N12" s="314">
        <f>HLOOKUP(IF(Input!$Y$7="",5,Input!$Y$7),'Tax value roll forward'!$M$2:$R$37,12,FALSE)</f>
        <v>124.7273347536069</v>
      </c>
      <c r="O12" s="286">
        <f ca="1">IF('Asset lives roll forward'!K89=0,"n/a",'Asset lives roll forward'!K89)</f>
        <v>32.54131764572724</v>
      </c>
      <c r="P12" s="287"/>
      <c r="Q12" s="277"/>
      <c r="R12" s="12"/>
      <c r="S12" s="44"/>
      <c r="T12" s="44"/>
      <c r="U12" s="44"/>
      <c r="V12" s="44"/>
      <c r="W12" s="44"/>
      <c r="X12" s="44"/>
      <c r="Y12" s="44"/>
      <c r="Z12" s="44"/>
    </row>
    <row r="13" spans="1:26">
      <c r="A13" s="9"/>
      <c r="B13" s="9"/>
      <c r="C13" s="9"/>
      <c r="D13" s="9"/>
      <c r="E13" s="402" t="str">
        <f>Input!F13</f>
        <v>Asset Class 7</v>
      </c>
      <c r="F13" s="403"/>
      <c r="G13" s="400" t="str">
        <f>Asset7</f>
        <v>Communications</v>
      </c>
      <c r="H13" s="401"/>
      <c r="I13" s="401"/>
      <c r="J13" s="306">
        <f>HLOOKUP(IF(Input!$Y$7="",5,Input!$Y$7),'Total actual RAB roll forward'!$L$437:$Q$468,9,FALSE)</f>
        <v>40.238922980601608</v>
      </c>
      <c r="K13" s="286">
        <f>HLOOKUP(IF(Input!$Y$7="",5,Input!$Y$7),'Total actual RAB roll forward'!$L$806:$Q$837,9,FALSE)</f>
        <v>21.578674566722913</v>
      </c>
      <c r="L13" s="286">
        <f ca="1">IF('Asset lives roll forward'!F103=0,"n/a",'Asset lives roll forward'!F103)</f>
        <v>11.771791441489595</v>
      </c>
      <c r="M13" s="287"/>
      <c r="N13" s="314">
        <f>HLOOKUP(IF(Input!$Y$7="",5,Input!$Y$7),'Tax value roll forward'!$M$2:$R$37,13,FALSE)</f>
        <v>28.135271983928408</v>
      </c>
      <c r="O13" s="286">
        <f ca="1">IF('Asset lives roll forward'!K103=0,"n/a",'Asset lives roll forward'!K103)</f>
        <v>9.567408857527818</v>
      </c>
      <c r="P13" s="287"/>
      <c r="Q13" s="277"/>
      <c r="R13" s="12"/>
      <c r="S13" s="44"/>
      <c r="T13" s="44"/>
      <c r="U13" s="44"/>
      <c r="V13" s="44"/>
      <c r="W13" s="44"/>
      <c r="X13" s="44"/>
      <c r="Y13" s="44"/>
      <c r="Z13" s="44"/>
    </row>
    <row r="14" spans="1:26">
      <c r="A14" s="9"/>
      <c r="B14" s="9"/>
      <c r="C14" s="9"/>
      <c r="D14" s="9"/>
      <c r="E14" s="402" t="str">
        <f>Input!F14</f>
        <v>Asset Class 8</v>
      </c>
      <c r="F14" s="403"/>
      <c r="G14" s="400" t="str">
        <f>Asset8</f>
        <v>Inventory</v>
      </c>
      <c r="H14" s="401"/>
      <c r="I14" s="401"/>
      <c r="J14" s="306">
        <f>HLOOKUP(IF(Input!$Y$7="",5,Input!$Y$7),'Total actual RAB roll forward'!$L$437:$Q$468,10,FALSE)</f>
        <v>8.101365571660196</v>
      </c>
      <c r="K14" s="286">
        <f>HLOOKUP(IF(Input!$Y$7="",5,Input!$Y$7),'Total actual RAB roll forward'!$L$806:$Q$837,10,FALSE)</f>
        <v>8.101365571660196</v>
      </c>
      <c r="L14" s="286" t="str">
        <f ca="1">IF('Asset lives roll forward'!F117=0,"n/a",'Asset lives roll forward'!F117)</f>
        <v>n/a</v>
      </c>
      <c r="M14" s="287"/>
      <c r="N14" s="314">
        <f>HLOOKUP(IF(Input!$Y$7="",5,Input!$Y$7),'Tax value roll forward'!$M$2:$R$37,14,FALSE)</f>
        <v>5.6919330861763093</v>
      </c>
      <c r="O14" s="286" t="str">
        <f ca="1">IF('Asset lives roll forward'!K117=0,"n/a",'Asset lives roll forward'!K117)</f>
        <v>n/a</v>
      </c>
      <c r="P14" s="287"/>
      <c r="Q14" s="277"/>
      <c r="R14" s="12"/>
      <c r="S14" s="44"/>
      <c r="T14" s="44"/>
      <c r="U14" s="44"/>
      <c r="V14" s="44"/>
      <c r="W14" s="44"/>
      <c r="X14" s="44"/>
      <c r="Y14" s="44"/>
      <c r="Z14" s="44"/>
    </row>
    <row r="15" spans="1:26">
      <c r="A15" s="9"/>
      <c r="B15" s="9"/>
      <c r="C15" s="9"/>
      <c r="D15" s="9"/>
      <c r="E15" s="402" t="str">
        <f>Input!F15</f>
        <v>Asset Class 9</v>
      </c>
      <c r="F15" s="403"/>
      <c r="G15" s="400" t="str">
        <f>Asset9</f>
        <v>IT</v>
      </c>
      <c r="H15" s="401"/>
      <c r="I15" s="401"/>
      <c r="J15" s="306">
        <f>HLOOKUP(IF(Input!$Y$7="",5,Input!$Y$7),'Total actual RAB roll forward'!$L$437:$Q$468,11,FALSE)</f>
        <v>89.868196504832213</v>
      </c>
      <c r="K15" s="286">
        <f>HLOOKUP(IF(Input!$Y$7="",5,Input!$Y$7),'Total actual RAB roll forward'!$L$806:$Q$837,11,FALSE)</f>
        <v>75.049174317939489</v>
      </c>
      <c r="L15" s="286">
        <f ca="1">IF('Asset lives roll forward'!F131=0,"n/a",'Asset lives roll forward'!F131)</f>
        <v>3.536027538888074</v>
      </c>
      <c r="M15" s="287"/>
      <c r="N15" s="314">
        <f>HLOOKUP(IF(Input!$Y$7="",5,Input!$Y$7),'Tax value roll forward'!$M$2:$R$37,15,FALSE)</f>
        <v>48.255639830579554</v>
      </c>
      <c r="O15" s="286">
        <f ca="1">IF('Asset lives roll forward'!K131=0,"n/a",'Asset lives roll forward'!K131)</f>
        <v>2.6489811383486446</v>
      </c>
      <c r="P15" s="287"/>
      <c r="Q15" s="277"/>
      <c r="R15" s="12"/>
      <c r="S15" s="44"/>
      <c r="T15" s="44"/>
      <c r="U15" s="44"/>
      <c r="V15" s="44"/>
      <c r="W15" s="44"/>
      <c r="X15" s="44"/>
      <c r="Y15" s="44"/>
      <c r="Z15" s="44"/>
    </row>
    <row r="16" spans="1:26">
      <c r="A16" s="9"/>
      <c r="B16" s="9"/>
      <c r="C16" s="9"/>
      <c r="D16" s="9"/>
      <c r="E16" s="402" t="str">
        <f>Input!F16</f>
        <v>Asset Class 10</v>
      </c>
      <c r="F16" s="403"/>
      <c r="G16" s="400" t="str">
        <f>Asset10</f>
        <v>Vehicles</v>
      </c>
      <c r="H16" s="401"/>
      <c r="I16" s="401"/>
      <c r="J16" s="306">
        <f>HLOOKUP(IF(Input!$Y$7="",5,Input!$Y$7),'Total actual RAB roll forward'!$L$437:$Q$468,12,FALSE)</f>
        <v>7.5069826336705034</v>
      </c>
      <c r="K16" s="286">
        <f>HLOOKUP(IF(Input!$Y$7="",5,Input!$Y$7),'Total actual RAB roll forward'!$L$806:$Q$837,12,FALSE)</f>
        <v>5.7468867792595972</v>
      </c>
      <c r="L16" s="286">
        <f ca="1">IF('Asset lives roll forward'!F145=0,"n/a",'Asset lives roll forward'!F145)</f>
        <v>5.8997172057508429</v>
      </c>
      <c r="M16" s="287"/>
      <c r="N16" s="314">
        <f>HLOOKUP(IF(Input!$Y$7="",5,Input!$Y$7),'Tax value roll forward'!$M$2:$R$37,16,FALSE)</f>
        <v>4.3261636400041876</v>
      </c>
      <c r="O16" s="286">
        <f ca="1">IF('Asset lives roll forward'!K145=0,"n/a",'Asset lives roll forward'!K145)</f>
        <v>6.6080252398799599</v>
      </c>
      <c r="P16" s="287"/>
      <c r="Q16" s="277"/>
      <c r="R16" s="12"/>
      <c r="S16" s="44"/>
      <c r="T16" s="44"/>
      <c r="U16" s="44"/>
      <c r="V16" s="44"/>
      <c r="W16" s="44"/>
      <c r="X16" s="44"/>
      <c r="Y16" s="44"/>
      <c r="Z16" s="44"/>
    </row>
    <row r="17" spans="1:26">
      <c r="A17" s="9"/>
      <c r="B17" s="9"/>
      <c r="C17" s="9"/>
      <c r="D17" s="9"/>
      <c r="E17" s="402" t="str">
        <f>Input!F17</f>
        <v>Asset Class 11</v>
      </c>
      <c r="F17" s="403"/>
      <c r="G17" s="400" t="str">
        <f>Asset11</f>
        <v>other</v>
      </c>
      <c r="H17" s="401"/>
      <c r="I17" s="401"/>
      <c r="J17" s="306">
        <f>HLOOKUP(IF(Input!$Y$7="",5,Input!$Y$7),'Total actual RAB roll forward'!$L$437:$Q$468,13,FALSE)</f>
        <v>40.223503495344602</v>
      </c>
      <c r="K17" s="286">
        <f>HLOOKUP(IF(Input!$Y$7="",5,Input!$Y$7),'Total actual RAB roll forward'!$L$806:$Q$837,13,FALSE)</f>
        <v>19.13488297089155</v>
      </c>
      <c r="L17" s="286">
        <f ca="1">IF('Asset lives roll forward'!F159=0,"n/a",'Asset lives roll forward'!F159)</f>
        <v>6.6126909568276391</v>
      </c>
      <c r="M17" s="287"/>
      <c r="N17" s="314">
        <f>HLOOKUP(IF(Input!$Y$7="",5,Input!$Y$7),'Tax value roll forward'!$M$2:$R$37,17,FALSE)</f>
        <v>12.95452594934428</v>
      </c>
      <c r="O17" s="286">
        <f ca="1">IF('Asset lives roll forward'!K159=0,"n/a",'Asset lives roll forward'!K159)</f>
        <v>7.0545759752359194</v>
      </c>
      <c r="P17" s="287"/>
      <c r="Q17" s="277"/>
      <c r="R17" s="12"/>
      <c r="S17" s="44"/>
      <c r="T17" s="44"/>
      <c r="U17" s="44"/>
      <c r="V17" s="44"/>
      <c r="W17" s="44"/>
      <c r="X17" s="44"/>
      <c r="Y17" s="44"/>
      <c r="Z17" s="44"/>
    </row>
    <row r="18" spans="1:26">
      <c r="A18" s="9"/>
      <c r="B18" s="9"/>
      <c r="C18" s="9"/>
      <c r="D18" s="9"/>
      <c r="E18" s="402" t="str">
        <f>Input!F18</f>
        <v>Asset Class 12</v>
      </c>
      <c r="F18" s="403"/>
      <c r="G18" s="400" t="str">
        <f>Asset12</f>
        <v>premises</v>
      </c>
      <c r="H18" s="401"/>
      <c r="I18" s="401"/>
      <c r="J18" s="306">
        <f>HLOOKUP(IF(Input!$Y$7="",5,Input!$Y$7),'Total actual RAB roll forward'!$L$437:$Q$468,14,FALSE)</f>
        <v>2.424395692680517</v>
      </c>
      <c r="K18" s="286">
        <f>HLOOKUP(IF(Input!$Y$7="",5,Input!$Y$7),'Total actual RAB roll forward'!$L$806:$Q$837,14,FALSE)</f>
        <v>2.7265288656924587</v>
      </c>
      <c r="L18" s="286">
        <f ca="1">IF('Asset lives roll forward'!F173=0,"n/a",'Asset lives roll forward'!F173)</f>
        <v>6.113772597273984</v>
      </c>
      <c r="M18" s="287"/>
      <c r="N18" s="314">
        <f>HLOOKUP(IF(Input!$Y$7="",5,Input!$Y$7),'Tax value roll forward'!$M$2:$R$37,18,FALSE)</f>
        <v>1.8133059857832832</v>
      </c>
      <c r="O18" s="286">
        <f ca="1">IF('Asset lives roll forward'!K173=0,"n/a",'Asset lives roll forward'!K173)</f>
        <v>13.558276742071396</v>
      </c>
      <c r="P18" s="287"/>
      <c r="Q18" s="277"/>
      <c r="R18" s="12"/>
      <c r="S18" s="44"/>
      <c r="T18" s="44"/>
      <c r="U18" s="44"/>
      <c r="V18" s="44"/>
      <c r="W18" s="44"/>
      <c r="X18" s="44"/>
      <c r="Y18" s="44"/>
      <c r="Z18" s="44"/>
    </row>
    <row r="19" spans="1:26">
      <c r="A19" s="9"/>
      <c r="B19" s="9"/>
      <c r="C19" s="9"/>
      <c r="D19" s="9"/>
      <c r="E19" s="402" t="str">
        <f>Input!F19</f>
        <v>Asset Class 13</v>
      </c>
      <c r="F19" s="403"/>
      <c r="G19" s="400" t="str">
        <f>Asset13</f>
        <v>Land</v>
      </c>
      <c r="H19" s="401"/>
      <c r="I19" s="401"/>
      <c r="J19" s="306">
        <f>HLOOKUP(IF(Input!$Y$7="",5,Input!$Y$7),'Total actual RAB roll forward'!$L$437:$Q$468,15,FALSE)</f>
        <v>110.80555049402327</v>
      </c>
      <c r="K19" s="286">
        <f>HLOOKUP(IF(Input!$Y$7="",5,Input!$Y$7),'Total actual RAB roll forward'!$L$806:$Q$837,15,FALSE)</f>
        <v>111.02770744609418</v>
      </c>
      <c r="L19" s="286" t="str">
        <f ca="1">IF('Asset lives roll forward'!F187=0,"n/a",'Asset lives roll forward'!F187)</f>
        <v>n/a</v>
      </c>
      <c r="M19" s="287"/>
      <c r="N19" s="314">
        <f>HLOOKUP(IF(Input!$Y$7="",5,Input!$Y$7),'Tax value roll forward'!$M$2:$R$37,19,FALSE)</f>
        <v>82.228651999999997</v>
      </c>
      <c r="O19" s="286" t="str">
        <f ca="1">IF('Asset lives roll forward'!K187=0,"n/a",'Asset lives roll forward'!K187)</f>
        <v>n/a</v>
      </c>
      <c r="P19" s="287"/>
      <c r="Q19" s="277"/>
      <c r="R19" s="12"/>
      <c r="S19" s="44"/>
      <c r="T19" s="44"/>
      <c r="U19" s="44"/>
      <c r="V19" s="44"/>
      <c r="W19" s="44"/>
      <c r="X19" s="44"/>
      <c r="Y19" s="44"/>
      <c r="Z19" s="44"/>
    </row>
    <row r="20" spans="1:26">
      <c r="A20" s="9"/>
      <c r="B20" s="9"/>
      <c r="C20" s="9"/>
      <c r="D20" s="9"/>
      <c r="E20" s="402" t="str">
        <f>Input!F20</f>
        <v>Asset Class 14</v>
      </c>
      <c r="F20" s="403"/>
      <c r="G20" s="400" t="str">
        <f>Asset14</f>
        <v>Easements</v>
      </c>
      <c r="H20" s="401"/>
      <c r="I20" s="401"/>
      <c r="J20" s="306">
        <f>HLOOKUP(IF(Input!$Y$7="",5,Input!$Y$7),'Total actual RAB roll forward'!$L$437:$Q$468,16,FALSE)</f>
        <v>127.92240495514515</v>
      </c>
      <c r="K20" s="286">
        <f>HLOOKUP(IF(Input!$Y$7="",5,Input!$Y$7),'Total actual RAB roll forward'!$L$806:$Q$837,16,FALSE)</f>
        <v>127.92240495514515</v>
      </c>
      <c r="L20" s="286" t="str">
        <f ca="1">IF('Asset lives roll forward'!F201=0,"n/a",'Asset lives roll forward'!F201)</f>
        <v>n/a</v>
      </c>
      <c r="M20" s="287"/>
      <c r="N20" s="314">
        <f>HLOOKUP(IF(Input!$Y$7="",5,Input!$Y$7),'Tax value roll forward'!$M$2:$R$37,20,FALSE)</f>
        <v>94.584698999999986</v>
      </c>
      <c r="O20" s="286" t="str">
        <f ca="1">IF('Asset lives roll forward'!K201=0,"n/a",'Asset lives roll forward'!K201)</f>
        <v>n/a</v>
      </c>
      <c r="P20" s="287"/>
      <c r="Q20" s="277"/>
      <c r="R20" s="12"/>
      <c r="S20" s="44"/>
      <c r="T20" s="44"/>
      <c r="U20" s="44"/>
      <c r="V20" s="44"/>
      <c r="W20" s="44"/>
      <c r="X20" s="44"/>
      <c r="Y20" s="44"/>
      <c r="Z20" s="44"/>
    </row>
    <row r="21" spans="1:26" hidden="1" outlineLevel="1">
      <c r="A21" s="9"/>
      <c r="B21" s="9"/>
      <c r="C21" s="9"/>
      <c r="D21" s="9"/>
      <c r="E21" s="402" t="str">
        <f>Input!F21</f>
        <v>Asset Class 15</v>
      </c>
      <c r="F21" s="403"/>
      <c r="G21" s="400">
        <f>Asset15</f>
        <v>0</v>
      </c>
      <c r="H21" s="401"/>
      <c r="I21" s="401"/>
      <c r="J21" s="306">
        <f>HLOOKUP(IF(Input!$Y$7="",5,Input!$Y$7),'Total actual RAB roll forward'!$L$437:$Q$468,17,FALSE)</f>
        <v>0</v>
      </c>
      <c r="K21" s="286">
        <f>HLOOKUP(IF(Input!$Y$7="",5,Input!$Y$7),'Total actual RAB roll forward'!$L$806:$Q$837,17,FALSE)</f>
        <v>0</v>
      </c>
      <c r="L21" s="286" t="str">
        <f ca="1">IF('Asset lives roll forward'!F215=0,"n/a",'Asset lives roll forward'!F215)</f>
        <v>n/a</v>
      </c>
      <c r="M21" s="287"/>
      <c r="N21" s="314">
        <f>HLOOKUP(IF(Input!$Y$7="",5,Input!$Y$7),'Tax value roll forward'!$M$2:$R$37,21,FALSE)</f>
        <v>0</v>
      </c>
      <c r="O21" s="286" t="str">
        <f ca="1">IF('Asset lives roll forward'!K215=0,"n/a",'Asset lives roll forward'!K215)</f>
        <v>n/a</v>
      </c>
      <c r="P21" s="287"/>
      <c r="Q21" s="277"/>
      <c r="R21" s="12"/>
      <c r="S21" s="44"/>
      <c r="T21" s="44"/>
      <c r="U21" s="44"/>
      <c r="V21" s="44"/>
      <c r="W21" s="44"/>
      <c r="X21" s="44"/>
      <c r="Y21" s="44"/>
      <c r="Z21" s="44"/>
    </row>
    <row r="22" spans="1:26" hidden="1" outlineLevel="1">
      <c r="A22" s="9"/>
      <c r="B22" s="9"/>
      <c r="C22" s="9"/>
      <c r="D22" s="9"/>
      <c r="E22" s="402" t="str">
        <f>Input!F22</f>
        <v>Asset Class 16</v>
      </c>
      <c r="F22" s="403"/>
      <c r="G22" s="400">
        <f>Asset16</f>
        <v>0</v>
      </c>
      <c r="H22" s="401"/>
      <c r="I22" s="401"/>
      <c r="J22" s="306">
        <f>HLOOKUP(IF(Input!$Y$7="",5,Input!$Y$7),'Total actual RAB roll forward'!$L$437:$Q$468,18,FALSE)</f>
        <v>0</v>
      </c>
      <c r="K22" s="286">
        <f>HLOOKUP(IF(Input!$Y$7="",5,Input!$Y$7),'Total actual RAB roll forward'!$L$806:$Q$837,18,FALSE)</f>
        <v>0</v>
      </c>
      <c r="L22" s="286" t="str">
        <f ca="1">IF('Asset lives roll forward'!F229=0,"n/a",'Asset lives roll forward'!F229)</f>
        <v>n/a</v>
      </c>
      <c r="M22" s="287"/>
      <c r="N22" s="314">
        <f>HLOOKUP(IF(Input!$Y$7="",5,Input!$Y$7),'Tax value roll forward'!$M$2:$R$37,22,FALSE)</f>
        <v>0</v>
      </c>
      <c r="O22" s="286" t="str">
        <f ca="1">IF('Asset lives roll forward'!K229=0,"n/a",'Asset lives roll forward'!K229)</f>
        <v>n/a</v>
      </c>
      <c r="P22" s="287"/>
      <c r="Q22" s="277"/>
      <c r="R22" s="12"/>
      <c r="S22" s="44"/>
      <c r="T22" s="44"/>
      <c r="U22" s="44"/>
      <c r="V22" s="44"/>
      <c r="W22" s="44"/>
      <c r="X22" s="44"/>
      <c r="Y22" s="44"/>
      <c r="Z22" s="44"/>
    </row>
    <row r="23" spans="1:26" hidden="1" outlineLevel="1">
      <c r="A23" s="9"/>
      <c r="B23" s="9"/>
      <c r="C23" s="9"/>
      <c r="D23" s="9"/>
      <c r="E23" s="402" t="str">
        <f>Input!F23</f>
        <v>Asset Class 17</v>
      </c>
      <c r="F23" s="403"/>
      <c r="G23" s="400">
        <f>Asset17</f>
        <v>0</v>
      </c>
      <c r="H23" s="401"/>
      <c r="I23" s="401"/>
      <c r="J23" s="306">
        <f>HLOOKUP(IF(Input!$Y$7="",5,Input!$Y$7),'Total actual RAB roll forward'!$L$437:$Q$468,19,FALSE)</f>
        <v>0</v>
      </c>
      <c r="K23" s="286">
        <f>HLOOKUP(IF(Input!$Y$7="",5,Input!$Y$7),'Total actual RAB roll forward'!$L$806:$Q$837,19,FALSE)</f>
        <v>0</v>
      </c>
      <c r="L23" s="286" t="str">
        <f ca="1">IF('Asset lives roll forward'!F243=0,"n/a",'Asset lives roll forward'!F243)</f>
        <v>n/a</v>
      </c>
      <c r="M23" s="287"/>
      <c r="N23" s="314">
        <f>HLOOKUP(IF(Input!$Y$7="",5,Input!$Y$7),'Tax value roll forward'!$M$2:$R$37,23,FALSE)</f>
        <v>0</v>
      </c>
      <c r="O23" s="286" t="str">
        <f ca="1">IF('Asset lives roll forward'!K243=0,"n/a",'Asset lives roll forward'!K243)</f>
        <v>n/a</v>
      </c>
      <c r="P23" s="287"/>
      <c r="Q23" s="277"/>
      <c r="R23" s="12"/>
      <c r="S23" s="44"/>
      <c r="T23" s="44"/>
      <c r="U23" s="44"/>
      <c r="V23" s="44"/>
      <c r="W23" s="44"/>
      <c r="X23" s="44"/>
      <c r="Y23" s="44"/>
      <c r="Z23" s="44"/>
    </row>
    <row r="24" spans="1:26" hidden="1" outlineLevel="1">
      <c r="A24" s="9"/>
      <c r="B24" s="9"/>
      <c r="C24" s="9"/>
      <c r="D24" s="9"/>
      <c r="E24" s="402" t="str">
        <f>Input!F24</f>
        <v>Asset Class 18</v>
      </c>
      <c r="F24" s="403"/>
      <c r="G24" s="400">
        <f>Asset18</f>
        <v>0</v>
      </c>
      <c r="H24" s="401"/>
      <c r="I24" s="401"/>
      <c r="J24" s="306">
        <f>HLOOKUP(IF(Input!$Y$7="",5,Input!$Y$7),'Total actual RAB roll forward'!$L$437:$Q$468,20,FALSE)</f>
        <v>0</v>
      </c>
      <c r="K24" s="286">
        <f>HLOOKUP(IF(Input!$Y$7="",5,Input!$Y$7),'Total actual RAB roll forward'!$L$806:$Q$837,20,FALSE)</f>
        <v>0</v>
      </c>
      <c r="L24" s="286" t="str">
        <f ca="1">IF('Asset lives roll forward'!F257=0,"n/a",'Asset lives roll forward'!F257)</f>
        <v>n/a</v>
      </c>
      <c r="M24" s="287"/>
      <c r="N24" s="314">
        <f>HLOOKUP(IF(Input!$Y$7="",5,Input!$Y$7),'Tax value roll forward'!$M$2:$R$37,24,FALSE)</f>
        <v>0</v>
      </c>
      <c r="O24" s="286" t="str">
        <f ca="1">IF('Asset lives roll forward'!K257=0,"n/a",'Asset lives roll forward'!K257)</f>
        <v>n/a</v>
      </c>
      <c r="P24" s="287"/>
      <c r="Q24" s="277"/>
      <c r="R24" s="12"/>
      <c r="S24" s="44"/>
      <c r="T24" s="44"/>
      <c r="U24" s="44"/>
      <c r="V24" s="44"/>
      <c r="W24" s="44"/>
      <c r="X24" s="44"/>
      <c r="Y24" s="44"/>
      <c r="Z24" s="44"/>
    </row>
    <row r="25" spans="1:26" hidden="1" outlineLevel="1">
      <c r="A25" s="9"/>
      <c r="B25" s="9"/>
      <c r="C25" s="9"/>
      <c r="D25" s="9"/>
      <c r="E25" s="402" t="str">
        <f>Input!F25</f>
        <v>Asset Class 19</v>
      </c>
      <c r="F25" s="403"/>
      <c r="G25" s="400">
        <f>Asset19</f>
        <v>0</v>
      </c>
      <c r="H25" s="401"/>
      <c r="I25" s="401"/>
      <c r="J25" s="306">
        <f>HLOOKUP(IF(Input!$Y$7="",5,Input!$Y$7),'Total actual RAB roll forward'!$L$437:$Q$468,21,FALSE)</f>
        <v>0</v>
      </c>
      <c r="K25" s="286">
        <f>HLOOKUP(IF(Input!$Y$7="",5,Input!$Y$7),'Total actual RAB roll forward'!$L$806:$Q$837,21,FALSE)</f>
        <v>0</v>
      </c>
      <c r="L25" s="286" t="str">
        <f ca="1">IF('Asset lives roll forward'!F271=0,"n/a",'Asset lives roll forward'!F271)</f>
        <v>n/a</v>
      </c>
      <c r="M25" s="287"/>
      <c r="N25" s="314">
        <f>HLOOKUP(IF(Input!$Y$7="",5,Input!$Y$7),'Tax value roll forward'!$M$2:$R$37,25,FALSE)</f>
        <v>0</v>
      </c>
      <c r="O25" s="286" t="str">
        <f ca="1">IF('Asset lives roll forward'!K271=0,"n/a",'Asset lives roll forward'!K271)</f>
        <v>n/a</v>
      </c>
      <c r="P25" s="287"/>
      <c r="Q25" s="277"/>
      <c r="R25" s="12"/>
      <c r="S25" s="44"/>
      <c r="T25" s="44"/>
      <c r="U25" s="44"/>
      <c r="V25" s="44"/>
      <c r="W25" s="44"/>
      <c r="X25" s="44"/>
      <c r="Y25" s="44"/>
      <c r="Z25" s="44"/>
    </row>
    <row r="26" spans="1:26" hidden="1" outlineLevel="1">
      <c r="A26" s="9"/>
      <c r="B26" s="9"/>
      <c r="C26" s="9"/>
      <c r="D26" s="9"/>
      <c r="E26" s="402" t="str">
        <f>Input!F26</f>
        <v>Asset Class 20</v>
      </c>
      <c r="F26" s="403"/>
      <c r="G26" s="400">
        <f>Asset20</f>
        <v>0</v>
      </c>
      <c r="H26" s="401"/>
      <c r="I26" s="401"/>
      <c r="J26" s="306">
        <f>HLOOKUP(IF(Input!$Y$7="",5,Input!$Y$7),'Total actual RAB roll forward'!$L$437:$Q$468,22,FALSE)</f>
        <v>0</v>
      </c>
      <c r="K26" s="286">
        <f>HLOOKUP(IF(Input!$Y$7="",5,Input!$Y$7),'Total actual RAB roll forward'!$L$806:$Q$837,22,FALSE)</f>
        <v>0</v>
      </c>
      <c r="L26" s="286" t="str">
        <f ca="1">IF('Asset lives roll forward'!F285=0,"n/a",'Asset lives roll forward'!F285)</f>
        <v>n/a</v>
      </c>
      <c r="M26" s="287"/>
      <c r="N26" s="314">
        <f>HLOOKUP(IF(Input!$Y$7="",5,Input!$Y$7),'Tax value roll forward'!$M$2:$R$37,26,FALSE)</f>
        <v>0</v>
      </c>
      <c r="O26" s="286" t="str">
        <f ca="1">IF('Asset lives roll forward'!K285=0,"n/a",'Asset lives roll forward'!K285)</f>
        <v>n/a</v>
      </c>
      <c r="P26" s="287"/>
      <c r="Q26" s="277"/>
      <c r="R26" s="12"/>
      <c r="S26" s="44"/>
      <c r="T26" s="44"/>
      <c r="U26" s="44"/>
      <c r="V26" s="44"/>
      <c r="W26" s="44"/>
      <c r="X26" s="44"/>
      <c r="Y26" s="44"/>
      <c r="Z26" s="44"/>
    </row>
    <row r="27" spans="1:26" hidden="1" outlineLevel="1">
      <c r="A27" s="9"/>
      <c r="B27" s="9"/>
      <c r="C27" s="9"/>
      <c r="D27" s="9"/>
      <c r="E27" s="402" t="str">
        <f>Input!F27</f>
        <v>Asset Class 21</v>
      </c>
      <c r="F27" s="403"/>
      <c r="G27" s="400">
        <f>Asset21</f>
        <v>0</v>
      </c>
      <c r="H27" s="401"/>
      <c r="I27" s="401"/>
      <c r="J27" s="306">
        <f>HLOOKUP(IF(Input!$Y$7="",5,Input!$Y$7),'Total actual RAB roll forward'!$L$437:$Q$468,23,FALSE)</f>
        <v>0</v>
      </c>
      <c r="K27" s="286">
        <f>HLOOKUP(IF(Input!$Y$7="",5,Input!$Y$7),'Total actual RAB roll forward'!$L$806:$Q$837,23,FALSE)</f>
        <v>0</v>
      </c>
      <c r="L27" s="286" t="str">
        <f ca="1">IF('Asset lives roll forward'!F299=0,"n/a",'Asset lives roll forward'!F299)</f>
        <v>n/a</v>
      </c>
      <c r="M27" s="287"/>
      <c r="N27" s="314">
        <f>HLOOKUP(IF(Input!$Y$7="",5,Input!$Y$7),'Tax value roll forward'!$M$2:$R$37,27,FALSE)</f>
        <v>0</v>
      </c>
      <c r="O27" s="286" t="str">
        <f ca="1">IF('Asset lives roll forward'!K299=0,"n/a",'Asset lives roll forward'!K299)</f>
        <v>n/a</v>
      </c>
      <c r="P27" s="287"/>
      <c r="Q27" s="277"/>
      <c r="R27" s="12"/>
      <c r="S27" s="44"/>
      <c r="T27" s="44"/>
      <c r="U27" s="44"/>
      <c r="V27" s="44"/>
      <c r="W27" s="44"/>
      <c r="X27" s="44"/>
      <c r="Y27" s="44"/>
      <c r="Z27" s="44"/>
    </row>
    <row r="28" spans="1:26" hidden="1" outlineLevel="1">
      <c r="A28" s="9"/>
      <c r="B28" s="9"/>
      <c r="C28" s="9"/>
      <c r="D28" s="9"/>
      <c r="E28" s="402" t="str">
        <f>Input!F28</f>
        <v>Asset Class 22</v>
      </c>
      <c r="F28" s="403"/>
      <c r="G28" s="400">
        <f>Asset22</f>
        <v>0</v>
      </c>
      <c r="H28" s="401"/>
      <c r="I28" s="401"/>
      <c r="J28" s="306">
        <f>HLOOKUP(IF(Input!$Y$7="",5,Input!$Y$7),'Total actual RAB roll forward'!$L$437:$Q$468,24,FALSE)</f>
        <v>0</v>
      </c>
      <c r="K28" s="286">
        <f>HLOOKUP(IF(Input!$Y$7="",5,Input!$Y$7),'Total actual RAB roll forward'!$L$806:$Q$837,24,FALSE)</f>
        <v>0</v>
      </c>
      <c r="L28" s="286" t="str">
        <f ca="1">IF('Asset lives roll forward'!F313=0,"n/a",'Asset lives roll forward'!F313)</f>
        <v>n/a</v>
      </c>
      <c r="M28" s="287"/>
      <c r="N28" s="314">
        <f>HLOOKUP(IF(Input!$Y$7="",5,Input!$Y$7),'Tax value roll forward'!$M$2:$R$37,28,FALSE)</f>
        <v>0</v>
      </c>
      <c r="O28" s="286" t="str">
        <f ca="1">IF('Asset lives roll forward'!K313=0,"n/a",'Asset lives roll forward'!K313)</f>
        <v>n/a</v>
      </c>
      <c r="P28" s="287"/>
      <c r="Q28" s="277"/>
      <c r="R28" s="12"/>
      <c r="S28" s="44"/>
      <c r="T28" s="44"/>
      <c r="U28" s="44"/>
      <c r="V28" s="44"/>
      <c r="W28" s="44"/>
      <c r="X28" s="44"/>
      <c r="Y28" s="44"/>
      <c r="Z28" s="44"/>
    </row>
    <row r="29" spans="1:26" hidden="1" outlineLevel="1">
      <c r="A29" s="9"/>
      <c r="B29" s="9"/>
      <c r="C29" s="9"/>
      <c r="D29" s="9"/>
      <c r="E29" s="402" t="str">
        <f>Input!F29</f>
        <v>Asset Class 23</v>
      </c>
      <c r="F29" s="403"/>
      <c r="G29" s="400">
        <f>Asset23</f>
        <v>0</v>
      </c>
      <c r="H29" s="401"/>
      <c r="I29" s="401"/>
      <c r="J29" s="306">
        <f>HLOOKUP(IF(Input!$Y$7="",5,Input!$Y$7),'Total actual RAB roll forward'!$L$437:$Q$468,25,FALSE)</f>
        <v>0</v>
      </c>
      <c r="K29" s="286">
        <f>HLOOKUP(IF(Input!$Y$7="",5,Input!$Y$7),'Total actual RAB roll forward'!$L$806:$Q$837,25,FALSE)</f>
        <v>0</v>
      </c>
      <c r="L29" s="286" t="str">
        <f ca="1">IF('Asset lives roll forward'!F327=0,"n/a",'Asset lives roll forward'!F327)</f>
        <v>n/a</v>
      </c>
      <c r="M29" s="287"/>
      <c r="N29" s="314">
        <f>HLOOKUP(IF(Input!$Y$7="",5,Input!$Y$7),'Tax value roll forward'!$M$2:$R$37,29,FALSE)</f>
        <v>0</v>
      </c>
      <c r="O29" s="286" t="str">
        <f ca="1">IF('Asset lives roll forward'!K327=0,"n/a",'Asset lives roll forward'!K327)</f>
        <v>n/a</v>
      </c>
      <c r="P29" s="287"/>
      <c r="Q29" s="277"/>
      <c r="R29" s="12"/>
      <c r="S29" s="44"/>
      <c r="T29" s="44"/>
      <c r="U29" s="44"/>
      <c r="V29" s="44"/>
      <c r="W29" s="44"/>
      <c r="X29" s="44"/>
      <c r="Y29" s="44"/>
      <c r="Z29" s="44"/>
    </row>
    <row r="30" spans="1:26" hidden="1" outlineLevel="1">
      <c r="A30" s="9"/>
      <c r="B30" s="9"/>
      <c r="C30" s="9"/>
      <c r="D30" s="9"/>
      <c r="E30" s="402" t="str">
        <f>Input!F30</f>
        <v>Asset Class 24</v>
      </c>
      <c r="F30" s="403"/>
      <c r="G30" s="400">
        <f>Asset24</f>
        <v>0</v>
      </c>
      <c r="H30" s="401"/>
      <c r="I30" s="401"/>
      <c r="J30" s="306">
        <f>HLOOKUP(IF(Input!$Y$7="",5,Input!$Y$7),'Total actual RAB roll forward'!$L$437:$Q$468,26,FALSE)</f>
        <v>0</v>
      </c>
      <c r="K30" s="286">
        <f>HLOOKUP(IF(Input!$Y$7="",5,Input!$Y$7),'Total actual RAB roll forward'!$L$806:$Q$837,26,FALSE)</f>
        <v>0</v>
      </c>
      <c r="L30" s="286" t="str">
        <f ca="1">IF('Asset lives roll forward'!F341=0,"n/a",'Asset lives roll forward'!F341)</f>
        <v>n/a</v>
      </c>
      <c r="M30" s="287"/>
      <c r="N30" s="314">
        <f>HLOOKUP(IF(Input!$Y$7="",5,Input!$Y$7),'Tax value roll forward'!$M$2:$R$37,30,FALSE)</f>
        <v>0</v>
      </c>
      <c r="O30" s="286" t="str">
        <f ca="1">IF('Asset lives roll forward'!K341=0,"n/a",'Asset lives roll forward'!K341)</f>
        <v>n/a</v>
      </c>
      <c r="P30" s="287"/>
      <c r="Q30" s="277"/>
      <c r="R30" s="12"/>
      <c r="S30" s="44"/>
      <c r="T30" s="44"/>
      <c r="U30" s="44"/>
      <c r="V30" s="44"/>
      <c r="W30" s="44"/>
      <c r="X30" s="44"/>
      <c r="Y30" s="44"/>
      <c r="Z30" s="44"/>
    </row>
    <row r="31" spans="1:26" hidden="1" outlineLevel="1">
      <c r="A31" s="9"/>
      <c r="B31" s="9"/>
      <c r="C31" s="9"/>
      <c r="D31" s="9"/>
      <c r="E31" s="402" t="str">
        <f>Input!F31</f>
        <v>Asset Class 25</v>
      </c>
      <c r="F31" s="403"/>
      <c r="G31" s="400">
        <f>Asset25</f>
        <v>0</v>
      </c>
      <c r="H31" s="401"/>
      <c r="I31" s="401"/>
      <c r="J31" s="306">
        <f>HLOOKUP(IF(Input!$Y$7="",5,Input!$Y$7),'Total actual RAB roll forward'!$L$437:$Q$468,27,FALSE)</f>
        <v>0</v>
      </c>
      <c r="K31" s="286">
        <f>HLOOKUP(IF(Input!$Y$7="",5,Input!$Y$7),'Total actual RAB roll forward'!$L$806:$Q$837,27,FALSE)</f>
        <v>0</v>
      </c>
      <c r="L31" s="286" t="str">
        <f ca="1">IF('Asset lives roll forward'!F355=0,"n/a",'Asset lives roll forward'!F355)</f>
        <v>n/a</v>
      </c>
      <c r="M31" s="287"/>
      <c r="N31" s="314">
        <f>HLOOKUP(IF(Input!$Y$7="",5,Input!$Y$7),'Tax value roll forward'!$M$2:$R$37,31,FALSE)</f>
        <v>0</v>
      </c>
      <c r="O31" s="286" t="str">
        <f ca="1">IF('Asset lives roll forward'!K355=0,"n/a",'Asset lives roll forward'!K355)</f>
        <v>n/a</v>
      </c>
      <c r="P31" s="287"/>
      <c r="Q31" s="277"/>
      <c r="R31" s="12"/>
      <c r="S31" s="44"/>
      <c r="T31" s="44"/>
      <c r="U31" s="44"/>
      <c r="V31" s="44"/>
      <c r="W31" s="44"/>
      <c r="X31" s="44"/>
      <c r="Y31" s="44"/>
      <c r="Z31" s="44"/>
    </row>
    <row r="32" spans="1:26" hidden="1" outlineLevel="1">
      <c r="A32" s="9"/>
      <c r="B32" s="9"/>
      <c r="C32" s="9"/>
      <c r="D32" s="9"/>
      <c r="E32" s="402" t="str">
        <f>Input!F32</f>
        <v>Asset Class 26</v>
      </c>
      <c r="F32" s="403"/>
      <c r="G32" s="400">
        <f>Asset26</f>
        <v>0</v>
      </c>
      <c r="H32" s="401"/>
      <c r="I32" s="401"/>
      <c r="J32" s="306">
        <f>HLOOKUP(IF(Input!$Y$7="",5,Input!$Y$7),'Total actual RAB roll forward'!$L$437:$Q$468,28,FALSE)</f>
        <v>0</v>
      </c>
      <c r="K32" s="286">
        <f>HLOOKUP(IF(Input!$Y$7="",5,Input!$Y$7),'Total actual RAB roll forward'!$L$806:$Q$837,28,FALSE)</f>
        <v>0</v>
      </c>
      <c r="L32" s="286" t="str">
        <f ca="1">IF('Asset lives roll forward'!F369=0,"n/a",'Asset lives roll forward'!F369)</f>
        <v>n/a</v>
      </c>
      <c r="M32" s="287"/>
      <c r="N32" s="314">
        <f>HLOOKUP(IF(Input!$Y$7="",5,Input!$Y$7),'Tax value roll forward'!$M$2:$R$37,32,FALSE)</f>
        <v>0</v>
      </c>
      <c r="O32" s="286" t="str">
        <f ca="1">IF('Asset lives roll forward'!K369=0,"n/a",'Asset lives roll forward'!K369)</f>
        <v>n/a</v>
      </c>
      <c r="P32" s="287"/>
      <c r="Q32" s="277"/>
      <c r="R32" s="12"/>
      <c r="S32" s="44"/>
      <c r="T32" s="44"/>
      <c r="U32" s="44"/>
      <c r="V32" s="44"/>
      <c r="W32" s="44"/>
      <c r="X32" s="44"/>
      <c r="Y32" s="44"/>
      <c r="Z32" s="44"/>
    </row>
    <row r="33" spans="1:26" hidden="1" outlineLevel="1">
      <c r="A33" s="9"/>
      <c r="B33" s="9"/>
      <c r="C33" s="9"/>
      <c r="D33" s="9"/>
      <c r="E33" s="402" t="str">
        <f>Input!F33</f>
        <v>Asset Class 27</v>
      </c>
      <c r="F33" s="403"/>
      <c r="G33" s="400">
        <f>Asset27</f>
        <v>0</v>
      </c>
      <c r="H33" s="401"/>
      <c r="I33" s="401"/>
      <c r="J33" s="306">
        <f>HLOOKUP(IF(Input!$Y$7="",5,Input!$Y$7),'Total actual RAB roll forward'!$L$437:$Q$468,29,FALSE)</f>
        <v>0</v>
      </c>
      <c r="K33" s="286">
        <f>HLOOKUP(IF(Input!$Y$7="",5,Input!$Y$7),'Total actual RAB roll forward'!$L$806:$Q$837,29,FALSE)</f>
        <v>0</v>
      </c>
      <c r="L33" s="286" t="str">
        <f ca="1">IF('Asset lives roll forward'!F383=0,"n/a",'Asset lives roll forward'!F383)</f>
        <v>n/a</v>
      </c>
      <c r="M33" s="287"/>
      <c r="N33" s="314">
        <f>HLOOKUP(IF(Input!$Y$7="",5,Input!$Y$7),'Tax value roll forward'!$M$2:$R$37,33,FALSE)</f>
        <v>0</v>
      </c>
      <c r="O33" s="286" t="str">
        <f ca="1">IF('Asset lives roll forward'!K383=0,"n/a",'Asset lives roll forward'!K383)</f>
        <v>n/a</v>
      </c>
      <c r="P33" s="287"/>
      <c r="Q33" s="277"/>
      <c r="R33" s="12"/>
      <c r="S33" s="44"/>
      <c r="T33" s="44"/>
      <c r="U33" s="44"/>
      <c r="V33" s="44"/>
      <c r="W33" s="44"/>
      <c r="X33" s="44"/>
      <c r="Y33" s="44"/>
      <c r="Z33" s="44"/>
    </row>
    <row r="34" spans="1:26" hidden="1" outlineLevel="1">
      <c r="A34" s="9"/>
      <c r="B34" s="9"/>
      <c r="C34" s="9"/>
      <c r="D34" s="9"/>
      <c r="E34" s="402" t="str">
        <f>Input!F34</f>
        <v>Asset Class 28</v>
      </c>
      <c r="F34" s="403"/>
      <c r="G34" s="400">
        <f>Asset28</f>
        <v>0</v>
      </c>
      <c r="H34" s="401"/>
      <c r="I34" s="401"/>
      <c r="J34" s="306">
        <f>HLOOKUP(IF(Input!$Y$7="",5,Input!$Y$7),'Total actual RAB roll forward'!$L$437:$Q$468,30,FALSE)</f>
        <v>0</v>
      </c>
      <c r="K34" s="286">
        <f>HLOOKUP(IF(Input!$Y$7="",5,Input!$Y$7),'Total actual RAB roll forward'!$L$806:$Q$837,30,FALSE)</f>
        <v>0</v>
      </c>
      <c r="L34" s="286" t="str">
        <f ca="1">IF('Asset lives roll forward'!F397=0,"n/a",'Asset lives roll forward'!F397)</f>
        <v>n/a</v>
      </c>
      <c r="M34" s="287"/>
      <c r="N34" s="314">
        <f>HLOOKUP(IF(Input!$Y$7="",5,Input!$Y$7),'Tax value roll forward'!$M$2:$R$37,34,FALSE)</f>
        <v>0</v>
      </c>
      <c r="O34" s="286" t="str">
        <f ca="1">IF('Asset lives roll forward'!K397=0,"n/a",'Asset lives roll forward'!K397)</f>
        <v>n/a</v>
      </c>
      <c r="P34" s="287"/>
      <c r="Q34" s="277"/>
      <c r="R34" s="12"/>
      <c r="S34" s="44"/>
      <c r="T34" s="44"/>
      <c r="U34" s="44"/>
      <c r="V34" s="44"/>
      <c r="W34" s="44"/>
      <c r="X34" s="44"/>
      <c r="Y34" s="44"/>
      <c r="Z34" s="44"/>
    </row>
    <row r="35" spans="1:26" hidden="1" outlineLevel="1">
      <c r="A35" s="9"/>
      <c r="B35" s="9"/>
      <c r="C35" s="9"/>
      <c r="D35" s="9"/>
      <c r="E35" s="402" t="str">
        <f>Input!F35</f>
        <v>Asset Class 29</v>
      </c>
      <c r="F35" s="403"/>
      <c r="G35" s="400">
        <f>Asset29</f>
        <v>0</v>
      </c>
      <c r="H35" s="401"/>
      <c r="I35" s="401"/>
      <c r="J35" s="306">
        <f>HLOOKUP(IF(Input!$Y$7="",5,Input!$Y$7),'Total actual RAB roll forward'!$L$437:$Q$468,31,FALSE)</f>
        <v>0</v>
      </c>
      <c r="K35" s="286">
        <f>HLOOKUP(IF(Input!$Y$7="",5,Input!$Y$7),'Total actual RAB roll forward'!$L$806:$Q$837,31,FALSE)</f>
        <v>0</v>
      </c>
      <c r="L35" s="286" t="str">
        <f ca="1">IF('Asset lives roll forward'!F411=0,"n/a",'Asset lives roll forward'!F411)</f>
        <v>n/a</v>
      </c>
      <c r="M35" s="287"/>
      <c r="N35" s="314">
        <f>HLOOKUP(IF(Input!$Y$7="",5,Input!$Y$7),'Tax value roll forward'!$M$2:$R$37,35,FALSE)</f>
        <v>0</v>
      </c>
      <c r="O35" s="286" t="str">
        <f ca="1">IF('Asset lives roll forward'!K411=0,"n/a",'Asset lives roll forward'!K411)</f>
        <v>n/a</v>
      </c>
      <c r="P35" s="287"/>
      <c r="Q35" s="277"/>
      <c r="R35" s="12"/>
      <c r="S35" s="44"/>
      <c r="T35" s="44"/>
      <c r="U35" s="44"/>
      <c r="V35" s="44"/>
      <c r="W35" s="44"/>
      <c r="X35" s="44"/>
      <c r="Y35" s="44"/>
      <c r="Z35" s="44"/>
    </row>
    <row r="36" spans="1:26" hidden="1" outlineLevel="1">
      <c r="A36" s="9"/>
      <c r="B36" s="9"/>
      <c r="C36" s="9"/>
      <c r="D36" s="9"/>
      <c r="E36" s="402" t="str">
        <f>Input!F36</f>
        <v>Asset Class 30</v>
      </c>
      <c r="F36" s="403"/>
      <c r="G36" s="400">
        <f>Asset30</f>
        <v>0</v>
      </c>
      <c r="H36" s="401"/>
      <c r="I36" s="401"/>
      <c r="J36" s="306">
        <f>HLOOKUP(IF(Input!$Y$7="",5,Input!$Y$7),'Total actual RAB roll forward'!$L$437:$Q$468,32,FALSE)</f>
        <v>0</v>
      </c>
      <c r="K36" s="286">
        <f>HLOOKUP(IF(Input!$Y$7="",5,Input!$Y$7),'Total actual RAB roll forward'!$L$806:$Q$837,32,FALSE)</f>
        <v>0</v>
      </c>
      <c r="L36" s="286" t="str">
        <f ca="1">IF('Asset lives roll forward'!F425=0,"n/a",'Asset lives roll forward'!F425)</f>
        <v>n/a</v>
      </c>
      <c r="M36" s="287"/>
      <c r="N36" s="314">
        <f>HLOOKUP(IF(Input!$Y$7="",5,Input!$Y$7),'Tax value roll forward'!$M$2:$R$37,36,FALSE)</f>
        <v>0</v>
      </c>
      <c r="O36" s="286" t="str">
        <f ca="1">IF('Asset lives roll forward'!K425=0,"n/a",'Asset lives roll forward'!K425)</f>
        <v>n/a</v>
      </c>
      <c r="P36" s="287"/>
      <c r="Q36" s="277"/>
      <c r="R36" s="12"/>
      <c r="S36" s="44"/>
      <c r="T36" s="44"/>
      <c r="U36" s="44"/>
      <c r="V36" s="44"/>
      <c r="W36" s="44"/>
      <c r="X36" s="44"/>
      <c r="Y36" s="44"/>
      <c r="Z36" s="44"/>
    </row>
    <row r="37" spans="1:26" collapsed="1">
      <c r="A37" s="9"/>
      <c r="B37" s="9"/>
      <c r="C37" s="9"/>
      <c r="D37" s="9"/>
      <c r="E37" s="115" t="s">
        <v>19</v>
      </c>
      <c r="F37" s="35"/>
      <c r="G37" s="256"/>
      <c r="H37" s="265"/>
      <c r="I37" s="260"/>
      <c r="J37" s="318">
        <f>SUM(J7:J36)</f>
        <v>2721.3199575054459</v>
      </c>
      <c r="K37" s="318">
        <f>SUM(K7:K36)</f>
        <v>2524.883570641914</v>
      </c>
      <c r="L37" s="260"/>
      <c r="M37" s="111"/>
      <c r="N37" s="35">
        <f>SUM(N7:N36)</f>
        <v>2050.8965850097611</v>
      </c>
      <c r="O37" s="9"/>
      <c r="P37" s="9"/>
      <c r="Q37" s="9"/>
      <c r="R37" s="9"/>
      <c r="S37" s="44"/>
      <c r="T37" s="44"/>
      <c r="U37" s="44"/>
      <c r="V37" s="44"/>
      <c r="W37" s="44"/>
      <c r="X37" s="44"/>
      <c r="Y37" s="44"/>
      <c r="Z37" s="44"/>
    </row>
    <row r="38" spans="1:26">
      <c r="A38" s="9"/>
      <c r="B38" s="9"/>
      <c r="C38" s="9"/>
      <c r="D38" s="9"/>
      <c r="E38" s="35"/>
      <c r="F38" s="35"/>
      <c r="G38" s="256"/>
      <c r="H38" s="265"/>
      <c r="I38" s="260"/>
      <c r="J38" s="260"/>
      <c r="K38" s="265"/>
      <c r="L38" s="260"/>
      <c r="M38" s="111"/>
      <c r="N38" s="9"/>
      <c r="O38" s="9"/>
      <c r="P38" s="9"/>
      <c r="Q38" s="9"/>
      <c r="R38" s="9"/>
      <c r="S38" s="44"/>
      <c r="T38" s="44"/>
      <c r="U38" s="44"/>
      <c r="V38" s="44"/>
      <c r="W38" s="44"/>
      <c r="X38" s="44"/>
      <c r="Y38" s="44"/>
      <c r="Z38" s="44"/>
    </row>
    <row r="39" spans="1:26">
      <c r="A39" s="9"/>
      <c r="B39" s="9"/>
      <c r="C39" s="9"/>
      <c r="D39" s="9"/>
      <c r="E39" s="35"/>
      <c r="F39" s="35"/>
      <c r="G39" s="256"/>
      <c r="H39" s="265"/>
      <c r="I39" s="260"/>
      <c r="J39" s="260"/>
      <c r="L39" s="260"/>
      <c r="M39" s="111"/>
      <c r="N39" s="9"/>
      <c r="O39" s="9"/>
      <c r="P39" s="9"/>
      <c r="Q39" s="9"/>
      <c r="R39" s="9"/>
      <c r="S39" s="44"/>
      <c r="T39" s="44"/>
      <c r="U39" s="44"/>
      <c r="V39" s="44"/>
      <c r="W39" s="44"/>
      <c r="X39" s="44"/>
      <c r="Y39" s="44"/>
      <c r="Z39" s="44"/>
    </row>
    <row r="40" spans="1:26">
      <c r="A40" s="9"/>
      <c r="B40" s="9"/>
      <c r="C40" s="9"/>
      <c r="D40" s="9"/>
      <c r="E40" s="35"/>
      <c r="F40" s="35"/>
      <c r="G40" s="256"/>
      <c r="H40" s="265"/>
      <c r="I40" s="260"/>
      <c r="J40" s="260"/>
      <c r="K40" s="265"/>
      <c r="L40" s="260"/>
      <c r="M40" s="111"/>
      <c r="N40" s="9"/>
      <c r="O40" s="9"/>
      <c r="P40" s="9"/>
      <c r="Q40" s="9"/>
      <c r="R40" s="9"/>
      <c r="S40" s="44"/>
      <c r="T40" s="44"/>
      <c r="U40" s="44"/>
      <c r="V40" s="44"/>
      <c r="W40" s="44"/>
      <c r="X40" s="44"/>
      <c r="Y40" s="44"/>
      <c r="Z40" s="44"/>
    </row>
    <row r="41" spans="1:26">
      <c r="A41" s="9"/>
      <c r="B41" s="9"/>
      <c r="C41" s="9"/>
      <c r="D41" s="9"/>
      <c r="E41" s="35"/>
      <c r="F41" s="35"/>
      <c r="G41" s="256"/>
      <c r="H41" s="265"/>
      <c r="I41" s="260"/>
      <c r="J41" s="260"/>
      <c r="K41" s="265"/>
      <c r="L41" s="260"/>
      <c r="M41" s="111"/>
      <c r="N41" s="9"/>
      <c r="O41" s="9"/>
      <c r="P41" s="9"/>
      <c r="Q41" s="9"/>
      <c r="R41" s="9"/>
      <c r="S41" s="44"/>
      <c r="T41" s="44"/>
      <c r="U41" s="44"/>
      <c r="V41" s="44"/>
      <c r="W41" s="44"/>
      <c r="X41" s="44"/>
      <c r="Y41" s="44"/>
      <c r="Z41" s="44"/>
    </row>
    <row r="42" spans="1:26">
      <c r="A42" s="9"/>
      <c r="B42" s="9"/>
      <c r="C42" s="9"/>
      <c r="D42" s="9"/>
      <c r="E42" s="35"/>
      <c r="F42" s="35"/>
      <c r="G42" s="256"/>
      <c r="H42" s="265"/>
      <c r="I42" s="260"/>
      <c r="J42" s="260"/>
      <c r="K42" s="265"/>
      <c r="L42" s="260"/>
      <c r="M42" s="111"/>
      <c r="N42" s="9"/>
      <c r="O42" s="9"/>
      <c r="P42" s="9"/>
      <c r="Q42" s="9"/>
      <c r="R42" s="9"/>
      <c r="S42" s="44"/>
      <c r="T42" s="44"/>
      <c r="U42" s="44"/>
      <c r="V42" s="44"/>
      <c r="W42" s="44"/>
      <c r="X42" s="44"/>
      <c r="Y42" s="44"/>
      <c r="Z42" s="44"/>
    </row>
    <row r="43" spans="1:26">
      <c r="A43" s="9"/>
      <c r="B43" s="9"/>
      <c r="C43" s="9"/>
      <c r="D43" s="9"/>
      <c r="E43" s="35"/>
      <c r="F43" s="35"/>
      <c r="G43" s="256"/>
      <c r="H43" s="265"/>
      <c r="I43" s="260"/>
      <c r="J43" s="260"/>
      <c r="K43" s="260"/>
      <c r="L43" s="260"/>
      <c r="M43" s="111"/>
      <c r="N43" s="9"/>
      <c r="O43" s="9"/>
      <c r="P43" s="9"/>
      <c r="Q43" s="9"/>
      <c r="R43" s="9"/>
      <c r="S43" s="44"/>
      <c r="T43" s="44"/>
      <c r="U43" s="44"/>
      <c r="V43" s="44"/>
      <c r="W43" s="44"/>
      <c r="X43" s="44"/>
      <c r="Y43" s="44"/>
      <c r="Z43" s="44"/>
    </row>
    <row r="44" spans="1:26">
      <c r="A44" s="9"/>
      <c r="B44" s="9"/>
      <c r="C44" s="9"/>
      <c r="D44" s="9"/>
      <c r="E44" s="35"/>
      <c r="F44" s="35"/>
      <c r="G44" s="256"/>
      <c r="H44" s="265"/>
      <c r="I44" s="260"/>
      <c r="J44" s="260"/>
      <c r="K44" s="265"/>
      <c r="L44" s="260"/>
      <c r="M44" s="111"/>
      <c r="N44" s="9"/>
      <c r="O44" s="9"/>
      <c r="P44" s="9"/>
      <c r="Q44" s="9"/>
      <c r="R44" s="9"/>
      <c r="S44" s="44"/>
      <c r="T44" s="44"/>
      <c r="U44" s="44"/>
      <c r="V44" s="44"/>
      <c r="W44" s="44"/>
      <c r="X44" s="44"/>
      <c r="Y44" s="44"/>
      <c r="Z44" s="44"/>
    </row>
    <row r="45" spans="1:26">
      <c r="A45" s="9"/>
      <c r="B45" s="9"/>
      <c r="C45" s="9"/>
      <c r="D45" s="9"/>
      <c r="E45" s="35"/>
      <c r="F45" s="35"/>
      <c r="G45" s="256"/>
      <c r="H45" s="265"/>
      <c r="I45" s="260"/>
      <c r="J45" s="260"/>
      <c r="K45" s="265"/>
      <c r="L45" s="260"/>
      <c r="M45" s="111"/>
      <c r="N45" s="9"/>
      <c r="O45" s="9"/>
      <c r="P45" s="9"/>
      <c r="Q45" s="9"/>
      <c r="R45" s="9"/>
      <c r="S45" s="44"/>
      <c r="T45" s="44"/>
      <c r="U45" s="44"/>
      <c r="V45" s="44"/>
      <c r="W45" s="44"/>
      <c r="X45" s="44"/>
      <c r="Y45" s="44"/>
      <c r="Z45" s="44"/>
    </row>
    <row r="46" spans="1:26">
      <c r="A46" s="9"/>
      <c r="B46" s="9"/>
      <c r="C46" s="9"/>
      <c r="D46" s="9"/>
      <c r="E46" s="35"/>
      <c r="F46" s="35"/>
      <c r="G46" s="256"/>
      <c r="H46" s="265"/>
      <c r="I46" s="260"/>
      <c r="J46" s="260"/>
      <c r="K46" s="265"/>
      <c r="L46" s="260"/>
      <c r="M46" s="111"/>
      <c r="N46" s="9"/>
      <c r="O46" s="9"/>
      <c r="P46" s="9"/>
      <c r="Q46" s="9"/>
      <c r="R46" s="9"/>
      <c r="S46" s="44"/>
      <c r="T46" s="44"/>
      <c r="U46" s="44"/>
      <c r="V46" s="44"/>
      <c r="W46" s="44"/>
      <c r="X46" s="44"/>
      <c r="Y46" s="44"/>
      <c r="Z46" s="44"/>
    </row>
    <row r="47" spans="1:26">
      <c r="A47" s="9"/>
      <c r="B47" s="9"/>
      <c r="C47" s="9"/>
      <c r="D47" s="9"/>
      <c r="E47" s="35"/>
      <c r="F47" s="35"/>
      <c r="G47" s="256"/>
      <c r="H47" s="265"/>
      <c r="I47" s="260"/>
      <c r="J47" s="260"/>
      <c r="K47" s="265"/>
      <c r="L47" s="260"/>
      <c r="M47" s="111"/>
      <c r="N47" s="9"/>
      <c r="O47" s="9"/>
      <c r="P47" s="9"/>
      <c r="Q47" s="9"/>
      <c r="R47" s="9"/>
      <c r="S47" s="44"/>
      <c r="T47" s="44"/>
      <c r="U47" s="44"/>
      <c r="V47" s="44"/>
      <c r="W47" s="44"/>
      <c r="X47" s="44"/>
      <c r="Y47" s="44"/>
      <c r="Z47" s="44"/>
    </row>
    <row r="48" spans="1:26">
      <c r="A48" s="9"/>
      <c r="B48" s="9"/>
      <c r="C48" s="9"/>
      <c r="D48" s="9"/>
      <c r="E48" s="35"/>
      <c r="F48" s="35"/>
      <c r="G48" s="256"/>
      <c r="H48" s="265"/>
      <c r="I48" s="260"/>
      <c r="J48" s="260"/>
      <c r="K48" s="265"/>
      <c r="L48" s="260"/>
      <c r="M48" s="111"/>
      <c r="N48" s="9"/>
      <c r="O48" s="9"/>
      <c r="P48" s="9"/>
      <c r="Q48" s="9"/>
      <c r="R48" s="9"/>
      <c r="S48" s="44"/>
      <c r="T48" s="44"/>
      <c r="U48" s="44"/>
      <c r="V48" s="44"/>
      <c r="W48" s="44"/>
      <c r="X48" s="44"/>
      <c r="Y48" s="44"/>
      <c r="Z48" s="44"/>
    </row>
    <row r="49" spans="1:26">
      <c r="A49" s="9"/>
      <c r="B49" s="9"/>
      <c r="C49" s="9"/>
      <c r="D49" s="9"/>
      <c r="E49" s="35"/>
      <c r="F49" s="35"/>
      <c r="G49" s="256"/>
      <c r="H49" s="265"/>
      <c r="I49" s="260"/>
      <c r="J49" s="260"/>
      <c r="K49" s="265"/>
      <c r="L49" s="260"/>
      <c r="M49" s="111"/>
      <c r="N49" s="9"/>
      <c r="O49" s="9"/>
      <c r="P49" s="9"/>
      <c r="Q49" s="9"/>
      <c r="R49" s="9"/>
      <c r="S49" s="44"/>
      <c r="T49" s="44"/>
      <c r="U49" s="44"/>
      <c r="V49" s="44"/>
      <c r="W49" s="44"/>
      <c r="X49" s="44"/>
      <c r="Y49" s="44"/>
      <c r="Z49" s="44"/>
    </row>
    <row r="50" spans="1:26">
      <c r="A50" s="9"/>
      <c r="B50" s="9"/>
      <c r="C50" s="9"/>
      <c r="D50" s="9"/>
      <c r="E50" s="35"/>
      <c r="F50" s="35"/>
      <c r="G50" s="256"/>
      <c r="H50" s="265"/>
      <c r="I50" s="260"/>
      <c r="J50" s="260"/>
      <c r="K50" s="265"/>
      <c r="L50" s="260"/>
      <c r="M50" s="111"/>
      <c r="N50" s="9"/>
      <c r="O50" s="9"/>
      <c r="P50" s="9"/>
      <c r="Q50" s="9"/>
      <c r="R50" s="9"/>
      <c r="S50" s="44"/>
      <c r="T50" s="44"/>
      <c r="U50" s="44"/>
      <c r="V50" s="44"/>
      <c r="W50" s="44"/>
      <c r="X50" s="44"/>
      <c r="Y50" s="44"/>
      <c r="Z50" s="44"/>
    </row>
    <row r="51" spans="1:26">
      <c r="A51" s="9"/>
      <c r="B51" s="9"/>
      <c r="C51" s="9"/>
      <c r="D51" s="9"/>
      <c r="E51" s="35"/>
      <c r="F51" s="35"/>
      <c r="G51" s="256"/>
      <c r="H51" s="265"/>
      <c r="I51" s="260"/>
      <c r="J51" s="260"/>
      <c r="K51" s="265"/>
      <c r="L51" s="260"/>
      <c r="M51" s="111"/>
      <c r="N51" s="9"/>
      <c r="O51" s="9"/>
      <c r="P51" s="9"/>
      <c r="Q51" s="9"/>
      <c r="R51" s="9"/>
      <c r="S51" s="44"/>
      <c r="T51" s="44"/>
      <c r="U51" s="44"/>
      <c r="V51" s="44"/>
      <c r="W51" s="44"/>
      <c r="X51" s="44"/>
      <c r="Y51" s="44"/>
      <c r="Z51" s="44"/>
    </row>
    <row r="52" spans="1:26">
      <c r="A52" s="9"/>
      <c r="B52" s="9"/>
      <c r="C52" s="9"/>
      <c r="D52" s="9"/>
      <c r="E52" s="35"/>
      <c r="F52" s="35"/>
      <c r="G52" s="256"/>
      <c r="H52" s="265"/>
      <c r="I52" s="260"/>
      <c r="J52" s="260"/>
      <c r="K52" s="265"/>
      <c r="L52" s="260"/>
      <c r="M52" s="111"/>
      <c r="N52" s="9"/>
      <c r="O52" s="9"/>
      <c r="P52" s="9"/>
      <c r="Q52" s="9"/>
      <c r="R52" s="9"/>
      <c r="S52" s="44"/>
      <c r="T52" s="44"/>
      <c r="U52" s="44"/>
      <c r="V52" s="44"/>
      <c r="W52" s="44"/>
      <c r="X52" s="44"/>
      <c r="Y52" s="44"/>
      <c r="Z52" s="44"/>
    </row>
    <row r="53" spans="1:26">
      <c r="A53" s="9"/>
      <c r="B53" s="9"/>
      <c r="C53" s="9"/>
      <c r="D53" s="9"/>
      <c r="E53" s="35"/>
      <c r="F53" s="35"/>
      <c r="G53" s="256"/>
      <c r="H53" s="265"/>
      <c r="I53" s="260"/>
      <c r="J53" s="260"/>
      <c r="K53" s="265"/>
      <c r="L53" s="260"/>
      <c r="M53" s="111"/>
      <c r="N53" s="9"/>
      <c r="O53" s="9"/>
      <c r="P53" s="9"/>
      <c r="Q53" s="9"/>
      <c r="R53" s="9"/>
      <c r="S53" s="44"/>
      <c r="T53" s="44"/>
      <c r="U53" s="44"/>
      <c r="V53" s="44"/>
      <c r="W53" s="44"/>
      <c r="X53" s="44"/>
      <c r="Y53" s="44"/>
      <c r="Z53" s="44"/>
    </row>
    <row r="54" spans="1:26">
      <c r="A54" s="9"/>
      <c r="B54" s="9"/>
      <c r="C54" s="9"/>
      <c r="D54" s="9"/>
      <c r="E54" s="35"/>
      <c r="F54" s="35"/>
      <c r="G54" s="256"/>
      <c r="H54" s="265"/>
      <c r="I54" s="260"/>
      <c r="J54" s="260"/>
      <c r="K54" s="265"/>
      <c r="L54" s="260"/>
      <c r="M54" s="111"/>
      <c r="N54" s="9"/>
      <c r="O54" s="9"/>
      <c r="P54" s="9"/>
      <c r="Q54" s="9"/>
      <c r="R54" s="9"/>
      <c r="S54" s="44"/>
      <c r="T54" s="44"/>
      <c r="U54" s="44"/>
      <c r="V54" s="44"/>
      <c r="W54" s="44"/>
      <c r="X54" s="44"/>
      <c r="Y54" s="44"/>
      <c r="Z54" s="44"/>
    </row>
    <row r="55" spans="1:26">
      <c r="A55" s="9"/>
      <c r="B55" s="9"/>
      <c r="C55" s="9"/>
      <c r="D55" s="9"/>
      <c r="E55" s="35"/>
      <c r="F55" s="35"/>
      <c r="G55" s="256"/>
      <c r="H55" s="265"/>
      <c r="I55" s="260"/>
      <c r="J55" s="260"/>
      <c r="K55" s="265"/>
      <c r="L55" s="260"/>
      <c r="M55" s="111"/>
      <c r="N55" s="9"/>
      <c r="O55" s="9"/>
      <c r="P55" s="9"/>
      <c r="Q55" s="9"/>
      <c r="R55" s="9"/>
      <c r="S55" s="44"/>
      <c r="T55" s="44"/>
      <c r="U55" s="44"/>
      <c r="V55" s="44"/>
      <c r="W55" s="44"/>
      <c r="X55" s="44"/>
      <c r="Y55" s="44"/>
      <c r="Z55" s="44"/>
    </row>
    <row r="56" spans="1:26">
      <c r="A56" s="9"/>
      <c r="B56" s="9"/>
      <c r="C56" s="9"/>
      <c r="D56" s="9"/>
      <c r="E56" s="35"/>
      <c r="F56" s="35"/>
      <c r="G56" s="256"/>
      <c r="H56" s="265"/>
      <c r="I56" s="260"/>
      <c r="J56" s="260"/>
      <c r="K56" s="265"/>
      <c r="L56" s="260"/>
      <c r="M56" s="111"/>
      <c r="N56" s="9"/>
      <c r="O56" s="9"/>
      <c r="P56" s="9"/>
      <c r="Q56" s="9"/>
      <c r="R56" s="9"/>
      <c r="S56" s="44"/>
      <c r="T56" s="44"/>
      <c r="U56" s="44"/>
      <c r="V56" s="44"/>
      <c r="W56" s="44"/>
      <c r="X56" s="44"/>
      <c r="Y56" s="44"/>
      <c r="Z56" s="44"/>
    </row>
    <row r="57" spans="1:26">
      <c r="A57" s="9"/>
      <c r="B57" s="9"/>
      <c r="C57" s="9"/>
      <c r="D57" s="9"/>
      <c r="E57" s="35"/>
      <c r="F57" s="35"/>
      <c r="G57" s="256"/>
      <c r="H57" s="265"/>
      <c r="I57" s="260"/>
      <c r="J57" s="260"/>
      <c r="K57" s="265"/>
      <c r="L57" s="260"/>
      <c r="M57" s="111"/>
      <c r="N57" s="9"/>
      <c r="O57" s="9"/>
      <c r="P57" s="9"/>
      <c r="Q57" s="9"/>
      <c r="R57" s="9"/>
      <c r="S57" s="44"/>
      <c r="T57" s="44"/>
      <c r="U57" s="44"/>
      <c r="V57" s="44"/>
      <c r="W57" s="44"/>
      <c r="X57" s="44"/>
      <c r="Y57" s="44"/>
      <c r="Z57" s="44"/>
    </row>
    <row r="58" spans="1:26">
      <c r="A58" s="9"/>
      <c r="B58" s="9"/>
      <c r="C58" s="9"/>
      <c r="D58" s="9"/>
      <c r="E58" s="35"/>
      <c r="F58" s="35"/>
      <c r="G58" s="256"/>
      <c r="H58" s="265"/>
      <c r="I58" s="260"/>
      <c r="J58" s="260"/>
      <c r="K58" s="265"/>
      <c r="L58" s="260"/>
      <c r="M58" s="111"/>
      <c r="N58" s="9"/>
      <c r="O58" s="9"/>
      <c r="P58" s="9"/>
      <c r="Q58" s="9"/>
      <c r="R58" s="9"/>
      <c r="S58" s="44"/>
      <c r="T58" s="44"/>
      <c r="U58" s="44"/>
      <c r="V58" s="44"/>
      <c r="W58" s="44"/>
      <c r="X58" s="44"/>
      <c r="Y58" s="44"/>
      <c r="Z58" s="44"/>
    </row>
    <row r="59" spans="1:26">
      <c r="A59" s="9"/>
      <c r="B59" s="9"/>
      <c r="C59" s="9"/>
      <c r="D59" s="9"/>
      <c r="E59" s="35"/>
      <c r="F59" s="35"/>
      <c r="G59" s="256"/>
      <c r="H59" s="265"/>
      <c r="I59" s="260"/>
      <c r="J59" s="260"/>
      <c r="K59" s="265"/>
      <c r="L59" s="260"/>
      <c r="M59" s="111"/>
      <c r="N59" s="9"/>
      <c r="O59" s="9"/>
      <c r="P59" s="9"/>
      <c r="Q59" s="9"/>
      <c r="R59" s="9"/>
      <c r="S59" s="44"/>
      <c r="T59" s="44"/>
      <c r="U59" s="44"/>
      <c r="V59" s="44"/>
      <c r="W59" s="44"/>
      <c r="X59" s="44"/>
      <c r="Y59" s="44"/>
      <c r="Z59" s="44"/>
    </row>
    <row r="60" spans="1:26">
      <c r="A60" s="9"/>
      <c r="B60" s="9"/>
      <c r="C60" s="9"/>
      <c r="D60" s="9"/>
      <c r="E60" s="35"/>
      <c r="F60" s="35"/>
      <c r="G60" s="256"/>
      <c r="H60" s="265"/>
      <c r="I60" s="260"/>
      <c r="J60" s="260"/>
      <c r="K60" s="265"/>
      <c r="L60" s="260"/>
      <c r="M60" s="111"/>
      <c r="N60" s="9"/>
      <c r="O60" s="9"/>
      <c r="P60" s="9"/>
      <c r="Q60" s="9"/>
      <c r="R60" s="9"/>
      <c r="S60" s="44"/>
      <c r="T60" s="44"/>
      <c r="U60" s="44"/>
      <c r="V60" s="44"/>
      <c r="W60" s="44"/>
      <c r="X60" s="44"/>
      <c r="Y60" s="44"/>
      <c r="Z60" s="44"/>
    </row>
    <row r="61" spans="1:26">
      <c r="A61" s="9"/>
      <c r="B61" s="9"/>
      <c r="C61" s="9"/>
      <c r="D61" s="9"/>
      <c r="E61" s="35"/>
      <c r="F61" s="35"/>
      <c r="G61" s="256"/>
      <c r="H61" s="265"/>
      <c r="I61" s="260"/>
      <c r="J61" s="260"/>
      <c r="K61" s="265"/>
      <c r="L61" s="260"/>
      <c r="M61" s="111"/>
      <c r="N61" s="9"/>
      <c r="O61" s="9"/>
      <c r="P61" s="9"/>
      <c r="Q61" s="9"/>
      <c r="R61" s="9"/>
      <c r="S61" s="44"/>
      <c r="T61" s="44"/>
      <c r="U61" s="44"/>
      <c r="V61" s="44"/>
      <c r="W61" s="44"/>
      <c r="X61" s="44"/>
      <c r="Y61" s="44"/>
      <c r="Z61" s="44"/>
    </row>
    <row r="62" spans="1:26">
      <c r="A62" s="9"/>
      <c r="B62" s="9"/>
      <c r="C62" s="9"/>
      <c r="D62" s="9"/>
      <c r="E62" s="35"/>
      <c r="F62" s="35"/>
      <c r="G62" s="256"/>
      <c r="H62" s="265"/>
      <c r="I62" s="260"/>
      <c r="J62" s="260"/>
      <c r="K62" s="265"/>
      <c r="L62" s="260"/>
      <c r="M62" s="111"/>
      <c r="N62" s="9"/>
      <c r="O62" s="9"/>
      <c r="P62" s="9"/>
      <c r="Q62" s="9"/>
      <c r="R62" s="9"/>
      <c r="S62" s="44"/>
      <c r="T62" s="44"/>
      <c r="U62" s="44"/>
      <c r="V62" s="44"/>
      <c r="W62" s="44"/>
      <c r="X62" s="44"/>
      <c r="Y62" s="44"/>
      <c r="Z62" s="44"/>
    </row>
    <row r="63" spans="1:26">
      <c r="A63" s="9"/>
      <c r="B63" s="9"/>
      <c r="C63" s="9"/>
      <c r="D63" s="9"/>
      <c r="E63" s="35"/>
      <c r="F63" s="35"/>
      <c r="G63" s="256"/>
      <c r="H63" s="265"/>
      <c r="I63" s="260"/>
      <c r="J63" s="260"/>
      <c r="K63" s="265"/>
      <c r="L63" s="260"/>
      <c r="M63" s="111"/>
      <c r="N63" s="9"/>
      <c r="O63" s="9"/>
      <c r="P63" s="9"/>
      <c r="Q63" s="9"/>
      <c r="R63" s="9"/>
      <c r="S63" s="44"/>
      <c r="T63" s="44"/>
      <c r="U63" s="44"/>
      <c r="V63" s="44"/>
      <c r="W63" s="44"/>
      <c r="X63" s="44"/>
      <c r="Y63" s="44"/>
      <c r="Z63" s="44"/>
    </row>
    <row r="64" spans="1:26">
      <c r="A64" s="9"/>
      <c r="B64" s="9"/>
      <c r="C64" s="9"/>
      <c r="D64" s="9"/>
      <c r="E64" s="35"/>
      <c r="F64" s="35"/>
      <c r="G64" s="256"/>
      <c r="H64" s="265"/>
      <c r="I64" s="260"/>
      <c r="J64" s="260"/>
      <c r="K64" s="265"/>
      <c r="L64" s="260"/>
      <c r="M64" s="111"/>
      <c r="N64" s="9"/>
      <c r="O64" s="9"/>
      <c r="P64" s="9"/>
      <c r="Q64" s="9"/>
      <c r="R64" s="9"/>
      <c r="S64" s="44"/>
      <c r="T64" s="44"/>
      <c r="U64" s="44"/>
      <c r="V64" s="44"/>
      <c r="W64" s="44"/>
      <c r="X64" s="44"/>
      <c r="Y64" s="44"/>
      <c r="Z64" s="44"/>
    </row>
    <row r="65" spans="1:26">
      <c r="A65" s="9"/>
      <c r="B65" s="9"/>
      <c r="C65" s="9"/>
      <c r="D65" s="9"/>
      <c r="E65" s="35"/>
      <c r="F65" s="35"/>
      <c r="G65" s="256"/>
      <c r="H65" s="265"/>
      <c r="I65" s="260"/>
      <c r="J65" s="260"/>
      <c r="K65" s="265"/>
      <c r="L65" s="260"/>
      <c r="M65" s="111"/>
      <c r="N65" s="9"/>
      <c r="O65" s="9"/>
      <c r="P65" s="9"/>
      <c r="Q65" s="9"/>
      <c r="R65" s="9"/>
      <c r="S65" s="44"/>
      <c r="T65" s="44"/>
      <c r="U65" s="44"/>
      <c r="V65" s="44"/>
      <c r="W65" s="44"/>
      <c r="X65" s="44"/>
      <c r="Y65" s="44"/>
      <c r="Z65" s="44"/>
    </row>
    <row r="66" spans="1:26">
      <c r="A66" s="9"/>
      <c r="B66" s="9"/>
      <c r="C66" s="9"/>
      <c r="D66" s="9"/>
      <c r="E66" s="35"/>
      <c r="F66" s="35"/>
      <c r="G66" s="256"/>
      <c r="H66" s="265"/>
      <c r="I66" s="260"/>
      <c r="J66" s="260"/>
      <c r="K66" s="265"/>
      <c r="L66" s="260"/>
      <c r="M66" s="111"/>
      <c r="N66" s="9"/>
      <c r="O66" s="9"/>
      <c r="P66" s="9"/>
      <c r="Q66" s="9"/>
      <c r="R66" s="9"/>
      <c r="S66" s="44"/>
      <c r="T66" s="44"/>
      <c r="U66" s="44"/>
      <c r="V66" s="44"/>
      <c r="W66" s="44"/>
      <c r="X66" s="44"/>
      <c r="Y66" s="44"/>
      <c r="Z66" s="44"/>
    </row>
    <row r="67" spans="1:26">
      <c r="A67" s="9"/>
      <c r="B67" s="9"/>
      <c r="C67" s="9"/>
      <c r="D67" s="9"/>
      <c r="E67" s="35"/>
      <c r="F67" s="35"/>
      <c r="G67" s="256"/>
      <c r="H67" s="265"/>
      <c r="I67" s="260"/>
      <c r="J67" s="260"/>
      <c r="K67" s="265"/>
      <c r="L67" s="260"/>
      <c r="M67" s="111"/>
      <c r="N67" s="9"/>
      <c r="O67" s="9"/>
      <c r="P67" s="9"/>
      <c r="Q67" s="9"/>
      <c r="R67" s="9"/>
      <c r="S67" s="44"/>
      <c r="T67" s="44"/>
      <c r="U67" s="44"/>
      <c r="V67" s="44"/>
      <c r="W67" s="44"/>
      <c r="X67" s="44"/>
      <c r="Y67" s="44"/>
      <c r="Z67" s="44"/>
    </row>
    <row r="68" spans="1:26">
      <c r="A68" s="9"/>
      <c r="B68" s="9"/>
      <c r="C68" s="9"/>
      <c r="D68" s="9"/>
      <c r="E68" s="35"/>
      <c r="F68" s="35"/>
      <c r="G68" s="256"/>
      <c r="H68" s="265"/>
      <c r="I68" s="260"/>
      <c r="J68" s="260"/>
      <c r="K68" s="265"/>
      <c r="L68" s="260"/>
      <c r="M68" s="111"/>
      <c r="N68" s="9"/>
      <c r="O68" s="9"/>
      <c r="P68" s="9"/>
      <c r="Q68" s="9"/>
      <c r="R68" s="9"/>
      <c r="S68" s="44"/>
      <c r="T68" s="44"/>
      <c r="U68" s="44"/>
      <c r="V68" s="44"/>
      <c r="W68" s="44"/>
      <c r="X68" s="44"/>
      <c r="Y68" s="44"/>
      <c r="Z68" s="44"/>
    </row>
    <row r="69" spans="1:26">
      <c r="A69" s="9"/>
      <c r="B69" s="9"/>
      <c r="C69" s="9"/>
      <c r="D69" s="9"/>
      <c r="E69" s="35"/>
      <c r="F69" s="35"/>
      <c r="G69" s="256"/>
      <c r="H69" s="265"/>
      <c r="I69" s="260"/>
      <c r="J69" s="260"/>
      <c r="K69" s="265"/>
      <c r="L69" s="260"/>
      <c r="M69" s="111"/>
      <c r="N69" s="9"/>
      <c r="O69" s="9"/>
      <c r="P69" s="9"/>
      <c r="Q69" s="9"/>
      <c r="R69" s="9"/>
      <c r="S69" s="44"/>
      <c r="T69" s="44"/>
      <c r="U69" s="44"/>
      <c r="V69" s="44"/>
      <c r="W69" s="44"/>
      <c r="X69" s="44"/>
      <c r="Y69" s="44"/>
      <c r="Z69" s="44"/>
    </row>
    <row r="70" spans="1:26">
      <c r="A70" s="9"/>
      <c r="B70" s="9"/>
      <c r="C70" s="9"/>
      <c r="D70" s="9"/>
      <c r="E70" s="35"/>
      <c r="F70" s="35"/>
      <c r="G70" s="256"/>
      <c r="H70" s="265"/>
      <c r="I70" s="260"/>
      <c r="J70" s="260"/>
      <c r="K70" s="265"/>
      <c r="L70" s="260"/>
      <c r="M70" s="111"/>
      <c r="N70" s="9"/>
      <c r="O70" s="9"/>
      <c r="P70" s="9"/>
      <c r="Q70" s="9"/>
      <c r="R70" s="9"/>
      <c r="S70" s="44"/>
      <c r="T70" s="44"/>
      <c r="U70" s="44"/>
      <c r="V70" s="44"/>
      <c r="W70" s="44"/>
      <c r="X70" s="44"/>
      <c r="Y70" s="44"/>
      <c r="Z70" s="44"/>
    </row>
    <row r="71" spans="1:26">
      <c r="A71" s="9"/>
      <c r="B71" s="9"/>
      <c r="C71" s="9"/>
      <c r="D71" s="9"/>
      <c r="E71" s="35"/>
      <c r="F71" s="35"/>
      <c r="G71" s="256"/>
      <c r="H71" s="265"/>
      <c r="I71" s="260"/>
      <c r="J71" s="260"/>
      <c r="K71" s="265"/>
      <c r="L71" s="260"/>
      <c r="M71" s="111"/>
      <c r="N71" s="9"/>
      <c r="O71" s="9"/>
      <c r="P71" s="9"/>
      <c r="Q71" s="9"/>
      <c r="R71" s="9"/>
      <c r="S71" s="44"/>
      <c r="T71" s="44"/>
      <c r="U71" s="44"/>
      <c r="V71" s="44"/>
      <c r="W71" s="44"/>
      <c r="X71" s="44"/>
      <c r="Y71" s="44"/>
      <c r="Z71" s="44"/>
    </row>
    <row r="72" spans="1:26">
      <c r="A72" s="9"/>
      <c r="B72" s="9"/>
      <c r="C72" s="9"/>
      <c r="D72" s="9"/>
      <c r="E72" s="35"/>
      <c r="F72" s="35"/>
      <c r="G72" s="256"/>
      <c r="H72" s="265"/>
      <c r="I72" s="260"/>
      <c r="J72" s="260"/>
      <c r="K72" s="265"/>
      <c r="L72" s="260"/>
      <c r="M72" s="111"/>
      <c r="N72" s="9"/>
      <c r="O72" s="9"/>
      <c r="P72" s="9"/>
      <c r="Q72" s="9"/>
      <c r="R72" s="9"/>
      <c r="S72" s="44"/>
      <c r="T72" s="44"/>
      <c r="U72" s="44"/>
      <c r="V72" s="44"/>
      <c r="W72" s="44"/>
      <c r="X72" s="44"/>
      <c r="Y72" s="44"/>
      <c r="Z72" s="44"/>
    </row>
    <row r="73" spans="1:26">
      <c r="A73" s="9"/>
      <c r="B73" s="9"/>
      <c r="C73" s="9"/>
      <c r="D73" s="9"/>
      <c r="E73" s="35"/>
      <c r="F73" s="35"/>
      <c r="G73" s="256"/>
      <c r="H73" s="265"/>
      <c r="I73" s="260"/>
      <c r="J73" s="260"/>
      <c r="K73" s="265"/>
      <c r="L73" s="260"/>
      <c r="M73" s="111"/>
      <c r="N73" s="9"/>
      <c r="O73" s="9"/>
      <c r="P73" s="9"/>
      <c r="Q73" s="9"/>
      <c r="R73" s="9"/>
      <c r="S73" s="44"/>
      <c r="T73" s="44"/>
      <c r="U73" s="44"/>
      <c r="V73" s="44"/>
      <c r="W73" s="44"/>
      <c r="X73" s="44"/>
      <c r="Y73" s="44"/>
      <c r="Z73" s="44"/>
    </row>
    <row r="74" spans="1:26">
      <c r="A74" s="9"/>
      <c r="B74" s="9"/>
      <c r="C74" s="9"/>
      <c r="D74" s="9"/>
      <c r="E74" s="35"/>
      <c r="F74" s="35"/>
      <c r="G74" s="256"/>
      <c r="H74" s="265"/>
      <c r="I74" s="260"/>
      <c r="J74" s="260"/>
      <c r="K74" s="265"/>
      <c r="L74" s="260"/>
      <c r="M74" s="111"/>
      <c r="N74" s="9"/>
      <c r="O74" s="9"/>
      <c r="P74" s="9"/>
      <c r="Q74" s="9"/>
      <c r="R74" s="9"/>
      <c r="S74" s="44"/>
      <c r="T74" s="44"/>
      <c r="U74" s="44"/>
      <c r="V74" s="44"/>
      <c r="W74" s="44"/>
      <c r="X74" s="44"/>
      <c r="Y74" s="44"/>
      <c r="Z74" s="44"/>
    </row>
    <row r="75" spans="1:26">
      <c r="A75" s="9"/>
      <c r="B75" s="9"/>
      <c r="C75" s="9"/>
      <c r="D75" s="9"/>
      <c r="E75" s="35"/>
      <c r="F75" s="35"/>
      <c r="G75" s="256"/>
      <c r="H75" s="265"/>
      <c r="I75" s="260"/>
      <c r="J75" s="260"/>
      <c r="K75" s="265"/>
      <c r="L75" s="260"/>
      <c r="M75" s="111"/>
      <c r="N75" s="9"/>
      <c r="O75" s="9"/>
      <c r="P75" s="9"/>
      <c r="Q75" s="9"/>
      <c r="R75" s="9"/>
      <c r="S75" s="44"/>
      <c r="T75" s="44"/>
      <c r="U75" s="44"/>
      <c r="V75" s="44"/>
      <c r="W75" s="44"/>
      <c r="X75" s="44"/>
      <c r="Y75" s="44"/>
      <c r="Z75" s="44"/>
    </row>
    <row r="76" spans="1:26">
      <c r="A76" s="9"/>
      <c r="B76" s="9"/>
      <c r="C76" s="9"/>
      <c r="D76" s="9"/>
      <c r="E76" s="35"/>
      <c r="F76" s="35"/>
      <c r="G76" s="256"/>
      <c r="H76" s="265"/>
      <c r="I76" s="260"/>
      <c r="J76" s="260"/>
      <c r="K76" s="265"/>
      <c r="L76" s="260"/>
      <c r="M76" s="111"/>
      <c r="N76" s="9"/>
      <c r="O76" s="9"/>
      <c r="P76" s="9"/>
      <c r="Q76" s="9"/>
      <c r="R76" s="9"/>
      <c r="S76" s="44"/>
      <c r="T76" s="44"/>
      <c r="U76" s="44"/>
      <c r="V76" s="44"/>
      <c r="W76" s="44"/>
      <c r="X76" s="44"/>
      <c r="Y76" s="44"/>
      <c r="Z76" s="44"/>
    </row>
    <row r="77" spans="1:26">
      <c r="A77" s="9"/>
      <c r="B77" s="9"/>
      <c r="C77" s="9"/>
      <c r="D77" s="9"/>
      <c r="E77" s="35"/>
      <c r="F77" s="35"/>
      <c r="G77" s="256"/>
      <c r="H77" s="265"/>
      <c r="I77" s="260"/>
      <c r="J77" s="260"/>
      <c r="K77" s="265"/>
      <c r="L77" s="260"/>
      <c r="M77" s="111"/>
      <c r="N77" s="9"/>
      <c r="O77" s="9"/>
      <c r="P77" s="9"/>
      <c r="Q77" s="9"/>
      <c r="R77" s="9"/>
      <c r="S77" s="44"/>
      <c r="T77" s="44"/>
      <c r="U77" s="44"/>
      <c r="V77" s="44"/>
      <c r="W77" s="44"/>
      <c r="X77" s="44"/>
      <c r="Y77" s="44"/>
      <c r="Z77" s="44"/>
    </row>
    <row r="78" spans="1:26">
      <c r="A78" s="9"/>
      <c r="B78" s="9"/>
      <c r="C78" s="9"/>
      <c r="D78" s="9"/>
      <c r="E78" s="35"/>
      <c r="F78" s="35"/>
      <c r="G78" s="256"/>
      <c r="H78" s="265"/>
      <c r="I78" s="260"/>
      <c r="J78" s="260"/>
      <c r="K78" s="265"/>
      <c r="L78" s="260"/>
      <c r="M78" s="111"/>
      <c r="N78" s="9"/>
      <c r="O78" s="9"/>
      <c r="P78" s="9"/>
      <c r="Q78" s="9"/>
      <c r="R78" s="9"/>
      <c r="S78" s="44"/>
      <c r="T78" s="44"/>
      <c r="U78" s="44"/>
      <c r="V78" s="44"/>
      <c r="W78" s="44"/>
      <c r="X78" s="44"/>
      <c r="Y78" s="44"/>
      <c r="Z78" s="44"/>
    </row>
    <row r="79" spans="1:26">
      <c r="A79" s="9"/>
      <c r="B79" s="9"/>
      <c r="C79" s="9"/>
      <c r="D79" s="9"/>
      <c r="E79" s="35"/>
      <c r="F79" s="35"/>
      <c r="G79" s="256"/>
      <c r="H79" s="265"/>
      <c r="I79" s="260"/>
      <c r="J79" s="260"/>
      <c r="K79" s="265"/>
      <c r="L79" s="260"/>
      <c r="M79" s="111"/>
      <c r="N79" s="9"/>
      <c r="O79" s="9"/>
      <c r="P79" s="9"/>
      <c r="Q79" s="9"/>
      <c r="R79" s="9"/>
      <c r="S79" s="44"/>
      <c r="T79" s="44"/>
      <c r="U79" s="44"/>
      <c r="V79" s="44"/>
      <c r="W79" s="44"/>
      <c r="X79" s="44"/>
      <c r="Y79" s="44"/>
      <c r="Z79" s="44"/>
    </row>
    <row r="80" spans="1:26">
      <c r="A80" s="9"/>
      <c r="B80" s="9"/>
      <c r="C80" s="9"/>
      <c r="D80" s="9"/>
      <c r="E80" s="35"/>
      <c r="F80" s="35"/>
      <c r="G80" s="256"/>
      <c r="H80" s="265"/>
      <c r="I80" s="260"/>
      <c r="J80" s="260"/>
      <c r="K80" s="265"/>
      <c r="L80" s="260"/>
      <c r="M80" s="111"/>
      <c r="N80" s="9"/>
      <c r="O80" s="9"/>
      <c r="P80" s="9"/>
      <c r="Q80" s="9"/>
      <c r="R80" s="9"/>
      <c r="S80" s="44"/>
      <c r="T80" s="44"/>
      <c r="U80" s="44"/>
      <c r="V80" s="44"/>
      <c r="W80" s="44"/>
      <c r="X80" s="44"/>
      <c r="Y80" s="44"/>
      <c r="Z80" s="44"/>
    </row>
    <row r="81" spans="1:26">
      <c r="A81" s="9"/>
      <c r="B81" s="9"/>
      <c r="C81" s="9"/>
      <c r="D81" s="9"/>
      <c r="E81" s="35"/>
      <c r="F81" s="35"/>
      <c r="G81" s="256"/>
      <c r="H81" s="265"/>
      <c r="I81" s="260"/>
      <c r="J81" s="260"/>
      <c r="K81" s="265"/>
      <c r="L81" s="260"/>
      <c r="M81" s="111"/>
      <c r="N81" s="9"/>
      <c r="O81" s="9"/>
      <c r="P81" s="9"/>
      <c r="Q81" s="9"/>
      <c r="R81" s="9"/>
      <c r="S81" s="44"/>
      <c r="T81" s="44"/>
      <c r="U81" s="44"/>
      <c r="V81" s="44"/>
      <c r="W81" s="44"/>
      <c r="X81" s="44"/>
      <c r="Y81" s="44"/>
      <c r="Z81" s="44"/>
    </row>
    <row r="82" spans="1:26">
      <c r="A82" s="9"/>
      <c r="B82" s="9"/>
      <c r="C82" s="9"/>
      <c r="D82" s="9"/>
      <c r="E82" s="35"/>
      <c r="F82" s="35"/>
      <c r="G82" s="256"/>
      <c r="H82" s="265"/>
      <c r="I82" s="260"/>
      <c r="J82" s="260"/>
      <c r="K82" s="265"/>
      <c r="L82" s="260"/>
      <c r="M82" s="111"/>
      <c r="N82" s="9"/>
      <c r="O82" s="9"/>
      <c r="P82" s="9"/>
      <c r="Q82" s="9"/>
      <c r="R82" s="9"/>
      <c r="S82" s="44"/>
      <c r="T82" s="44"/>
      <c r="U82" s="44"/>
      <c r="V82" s="44"/>
      <c r="W82" s="44"/>
      <c r="X82" s="44"/>
      <c r="Y82" s="44"/>
      <c r="Z82" s="44"/>
    </row>
    <row r="83" spans="1:26">
      <c r="A83" s="9"/>
      <c r="B83" s="9"/>
      <c r="C83" s="9"/>
      <c r="D83" s="9"/>
      <c r="E83" s="35"/>
      <c r="F83" s="35"/>
      <c r="G83" s="256"/>
      <c r="H83" s="265"/>
      <c r="I83" s="260"/>
      <c r="J83" s="260"/>
      <c r="K83" s="265"/>
      <c r="L83" s="260"/>
      <c r="M83" s="111"/>
      <c r="N83" s="9"/>
      <c r="O83" s="9"/>
      <c r="P83" s="9"/>
      <c r="Q83" s="9"/>
      <c r="R83" s="9"/>
      <c r="S83" s="44"/>
      <c r="T83" s="44"/>
      <c r="U83" s="44"/>
      <c r="V83" s="44"/>
      <c r="W83" s="44"/>
      <c r="X83" s="44"/>
      <c r="Y83" s="44"/>
      <c r="Z83" s="44"/>
    </row>
    <row r="84" spans="1:26">
      <c r="A84" s="9"/>
      <c r="B84" s="9"/>
      <c r="C84" s="9"/>
      <c r="D84" s="9"/>
      <c r="E84" s="35"/>
      <c r="F84" s="35"/>
      <c r="G84" s="256"/>
      <c r="H84" s="265"/>
      <c r="I84" s="260"/>
      <c r="J84" s="260"/>
      <c r="K84" s="265"/>
      <c r="L84" s="260"/>
      <c r="M84" s="111"/>
      <c r="N84" s="9"/>
      <c r="O84" s="9"/>
      <c r="P84" s="9"/>
      <c r="Q84" s="9"/>
      <c r="R84" s="9"/>
      <c r="S84" s="44"/>
      <c r="T84" s="44"/>
      <c r="U84" s="44"/>
      <c r="V84" s="44"/>
      <c r="W84" s="44"/>
      <c r="X84" s="44"/>
      <c r="Y84" s="44"/>
      <c r="Z84" s="44"/>
    </row>
    <row r="85" spans="1:26">
      <c r="A85" s="9"/>
      <c r="B85" s="9"/>
      <c r="C85" s="9"/>
      <c r="D85" s="9"/>
      <c r="E85" s="35"/>
      <c r="F85" s="35"/>
      <c r="G85" s="256"/>
      <c r="H85" s="265"/>
      <c r="I85" s="260"/>
      <c r="J85" s="260"/>
      <c r="K85" s="265"/>
      <c r="L85" s="260"/>
      <c r="M85" s="111"/>
      <c r="N85" s="9"/>
      <c r="O85" s="9"/>
      <c r="P85" s="9"/>
      <c r="Q85" s="9"/>
      <c r="R85" s="9"/>
      <c r="S85" s="44"/>
      <c r="T85" s="44"/>
      <c r="U85" s="44"/>
      <c r="V85" s="44"/>
      <c r="W85" s="44"/>
      <c r="X85" s="44"/>
      <c r="Y85" s="44"/>
      <c r="Z85" s="44"/>
    </row>
    <row r="86" spans="1:26">
      <c r="A86" s="9"/>
      <c r="B86" s="9"/>
      <c r="C86" s="9"/>
      <c r="D86" s="9"/>
      <c r="E86" s="35"/>
      <c r="F86" s="35"/>
      <c r="G86" s="256"/>
      <c r="H86" s="265"/>
      <c r="I86" s="260"/>
      <c r="J86" s="260"/>
      <c r="K86" s="265"/>
      <c r="L86" s="260"/>
      <c r="M86" s="111"/>
      <c r="N86" s="9"/>
      <c r="O86" s="9"/>
      <c r="P86" s="9"/>
      <c r="Q86" s="9"/>
      <c r="R86" s="9"/>
      <c r="S86" s="44"/>
      <c r="T86" s="44"/>
      <c r="U86" s="44"/>
      <c r="V86" s="44"/>
      <c r="W86" s="44"/>
      <c r="X86" s="44"/>
      <c r="Y86" s="44"/>
      <c r="Z86" s="44"/>
    </row>
    <row r="87" spans="1:26">
      <c r="A87" s="9"/>
      <c r="B87" s="9"/>
      <c r="C87" s="9"/>
      <c r="D87" s="9"/>
      <c r="E87" s="35"/>
      <c r="F87" s="35"/>
      <c r="G87" s="256"/>
      <c r="H87" s="265"/>
      <c r="I87" s="260"/>
      <c r="J87" s="260"/>
      <c r="K87" s="265"/>
      <c r="L87" s="260"/>
      <c r="M87" s="111"/>
      <c r="N87" s="9"/>
      <c r="O87" s="9"/>
      <c r="P87" s="9"/>
      <c r="Q87" s="9"/>
      <c r="R87" s="9"/>
      <c r="S87" s="44"/>
      <c r="T87" s="44"/>
      <c r="U87" s="44"/>
      <c r="V87" s="44"/>
      <c r="W87" s="44"/>
      <c r="X87" s="44"/>
      <c r="Y87" s="44"/>
      <c r="Z87" s="44"/>
    </row>
    <row r="88" spans="1:26">
      <c r="A88" s="9"/>
      <c r="B88" s="9"/>
      <c r="C88" s="9"/>
      <c r="D88" s="9"/>
      <c r="E88" s="35"/>
      <c r="F88" s="35"/>
      <c r="G88" s="256"/>
      <c r="H88" s="265"/>
      <c r="I88" s="260"/>
      <c r="J88" s="260"/>
      <c r="K88" s="265"/>
      <c r="L88" s="260"/>
      <c r="M88" s="111"/>
      <c r="N88" s="9"/>
      <c r="O88" s="9"/>
      <c r="P88" s="9"/>
      <c r="Q88" s="9"/>
      <c r="R88" s="9"/>
      <c r="S88" s="44"/>
      <c r="T88" s="44"/>
      <c r="U88" s="44"/>
      <c r="V88" s="44"/>
      <c r="W88" s="44"/>
      <c r="X88" s="44"/>
      <c r="Y88" s="44"/>
      <c r="Z88" s="44"/>
    </row>
    <row r="89" spans="1:26">
      <c r="A89" s="9"/>
      <c r="B89" s="9"/>
      <c r="C89" s="9"/>
      <c r="D89" s="9"/>
      <c r="E89" s="35"/>
      <c r="F89" s="35"/>
      <c r="G89" s="256"/>
      <c r="H89" s="265"/>
      <c r="I89" s="260"/>
      <c r="J89" s="260"/>
      <c r="K89" s="265"/>
      <c r="L89" s="260"/>
      <c r="M89" s="111"/>
      <c r="N89" s="9"/>
      <c r="O89" s="9"/>
      <c r="P89" s="9"/>
      <c r="Q89" s="9"/>
      <c r="R89" s="9"/>
      <c r="S89" s="44"/>
      <c r="T89" s="44"/>
      <c r="U89" s="44"/>
      <c r="V89" s="44"/>
      <c r="W89" s="44"/>
      <c r="X89" s="44"/>
      <c r="Y89" s="44"/>
      <c r="Z89" s="44"/>
    </row>
    <row r="90" spans="1:26">
      <c r="A90" s="9"/>
      <c r="B90" s="9"/>
      <c r="C90" s="9"/>
      <c r="D90" s="9"/>
      <c r="E90" s="35"/>
      <c r="F90" s="35"/>
      <c r="G90" s="256"/>
      <c r="H90" s="265"/>
      <c r="I90" s="260"/>
      <c r="J90" s="260"/>
      <c r="K90" s="265"/>
      <c r="L90" s="260"/>
      <c r="M90" s="111"/>
      <c r="N90" s="9"/>
      <c r="O90" s="9"/>
      <c r="P90" s="9"/>
      <c r="Q90" s="9"/>
      <c r="R90" s="9"/>
      <c r="S90" s="44"/>
      <c r="T90" s="44"/>
      <c r="U90" s="44"/>
      <c r="V90" s="44"/>
      <c r="W90" s="44"/>
      <c r="X90" s="44"/>
      <c r="Y90" s="44"/>
      <c r="Z90" s="44"/>
    </row>
    <row r="91" spans="1:26">
      <c r="A91" s="9"/>
      <c r="B91" s="9"/>
      <c r="C91" s="9"/>
      <c r="D91" s="9"/>
      <c r="E91" s="35"/>
      <c r="F91" s="35"/>
      <c r="G91" s="256"/>
      <c r="H91" s="265"/>
      <c r="I91" s="260"/>
      <c r="J91" s="260"/>
      <c r="K91" s="265"/>
      <c r="L91" s="260"/>
      <c r="M91" s="111"/>
      <c r="N91" s="9"/>
      <c r="O91" s="9"/>
      <c r="P91" s="9"/>
      <c r="Q91" s="9"/>
      <c r="R91" s="9"/>
      <c r="S91" s="44"/>
      <c r="T91" s="44"/>
      <c r="U91" s="44"/>
      <c r="V91" s="44"/>
      <c r="W91" s="44"/>
      <c r="X91" s="44"/>
      <c r="Y91" s="44"/>
      <c r="Z91" s="44"/>
    </row>
    <row r="92" spans="1:26">
      <c r="A92" s="9"/>
      <c r="B92" s="9"/>
      <c r="C92" s="9"/>
      <c r="D92" s="9"/>
      <c r="E92" s="35"/>
      <c r="F92" s="35"/>
      <c r="G92" s="256"/>
      <c r="H92" s="265"/>
      <c r="I92" s="260"/>
      <c r="J92" s="260"/>
      <c r="K92" s="265"/>
      <c r="L92" s="260"/>
      <c r="M92" s="111"/>
      <c r="N92" s="9"/>
      <c r="O92" s="9"/>
      <c r="P92" s="9"/>
      <c r="Q92" s="9"/>
      <c r="R92" s="9"/>
      <c r="S92" s="44"/>
      <c r="T92" s="44"/>
      <c r="U92" s="44"/>
      <c r="V92" s="44"/>
      <c r="W92" s="44"/>
      <c r="X92" s="44"/>
      <c r="Y92" s="44"/>
      <c r="Z92" s="44"/>
    </row>
    <row r="93" spans="1:26">
      <c r="A93" s="9"/>
      <c r="B93" s="9"/>
      <c r="C93" s="9"/>
      <c r="D93" s="9"/>
      <c r="E93" s="35"/>
      <c r="F93" s="35"/>
      <c r="G93" s="256"/>
      <c r="H93" s="265"/>
      <c r="I93" s="260"/>
      <c r="J93" s="260"/>
      <c r="K93" s="265"/>
      <c r="L93" s="260"/>
      <c r="M93" s="111"/>
      <c r="N93" s="9"/>
      <c r="O93" s="9"/>
      <c r="P93" s="9"/>
      <c r="Q93" s="9"/>
      <c r="R93" s="9"/>
      <c r="S93" s="44"/>
      <c r="T93" s="44"/>
      <c r="U93" s="44"/>
      <c r="V93" s="44"/>
      <c r="W93" s="44"/>
      <c r="X93" s="44"/>
      <c r="Y93" s="44"/>
      <c r="Z93" s="44"/>
    </row>
    <row r="94" spans="1:26">
      <c r="A94" s="9"/>
      <c r="B94" s="9"/>
      <c r="C94" s="9"/>
      <c r="D94" s="9"/>
      <c r="E94" s="35"/>
      <c r="F94" s="35"/>
      <c r="G94" s="256"/>
      <c r="H94" s="265"/>
      <c r="I94" s="260"/>
      <c r="J94" s="260"/>
      <c r="K94" s="265"/>
      <c r="L94" s="260"/>
      <c r="M94" s="111"/>
      <c r="N94" s="9"/>
      <c r="O94" s="9"/>
      <c r="P94" s="9"/>
      <c r="Q94" s="9"/>
      <c r="R94" s="9"/>
      <c r="S94" s="44"/>
      <c r="T94" s="44"/>
      <c r="U94" s="44"/>
      <c r="V94" s="44"/>
      <c r="W94" s="44"/>
      <c r="X94" s="44"/>
      <c r="Y94" s="44"/>
      <c r="Z94" s="44"/>
    </row>
    <row r="95" spans="1:26">
      <c r="A95" s="9"/>
      <c r="B95" s="9"/>
      <c r="C95" s="9"/>
      <c r="D95" s="9"/>
      <c r="E95" s="35"/>
      <c r="F95" s="35"/>
      <c r="G95" s="256"/>
      <c r="H95" s="265"/>
      <c r="I95" s="260"/>
      <c r="J95" s="260"/>
      <c r="K95" s="265"/>
      <c r="L95" s="260"/>
      <c r="M95" s="111"/>
      <c r="N95" s="9"/>
      <c r="O95" s="9"/>
      <c r="P95" s="9"/>
      <c r="Q95" s="9"/>
      <c r="R95" s="9"/>
      <c r="S95" s="44"/>
      <c r="T95" s="44"/>
      <c r="U95" s="44"/>
      <c r="V95" s="44"/>
      <c r="W95" s="44"/>
      <c r="X95" s="44"/>
      <c r="Y95" s="44"/>
      <c r="Z95" s="44"/>
    </row>
    <row r="96" spans="1:26">
      <c r="A96" s="9"/>
      <c r="B96" s="9"/>
      <c r="C96" s="9"/>
      <c r="D96" s="9"/>
      <c r="E96" s="35"/>
      <c r="F96" s="35"/>
      <c r="G96" s="256"/>
      <c r="H96" s="265"/>
      <c r="I96" s="260"/>
      <c r="J96" s="260"/>
      <c r="K96" s="265"/>
      <c r="L96" s="260"/>
      <c r="M96" s="111"/>
      <c r="N96" s="9"/>
      <c r="O96" s="9"/>
      <c r="P96" s="9"/>
      <c r="Q96" s="9"/>
      <c r="R96" s="9"/>
      <c r="S96" s="44"/>
      <c r="T96" s="44"/>
      <c r="U96" s="44"/>
      <c r="V96" s="44"/>
      <c r="W96" s="44"/>
      <c r="X96" s="44"/>
      <c r="Y96" s="44"/>
      <c r="Z96" s="44"/>
    </row>
    <row r="97" spans="1:26">
      <c r="A97" s="9"/>
      <c r="B97" s="9"/>
      <c r="C97" s="9"/>
      <c r="D97" s="9"/>
      <c r="E97" s="35"/>
      <c r="F97" s="35"/>
      <c r="G97" s="256"/>
      <c r="H97" s="265"/>
      <c r="I97" s="260"/>
      <c r="J97" s="260"/>
      <c r="K97" s="265"/>
      <c r="L97" s="260"/>
      <c r="M97" s="111"/>
      <c r="N97" s="9"/>
      <c r="O97" s="9"/>
      <c r="P97" s="9"/>
      <c r="Q97" s="9"/>
      <c r="R97" s="9"/>
      <c r="S97" s="44"/>
      <c r="T97" s="44"/>
      <c r="U97" s="44"/>
      <c r="V97" s="44"/>
      <c r="W97" s="44"/>
      <c r="X97" s="44"/>
      <c r="Y97" s="44"/>
      <c r="Z97" s="44"/>
    </row>
    <row r="98" spans="1:26">
      <c r="A98" s="9"/>
      <c r="B98" s="9"/>
      <c r="C98" s="9"/>
      <c r="D98" s="9"/>
      <c r="E98" s="35"/>
      <c r="F98" s="35"/>
      <c r="G98" s="256"/>
      <c r="H98" s="265"/>
      <c r="I98" s="260"/>
      <c r="J98" s="260"/>
      <c r="K98" s="265"/>
      <c r="L98" s="260"/>
      <c r="M98" s="111"/>
      <c r="N98" s="9"/>
      <c r="O98" s="9"/>
      <c r="P98" s="9"/>
      <c r="Q98" s="9"/>
      <c r="R98" s="9"/>
      <c r="S98" s="44"/>
      <c r="T98" s="44"/>
      <c r="U98" s="44"/>
      <c r="V98" s="44"/>
      <c r="W98" s="44"/>
      <c r="X98" s="44"/>
      <c r="Y98" s="44"/>
      <c r="Z98" s="44"/>
    </row>
    <row r="99" spans="1:26">
      <c r="A99" s="9"/>
      <c r="B99" s="9"/>
      <c r="C99" s="9"/>
      <c r="D99" s="9"/>
      <c r="E99" s="35"/>
      <c r="F99" s="35"/>
      <c r="G99" s="256"/>
      <c r="H99" s="265"/>
      <c r="I99" s="260"/>
      <c r="J99" s="260"/>
      <c r="K99" s="265"/>
      <c r="L99" s="260"/>
      <c r="M99" s="111"/>
      <c r="N99" s="9"/>
      <c r="O99" s="9"/>
      <c r="P99" s="9"/>
      <c r="Q99" s="9"/>
      <c r="R99" s="9"/>
      <c r="S99" s="44"/>
      <c r="T99" s="44"/>
      <c r="U99" s="44"/>
      <c r="V99" s="44"/>
      <c r="W99" s="44"/>
      <c r="X99" s="44"/>
      <c r="Y99" s="44"/>
      <c r="Z99" s="44"/>
    </row>
    <row r="100" spans="1:26">
      <c r="A100" s="9"/>
      <c r="B100" s="9"/>
      <c r="C100" s="9"/>
      <c r="D100" s="9"/>
      <c r="E100" s="35"/>
      <c r="F100" s="35"/>
      <c r="G100" s="256"/>
      <c r="H100" s="265"/>
      <c r="I100" s="260"/>
      <c r="J100" s="260"/>
      <c r="K100" s="265"/>
      <c r="L100" s="260"/>
      <c r="M100" s="111"/>
      <c r="N100" s="9"/>
      <c r="O100" s="9"/>
      <c r="P100" s="9"/>
      <c r="Q100" s="9"/>
      <c r="R100" s="9"/>
      <c r="S100" s="44"/>
      <c r="T100" s="44"/>
      <c r="U100" s="44"/>
      <c r="V100" s="44"/>
      <c r="W100" s="44"/>
      <c r="X100" s="44"/>
      <c r="Y100" s="44"/>
      <c r="Z100" s="44"/>
    </row>
    <row r="101" spans="1:26">
      <c r="A101" s="9"/>
      <c r="B101" s="9"/>
      <c r="C101" s="9"/>
      <c r="D101" s="9"/>
      <c r="E101" s="35"/>
      <c r="F101" s="35"/>
      <c r="G101" s="256"/>
      <c r="H101" s="265"/>
      <c r="I101" s="260"/>
      <c r="J101" s="260"/>
      <c r="K101" s="265"/>
      <c r="L101" s="260"/>
      <c r="M101" s="111"/>
      <c r="N101" s="9"/>
      <c r="O101" s="9"/>
      <c r="P101" s="9"/>
      <c r="Q101" s="9"/>
      <c r="R101" s="9"/>
      <c r="S101" s="44"/>
      <c r="T101" s="44"/>
      <c r="U101" s="44"/>
      <c r="V101" s="44"/>
      <c r="W101" s="44"/>
      <c r="X101" s="44"/>
      <c r="Y101" s="44"/>
      <c r="Z101" s="44"/>
    </row>
    <row r="102" spans="1:26">
      <c r="A102" s="9"/>
      <c r="B102" s="9"/>
      <c r="C102" s="9"/>
      <c r="D102" s="9"/>
      <c r="E102" s="35"/>
      <c r="F102" s="35"/>
      <c r="G102" s="256"/>
      <c r="H102" s="265"/>
      <c r="I102" s="260"/>
      <c r="J102" s="260"/>
      <c r="K102" s="265"/>
      <c r="L102" s="260"/>
      <c r="M102" s="111"/>
      <c r="N102" s="9"/>
      <c r="O102" s="9"/>
      <c r="P102" s="9"/>
      <c r="Q102" s="9"/>
      <c r="R102" s="9"/>
      <c r="S102" s="44"/>
      <c r="T102" s="44"/>
      <c r="U102" s="44"/>
      <c r="V102" s="44"/>
      <c r="W102" s="44"/>
      <c r="X102" s="44"/>
      <c r="Y102" s="44"/>
      <c r="Z102" s="44"/>
    </row>
    <row r="103" spans="1:26">
      <c r="A103" s="9"/>
      <c r="B103" s="9"/>
      <c r="C103" s="9"/>
      <c r="D103" s="9"/>
      <c r="E103" s="35"/>
      <c r="F103" s="35"/>
      <c r="G103" s="256"/>
      <c r="H103" s="265"/>
      <c r="I103" s="260"/>
      <c r="J103" s="260"/>
      <c r="K103" s="265"/>
      <c r="L103" s="260"/>
      <c r="M103" s="111"/>
      <c r="N103" s="9"/>
      <c r="O103" s="9"/>
      <c r="P103" s="9"/>
      <c r="Q103" s="9"/>
      <c r="R103" s="9"/>
      <c r="S103" s="44"/>
      <c r="T103" s="44"/>
      <c r="U103" s="44"/>
      <c r="V103" s="44"/>
      <c r="W103" s="44"/>
      <c r="X103" s="44"/>
      <c r="Y103" s="44"/>
      <c r="Z103" s="44"/>
    </row>
    <row r="104" spans="1:26">
      <c r="A104" s="9"/>
      <c r="B104" s="9"/>
      <c r="C104" s="9"/>
      <c r="D104" s="9"/>
      <c r="E104" s="35"/>
      <c r="F104" s="35"/>
      <c r="G104" s="256"/>
      <c r="H104" s="265"/>
      <c r="I104" s="260"/>
      <c r="J104" s="260"/>
      <c r="K104" s="265"/>
      <c r="L104" s="260"/>
      <c r="M104" s="111"/>
      <c r="N104" s="9"/>
      <c r="O104" s="9"/>
      <c r="P104" s="9"/>
      <c r="Q104" s="9"/>
      <c r="R104" s="9"/>
      <c r="S104" s="44"/>
      <c r="T104" s="44"/>
      <c r="U104" s="44"/>
      <c r="V104" s="44"/>
      <c r="W104" s="44"/>
      <c r="X104" s="44"/>
      <c r="Y104" s="44"/>
      <c r="Z104" s="44"/>
    </row>
    <row r="105" spans="1:26">
      <c r="A105" s="9"/>
      <c r="B105" s="9"/>
      <c r="C105" s="9"/>
      <c r="D105" s="9"/>
      <c r="E105" s="35"/>
      <c r="F105" s="35"/>
      <c r="G105" s="256"/>
      <c r="H105" s="265"/>
      <c r="I105" s="260"/>
      <c r="J105" s="260"/>
      <c r="K105" s="265"/>
      <c r="L105" s="260"/>
      <c r="M105" s="111"/>
      <c r="N105" s="9"/>
      <c r="O105" s="9"/>
      <c r="P105" s="9"/>
      <c r="Q105" s="9"/>
      <c r="R105" s="9"/>
      <c r="S105" s="44"/>
      <c r="T105" s="44"/>
      <c r="U105" s="44"/>
      <c r="V105" s="44"/>
      <c r="W105" s="44"/>
      <c r="X105" s="44"/>
      <c r="Y105" s="44"/>
      <c r="Z105" s="44"/>
    </row>
    <row r="106" spans="1:26">
      <c r="A106" s="9"/>
      <c r="B106" s="9"/>
      <c r="C106" s="9"/>
      <c r="D106" s="9"/>
      <c r="E106" s="35"/>
      <c r="F106" s="35"/>
      <c r="G106" s="256"/>
      <c r="H106" s="265"/>
      <c r="I106" s="260"/>
      <c r="J106" s="260"/>
      <c r="K106" s="265"/>
      <c r="L106" s="260"/>
      <c r="M106" s="111"/>
      <c r="N106" s="9"/>
      <c r="O106" s="9"/>
      <c r="P106" s="9"/>
      <c r="Q106" s="9"/>
      <c r="R106" s="9"/>
      <c r="S106" s="44"/>
      <c r="T106" s="44"/>
      <c r="U106" s="44"/>
      <c r="V106" s="44"/>
      <c r="W106" s="44"/>
      <c r="X106" s="44"/>
      <c r="Y106" s="44"/>
      <c r="Z106" s="44"/>
    </row>
    <row r="107" spans="1:26">
      <c r="A107" s="9"/>
      <c r="B107" s="9"/>
      <c r="C107" s="9"/>
      <c r="D107" s="9"/>
      <c r="E107" s="35"/>
      <c r="F107" s="35"/>
      <c r="G107" s="256"/>
      <c r="H107" s="265"/>
      <c r="I107" s="260"/>
      <c r="J107" s="260"/>
      <c r="K107" s="265"/>
      <c r="L107" s="260"/>
      <c r="M107" s="111"/>
      <c r="N107" s="9"/>
      <c r="O107" s="9"/>
      <c r="P107" s="9"/>
      <c r="Q107" s="9"/>
      <c r="R107" s="9"/>
      <c r="S107" s="44"/>
      <c r="T107" s="44"/>
      <c r="U107" s="44"/>
      <c r="V107" s="44"/>
      <c r="W107" s="44"/>
      <c r="X107" s="44"/>
      <c r="Y107" s="44"/>
      <c r="Z107" s="44"/>
    </row>
    <row r="108" spans="1:26">
      <c r="A108" s="9"/>
      <c r="B108" s="9"/>
      <c r="C108" s="9"/>
      <c r="D108" s="9"/>
      <c r="E108" s="35"/>
      <c r="F108" s="35"/>
      <c r="G108" s="256"/>
      <c r="H108" s="265"/>
      <c r="I108" s="260"/>
      <c r="J108" s="260"/>
      <c r="K108" s="265"/>
      <c r="L108" s="260"/>
      <c r="M108" s="111"/>
      <c r="N108" s="9"/>
      <c r="O108" s="9"/>
      <c r="P108" s="9"/>
      <c r="Q108" s="9"/>
      <c r="R108" s="9"/>
      <c r="S108" s="44"/>
      <c r="T108" s="44"/>
      <c r="U108" s="44"/>
      <c r="V108" s="44"/>
      <c r="W108" s="44"/>
      <c r="X108" s="44"/>
      <c r="Y108" s="44"/>
      <c r="Z108" s="44"/>
    </row>
    <row r="109" spans="1:26">
      <c r="A109" s="9"/>
      <c r="B109" s="9"/>
      <c r="C109" s="9"/>
      <c r="D109" s="9"/>
      <c r="E109" s="35"/>
      <c r="F109" s="35"/>
      <c r="G109" s="256"/>
      <c r="H109" s="265"/>
      <c r="I109" s="260"/>
      <c r="J109" s="260"/>
      <c r="K109" s="265"/>
      <c r="L109" s="260"/>
      <c r="M109" s="111"/>
      <c r="N109" s="9"/>
      <c r="O109" s="9"/>
      <c r="P109" s="9"/>
      <c r="Q109" s="9"/>
      <c r="R109" s="9"/>
      <c r="S109" s="44"/>
      <c r="T109" s="44"/>
      <c r="U109" s="44"/>
      <c r="V109" s="44"/>
      <c r="W109" s="44"/>
      <c r="X109" s="44"/>
      <c r="Y109" s="44"/>
      <c r="Z109" s="44"/>
    </row>
    <row r="110" spans="1:26">
      <c r="A110" s="9"/>
      <c r="B110" s="9"/>
      <c r="C110" s="9"/>
      <c r="D110" s="9"/>
      <c r="E110" s="35"/>
      <c r="F110" s="35"/>
      <c r="G110" s="256"/>
      <c r="H110" s="265"/>
      <c r="I110" s="260"/>
      <c r="J110" s="260"/>
      <c r="K110" s="265"/>
      <c r="L110" s="260"/>
      <c r="M110" s="111"/>
      <c r="N110" s="9"/>
      <c r="O110" s="9"/>
      <c r="P110" s="9"/>
      <c r="Q110" s="9"/>
      <c r="R110" s="9"/>
      <c r="S110" s="44"/>
      <c r="T110" s="44"/>
      <c r="U110" s="44"/>
      <c r="V110" s="44"/>
      <c r="W110" s="44"/>
      <c r="X110" s="44"/>
      <c r="Y110" s="44"/>
      <c r="Z110" s="44"/>
    </row>
    <row r="111" spans="1:26">
      <c r="A111" s="9"/>
      <c r="B111" s="9"/>
      <c r="C111" s="9"/>
      <c r="D111" s="9"/>
      <c r="E111" s="35"/>
      <c r="F111" s="35"/>
      <c r="G111" s="256"/>
      <c r="H111" s="265"/>
      <c r="I111" s="260"/>
      <c r="J111" s="260"/>
      <c r="K111" s="265"/>
      <c r="L111" s="260"/>
      <c r="M111" s="111"/>
      <c r="N111" s="9"/>
      <c r="O111" s="9"/>
      <c r="P111" s="9"/>
      <c r="Q111" s="9"/>
      <c r="R111" s="9"/>
      <c r="S111" s="44"/>
      <c r="T111" s="44"/>
      <c r="U111" s="44"/>
      <c r="V111" s="44"/>
      <c r="W111" s="44"/>
      <c r="X111" s="44"/>
      <c r="Y111" s="44"/>
      <c r="Z111" s="44"/>
    </row>
    <row r="112" spans="1:26">
      <c r="A112" s="9"/>
      <c r="B112" s="9"/>
      <c r="C112" s="9"/>
      <c r="D112" s="9"/>
      <c r="E112" s="35"/>
      <c r="F112" s="35"/>
      <c r="G112" s="256"/>
      <c r="H112" s="265"/>
      <c r="I112" s="260"/>
      <c r="J112" s="260"/>
      <c r="K112" s="265"/>
      <c r="L112" s="260"/>
      <c r="M112" s="111"/>
      <c r="N112" s="9"/>
      <c r="O112" s="9"/>
      <c r="P112" s="9"/>
      <c r="Q112" s="9"/>
      <c r="R112" s="9"/>
      <c r="S112" s="44"/>
      <c r="T112" s="44"/>
      <c r="U112" s="44"/>
      <c r="V112" s="44"/>
      <c r="W112" s="44"/>
      <c r="X112" s="44"/>
      <c r="Y112" s="44"/>
      <c r="Z112" s="44"/>
    </row>
    <row r="113" spans="1:26">
      <c r="A113" s="9"/>
      <c r="B113" s="9"/>
      <c r="C113" s="9"/>
      <c r="D113" s="9"/>
      <c r="E113" s="35"/>
      <c r="F113" s="35"/>
      <c r="G113" s="256"/>
      <c r="H113" s="265"/>
      <c r="I113" s="260"/>
      <c r="J113" s="260"/>
      <c r="K113" s="265"/>
      <c r="L113" s="260"/>
      <c r="M113" s="111"/>
      <c r="N113" s="9"/>
      <c r="O113" s="9"/>
      <c r="P113" s="9"/>
      <c r="Q113" s="9"/>
      <c r="R113" s="9"/>
      <c r="S113" s="44"/>
      <c r="T113" s="44"/>
      <c r="U113" s="44"/>
      <c r="V113" s="44"/>
      <c r="W113" s="44"/>
      <c r="X113" s="44"/>
      <c r="Y113" s="44"/>
      <c r="Z113" s="44"/>
    </row>
    <row r="114" spans="1:26">
      <c r="A114" s="9"/>
      <c r="B114" s="9"/>
      <c r="C114" s="9"/>
      <c r="D114" s="9"/>
      <c r="E114" s="35"/>
      <c r="F114" s="35"/>
      <c r="G114" s="256"/>
      <c r="H114" s="265"/>
      <c r="I114" s="260"/>
      <c r="J114" s="260"/>
      <c r="K114" s="265"/>
      <c r="L114" s="260"/>
      <c r="M114" s="111"/>
      <c r="N114" s="9"/>
      <c r="O114" s="9"/>
      <c r="P114" s="9"/>
      <c r="Q114" s="9"/>
      <c r="R114" s="9"/>
      <c r="S114" s="44"/>
      <c r="T114" s="44"/>
      <c r="U114" s="44"/>
      <c r="V114" s="44"/>
      <c r="W114" s="44"/>
      <c r="X114" s="44"/>
      <c r="Y114" s="44"/>
      <c r="Z114" s="44"/>
    </row>
    <row r="115" spans="1:26">
      <c r="A115" s="9"/>
      <c r="B115" s="9"/>
      <c r="C115" s="9"/>
      <c r="D115" s="9"/>
      <c r="E115" s="35"/>
      <c r="F115" s="35"/>
      <c r="G115" s="256"/>
      <c r="H115" s="265"/>
      <c r="I115" s="260"/>
      <c r="J115" s="260"/>
      <c r="K115" s="265"/>
      <c r="L115" s="260"/>
      <c r="M115" s="111"/>
      <c r="N115" s="9"/>
      <c r="O115" s="9"/>
      <c r="P115" s="9"/>
      <c r="Q115" s="9"/>
      <c r="R115" s="9"/>
      <c r="S115" s="44"/>
      <c r="T115" s="44"/>
      <c r="U115" s="44"/>
      <c r="V115" s="44"/>
      <c r="W115" s="44"/>
      <c r="X115" s="44"/>
      <c r="Y115" s="44"/>
      <c r="Z115" s="44"/>
    </row>
    <row r="116" spans="1:26">
      <c r="A116" s="9"/>
      <c r="B116" s="9"/>
      <c r="C116" s="9"/>
      <c r="D116" s="9"/>
      <c r="E116" s="35"/>
      <c r="F116" s="35"/>
      <c r="G116" s="256"/>
      <c r="H116" s="265"/>
      <c r="I116" s="260"/>
      <c r="J116" s="260"/>
      <c r="K116" s="265"/>
      <c r="L116" s="260"/>
      <c r="M116" s="111"/>
      <c r="N116" s="9"/>
      <c r="O116" s="9"/>
      <c r="P116" s="9"/>
      <c r="Q116" s="9"/>
      <c r="R116" s="9"/>
      <c r="S116" s="44"/>
      <c r="T116" s="44"/>
      <c r="U116" s="44"/>
      <c r="V116" s="44"/>
      <c r="W116" s="44"/>
      <c r="X116" s="44"/>
      <c r="Y116" s="44"/>
      <c r="Z116" s="44"/>
    </row>
    <row r="117" spans="1:26">
      <c r="A117" s="9"/>
      <c r="B117" s="9"/>
      <c r="C117" s="9"/>
      <c r="D117" s="9"/>
      <c r="E117" s="35"/>
      <c r="F117" s="35"/>
      <c r="G117" s="256"/>
      <c r="H117" s="265"/>
      <c r="I117" s="260"/>
      <c r="J117" s="260"/>
      <c r="K117" s="265"/>
      <c r="L117" s="260"/>
      <c r="M117" s="111"/>
      <c r="N117" s="9"/>
      <c r="O117" s="9"/>
      <c r="P117" s="9"/>
      <c r="Q117" s="9"/>
      <c r="R117" s="9"/>
      <c r="S117" s="44"/>
      <c r="T117" s="44"/>
      <c r="U117" s="44"/>
      <c r="V117" s="44"/>
      <c r="W117" s="44"/>
      <c r="X117" s="44"/>
      <c r="Y117" s="44"/>
      <c r="Z117" s="44"/>
    </row>
    <row r="118" spans="1:26">
      <c r="A118" s="9"/>
      <c r="B118" s="9"/>
      <c r="C118" s="9"/>
      <c r="D118" s="9"/>
      <c r="E118" s="35"/>
      <c r="F118" s="35"/>
      <c r="G118" s="256"/>
      <c r="H118" s="265"/>
      <c r="I118" s="260"/>
      <c r="J118" s="260"/>
      <c r="K118" s="265"/>
      <c r="L118" s="260"/>
      <c r="M118" s="111"/>
      <c r="N118" s="9"/>
      <c r="O118" s="9"/>
      <c r="P118" s="9"/>
      <c r="Q118" s="9"/>
      <c r="R118" s="9"/>
      <c r="S118" s="44"/>
      <c r="T118" s="44"/>
      <c r="U118" s="44"/>
      <c r="V118" s="44"/>
      <c r="W118" s="44"/>
      <c r="X118" s="44"/>
      <c r="Y118" s="44"/>
      <c r="Z118" s="44"/>
    </row>
    <row r="119" spans="1:26">
      <c r="A119" s="9"/>
      <c r="B119" s="9"/>
      <c r="C119" s="9"/>
      <c r="D119" s="9"/>
      <c r="E119" s="35"/>
      <c r="F119" s="35"/>
      <c r="G119" s="256"/>
      <c r="H119" s="265"/>
      <c r="I119" s="260"/>
      <c r="J119" s="260"/>
      <c r="K119" s="265"/>
      <c r="L119" s="260"/>
      <c r="M119" s="111"/>
      <c r="N119" s="9"/>
      <c r="O119" s="9"/>
      <c r="P119" s="9"/>
      <c r="Q119" s="9"/>
      <c r="R119" s="9"/>
      <c r="S119" s="44"/>
      <c r="T119" s="44"/>
      <c r="U119" s="44"/>
      <c r="V119" s="44"/>
      <c r="W119" s="44"/>
      <c r="X119" s="44"/>
      <c r="Y119" s="44"/>
      <c r="Z119" s="44"/>
    </row>
    <row r="120" spans="1:26">
      <c r="A120" s="9"/>
      <c r="B120" s="9"/>
      <c r="C120" s="9"/>
      <c r="D120" s="9"/>
      <c r="E120" s="35"/>
      <c r="F120" s="35"/>
      <c r="G120" s="256"/>
      <c r="H120" s="265"/>
      <c r="I120" s="260"/>
      <c r="J120" s="260"/>
      <c r="K120" s="265"/>
      <c r="L120" s="260"/>
      <c r="M120" s="111"/>
      <c r="N120" s="9"/>
      <c r="O120" s="9"/>
      <c r="P120" s="9"/>
      <c r="Q120" s="9"/>
      <c r="R120" s="9"/>
      <c r="S120" s="44"/>
      <c r="T120" s="44"/>
      <c r="U120" s="44"/>
      <c r="V120" s="44"/>
      <c r="W120" s="44"/>
      <c r="X120" s="44"/>
      <c r="Y120" s="44"/>
      <c r="Z120" s="44"/>
    </row>
    <row r="121" spans="1:26">
      <c r="A121" s="9"/>
      <c r="B121" s="9"/>
      <c r="C121" s="9"/>
      <c r="D121" s="9"/>
      <c r="E121" s="35"/>
      <c r="F121" s="35"/>
      <c r="G121" s="256"/>
      <c r="H121" s="265"/>
      <c r="I121" s="260"/>
      <c r="J121" s="260"/>
      <c r="K121" s="265"/>
      <c r="L121" s="260"/>
      <c r="M121" s="111"/>
      <c r="N121" s="9"/>
      <c r="O121" s="9"/>
      <c r="P121" s="9"/>
      <c r="Q121" s="9"/>
      <c r="R121" s="9"/>
      <c r="S121" s="44"/>
      <c r="T121" s="44"/>
      <c r="U121" s="44"/>
      <c r="V121" s="44"/>
      <c r="W121" s="44"/>
      <c r="X121" s="44"/>
      <c r="Y121" s="44"/>
      <c r="Z121" s="44"/>
    </row>
    <row r="122" spans="1:26">
      <c r="A122" s="9"/>
      <c r="B122" s="9"/>
      <c r="C122" s="9"/>
      <c r="D122" s="9"/>
      <c r="E122" s="35"/>
      <c r="F122" s="35"/>
      <c r="G122" s="256"/>
      <c r="H122" s="265"/>
      <c r="I122" s="260"/>
      <c r="J122" s="260"/>
      <c r="K122" s="265"/>
      <c r="L122" s="260"/>
      <c r="M122" s="111"/>
      <c r="N122" s="9"/>
      <c r="O122" s="9"/>
      <c r="P122" s="9"/>
      <c r="Q122" s="9"/>
      <c r="R122" s="9"/>
      <c r="S122" s="44"/>
      <c r="T122" s="44"/>
      <c r="U122" s="44"/>
      <c r="V122" s="44"/>
      <c r="W122" s="44"/>
      <c r="X122" s="44"/>
      <c r="Y122" s="44"/>
      <c r="Z122" s="44"/>
    </row>
    <row r="123" spans="1:26">
      <c r="A123" s="9"/>
      <c r="B123" s="9"/>
      <c r="C123" s="9"/>
      <c r="D123" s="9"/>
      <c r="E123" s="35"/>
      <c r="F123" s="35"/>
      <c r="G123" s="256"/>
      <c r="H123" s="265"/>
      <c r="I123" s="260"/>
      <c r="J123" s="260"/>
      <c r="K123" s="265"/>
      <c r="L123" s="260"/>
      <c r="M123" s="111"/>
      <c r="N123" s="9"/>
      <c r="O123" s="9"/>
      <c r="P123" s="9"/>
      <c r="Q123" s="9"/>
      <c r="R123" s="9"/>
      <c r="S123" s="44"/>
      <c r="T123" s="44"/>
      <c r="U123" s="44"/>
      <c r="V123" s="44"/>
      <c r="W123" s="44"/>
      <c r="X123" s="44"/>
      <c r="Y123" s="44"/>
      <c r="Z123" s="44"/>
    </row>
    <row r="124" spans="1:26">
      <c r="A124" s="9"/>
      <c r="B124" s="9"/>
      <c r="C124" s="9"/>
      <c r="D124" s="9"/>
      <c r="E124" s="35"/>
      <c r="F124" s="35"/>
      <c r="G124" s="256"/>
      <c r="H124" s="265"/>
      <c r="I124" s="260"/>
      <c r="J124" s="260"/>
      <c r="K124" s="265"/>
      <c r="L124" s="260"/>
      <c r="M124" s="111"/>
      <c r="N124" s="9"/>
      <c r="O124" s="9"/>
      <c r="P124" s="9"/>
      <c r="Q124" s="9"/>
      <c r="R124" s="9"/>
      <c r="S124" s="44"/>
      <c r="T124" s="44"/>
      <c r="U124" s="44"/>
      <c r="V124" s="44"/>
      <c r="W124" s="44"/>
      <c r="X124" s="44"/>
      <c r="Y124" s="44"/>
      <c r="Z124" s="44"/>
    </row>
    <row r="125" spans="1:26">
      <c r="A125" s="9"/>
      <c r="B125" s="9"/>
      <c r="C125" s="9"/>
      <c r="D125" s="9"/>
      <c r="E125" s="35"/>
      <c r="F125" s="35"/>
      <c r="G125" s="256"/>
      <c r="H125" s="265"/>
      <c r="I125" s="260"/>
      <c r="J125" s="260"/>
      <c r="K125" s="265"/>
      <c r="L125" s="260"/>
      <c r="M125" s="111"/>
      <c r="N125" s="9"/>
      <c r="O125" s="9"/>
      <c r="P125" s="9"/>
      <c r="Q125" s="9"/>
      <c r="R125" s="9"/>
      <c r="S125" s="44"/>
      <c r="T125" s="44"/>
      <c r="U125" s="44"/>
      <c r="V125" s="44"/>
      <c r="W125" s="44"/>
      <c r="X125" s="44"/>
      <c r="Y125" s="44"/>
      <c r="Z125" s="44"/>
    </row>
    <row r="126" spans="1:26">
      <c r="A126" s="9"/>
      <c r="B126" s="9"/>
      <c r="C126" s="9"/>
      <c r="D126" s="9"/>
      <c r="E126" s="35"/>
      <c r="F126" s="35"/>
      <c r="G126" s="256"/>
      <c r="H126" s="265"/>
      <c r="I126" s="260"/>
      <c r="J126" s="260"/>
      <c r="K126" s="265"/>
      <c r="L126" s="260"/>
      <c r="M126" s="111"/>
      <c r="N126" s="9"/>
      <c r="O126" s="9"/>
      <c r="P126" s="9"/>
      <c r="Q126" s="9"/>
      <c r="R126" s="9"/>
      <c r="S126" s="44"/>
      <c r="T126" s="44"/>
      <c r="U126" s="44"/>
      <c r="V126" s="44"/>
      <c r="W126" s="44"/>
      <c r="X126" s="44"/>
      <c r="Y126" s="44"/>
      <c r="Z126" s="44"/>
    </row>
    <row r="127" spans="1:26">
      <c r="A127" s="9"/>
      <c r="B127" s="9"/>
      <c r="C127" s="9"/>
      <c r="D127" s="9"/>
      <c r="E127" s="35"/>
      <c r="F127" s="35"/>
      <c r="G127" s="256"/>
      <c r="H127" s="265"/>
      <c r="I127" s="260"/>
      <c r="J127" s="260"/>
      <c r="K127" s="265"/>
      <c r="L127" s="260"/>
      <c r="M127" s="111"/>
      <c r="N127" s="9"/>
      <c r="O127" s="9"/>
      <c r="P127" s="9"/>
      <c r="Q127" s="9"/>
      <c r="R127" s="9"/>
      <c r="S127" s="44"/>
      <c r="T127" s="44"/>
      <c r="U127" s="44"/>
      <c r="V127" s="44"/>
      <c r="W127" s="44"/>
      <c r="X127" s="44"/>
      <c r="Y127" s="44"/>
      <c r="Z127" s="44"/>
    </row>
    <row r="128" spans="1:26">
      <c r="A128" s="9"/>
      <c r="B128" s="9"/>
      <c r="C128" s="9"/>
      <c r="D128" s="9"/>
      <c r="E128" s="35"/>
      <c r="F128" s="35"/>
      <c r="G128" s="256"/>
      <c r="H128" s="265"/>
      <c r="I128" s="260"/>
      <c r="J128" s="260"/>
      <c r="K128" s="265"/>
      <c r="L128" s="260"/>
      <c r="M128" s="111"/>
      <c r="N128" s="9"/>
      <c r="O128" s="9"/>
      <c r="P128" s="9"/>
      <c r="Q128" s="9"/>
      <c r="R128" s="9"/>
      <c r="S128" s="44"/>
      <c r="T128" s="44"/>
      <c r="U128" s="44"/>
      <c r="V128" s="44"/>
      <c r="W128" s="44"/>
      <c r="X128" s="44"/>
      <c r="Y128" s="44"/>
      <c r="Z128" s="44"/>
    </row>
    <row r="129" spans="1:26">
      <c r="A129" s="9"/>
      <c r="B129" s="9"/>
      <c r="C129" s="9"/>
      <c r="D129" s="9"/>
      <c r="E129" s="35"/>
      <c r="F129" s="35"/>
      <c r="G129" s="256"/>
      <c r="H129" s="265"/>
      <c r="I129" s="260"/>
      <c r="J129" s="260"/>
      <c r="K129" s="265"/>
      <c r="L129" s="260"/>
      <c r="M129" s="111"/>
      <c r="N129" s="9"/>
      <c r="O129" s="9"/>
      <c r="P129" s="9"/>
      <c r="Q129" s="9"/>
      <c r="R129" s="9"/>
      <c r="S129" s="44"/>
      <c r="T129" s="44"/>
      <c r="U129" s="44"/>
      <c r="V129" s="44"/>
      <c r="W129" s="44"/>
      <c r="X129" s="44"/>
      <c r="Y129" s="44"/>
      <c r="Z129" s="44"/>
    </row>
    <row r="130" spans="1:26">
      <c r="A130" s="9"/>
      <c r="B130" s="9"/>
      <c r="C130" s="9"/>
      <c r="D130" s="9"/>
      <c r="E130" s="35"/>
      <c r="F130" s="35"/>
      <c r="G130" s="256"/>
      <c r="H130" s="265"/>
      <c r="I130" s="260"/>
      <c r="J130" s="260"/>
      <c r="K130" s="265"/>
      <c r="L130" s="260"/>
      <c r="M130" s="111"/>
      <c r="N130" s="9"/>
      <c r="O130" s="9"/>
      <c r="P130" s="9"/>
      <c r="Q130" s="9"/>
      <c r="R130" s="9"/>
      <c r="S130" s="44"/>
      <c r="T130" s="44"/>
      <c r="U130" s="44"/>
      <c r="V130" s="44"/>
      <c r="W130" s="44"/>
      <c r="X130" s="44"/>
      <c r="Y130" s="44"/>
      <c r="Z130" s="44"/>
    </row>
    <row r="131" spans="1:26">
      <c r="A131" s="9"/>
      <c r="B131" s="9"/>
      <c r="C131" s="9"/>
      <c r="D131" s="9"/>
      <c r="E131" s="35"/>
      <c r="F131" s="35"/>
      <c r="G131" s="256"/>
      <c r="H131" s="265"/>
      <c r="I131" s="260"/>
      <c r="J131" s="260"/>
      <c r="K131" s="265"/>
      <c r="L131" s="260"/>
      <c r="M131" s="111"/>
      <c r="N131" s="9"/>
      <c r="O131" s="9"/>
      <c r="P131" s="9"/>
      <c r="Q131" s="9"/>
      <c r="R131" s="9"/>
      <c r="S131" s="44"/>
      <c r="T131" s="44"/>
      <c r="U131" s="44"/>
      <c r="V131" s="44"/>
      <c r="W131" s="44"/>
      <c r="X131" s="44"/>
      <c r="Y131" s="44"/>
      <c r="Z131" s="44"/>
    </row>
    <row r="132" spans="1:26">
      <c r="A132" s="9"/>
      <c r="B132" s="9"/>
      <c r="C132" s="9"/>
      <c r="D132" s="9"/>
      <c r="E132" s="35"/>
      <c r="F132" s="35"/>
      <c r="G132" s="256"/>
      <c r="H132" s="265"/>
      <c r="I132" s="260"/>
      <c r="J132" s="260"/>
      <c r="K132" s="265"/>
      <c r="L132" s="260"/>
      <c r="M132" s="111"/>
      <c r="N132" s="9"/>
      <c r="O132" s="9"/>
      <c r="P132" s="9"/>
      <c r="Q132" s="9"/>
      <c r="R132" s="9"/>
      <c r="S132" s="44"/>
      <c r="T132" s="44"/>
      <c r="U132" s="44"/>
      <c r="V132" s="44"/>
      <c r="W132" s="44"/>
      <c r="X132" s="44"/>
      <c r="Y132" s="44"/>
      <c r="Z132" s="44"/>
    </row>
    <row r="133" spans="1:26">
      <c r="A133" s="9"/>
      <c r="B133" s="9"/>
      <c r="C133" s="9"/>
      <c r="D133" s="9"/>
      <c r="E133" s="35"/>
      <c r="F133" s="35"/>
      <c r="G133" s="256"/>
      <c r="H133" s="265"/>
      <c r="I133" s="260"/>
      <c r="J133" s="260"/>
      <c r="K133" s="265"/>
      <c r="L133" s="260"/>
      <c r="M133" s="111"/>
      <c r="N133" s="9"/>
      <c r="O133" s="9"/>
      <c r="P133" s="9"/>
      <c r="Q133" s="9"/>
      <c r="R133" s="9"/>
      <c r="S133" s="44"/>
      <c r="T133" s="44"/>
      <c r="U133" s="44"/>
      <c r="V133" s="44"/>
      <c r="W133" s="44"/>
      <c r="X133" s="44"/>
      <c r="Y133" s="44"/>
      <c r="Z133" s="44"/>
    </row>
    <row r="134" spans="1:26">
      <c r="A134" s="9"/>
      <c r="B134" s="9"/>
      <c r="C134" s="9"/>
      <c r="D134" s="9"/>
      <c r="E134" s="35"/>
      <c r="F134" s="35"/>
      <c r="G134" s="256"/>
      <c r="H134" s="265"/>
      <c r="I134" s="260"/>
      <c r="J134" s="260"/>
      <c r="K134" s="265"/>
      <c r="L134" s="260"/>
      <c r="M134" s="111"/>
      <c r="N134" s="9"/>
      <c r="O134" s="9"/>
      <c r="P134" s="9"/>
      <c r="Q134" s="9"/>
      <c r="R134" s="9"/>
      <c r="S134" s="44"/>
      <c r="T134" s="44"/>
      <c r="U134" s="44"/>
      <c r="V134" s="44"/>
      <c r="W134" s="44"/>
      <c r="X134" s="44"/>
      <c r="Y134" s="44"/>
      <c r="Z134" s="44"/>
    </row>
    <row r="135" spans="1:26">
      <c r="A135" s="9"/>
      <c r="B135" s="9"/>
      <c r="C135" s="9"/>
      <c r="D135" s="9"/>
      <c r="E135" s="35"/>
      <c r="F135" s="35"/>
      <c r="G135" s="256"/>
      <c r="H135" s="265"/>
      <c r="I135" s="260"/>
      <c r="J135" s="260"/>
      <c r="K135" s="265"/>
      <c r="L135" s="260"/>
      <c r="M135" s="111"/>
      <c r="N135" s="9"/>
      <c r="O135" s="9"/>
      <c r="P135" s="9"/>
      <c r="Q135" s="9"/>
      <c r="R135" s="9"/>
      <c r="S135" s="44"/>
      <c r="T135" s="44"/>
      <c r="U135" s="44"/>
      <c r="V135" s="44"/>
      <c r="W135" s="44"/>
      <c r="X135" s="44"/>
      <c r="Y135" s="44"/>
      <c r="Z135" s="44"/>
    </row>
    <row r="136" spans="1:26">
      <c r="A136" s="9"/>
      <c r="B136" s="9"/>
      <c r="C136" s="9"/>
      <c r="D136" s="9"/>
      <c r="E136" s="35"/>
      <c r="F136" s="35"/>
      <c r="G136" s="256"/>
      <c r="H136" s="265"/>
      <c r="I136" s="260"/>
      <c r="J136" s="260"/>
      <c r="K136" s="265"/>
      <c r="L136" s="260"/>
      <c r="M136" s="111"/>
      <c r="N136" s="9"/>
      <c r="O136" s="9"/>
      <c r="P136" s="9"/>
      <c r="Q136" s="9"/>
      <c r="R136" s="9"/>
      <c r="S136" s="44"/>
      <c r="T136" s="44"/>
      <c r="U136" s="44"/>
      <c r="V136" s="44"/>
      <c r="W136" s="44"/>
      <c r="X136" s="44"/>
      <c r="Y136" s="44"/>
      <c r="Z136" s="44"/>
    </row>
    <row r="137" spans="1:26">
      <c r="A137" s="9"/>
      <c r="B137" s="9"/>
      <c r="C137" s="9"/>
      <c r="D137" s="9"/>
      <c r="E137" s="35"/>
      <c r="F137" s="35"/>
      <c r="G137" s="256"/>
      <c r="H137" s="265"/>
      <c r="I137" s="260"/>
      <c r="J137" s="260"/>
      <c r="K137" s="265"/>
      <c r="L137" s="260"/>
      <c r="M137" s="111"/>
      <c r="N137" s="9"/>
      <c r="O137" s="9"/>
      <c r="P137" s="9"/>
      <c r="Q137" s="9"/>
      <c r="R137" s="9"/>
      <c r="S137" s="44"/>
      <c r="T137" s="44"/>
      <c r="U137" s="44"/>
      <c r="V137" s="44"/>
      <c r="W137" s="44"/>
      <c r="X137" s="44"/>
      <c r="Y137" s="44"/>
      <c r="Z137" s="44"/>
    </row>
    <row r="138" spans="1:26">
      <c r="A138" s="9"/>
      <c r="B138" s="9"/>
      <c r="C138" s="9"/>
      <c r="D138" s="9"/>
      <c r="E138" s="35"/>
      <c r="F138" s="35"/>
      <c r="G138" s="256"/>
      <c r="H138" s="265"/>
      <c r="I138" s="260"/>
      <c r="J138" s="260"/>
      <c r="K138" s="265"/>
      <c r="L138" s="260"/>
      <c r="M138" s="111"/>
      <c r="N138" s="9"/>
      <c r="O138" s="9"/>
      <c r="P138" s="9"/>
      <c r="Q138" s="9"/>
      <c r="R138" s="9"/>
      <c r="S138" s="44"/>
      <c r="T138" s="44"/>
      <c r="U138" s="44"/>
      <c r="V138" s="44"/>
      <c r="W138" s="44"/>
      <c r="X138" s="44"/>
      <c r="Y138" s="44"/>
      <c r="Z138" s="44"/>
    </row>
    <row r="139" spans="1:26">
      <c r="A139" s="9"/>
      <c r="B139" s="9"/>
      <c r="C139" s="9"/>
      <c r="D139" s="9"/>
      <c r="E139" s="35"/>
      <c r="F139" s="35"/>
      <c r="G139" s="256"/>
      <c r="H139" s="265"/>
      <c r="I139" s="260"/>
      <c r="J139" s="260"/>
      <c r="K139" s="265"/>
      <c r="L139" s="260"/>
      <c r="M139" s="111"/>
      <c r="N139" s="9"/>
      <c r="O139" s="9"/>
      <c r="P139" s="9"/>
      <c r="Q139" s="9"/>
      <c r="R139" s="9"/>
      <c r="S139" s="44"/>
      <c r="T139" s="44"/>
      <c r="U139" s="44"/>
      <c r="V139" s="44"/>
      <c r="W139" s="44"/>
      <c r="X139" s="44"/>
      <c r="Y139" s="44"/>
      <c r="Z139" s="44"/>
    </row>
    <row r="140" spans="1:26">
      <c r="A140" s="9"/>
      <c r="B140" s="9"/>
      <c r="C140" s="9"/>
      <c r="D140" s="9"/>
      <c r="E140" s="35"/>
      <c r="F140" s="35"/>
      <c r="G140" s="256"/>
      <c r="H140" s="265"/>
      <c r="I140" s="260"/>
      <c r="J140" s="260"/>
      <c r="K140" s="265"/>
      <c r="L140" s="260"/>
      <c r="M140" s="111"/>
      <c r="N140" s="9"/>
      <c r="O140" s="9"/>
      <c r="P140" s="9"/>
      <c r="Q140" s="9"/>
      <c r="R140" s="9"/>
      <c r="S140" s="44"/>
      <c r="T140" s="44"/>
      <c r="U140" s="44"/>
      <c r="V140" s="44"/>
      <c r="W140" s="44"/>
      <c r="X140" s="44"/>
      <c r="Y140" s="44"/>
      <c r="Z140" s="44"/>
    </row>
    <row r="141" spans="1:26">
      <c r="A141" s="9"/>
      <c r="B141" s="9"/>
      <c r="C141" s="9"/>
      <c r="D141" s="9"/>
      <c r="E141" s="35"/>
      <c r="F141" s="35"/>
      <c r="G141" s="256"/>
      <c r="H141" s="265"/>
      <c r="I141" s="260"/>
      <c r="J141" s="260"/>
      <c r="K141" s="265"/>
      <c r="L141" s="260"/>
      <c r="M141" s="111"/>
      <c r="N141" s="9"/>
      <c r="O141" s="9"/>
      <c r="P141" s="9"/>
      <c r="Q141" s="9"/>
      <c r="R141" s="9"/>
      <c r="S141" s="44"/>
      <c r="T141" s="44"/>
      <c r="U141" s="44"/>
      <c r="V141" s="44"/>
      <c r="W141" s="44"/>
      <c r="X141" s="44"/>
      <c r="Y141" s="44"/>
      <c r="Z141" s="44"/>
    </row>
    <row r="142" spans="1:26">
      <c r="A142" s="9"/>
      <c r="B142" s="9"/>
      <c r="C142" s="9"/>
      <c r="D142" s="9"/>
      <c r="E142" s="35"/>
      <c r="F142" s="35"/>
      <c r="G142" s="256"/>
      <c r="H142" s="265"/>
      <c r="I142" s="260"/>
      <c r="J142" s="260"/>
      <c r="K142" s="265"/>
      <c r="L142" s="260"/>
      <c r="M142" s="111"/>
      <c r="N142" s="9"/>
      <c r="O142" s="9"/>
      <c r="P142" s="9"/>
      <c r="Q142" s="9"/>
      <c r="R142" s="9"/>
      <c r="S142" s="44"/>
      <c r="T142" s="44"/>
      <c r="U142" s="44"/>
      <c r="V142" s="44"/>
      <c r="W142" s="44"/>
      <c r="X142" s="44"/>
      <c r="Y142" s="44"/>
      <c r="Z142" s="44"/>
    </row>
    <row r="143" spans="1:26">
      <c r="A143" s="9"/>
      <c r="B143" s="9"/>
      <c r="C143" s="9"/>
      <c r="D143" s="9"/>
      <c r="E143" s="35"/>
      <c r="F143" s="35"/>
      <c r="G143" s="256"/>
      <c r="H143" s="265"/>
      <c r="I143" s="260"/>
      <c r="J143" s="260"/>
      <c r="K143" s="265"/>
      <c r="L143" s="260"/>
      <c r="M143" s="111"/>
      <c r="N143" s="9"/>
      <c r="O143" s="9"/>
      <c r="P143" s="9"/>
      <c r="Q143" s="9"/>
      <c r="R143" s="9"/>
      <c r="S143" s="44"/>
      <c r="T143" s="44"/>
      <c r="U143" s="44"/>
      <c r="V143" s="44"/>
      <c r="W143" s="44"/>
      <c r="X143" s="44"/>
      <c r="Y143" s="44"/>
      <c r="Z143" s="44"/>
    </row>
    <row r="144" spans="1:26">
      <c r="A144" s="9"/>
      <c r="B144" s="9"/>
      <c r="C144" s="9"/>
      <c r="D144" s="9"/>
      <c r="E144" s="35"/>
      <c r="F144" s="35"/>
      <c r="G144" s="256"/>
      <c r="H144" s="265"/>
      <c r="I144" s="260"/>
      <c r="J144" s="260"/>
      <c r="K144" s="265"/>
      <c r="L144" s="260"/>
      <c r="M144" s="111"/>
      <c r="N144" s="9"/>
      <c r="O144" s="9"/>
      <c r="P144" s="9"/>
      <c r="Q144" s="9"/>
      <c r="R144" s="9"/>
      <c r="S144" s="44"/>
      <c r="T144" s="44"/>
      <c r="U144" s="44"/>
      <c r="V144" s="44"/>
      <c r="W144" s="44"/>
      <c r="X144" s="44"/>
      <c r="Y144" s="44"/>
      <c r="Z144" s="44"/>
    </row>
    <row r="145" spans="1:26">
      <c r="A145" s="9"/>
      <c r="B145" s="9"/>
      <c r="C145" s="9"/>
      <c r="D145" s="9"/>
      <c r="E145" s="35"/>
      <c r="F145" s="35"/>
      <c r="G145" s="256"/>
      <c r="H145" s="265"/>
      <c r="I145" s="260"/>
      <c r="J145" s="260"/>
      <c r="K145" s="265"/>
      <c r="L145" s="260"/>
      <c r="M145" s="111"/>
      <c r="N145" s="9"/>
      <c r="O145" s="9"/>
      <c r="P145" s="9"/>
      <c r="Q145" s="9"/>
      <c r="R145" s="9"/>
      <c r="S145" s="44"/>
      <c r="T145" s="44"/>
      <c r="U145" s="44"/>
      <c r="V145" s="44"/>
      <c r="W145" s="44"/>
      <c r="X145" s="44"/>
      <c r="Y145" s="44"/>
      <c r="Z145" s="44"/>
    </row>
    <row r="146" spans="1:26">
      <c r="A146" s="9"/>
      <c r="B146" s="9"/>
      <c r="C146" s="9"/>
      <c r="D146" s="9"/>
      <c r="E146" s="35"/>
      <c r="F146" s="35"/>
      <c r="G146" s="256"/>
      <c r="H146" s="265"/>
      <c r="I146" s="260"/>
      <c r="J146" s="260"/>
      <c r="K146" s="265"/>
      <c r="L146" s="260"/>
      <c r="M146" s="111"/>
      <c r="N146" s="9"/>
      <c r="O146" s="9"/>
      <c r="P146" s="9"/>
      <c r="Q146" s="9"/>
      <c r="R146" s="9"/>
      <c r="S146" s="44"/>
      <c r="T146" s="44"/>
      <c r="U146" s="44"/>
      <c r="V146" s="44"/>
      <c r="W146" s="44"/>
      <c r="X146" s="44"/>
      <c r="Y146" s="44"/>
      <c r="Z146" s="44"/>
    </row>
    <row r="147" spans="1:26">
      <c r="A147" s="9"/>
      <c r="B147" s="9"/>
      <c r="C147" s="9"/>
      <c r="D147" s="9"/>
      <c r="E147" s="35"/>
      <c r="F147" s="35"/>
      <c r="G147" s="256"/>
      <c r="H147" s="265"/>
      <c r="I147" s="260"/>
      <c r="J147" s="260"/>
      <c r="K147" s="265"/>
      <c r="L147" s="260"/>
      <c r="M147" s="111"/>
      <c r="N147" s="9"/>
      <c r="O147" s="9"/>
      <c r="P147" s="9"/>
      <c r="Q147" s="9"/>
      <c r="R147" s="9"/>
      <c r="S147" s="44"/>
      <c r="T147" s="44"/>
      <c r="U147" s="44"/>
      <c r="V147" s="44"/>
      <c r="W147" s="44"/>
      <c r="X147" s="44"/>
      <c r="Y147" s="44"/>
      <c r="Z147" s="44"/>
    </row>
    <row r="148" spans="1:26">
      <c r="A148" s="9"/>
      <c r="B148" s="9"/>
      <c r="C148" s="9"/>
      <c r="D148" s="9"/>
      <c r="E148" s="35"/>
      <c r="F148" s="35"/>
      <c r="G148" s="256"/>
      <c r="H148" s="265"/>
      <c r="I148" s="260"/>
      <c r="J148" s="260"/>
      <c r="K148" s="265"/>
      <c r="L148" s="260"/>
      <c r="M148" s="111"/>
      <c r="N148" s="9"/>
      <c r="O148" s="9"/>
      <c r="P148" s="9"/>
      <c r="Q148" s="9"/>
      <c r="R148" s="9"/>
      <c r="S148" s="44"/>
      <c r="T148" s="44"/>
      <c r="U148" s="44"/>
      <c r="V148" s="44"/>
      <c r="W148" s="44"/>
      <c r="X148" s="44"/>
      <c r="Y148" s="44"/>
      <c r="Z148" s="44"/>
    </row>
    <row r="149" spans="1:26">
      <c r="A149" s="9"/>
      <c r="B149" s="9"/>
      <c r="C149" s="9"/>
      <c r="D149" s="9"/>
      <c r="E149" s="35"/>
      <c r="F149" s="35"/>
      <c r="G149" s="256"/>
      <c r="H149" s="265"/>
      <c r="I149" s="260"/>
      <c r="J149" s="260"/>
      <c r="K149" s="265"/>
      <c r="L149" s="260"/>
      <c r="M149" s="111"/>
      <c r="N149" s="9"/>
      <c r="O149" s="9"/>
      <c r="P149" s="9"/>
      <c r="Q149" s="9"/>
      <c r="R149" s="9"/>
      <c r="S149" s="44"/>
      <c r="T149" s="44"/>
      <c r="U149" s="44"/>
      <c r="V149" s="44"/>
      <c r="W149" s="44"/>
      <c r="X149" s="44"/>
      <c r="Y149" s="44"/>
      <c r="Z149" s="44"/>
    </row>
    <row r="150" spans="1:26">
      <c r="A150" s="9"/>
      <c r="B150" s="9"/>
      <c r="C150" s="9"/>
      <c r="D150" s="9"/>
      <c r="E150" s="35"/>
      <c r="F150" s="35"/>
      <c r="G150" s="256"/>
      <c r="H150" s="265"/>
      <c r="I150" s="260"/>
      <c r="J150" s="260"/>
      <c r="K150" s="265"/>
      <c r="L150" s="260"/>
      <c r="M150" s="111"/>
      <c r="N150" s="9"/>
      <c r="O150" s="9"/>
      <c r="P150" s="9"/>
      <c r="Q150" s="9"/>
      <c r="R150" s="9"/>
      <c r="S150" s="44"/>
      <c r="T150" s="44"/>
      <c r="U150" s="44"/>
      <c r="V150" s="44"/>
      <c r="W150" s="44"/>
      <c r="X150" s="44"/>
      <c r="Y150" s="44"/>
      <c r="Z150" s="44"/>
    </row>
    <row r="151" spans="1:26">
      <c r="A151" s="9"/>
      <c r="B151" s="9"/>
      <c r="C151" s="9"/>
      <c r="D151" s="9"/>
      <c r="E151" s="35"/>
      <c r="F151" s="35"/>
      <c r="G151" s="256"/>
      <c r="H151" s="265"/>
      <c r="I151" s="260"/>
      <c r="J151" s="260"/>
      <c r="K151" s="265"/>
      <c r="L151" s="260"/>
      <c r="M151" s="111"/>
      <c r="N151" s="9"/>
      <c r="O151" s="9"/>
      <c r="P151" s="9"/>
      <c r="Q151" s="9"/>
      <c r="R151" s="9"/>
      <c r="S151" s="44"/>
      <c r="T151" s="44"/>
      <c r="U151" s="44"/>
      <c r="V151" s="44"/>
      <c r="W151" s="44"/>
      <c r="X151" s="44"/>
      <c r="Y151" s="44"/>
      <c r="Z151" s="44"/>
    </row>
    <row r="152" spans="1:26">
      <c r="A152" s="9"/>
      <c r="B152" s="9"/>
      <c r="C152" s="9"/>
      <c r="D152" s="9"/>
      <c r="E152" s="35"/>
      <c r="F152" s="35"/>
      <c r="G152" s="256"/>
      <c r="H152" s="265"/>
      <c r="I152" s="260"/>
      <c r="J152" s="260"/>
      <c r="K152" s="265"/>
      <c r="L152" s="260"/>
      <c r="M152" s="111"/>
      <c r="N152" s="9"/>
      <c r="O152" s="9"/>
      <c r="P152" s="9"/>
      <c r="Q152" s="9"/>
      <c r="R152" s="9"/>
      <c r="S152" s="44"/>
      <c r="T152" s="44"/>
      <c r="U152" s="44"/>
      <c r="V152" s="44"/>
      <c r="W152" s="44"/>
      <c r="X152" s="44"/>
      <c r="Y152" s="44"/>
      <c r="Z152" s="44"/>
    </row>
    <row r="153" spans="1:26">
      <c r="A153" s="9"/>
      <c r="B153" s="9"/>
      <c r="C153" s="9"/>
      <c r="D153" s="9"/>
      <c r="E153" s="35"/>
      <c r="F153" s="35"/>
      <c r="G153" s="256"/>
      <c r="H153" s="265"/>
      <c r="I153" s="260"/>
      <c r="J153" s="260"/>
      <c r="K153" s="265"/>
      <c r="L153" s="260"/>
      <c r="M153" s="111"/>
      <c r="N153" s="9"/>
      <c r="O153" s="9"/>
      <c r="P153" s="9"/>
      <c r="Q153" s="9"/>
      <c r="R153" s="9"/>
      <c r="S153" s="44"/>
      <c r="T153" s="44"/>
      <c r="U153" s="44"/>
      <c r="V153" s="44"/>
      <c r="W153" s="44"/>
      <c r="X153" s="44"/>
      <c r="Y153" s="44"/>
      <c r="Z153" s="44"/>
    </row>
    <row r="154" spans="1:26">
      <c r="A154" s="9"/>
      <c r="B154" s="9"/>
      <c r="C154" s="9"/>
      <c r="D154" s="9"/>
      <c r="E154" s="35"/>
      <c r="F154" s="35"/>
      <c r="G154" s="256"/>
      <c r="H154" s="265"/>
      <c r="I154" s="260"/>
      <c r="J154" s="260"/>
      <c r="K154" s="265"/>
      <c r="L154" s="260"/>
      <c r="M154" s="111"/>
      <c r="N154" s="9"/>
      <c r="O154" s="9"/>
      <c r="P154" s="9"/>
      <c r="Q154" s="9"/>
      <c r="R154" s="9"/>
      <c r="S154" s="44"/>
      <c r="T154" s="44"/>
      <c r="U154" s="44"/>
      <c r="V154" s="44"/>
      <c r="W154" s="44"/>
      <c r="X154" s="44"/>
      <c r="Y154" s="44"/>
      <c r="Z154" s="44"/>
    </row>
    <row r="155" spans="1:26">
      <c r="A155" s="9"/>
      <c r="B155" s="9"/>
      <c r="C155" s="9"/>
      <c r="D155" s="9"/>
      <c r="E155" s="35"/>
      <c r="F155" s="35"/>
      <c r="G155" s="256"/>
      <c r="H155" s="265"/>
      <c r="I155" s="260"/>
      <c r="J155" s="260"/>
      <c r="K155" s="265"/>
      <c r="L155" s="260"/>
      <c r="M155" s="111"/>
      <c r="N155" s="9"/>
      <c r="O155" s="9"/>
      <c r="P155" s="9"/>
      <c r="Q155" s="9"/>
      <c r="R155" s="9"/>
      <c r="S155" s="44"/>
      <c r="T155" s="44"/>
      <c r="U155" s="44"/>
      <c r="V155" s="44"/>
      <c r="W155" s="44"/>
      <c r="X155" s="44"/>
      <c r="Y155" s="44"/>
      <c r="Z155" s="44"/>
    </row>
    <row r="156" spans="1:26">
      <c r="A156" s="9"/>
      <c r="B156" s="9"/>
      <c r="C156" s="9"/>
      <c r="D156" s="9"/>
      <c r="E156" s="35"/>
      <c r="F156" s="35"/>
      <c r="G156" s="256"/>
      <c r="H156" s="265"/>
      <c r="I156" s="260"/>
      <c r="J156" s="260"/>
      <c r="K156" s="265"/>
      <c r="L156" s="260"/>
      <c r="M156" s="111"/>
      <c r="N156" s="9"/>
      <c r="O156" s="9"/>
      <c r="P156" s="9"/>
      <c r="Q156" s="9"/>
      <c r="R156" s="9"/>
      <c r="S156" s="44"/>
      <c r="T156" s="44"/>
      <c r="U156" s="44"/>
      <c r="V156" s="44"/>
      <c r="W156" s="44"/>
      <c r="X156" s="44"/>
      <c r="Y156" s="44"/>
      <c r="Z156" s="44"/>
    </row>
    <row r="157" spans="1:26">
      <c r="A157" s="9"/>
      <c r="B157" s="9"/>
      <c r="C157" s="9"/>
      <c r="D157" s="9"/>
      <c r="E157" s="35"/>
      <c r="F157" s="35"/>
      <c r="G157" s="256"/>
      <c r="H157" s="265"/>
      <c r="I157" s="260"/>
      <c r="J157" s="260"/>
      <c r="K157" s="265"/>
      <c r="L157" s="260"/>
      <c r="M157" s="111"/>
      <c r="N157" s="9"/>
      <c r="O157" s="9"/>
      <c r="P157" s="9"/>
      <c r="Q157" s="9"/>
      <c r="R157" s="9"/>
      <c r="S157" s="44"/>
      <c r="T157" s="44"/>
      <c r="U157" s="44"/>
      <c r="V157" s="44"/>
      <c r="W157" s="44"/>
      <c r="X157" s="44"/>
      <c r="Y157" s="44"/>
      <c r="Z157" s="44"/>
    </row>
    <row r="158" spans="1:26">
      <c r="A158" s="9"/>
      <c r="B158" s="9"/>
      <c r="C158" s="9"/>
      <c r="D158" s="9"/>
      <c r="E158" s="35"/>
      <c r="F158" s="35"/>
      <c r="G158" s="256"/>
      <c r="H158" s="265"/>
      <c r="I158" s="260"/>
      <c r="J158" s="260"/>
      <c r="K158" s="265"/>
      <c r="L158" s="260"/>
      <c r="M158" s="111"/>
      <c r="N158" s="9"/>
      <c r="O158" s="9"/>
      <c r="P158" s="9"/>
      <c r="Q158" s="9"/>
      <c r="R158" s="9"/>
      <c r="S158" s="44"/>
      <c r="T158" s="44"/>
      <c r="U158" s="44"/>
      <c r="V158" s="44"/>
      <c r="W158" s="44"/>
      <c r="X158" s="44"/>
      <c r="Y158" s="44"/>
      <c r="Z158" s="44"/>
    </row>
    <row r="159" spans="1:26">
      <c r="A159" s="9"/>
      <c r="B159" s="9"/>
      <c r="C159" s="9"/>
      <c r="D159" s="9"/>
      <c r="E159" s="35"/>
      <c r="F159" s="35"/>
      <c r="G159" s="256"/>
      <c r="H159" s="265"/>
      <c r="I159" s="260"/>
      <c r="J159" s="260"/>
      <c r="K159" s="265"/>
      <c r="L159" s="260"/>
      <c r="M159" s="111"/>
      <c r="N159" s="9"/>
      <c r="O159" s="9"/>
      <c r="P159" s="9"/>
      <c r="Q159" s="9"/>
      <c r="R159" s="9"/>
      <c r="S159" s="44"/>
      <c r="T159" s="44"/>
      <c r="U159" s="44"/>
      <c r="V159" s="44"/>
      <c r="W159" s="44"/>
      <c r="X159" s="44"/>
      <c r="Y159" s="44"/>
      <c r="Z159" s="44"/>
    </row>
    <row r="160" spans="1:26">
      <c r="A160" s="9"/>
      <c r="B160" s="9"/>
      <c r="C160" s="9"/>
      <c r="D160" s="9"/>
      <c r="E160" s="35"/>
      <c r="F160" s="35"/>
      <c r="G160" s="256"/>
      <c r="H160" s="265"/>
      <c r="I160" s="260"/>
      <c r="J160" s="260"/>
      <c r="K160" s="265"/>
      <c r="L160" s="260"/>
      <c r="M160" s="111"/>
      <c r="N160" s="9"/>
      <c r="O160" s="9"/>
      <c r="P160" s="9"/>
      <c r="Q160" s="9"/>
      <c r="R160" s="9"/>
      <c r="S160" s="44"/>
      <c r="T160" s="44"/>
      <c r="U160" s="44"/>
      <c r="V160" s="44"/>
      <c r="W160" s="44"/>
      <c r="X160" s="44"/>
      <c r="Y160" s="44"/>
      <c r="Z160" s="44"/>
    </row>
    <row r="161" spans="1:26">
      <c r="A161" s="9"/>
      <c r="B161" s="9"/>
      <c r="C161" s="9"/>
      <c r="D161" s="9"/>
      <c r="E161" s="35"/>
      <c r="F161" s="35"/>
      <c r="G161" s="256"/>
      <c r="H161" s="265"/>
      <c r="I161" s="260"/>
      <c r="J161" s="260"/>
      <c r="K161" s="265"/>
      <c r="L161" s="260"/>
      <c r="M161" s="111"/>
      <c r="N161" s="9"/>
      <c r="O161" s="9"/>
      <c r="P161" s="9"/>
      <c r="Q161" s="9"/>
      <c r="R161" s="9"/>
      <c r="S161" s="44"/>
      <c r="T161" s="44"/>
      <c r="U161" s="44"/>
      <c r="V161" s="44"/>
      <c r="W161" s="44"/>
      <c r="X161" s="44"/>
      <c r="Y161" s="44"/>
      <c r="Z161" s="44"/>
    </row>
    <row r="162" spans="1:26">
      <c r="A162" s="9"/>
      <c r="B162" s="9"/>
      <c r="C162" s="9"/>
      <c r="D162" s="9"/>
      <c r="E162" s="35"/>
      <c r="F162" s="35"/>
      <c r="G162" s="256"/>
      <c r="H162" s="265"/>
      <c r="I162" s="260"/>
      <c r="J162" s="260"/>
      <c r="K162" s="265"/>
      <c r="L162" s="260"/>
      <c r="M162" s="111"/>
      <c r="N162" s="9"/>
      <c r="O162" s="9"/>
      <c r="P162" s="9"/>
      <c r="Q162" s="9"/>
      <c r="R162" s="9"/>
      <c r="S162" s="44"/>
      <c r="T162" s="44"/>
      <c r="U162" s="44"/>
      <c r="V162" s="44"/>
      <c r="W162" s="44"/>
      <c r="X162" s="44"/>
      <c r="Y162" s="44"/>
      <c r="Z162" s="44"/>
    </row>
    <row r="163" spans="1:26">
      <c r="A163" s="9"/>
      <c r="B163" s="9"/>
      <c r="C163" s="9"/>
      <c r="D163" s="9"/>
      <c r="E163" s="35"/>
      <c r="F163" s="35"/>
      <c r="G163" s="256"/>
      <c r="H163" s="265"/>
      <c r="I163" s="260"/>
      <c r="J163" s="260"/>
      <c r="K163" s="265"/>
      <c r="L163" s="260"/>
      <c r="M163" s="111"/>
      <c r="N163" s="9"/>
      <c r="O163" s="9"/>
      <c r="P163" s="9"/>
      <c r="Q163" s="9"/>
      <c r="R163" s="9"/>
      <c r="S163" s="44"/>
      <c r="T163" s="44"/>
      <c r="U163" s="44"/>
      <c r="V163" s="44"/>
      <c r="W163" s="44"/>
      <c r="X163" s="44"/>
      <c r="Y163" s="44"/>
      <c r="Z163" s="44"/>
    </row>
    <row r="164" spans="1:26">
      <c r="A164" s="9"/>
      <c r="B164" s="9"/>
      <c r="C164" s="9"/>
      <c r="D164" s="9"/>
      <c r="E164" s="35"/>
      <c r="F164" s="35"/>
      <c r="G164" s="256"/>
      <c r="H164" s="265"/>
      <c r="I164" s="260"/>
      <c r="J164" s="260"/>
      <c r="K164" s="265"/>
      <c r="L164" s="260"/>
      <c r="M164" s="111"/>
      <c r="N164" s="9"/>
      <c r="O164" s="9"/>
      <c r="P164" s="9"/>
      <c r="Q164" s="9"/>
      <c r="R164" s="9"/>
      <c r="S164" s="44"/>
      <c r="T164" s="44"/>
      <c r="U164" s="44"/>
      <c r="V164" s="44"/>
      <c r="W164" s="44"/>
      <c r="X164" s="44"/>
      <c r="Y164" s="44"/>
      <c r="Z164" s="44"/>
    </row>
    <row r="165" spans="1:26">
      <c r="A165" s="9"/>
      <c r="B165" s="9"/>
      <c r="C165" s="9"/>
      <c r="D165" s="9"/>
      <c r="E165" s="35"/>
      <c r="F165" s="35"/>
      <c r="G165" s="256"/>
      <c r="H165" s="265"/>
      <c r="I165" s="260"/>
      <c r="J165" s="260"/>
      <c r="K165" s="265"/>
      <c r="L165" s="260"/>
      <c r="M165" s="111"/>
      <c r="N165" s="9"/>
      <c r="O165" s="9"/>
      <c r="P165" s="9"/>
      <c r="Q165" s="9"/>
      <c r="R165" s="9"/>
      <c r="S165" s="44"/>
      <c r="T165" s="44"/>
      <c r="U165" s="44"/>
      <c r="V165" s="44"/>
      <c r="W165" s="44"/>
      <c r="X165" s="44"/>
      <c r="Y165" s="44"/>
      <c r="Z165" s="44"/>
    </row>
    <row r="166" spans="1:26">
      <c r="A166" s="9"/>
      <c r="B166" s="9"/>
      <c r="C166" s="9"/>
      <c r="D166" s="9"/>
      <c r="E166" s="35"/>
      <c r="F166" s="35"/>
      <c r="G166" s="256"/>
      <c r="H166" s="265"/>
      <c r="I166" s="260"/>
      <c r="J166" s="260"/>
      <c r="K166" s="265"/>
      <c r="L166" s="260"/>
      <c r="M166" s="111"/>
      <c r="N166" s="9"/>
      <c r="O166" s="9"/>
      <c r="P166" s="9"/>
      <c r="Q166" s="9"/>
      <c r="R166" s="9"/>
      <c r="S166" s="44"/>
      <c r="T166" s="44"/>
      <c r="U166" s="44"/>
      <c r="V166" s="44"/>
      <c r="W166" s="44"/>
      <c r="X166" s="44"/>
      <c r="Y166" s="44"/>
      <c r="Z166" s="44"/>
    </row>
    <row r="167" spans="1:26">
      <c r="A167" s="9"/>
      <c r="B167" s="9"/>
      <c r="C167" s="9"/>
      <c r="D167" s="9"/>
      <c r="E167" s="35"/>
      <c r="F167" s="35"/>
      <c r="G167" s="256"/>
      <c r="H167" s="265"/>
      <c r="I167" s="260"/>
      <c r="J167" s="260"/>
      <c r="K167" s="265"/>
      <c r="L167" s="260"/>
      <c r="M167" s="111"/>
      <c r="N167" s="9"/>
      <c r="O167" s="9"/>
      <c r="P167" s="9"/>
      <c r="Q167" s="9"/>
      <c r="R167" s="9"/>
      <c r="S167" s="44"/>
      <c r="T167" s="44"/>
      <c r="U167" s="44"/>
      <c r="V167" s="44"/>
      <c r="W167" s="44"/>
      <c r="X167" s="44"/>
      <c r="Y167" s="44"/>
      <c r="Z167" s="44"/>
    </row>
    <row r="168" spans="1:26">
      <c r="A168" s="9"/>
      <c r="B168" s="9"/>
      <c r="C168" s="9"/>
      <c r="D168" s="9"/>
      <c r="E168" s="35"/>
      <c r="F168" s="35"/>
      <c r="G168" s="256"/>
      <c r="H168" s="265"/>
      <c r="I168" s="260"/>
      <c r="J168" s="260"/>
      <c r="K168" s="265"/>
      <c r="L168" s="260"/>
      <c r="M168" s="111"/>
      <c r="N168" s="9"/>
      <c r="O168" s="9"/>
      <c r="P168" s="9"/>
      <c r="Q168" s="9"/>
      <c r="R168" s="9"/>
      <c r="S168" s="44"/>
      <c r="T168" s="44"/>
      <c r="U168" s="44"/>
      <c r="V168" s="44"/>
      <c r="W168" s="44"/>
      <c r="X168" s="44"/>
      <c r="Y168" s="44"/>
      <c r="Z168" s="44"/>
    </row>
    <row r="169" spans="1:26">
      <c r="A169" s="9"/>
      <c r="B169" s="9"/>
      <c r="C169" s="9"/>
      <c r="D169" s="9"/>
      <c r="E169" s="35"/>
      <c r="F169" s="35"/>
      <c r="G169" s="256"/>
      <c r="H169" s="265"/>
      <c r="I169" s="260"/>
      <c r="J169" s="260"/>
      <c r="K169" s="265"/>
      <c r="L169" s="260"/>
      <c r="M169" s="111"/>
      <c r="N169" s="9"/>
      <c r="O169" s="9"/>
      <c r="P169" s="9"/>
      <c r="Q169" s="9"/>
      <c r="R169" s="9"/>
      <c r="S169" s="44"/>
      <c r="T169" s="44"/>
      <c r="U169" s="44"/>
      <c r="V169" s="44"/>
      <c r="W169" s="44"/>
      <c r="X169" s="44"/>
      <c r="Y169" s="44"/>
      <c r="Z169" s="44"/>
    </row>
    <row r="170" spans="1:26">
      <c r="A170" s="9"/>
      <c r="B170" s="9"/>
      <c r="C170" s="9"/>
      <c r="D170" s="9"/>
      <c r="E170" s="35"/>
      <c r="F170" s="35"/>
      <c r="G170" s="256"/>
      <c r="H170" s="265"/>
      <c r="I170" s="260"/>
      <c r="J170" s="260"/>
      <c r="K170" s="265"/>
      <c r="L170" s="260"/>
      <c r="M170" s="111"/>
      <c r="N170" s="9"/>
      <c r="O170" s="9"/>
      <c r="P170" s="9"/>
      <c r="Q170" s="9"/>
      <c r="R170" s="9"/>
      <c r="S170" s="44"/>
      <c r="T170" s="44"/>
      <c r="U170" s="44"/>
      <c r="V170" s="44"/>
      <c r="W170" s="44"/>
      <c r="X170" s="44"/>
      <c r="Y170" s="44"/>
      <c r="Z170" s="44"/>
    </row>
    <row r="171" spans="1:26">
      <c r="A171" s="9"/>
      <c r="B171" s="9"/>
      <c r="C171" s="9"/>
      <c r="D171" s="9"/>
      <c r="E171" s="35"/>
      <c r="F171" s="35"/>
      <c r="G171" s="256"/>
      <c r="H171" s="265"/>
      <c r="I171" s="260"/>
      <c r="J171" s="260"/>
      <c r="K171" s="265"/>
      <c r="L171" s="260"/>
      <c r="M171" s="111"/>
      <c r="N171" s="9"/>
      <c r="O171" s="9"/>
      <c r="P171" s="9"/>
      <c r="Q171" s="9"/>
      <c r="R171" s="9"/>
      <c r="S171" s="44"/>
      <c r="T171" s="44"/>
      <c r="U171" s="44"/>
      <c r="V171" s="44"/>
      <c r="W171" s="44"/>
      <c r="X171" s="44"/>
      <c r="Y171" s="44"/>
      <c r="Z171" s="44"/>
    </row>
    <row r="172" spans="1:26">
      <c r="A172" s="9"/>
      <c r="B172" s="9"/>
      <c r="C172" s="9"/>
      <c r="D172" s="9"/>
      <c r="E172" s="35"/>
      <c r="F172" s="35"/>
      <c r="G172" s="256"/>
      <c r="H172" s="265"/>
      <c r="I172" s="260"/>
      <c r="J172" s="260"/>
      <c r="K172" s="265"/>
      <c r="L172" s="260"/>
      <c r="M172" s="111"/>
      <c r="N172" s="9"/>
      <c r="O172" s="9"/>
      <c r="P172" s="9"/>
      <c r="Q172" s="9"/>
      <c r="R172" s="9"/>
      <c r="S172" s="44"/>
      <c r="T172" s="44"/>
      <c r="U172" s="44"/>
      <c r="V172" s="44"/>
      <c r="W172" s="44"/>
      <c r="X172" s="44"/>
      <c r="Y172" s="44"/>
      <c r="Z172" s="44"/>
    </row>
    <row r="173" spans="1:26">
      <c r="A173" s="9"/>
      <c r="B173" s="9"/>
      <c r="C173" s="9"/>
      <c r="D173" s="9"/>
      <c r="E173" s="35"/>
      <c r="F173" s="35"/>
      <c r="G173" s="256"/>
      <c r="H173" s="265"/>
      <c r="I173" s="260"/>
      <c r="J173" s="260"/>
      <c r="K173" s="265"/>
      <c r="L173" s="260"/>
      <c r="M173" s="111"/>
      <c r="N173" s="9"/>
      <c r="O173" s="9"/>
      <c r="P173" s="9"/>
      <c r="Q173" s="9"/>
      <c r="R173" s="9"/>
      <c r="S173" s="44"/>
      <c r="T173" s="44"/>
      <c r="U173" s="44"/>
      <c r="V173" s="44"/>
      <c r="W173" s="44"/>
      <c r="X173" s="44"/>
      <c r="Y173" s="44"/>
      <c r="Z173" s="44"/>
    </row>
    <row r="174" spans="1:26">
      <c r="A174" s="9"/>
      <c r="B174" s="9"/>
      <c r="C174" s="9"/>
      <c r="D174" s="9"/>
      <c r="E174" s="35"/>
      <c r="F174" s="35"/>
      <c r="G174" s="256"/>
      <c r="H174" s="265"/>
      <c r="I174" s="260"/>
      <c r="J174" s="260"/>
      <c r="K174" s="265"/>
      <c r="L174" s="260"/>
      <c r="M174" s="111"/>
      <c r="N174" s="9"/>
      <c r="O174" s="9"/>
      <c r="P174" s="9"/>
      <c r="Q174" s="9"/>
      <c r="R174" s="9"/>
      <c r="S174" s="44"/>
      <c r="T174" s="44"/>
      <c r="U174" s="44"/>
      <c r="V174" s="44"/>
      <c r="W174" s="44"/>
      <c r="X174" s="44"/>
      <c r="Y174" s="44"/>
      <c r="Z174" s="44"/>
    </row>
    <row r="175" spans="1:26">
      <c r="A175" s="9"/>
      <c r="B175" s="9"/>
      <c r="C175" s="9"/>
      <c r="D175" s="9"/>
      <c r="E175" s="35"/>
      <c r="F175" s="35"/>
      <c r="G175" s="256"/>
      <c r="H175" s="265"/>
      <c r="I175" s="260"/>
      <c r="J175" s="260"/>
      <c r="K175" s="265"/>
      <c r="L175" s="260"/>
      <c r="M175" s="111"/>
      <c r="N175" s="9"/>
      <c r="O175" s="9"/>
      <c r="P175" s="9"/>
      <c r="Q175" s="9"/>
      <c r="R175" s="9"/>
      <c r="S175" s="44"/>
      <c r="T175" s="44"/>
      <c r="U175" s="44"/>
      <c r="V175" s="44"/>
      <c r="W175" s="44"/>
      <c r="X175" s="44"/>
      <c r="Y175" s="44"/>
      <c r="Z175" s="44"/>
    </row>
    <row r="176" spans="1:26">
      <c r="A176" s="9"/>
      <c r="B176" s="9"/>
      <c r="C176" s="9"/>
      <c r="D176" s="9"/>
      <c r="E176" s="35"/>
      <c r="F176" s="35"/>
      <c r="G176" s="256"/>
      <c r="H176" s="265"/>
      <c r="I176" s="260"/>
      <c r="J176" s="260"/>
      <c r="K176" s="265"/>
      <c r="L176" s="260"/>
      <c r="M176" s="111"/>
      <c r="N176" s="9"/>
      <c r="O176" s="9"/>
      <c r="P176" s="9"/>
      <c r="Q176" s="9"/>
      <c r="R176" s="9"/>
      <c r="S176" s="44"/>
      <c r="T176" s="44"/>
      <c r="U176" s="44"/>
      <c r="V176" s="44"/>
      <c r="W176" s="44"/>
      <c r="X176" s="44"/>
      <c r="Y176" s="44"/>
      <c r="Z176" s="44"/>
    </row>
    <row r="177" spans="1:26">
      <c r="A177" s="9"/>
      <c r="B177" s="9"/>
      <c r="C177" s="9"/>
      <c r="D177" s="9"/>
      <c r="E177" s="35"/>
      <c r="F177" s="35"/>
      <c r="G177" s="256"/>
      <c r="H177" s="265"/>
      <c r="I177" s="260"/>
      <c r="J177" s="260"/>
      <c r="K177" s="265"/>
      <c r="L177" s="260"/>
      <c r="M177" s="111"/>
      <c r="N177" s="9"/>
      <c r="O177" s="9"/>
      <c r="P177" s="9"/>
      <c r="Q177" s="9"/>
      <c r="R177" s="9"/>
      <c r="S177" s="44"/>
      <c r="T177" s="44"/>
      <c r="U177" s="44"/>
      <c r="V177" s="44"/>
      <c r="W177" s="44"/>
      <c r="X177" s="44"/>
      <c r="Y177" s="44"/>
      <c r="Z177" s="44"/>
    </row>
    <row r="178" spans="1:26">
      <c r="A178" s="9"/>
      <c r="B178" s="9"/>
      <c r="C178" s="9"/>
      <c r="D178" s="9"/>
      <c r="E178" s="35"/>
      <c r="F178" s="35"/>
      <c r="G178" s="256"/>
      <c r="H178" s="265"/>
      <c r="I178" s="260"/>
      <c r="J178" s="260"/>
      <c r="K178" s="265"/>
      <c r="L178" s="260"/>
      <c r="M178" s="111"/>
      <c r="N178" s="9"/>
      <c r="O178" s="9"/>
      <c r="P178" s="9"/>
      <c r="Q178" s="9"/>
      <c r="R178" s="9"/>
      <c r="S178" s="44"/>
      <c r="T178" s="44"/>
      <c r="U178" s="44"/>
      <c r="V178" s="44"/>
      <c r="W178" s="44"/>
      <c r="X178" s="44"/>
      <c r="Y178" s="44"/>
      <c r="Z178" s="44"/>
    </row>
    <row r="179" spans="1:26">
      <c r="A179" s="9"/>
      <c r="B179" s="9"/>
      <c r="C179" s="9"/>
      <c r="D179" s="9"/>
      <c r="E179" s="35"/>
      <c r="F179" s="35"/>
      <c r="G179" s="256"/>
      <c r="H179" s="265"/>
      <c r="I179" s="260"/>
      <c r="J179" s="260"/>
      <c r="K179" s="265"/>
      <c r="L179" s="260"/>
      <c r="M179" s="111"/>
      <c r="N179" s="9"/>
      <c r="O179" s="9"/>
      <c r="P179" s="9"/>
      <c r="Q179" s="9"/>
      <c r="R179" s="9"/>
      <c r="S179" s="44"/>
      <c r="T179" s="44"/>
      <c r="U179" s="44"/>
      <c r="V179" s="44"/>
      <c r="W179" s="44"/>
      <c r="X179" s="44"/>
      <c r="Y179" s="44"/>
      <c r="Z179" s="44"/>
    </row>
    <row r="180" spans="1:26">
      <c r="A180" s="9"/>
      <c r="B180" s="9"/>
      <c r="C180" s="9"/>
      <c r="D180" s="9"/>
      <c r="E180" s="35"/>
      <c r="F180" s="35"/>
      <c r="G180" s="256"/>
      <c r="H180" s="265"/>
      <c r="I180" s="260"/>
      <c r="J180" s="260"/>
      <c r="K180" s="265"/>
      <c r="L180" s="260"/>
      <c r="M180" s="111"/>
      <c r="N180" s="9"/>
      <c r="O180" s="9"/>
      <c r="P180" s="9"/>
      <c r="Q180" s="9"/>
      <c r="R180" s="9"/>
      <c r="S180" s="44"/>
      <c r="T180" s="44"/>
      <c r="U180" s="44"/>
      <c r="V180" s="44"/>
      <c r="W180" s="44"/>
      <c r="X180" s="44"/>
      <c r="Y180" s="44"/>
      <c r="Z180" s="44"/>
    </row>
    <row r="181" spans="1:26">
      <c r="A181" s="9"/>
      <c r="B181" s="9"/>
      <c r="C181" s="9"/>
      <c r="D181" s="9"/>
      <c r="E181" s="35"/>
      <c r="F181" s="35"/>
      <c r="G181" s="256"/>
      <c r="H181" s="265"/>
      <c r="I181" s="260"/>
      <c r="J181" s="260"/>
      <c r="K181" s="265"/>
      <c r="L181" s="260"/>
      <c r="M181" s="111"/>
      <c r="N181" s="9"/>
      <c r="O181" s="9"/>
      <c r="P181" s="9"/>
      <c r="Q181" s="9"/>
      <c r="R181" s="9"/>
      <c r="S181" s="44"/>
      <c r="T181" s="44"/>
      <c r="U181" s="44"/>
      <c r="V181" s="44"/>
      <c r="W181" s="44"/>
      <c r="X181" s="44"/>
      <c r="Y181" s="44"/>
      <c r="Z181" s="44"/>
    </row>
    <row r="182" spans="1:26">
      <c r="A182" s="9"/>
      <c r="B182" s="9"/>
      <c r="C182" s="9"/>
      <c r="D182" s="9"/>
      <c r="E182" s="35"/>
      <c r="F182" s="35"/>
      <c r="G182" s="256"/>
      <c r="H182" s="265"/>
      <c r="I182" s="260"/>
      <c r="J182" s="260"/>
      <c r="K182" s="265"/>
      <c r="L182" s="260"/>
      <c r="M182" s="111"/>
      <c r="N182" s="9"/>
      <c r="O182" s="9"/>
      <c r="P182" s="9"/>
      <c r="Q182" s="9"/>
      <c r="R182" s="9"/>
      <c r="S182" s="44"/>
      <c r="T182" s="44"/>
      <c r="U182" s="44"/>
      <c r="V182" s="44"/>
      <c r="W182" s="44"/>
      <c r="X182" s="44"/>
      <c r="Y182" s="44"/>
      <c r="Z182" s="44"/>
    </row>
    <row r="183" spans="1:26">
      <c r="A183" s="9"/>
      <c r="B183" s="9"/>
      <c r="C183" s="9"/>
      <c r="D183" s="9"/>
      <c r="E183" s="35"/>
      <c r="F183" s="35"/>
      <c r="G183" s="256"/>
      <c r="H183" s="265"/>
      <c r="I183" s="260"/>
      <c r="J183" s="260"/>
      <c r="K183" s="265"/>
      <c r="L183" s="260"/>
      <c r="M183" s="111"/>
      <c r="N183" s="9"/>
      <c r="O183" s="9"/>
      <c r="P183" s="9"/>
      <c r="Q183" s="9"/>
      <c r="R183" s="9"/>
      <c r="S183" s="44"/>
      <c r="T183" s="44"/>
      <c r="U183" s="44"/>
      <c r="V183" s="44"/>
      <c r="W183" s="44"/>
      <c r="X183" s="44"/>
      <c r="Y183" s="44"/>
      <c r="Z183" s="44"/>
    </row>
    <row r="184" spans="1:26">
      <c r="A184" s="9"/>
      <c r="B184" s="9"/>
      <c r="C184" s="9"/>
      <c r="D184" s="9"/>
      <c r="E184" s="35"/>
      <c r="F184" s="35"/>
      <c r="G184" s="256"/>
      <c r="H184" s="265"/>
      <c r="I184" s="260"/>
      <c r="J184" s="260"/>
      <c r="K184" s="265"/>
      <c r="L184" s="260"/>
      <c r="M184" s="111"/>
      <c r="N184" s="9"/>
      <c r="O184" s="9"/>
      <c r="P184" s="9"/>
      <c r="Q184" s="9"/>
      <c r="R184" s="9"/>
      <c r="S184" s="44"/>
      <c r="T184" s="44"/>
      <c r="U184" s="44"/>
      <c r="V184" s="44"/>
      <c r="W184" s="44"/>
      <c r="X184" s="44"/>
      <c r="Y184" s="44"/>
      <c r="Z184" s="44"/>
    </row>
    <row r="185" spans="1:26">
      <c r="A185" s="9"/>
      <c r="B185" s="9"/>
      <c r="C185" s="9"/>
      <c r="D185" s="9"/>
      <c r="E185" s="35"/>
      <c r="F185" s="35"/>
      <c r="G185" s="256"/>
      <c r="H185" s="265"/>
      <c r="I185" s="260"/>
      <c r="J185" s="260"/>
      <c r="K185" s="265"/>
      <c r="L185" s="260"/>
      <c r="M185" s="111"/>
      <c r="N185" s="9"/>
      <c r="O185" s="9"/>
      <c r="P185" s="9"/>
      <c r="Q185" s="9"/>
      <c r="R185" s="9"/>
      <c r="S185" s="44"/>
      <c r="T185" s="44"/>
      <c r="U185" s="44"/>
      <c r="V185" s="44"/>
      <c r="W185" s="44"/>
      <c r="X185" s="44"/>
      <c r="Y185" s="44"/>
      <c r="Z185" s="44"/>
    </row>
    <row r="186" spans="1:26">
      <c r="A186" s="9"/>
      <c r="B186" s="9"/>
      <c r="C186" s="9"/>
      <c r="D186" s="9"/>
      <c r="E186" s="35"/>
      <c r="F186" s="35"/>
      <c r="G186" s="256"/>
      <c r="H186" s="265"/>
      <c r="I186" s="260"/>
      <c r="J186" s="260"/>
      <c r="K186" s="265"/>
      <c r="L186" s="260"/>
      <c r="M186" s="111"/>
      <c r="N186" s="9"/>
      <c r="O186" s="9"/>
      <c r="P186" s="9"/>
      <c r="Q186" s="9"/>
      <c r="R186" s="9"/>
      <c r="S186" s="44"/>
      <c r="T186" s="44"/>
      <c r="U186" s="44"/>
      <c r="V186" s="44"/>
      <c r="W186" s="44"/>
      <c r="X186" s="44"/>
      <c r="Y186" s="44"/>
      <c r="Z186" s="44"/>
    </row>
    <row r="187" spans="1:26">
      <c r="A187" s="9"/>
      <c r="B187" s="9"/>
      <c r="C187" s="9"/>
      <c r="D187" s="9"/>
      <c r="E187" s="35"/>
      <c r="F187" s="35"/>
      <c r="G187" s="256"/>
      <c r="H187" s="265"/>
      <c r="I187" s="260"/>
      <c r="J187" s="260"/>
      <c r="K187" s="265"/>
      <c r="L187" s="260"/>
      <c r="M187" s="111"/>
      <c r="N187" s="9"/>
      <c r="O187" s="9"/>
      <c r="P187" s="9"/>
      <c r="Q187" s="9"/>
      <c r="R187" s="9"/>
      <c r="S187" s="44"/>
      <c r="T187" s="44"/>
      <c r="U187" s="44"/>
      <c r="V187" s="44"/>
      <c r="W187" s="44"/>
      <c r="X187" s="44"/>
      <c r="Y187" s="44"/>
      <c r="Z187" s="44"/>
    </row>
    <row r="188" spans="1:26">
      <c r="A188" s="9"/>
      <c r="B188" s="9"/>
      <c r="C188" s="9"/>
      <c r="D188" s="9"/>
      <c r="E188" s="35"/>
      <c r="F188" s="35"/>
      <c r="G188" s="256"/>
      <c r="H188" s="265"/>
      <c r="I188" s="260"/>
      <c r="J188" s="260"/>
      <c r="K188" s="265"/>
      <c r="L188" s="260"/>
      <c r="M188" s="111"/>
      <c r="N188" s="9"/>
      <c r="O188" s="9"/>
      <c r="P188" s="9"/>
      <c r="Q188" s="9"/>
      <c r="R188" s="9"/>
      <c r="S188" s="44"/>
      <c r="T188" s="44"/>
      <c r="U188" s="44"/>
      <c r="V188" s="44"/>
      <c r="W188" s="44"/>
      <c r="X188" s="44"/>
      <c r="Y188" s="44"/>
      <c r="Z188" s="44"/>
    </row>
    <row r="189" spans="1:26">
      <c r="A189" s="9"/>
      <c r="B189" s="9"/>
      <c r="C189" s="9"/>
      <c r="D189" s="9"/>
      <c r="E189" s="35"/>
      <c r="F189" s="35"/>
      <c r="G189" s="256"/>
      <c r="H189" s="265"/>
      <c r="I189" s="260"/>
      <c r="J189" s="260"/>
      <c r="K189" s="265"/>
      <c r="L189" s="260"/>
      <c r="M189" s="111"/>
      <c r="N189" s="9"/>
      <c r="O189" s="9"/>
      <c r="P189" s="9"/>
      <c r="Q189" s="9"/>
      <c r="R189" s="9"/>
      <c r="S189" s="44"/>
      <c r="T189" s="44"/>
      <c r="U189" s="44"/>
      <c r="V189" s="44"/>
      <c r="W189" s="44"/>
      <c r="X189" s="44"/>
      <c r="Y189" s="44"/>
      <c r="Z189" s="44"/>
    </row>
    <row r="190" spans="1:26">
      <c r="A190" s="9"/>
      <c r="B190" s="9"/>
      <c r="C190" s="9"/>
      <c r="D190" s="9"/>
      <c r="E190" s="35"/>
      <c r="F190" s="35"/>
      <c r="G190" s="256"/>
      <c r="H190" s="265"/>
      <c r="I190" s="260"/>
      <c r="J190" s="260"/>
      <c r="K190" s="265"/>
      <c r="L190" s="260"/>
      <c r="M190" s="111"/>
      <c r="N190" s="9"/>
      <c r="O190" s="9"/>
      <c r="P190" s="9"/>
      <c r="Q190" s="9"/>
      <c r="R190" s="9"/>
      <c r="S190" s="44"/>
      <c r="T190" s="44"/>
      <c r="U190" s="44"/>
      <c r="V190" s="44"/>
      <c r="W190" s="44"/>
      <c r="X190" s="44"/>
      <c r="Y190" s="44"/>
      <c r="Z190" s="44"/>
    </row>
    <row r="191" spans="1:26">
      <c r="A191" s="9"/>
      <c r="B191" s="9"/>
      <c r="C191" s="9"/>
      <c r="D191" s="9"/>
      <c r="E191" s="35"/>
      <c r="F191" s="35"/>
      <c r="G191" s="256"/>
      <c r="H191" s="265"/>
      <c r="I191" s="260"/>
      <c r="J191" s="260"/>
      <c r="K191" s="265"/>
      <c r="L191" s="260"/>
      <c r="M191" s="111"/>
      <c r="N191" s="9"/>
      <c r="O191" s="9"/>
      <c r="P191" s="9"/>
      <c r="Q191" s="9"/>
      <c r="R191" s="9"/>
      <c r="S191" s="44"/>
      <c r="T191" s="44"/>
      <c r="U191" s="44"/>
      <c r="V191" s="44"/>
      <c r="W191" s="44"/>
      <c r="X191" s="44"/>
      <c r="Y191" s="44"/>
      <c r="Z191" s="44"/>
    </row>
    <row r="192" spans="1:26">
      <c r="A192" s="9"/>
      <c r="B192" s="9"/>
      <c r="C192" s="9"/>
      <c r="D192" s="9"/>
      <c r="E192" s="35"/>
      <c r="F192" s="35"/>
      <c r="G192" s="256"/>
      <c r="H192" s="265"/>
      <c r="I192" s="260"/>
      <c r="J192" s="260"/>
      <c r="K192" s="265"/>
      <c r="L192" s="260"/>
      <c r="M192" s="111"/>
      <c r="N192" s="9"/>
      <c r="O192" s="9"/>
      <c r="P192" s="9"/>
      <c r="Q192" s="9"/>
      <c r="R192" s="9"/>
      <c r="S192" s="44"/>
      <c r="T192" s="44"/>
      <c r="U192" s="44"/>
      <c r="V192" s="44"/>
      <c r="W192" s="44"/>
      <c r="X192" s="44"/>
      <c r="Y192" s="44"/>
      <c r="Z192" s="44"/>
    </row>
    <row r="193" spans="1:26">
      <c r="A193" s="9"/>
      <c r="B193" s="9"/>
      <c r="C193" s="9"/>
      <c r="D193" s="9"/>
      <c r="E193" s="35"/>
      <c r="F193" s="35"/>
      <c r="G193" s="256"/>
      <c r="H193" s="265"/>
      <c r="I193" s="260"/>
      <c r="J193" s="260"/>
      <c r="K193" s="265"/>
      <c r="L193" s="260"/>
      <c r="M193" s="111"/>
      <c r="N193" s="9"/>
      <c r="O193" s="9"/>
      <c r="P193" s="9"/>
      <c r="Q193" s="9"/>
      <c r="R193" s="9"/>
      <c r="S193" s="44"/>
      <c r="T193" s="44"/>
      <c r="U193" s="44"/>
      <c r="V193" s="44"/>
      <c r="W193" s="44"/>
      <c r="X193" s="44"/>
      <c r="Y193" s="44"/>
      <c r="Z193" s="44"/>
    </row>
    <row r="194" spans="1:26">
      <c r="A194" s="9"/>
      <c r="B194" s="9"/>
      <c r="C194" s="9"/>
      <c r="D194" s="9"/>
      <c r="E194" s="35"/>
      <c r="F194" s="35"/>
      <c r="G194" s="256"/>
      <c r="H194" s="265"/>
      <c r="I194" s="260"/>
      <c r="J194" s="260"/>
      <c r="K194" s="265"/>
      <c r="L194" s="260"/>
      <c r="M194" s="111"/>
      <c r="N194" s="9"/>
      <c r="O194" s="9"/>
      <c r="P194" s="9"/>
      <c r="Q194" s="9"/>
      <c r="R194" s="9"/>
      <c r="S194" s="44"/>
      <c r="T194" s="44"/>
      <c r="U194" s="44"/>
      <c r="V194" s="44"/>
      <c r="W194" s="44"/>
      <c r="X194" s="44"/>
      <c r="Y194" s="44"/>
      <c r="Z194" s="44"/>
    </row>
    <row r="195" spans="1:26">
      <c r="A195" s="9"/>
      <c r="B195" s="9"/>
      <c r="C195" s="9"/>
      <c r="D195" s="9"/>
      <c r="E195" s="35"/>
      <c r="F195" s="35"/>
      <c r="G195" s="256"/>
      <c r="H195" s="265"/>
      <c r="I195" s="260"/>
      <c r="J195" s="260"/>
      <c r="K195" s="265"/>
      <c r="L195" s="260"/>
      <c r="M195" s="111"/>
      <c r="N195" s="9"/>
      <c r="O195" s="9"/>
      <c r="P195" s="9"/>
      <c r="Q195" s="9"/>
      <c r="R195" s="9"/>
      <c r="S195" s="44"/>
      <c r="T195" s="44"/>
      <c r="U195" s="44"/>
      <c r="V195" s="44"/>
      <c r="W195" s="44"/>
      <c r="X195" s="44"/>
      <c r="Y195" s="44"/>
      <c r="Z195" s="44"/>
    </row>
    <row r="196" spans="1:26">
      <c r="A196" s="9"/>
      <c r="B196" s="9"/>
      <c r="C196" s="9"/>
      <c r="D196" s="9"/>
      <c r="E196" s="35"/>
      <c r="F196" s="35"/>
      <c r="G196" s="256"/>
      <c r="H196" s="265"/>
      <c r="I196" s="260"/>
      <c r="J196" s="260"/>
      <c r="K196" s="265"/>
      <c r="L196" s="260"/>
      <c r="M196" s="111"/>
      <c r="N196" s="9"/>
      <c r="O196" s="9"/>
      <c r="P196" s="9"/>
      <c r="Q196" s="9"/>
      <c r="R196" s="9"/>
      <c r="S196" s="44"/>
      <c r="T196" s="44"/>
      <c r="U196" s="44"/>
      <c r="V196" s="44"/>
      <c r="W196" s="44"/>
      <c r="X196" s="44"/>
      <c r="Y196" s="44"/>
      <c r="Z196" s="44"/>
    </row>
    <row r="197" spans="1:26">
      <c r="A197" s="9"/>
      <c r="B197" s="9"/>
      <c r="C197" s="9"/>
      <c r="D197" s="9"/>
      <c r="E197" s="35"/>
      <c r="F197" s="35"/>
      <c r="G197" s="256"/>
      <c r="H197" s="265"/>
      <c r="I197" s="260"/>
      <c r="J197" s="260"/>
      <c r="K197" s="265"/>
      <c r="L197" s="260"/>
      <c r="M197" s="111"/>
      <c r="N197" s="9"/>
      <c r="O197" s="9"/>
      <c r="P197" s="9"/>
      <c r="Q197" s="9"/>
      <c r="R197" s="9"/>
      <c r="S197" s="44"/>
      <c r="T197" s="44"/>
      <c r="U197" s="44"/>
      <c r="V197" s="44"/>
      <c r="W197" s="44"/>
      <c r="X197" s="44"/>
      <c r="Y197" s="44"/>
      <c r="Z197" s="44"/>
    </row>
    <row r="198" spans="1:26">
      <c r="A198" s="9"/>
      <c r="B198" s="9"/>
      <c r="C198" s="9"/>
      <c r="D198" s="9"/>
      <c r="E198" s="35"/>
      <c r="F198" s="35"/>
      <c r="G198" s="256"/>
      <c r="H198" s="265"/>
      <c r="I198" s="260"/>
      <c r="J198" s="260"/>
      <c r="K198" s="265"/>
      <c r="L198" s="260"/>
      <c r="M198" s="111"/>
      <c r="N198" s="9"/>
      <c r="O198" s="9"/>
      <c r="P198" s="9"/>
      <c r="Q198" s="9"/>
      <c r="R198" s="9"/>
      <c r="S198" s="44"/>
      <c r="T198" s="44"/>
      <c r="U198" s="44"/>
      <c r="V198" s="44"/>
      <c r="W198" s="44"/>
      <c r="X198" s="44"/>
      <c r="Y198" s="44"/>
      <c r="Z198" s="44"/>
    </row>
    <row r="199" spans="1:26">
      <c r="A199" s="9"/>
      <c r="B199" s="9"/>
      <c r="C199" s="9"/>
      <c r="D199" s="9"/>
      <c r="E199" s="35"/>
      <c r="F199" s="35"/>
      <c r="G199" s="256"/>
      <c r="H199" s="265"/>
      <c r="I199" s="260"/>
      <c r="J199" s="260"/>
      <c r="K199" s="265"/>
      <c r="L199" s="260"/>
      <c r="M199" s="111"/>
      <c r="N199" s="9"/>
      <c r="O199" s="9"/>
      <c r="P199" s="9"/>
      <c r="Q199" s="9"/>
      <c r="R199" s="9"/>
      <c r="S199" s="44"/>
      <c r="T199" s="44"/>
      <c r="U199" s="44"/>
      <c r="V199" s="44"/>
      <c r="W199" s="44"/>
      <c r="X199" s="44"/>
      <c r="Y199" s="44"/>
      <c r="Z199" s="44"/>
    </row>
    <row r="200" spans="1:26">
      <c r="A200" s="9"/>
      <c r="B200" s="9"/>
      <c r="C200" s="9"/>
      <c r="D200" s="9"/>
      <c r="E200" s="35"/>
      <c r="F200" s="35"/>
      <c r="G200" s="256"/>
      <c r="H200" s="265"/>
      <c r="I200" s="260"/>
      <c r="J200" s="260"/>
      <c r="K200" s="265"/>
      <c r="L200" s="260"/>
      <c r="M200" s="111"/>
      <c r="N200" s="9"/>
      <c r="O200" s="9"/>
      <c r="P200" s="9"/>
      <c r="Q200" s="9"/>
      <c r="R200" s="9"/>
      <c r="S200" s="44"/>
      <c r="T200" s="44"/>
      <c r="U200" s="44"/>
      <c r="V200" s="44"/>
      <c r="W200" s="44"/>
      <c r="X200" s="44"/>
      <c r="Y200" s="44"/>
      <c r="Z200" s="44"/>
    </row>
    <row r="201" spans="1:26">
      <c r="A201" s="9"/>
      <c r="B201" s="9"/>
      <c r="C201" s="9"/>
      <c r="D201" s="9"/>
      <c r="E201" s="35"/>
      <c r="F201" s="35"/>
      <c r="G201" s="256"/>
      <c r="H201" s="265"/>
      <c r="I201" s="260"/>
      <c r="J201" s="260"/>
      <c r="K201" s="265"/>
      <c r="L201" s="260"/>
      <c r="M201" s="111"/>
      <c r="N201" s="9"/>
      <c r="O201" s="9"/>
      <c r="P201" s="9"/>
      <c r="Q201" s="9"/>
      <c r="R201" s="9"/>
      <c r="S201" s="44"/>
      <c r="T201" s="44"/>
      <c r="U201" s="44"/>
      <c r="V201" s="44"/>
      <c r="W201" s="44"/>
      <c r="X201" s="44"/>
      <c r="Y201" s="44"/>
      <c r="Z201" s="44"/>
    </row>
    <row r="202" spans="1:26">
      <c r="A202" s="9"/>
      <c r="B202" s="9"/>
      <c r="C202" s="9"/>
      <c r="D202" s="9"/>
      <c r="E202" s="35"/>
      <c r="F202" s="35"/>
      <c r="G202" s="256"/>
      <c r="H202" s="265"/>
      <c r="I202" s="260"/>
      <c r="J202" s="260"/>
      <c r="K202" s="265"/>
      <c r="L202" s="260"/>
      <c r="M202" s="111"/>
      <c r="N202" s="9"/>
      <c r="O202" s="9"/>
      <c r="P202" s="9"/>
      <c r="Q202" s="9"/>
      <c r="R202" s="9"/>
      <c r="S202" s="44"/>
      <c r="T202" s="44"/>
      <c r="U202" s="44"/>
      <c r="V202" s="44"/>
      <c r="W202" s="44"/>
      <c r="X202" s="44"/>
      <c r="Y202" s="44"/>
      <c r="Z202" s="44"/>
    </row>
    <row r="203" spans="1:26">
      <c r="A203" s="9"/>
      <c r="B203" s="9"/>
      <c r="C203" s="9"/>
      <c r="D203" s="9"/>
      <c r="E203" s="35"/>
      <c r="F203" s="35"/>
      <c r="G203" s="256"/>
      <c r="H203" s="265"/>
      <c r="I203" s="260"/>
      <c r="J203" s="260"/>
      <c r="K203" s="265"/>
      <c r="L203" s="260"/>
      <c r="M203" s="111"/>
      <c r="N203" s="9"/>
      <c r="O203" s="9"/>
      <c r="P203" s="9"/>
      <c r="Q203" s="9"/>
      <c r="R203" s="9"/>
      <c r="S203" s="44"/>
      <c r="T203" s="44"/>
      <c r="U203" s="44"/>
      <c r="V203" s="44"/>
      <c r="W203" s="44"/>
      <c r="X203" s="44"/>
      <c r="Y203" s="44"/>
      <c r="Z203" s="44"/>
    </row>
    <row r="204" spans="1:26">
      <c r="A204" s="9"/>
      <c r="B204" s="9"/>
      <c r="C204" s="9"/>
      <c r="D204" s="9"/>
      <c r="E204" s="35"/>
      <c r="F204" s="35"/>
      <c r="G204" s="256"/>
      <c r="H204" s="265"/>
      <c r="I204" s="260"/>
      <c r="J204" s="260"/>
      <c r="K204" s="265"/>
      <c r="L204" s="260"/>
      <c r="M204" s="111"/>
      <c r="N204" s="9"/>
      <c r="O204" s="9"/>
      <c r="P204" s="9"/>
      <c r="Q204" s="9"/>
      <c r="R204" s="9"/>
      <c r="S204" s="44"/>
      <c r="T204" s="44"/>
      <c r="U204" s="44"/>
      <c r="V204" s="44"/>
      <c r="W204" s="44"/>
      <c r="X204" s="44"/>
      <c r="Y204" s="44"/>
      <c r="Z204" s="44"/>
    </row>
    <row r="205" spans="1:26">
      <c r="A205" s="9"/>
      <c r="B205" s="9"/>
      <c r="C205" s="9"/>
      <c r="D205" s="9"/>
      <c r="E205" s="35"/>
      <c r="F205" s="35"/>
      <c r="G205" s="256"/>
      <c r="H205" s="265"/>
      <c r="I205" s="260"/>
      <c r="J205" s="260"/>
      <c r="K205" s="265"/>
      <c r="L205" s="260"/>
      <c r="M205" s="111"/>
      <c r="N205" s="9"/>
      <c r="O205" s="9"/>
      <c r="P205" s="9"/>
      <c r="Q205" s="9"/>
      <c r="R205" s="9"/>
      <c r="S205" s="44"/>
      <c r="T205" s="44"/>
      <c r="U205" s="44"/>
      <c r="V205" s="44"/>
      <c r="W205" s="44"/>
      <c r="X205" s="44"/>
      <c r="Y205" s="44"/>
      <c r="Z205" s="44"/>
    </row>
    <row r="206" spans="1:26">
      <c r="A206" s="9"/>
      <c r="B206" s="9"/>
      <c r="C206" s="9"/>
      <c r="D206" s="9"/>
      <c r="E206" s="35"/>
      <c r="F206" s="35"/>
      <c r="G206" s="256"/>
      <c r="H206" s="265"/>
      <c r="I206" s="260"/>
      <c r="J206" s="260"/>
      <c r="K206" s="265"/>
      <c r="L206" s="260"/>
      <c r="M206" s="111"/>
      <c r="N206" s="9"/>
      <c r="O206" s="9"/>
      <c r="P206" s="9"/>
      <c r="Q206" s="9"/>
      <c r="R206" s="9"/>
      <c r="S206" s="44"/>
      <c r="T206" s="44"/>
      <c r="U206" s="44"/>
      <c r="V206" s="44"/>
      <c r="W206" s="44"/>
      <c r="X206" s="44"/>
      <c r="Y206" s="44"/>
      <c r="Z206" s="44"/>
    </row>
    <row r="207" spans="1:26">
      <c r="A207" s="9"/>
      <c r="B207" s="9"/>
      <c r="C207" s="9"/>
      <c r="D207" s="9"/>
      <c r="E207" s="35"/>
      <c r="F207" s="35"/>
      <c r="G207" s="256"/>
      <c r="H207" s="265"/>
      <c r="I207" s="260"/>
      <c r="J207" s="260"/>
      <c r="K207" s="265"/>
      <c r="L207" s="260"/>
      <c r="M207" s="111"/>
      <c r="N207" s="9"/>
      <c r="O207" s="9"/>
      <c r="P207" s="9"/>
      <c r="Q207" s="9"/>
      <c r="R207" s="9"/>
      <c r="S207" s="44"/>
      <c r="T207" s="44"/>
      <c r="U207" s="44"/>
      <c r="V207" s="44"/>
      <c r="W207" s="44"/>
      <c r="X207" s="44"/>
      <c r="Y207" s="44"/>
      <c r="Z207" s="44"/>
    </row>
    <row r="208" spans="1:26">
      <c r="A208" s="9"/>
      <c r="B208" s="9"/>
      <c r="C208" s="9"/>
      <c r="D208" s="9"/>
      <c r="E208" s="35"/>
      <c r="F208" s="35"/>
      <c r="G208" s="256"/>
      <c r="H208" s="265"/>
      <c r="I208" s="260"/>
      <c r="J208" s="260"/>
      <c r="K208" s="265"/>
      <c r="L208" s="260"/>
      <c r="M208" s="111"/>
      <c r="N208" s="9"/>
      <c r="O208" s="9"/>
      <c r="P208" s="9"/>
      <c r="Q208" s="9"/>
      <c r="R208" s="9"/>
      <c r="S208" s="44"/>
      <c r="T208" s="44"/>
      <c r="U208" s="44"/>
      <c r="V208" s="44"/>
      <c r="W208" s="44"/>
      <c r="X208" s="44"/>
      <c r="Y208" s="44"/>
      <c r="Z208" s="44"/>
    </row>
    <row r="209" spans="1:26">
      <c r="A209" s="9"/>
      <c r="B209" s="9"/>
      <c r="C209" s="9"/>
      <c r="D209" s="9"/>
      <c r="E209" s="35"/>
      <c r="F209" s="35"/>
      <c r="G209" s="256"/>
      <c r="H209" s="265"/>
      <c r="I209" s="260"/>
      <c r="J209" s="260"/>
      <c r="K209" s="265"/>
      <c r="L209" s="260"/>
      <c r="M209" s="111"/>
      <c r="N209" s="9"/>
      <c r="O209" s="9"/>
      <c r="P209" s="9"/>
      <c r="Q209" s="9"/>
      <c r="R209" s="9"/>
      <c r="S209" s="44"/>
      <c r="T209" s="44"/>
      <c r="U209" s="44"/>
      <c r="V209" s="44"/>
      <c r="W209" s="44"/>
      <c r="X209" s="44"/>
      <c r="Y209" s="44"/>
      <c r="Z209" s="44"/>
    </row>
    <row r="210" spans="1:26">
      <c r="A210" s="9"/>
      <c r="B210" s="9"/>
      <c r="C210" s="9"/>
      <c r="D210" s="9"/>
      <c r="E210" s="35"/>
      <c r="F210" s="35"/>
      <c r="G210" s="256"/>
      <c r="H210" s="265"/>
      <c r="I210" s="260"/>
      <c r="J210" s="260"/>
      <c r="K210" s="265"/>
      <c r="L210" s="260"/>
      <c r="M210" s="111"/>
      <c r="N210" s="9"/>
      <c r="O210" s="9"/>
      <c r="P210" s="9"/>
      <c r="Q210" s="9"/>
      <c r="R210" s="9"/>
      <c r="S210" s="44"/>
      <c r="T210" s="44"/>
      <c r="U210" s="44"/>
      <c r="V210" s="44"/>
      <c r="W210" s="44"/>
      <c r="X210" s="44"/>
      <c r="Y210" s="44"/>
      <c r="Z210" s="44"/>
    </row>
    <row r="211" spans="1:26">
      <c r="A211" s="9"/>
      <c r="B211" s="9"/>
      <c r="C211" s="9"/>
      <c r="D211" s="9"/>
      <c r="E211" s="35"/>
      <c r="F211" s="35"/>
      <c r="G211" s="256"/>
      <c r="H211" s="265"/>
      <c r="I211" s="260"/>
      <c r="J211" s="260"/>
      <c r="K211" s="265"/>
      <c r="L211" s="260"/>
      <c r="M211" s="111"/>
      <c r="N211" s="9"/>
      <c r="O211" s="9"/>
      <c r="P211" s="9"/>
      <c r="Q211" s="9"/>
      <c r="R211" s="9"/>
      <c r="S211" s="44"/>
      <c r="T211" s="44"/>
      <c r="U211" s="44"/>
      <c r="V211" s="44"/>
      <c r="W211" s="44"/>
      <c r="X211" s="44"/>
      <c r="Y211" s="44"/>
      <c r="Z211" s="44"/>
    </row>
    <row r="212" spans="1:26">
      <c r="A212" s="9"/>
      <c r="B212" s="9"/>
      <c r="C212" s="9"/>
      <c r="D212" s="9"/>
      <c r="E212" s="35"/>
      <c r="F212" s="35"/>
      <c r="G212" s="256"/>
      <c r="H212" s="265"/>
      <c r="I212" s="260"/>
      <c r="J212" s="260"/>
      <c r="K212" s="265"/>
      <c r="L212" s="260"/>
      <c r="M212" s="111"/>
      <c r="N212" s="9"/>
      <c r="O212" s="9"/>
      <c r="P212" s="9"/>
      <c r="Q212" s="9"/>
      <c r="R212" s="9"/>
      <c r="S212" s="44"/>
      <c r="T212" s="44"/>
      <c r="U212" s="44"/>
      <c r="V212" s="44"/>
      <c r="W212" s="44"/>
      <c r="X212" s="44"/>
      <c r="Y212" s="44"/>
      <c r="Z212" s="44"/>
    </row>
    <row r="213" spans="1:26">
      <c r="A213" s="9"/>
      <c r="B213" s="9"/>
      <c r="C213" s="9"/>
      <c r="D213" s="9"/>
      <c r="E213" s="35"/>
      <c r="F213" s="35"/>
      <c r="G213" s="256"/>
      <c r="H213" s="265"/>
      <c r="I213" s="260"/>
      <c r="J213" s="260"/>
      <c r="K213" s="265"/>
      <c r="L213" s="260"/>
      <c r="M213" s="111"/>
      <c r="N213" s="9"/>
      <c r="O213" s="9"/>
      <c r="P213" s="9"/>
      <c r="Q213" s="9"/>
      <c r="R213" s="9"/>
      <c r="S213" s="44"/>
      <c r="T213" s="44"/>
      <c r="U213" s="44"/>
      <c r="V213" s="44"/>
      <c r="W213" s="44"/>
      <c r="X213" s="44"/>
      <c r="Y213" s="44"/>
      <c r="Z213" s="44"/>
    </row>
    <row r="214" spans="1:26">
      <c r="A214" s="9"/>
      <c r="B214" s="9"/>
      <c r="C214" s="9"/>
      <c r="D214" s="9"/>
      <c r="E214" s="35"/>
      <c r="F214" s="35"/>
      <c r="G214" s="256"/>
      <c r="H214" s="265"/>
      <c r="I214" s="260"/>
      <c r="J214" s="260"/>
      <c r="K214" s="265"/>
      <c r="L214" s="260"/>
      <c r="M214" s="111"/>
      <c r="N214" s="9"/>
      <c r="O214" s="9"/>
      <c r="P214" s="9"/>
      <c r="Q214" s="9"/>
      <c r="R214" s="9"/>
      <c r="S214" s="44"/>
      <c r="T214" s="44"/>
      <c r="U214" s="44"/>
      <c r="V214" s="44"/>
      <c r="W214" s="44"/>
      <c r="X214" s="44"/>
      <c r="Y214" s="44"/>
      <c r="Z214" s="44"/>
    </row>
    <row r="215" spans="1:26">
      <c r="A215" s="9"/>
      <c r="B215" s="9"/>
      <c r="C215" s="9"/>
      <c r="D215" s="9"/>
      <c r="E215" s="35"/>
      <c r="F215" s="35"/>
      <c r="G215" s="256"/>
      <c r="H215" s="265"/>
      <c r="I215" s="260"/>
      <c r="J215" s="260"/>
      <c r="K215" s="265"/>
      <c r="L215" s="260"/>
      <c r="M215" s="111"/>
      <c r="N215" s="9"/>
      <c r="O215" s="9"/>
      <c r="P215" s="9"/>
      <c r="Q215" s="9"/>
      <c r="R215" s="9"/>
      <c r="S215" s="44"/>
      <c r="T215" s="44"/>
      <c r="U215" s="44"/>
      <c r="V215" s="44"/>
      <c r="W215" s="44"/>
      <c r="X215" s="44"/>
      <c r="Y215" s="44"/>
      <c r="Z215" s="44"/>
    </row>
    <row r="216" spans="1:26">
      <c r="A216" s="9"/>
      <c r="B216" s="9"/>
      <c r="C216" s="9"/>
      <c r="D216" s="9"/>
      <c r="E216" s="35"/>
      <c r="F216" s="35"/>
      <c r="G216" s="256"/>
      <c r="H216" s="265"/>
      <c r="I216" s="260"/>
      <c r="J216" s="260"/>
      <c r="K216" s="265"/>
      <c r="L216" s="260"/>
      <c r="M216" s="111"/>
      <c r="N216" s="9"/>
      <c r="O216" s="9"/>
      <c r="P216" s="9"/>
      <c r="Q216" s="9"/>
      <c r="R216" s="9"/>
      <c r="S216" s="44"/>
      <c r="T216" s="44"/>
      <c r="U216" s="44"/>
      <c r="V216" s="44"/>
      <c r="W216" s="44"/>
      <c r="X216" s="44"/>
      <c r="Y216" s="44"/>
      <c r="Z216" s="44"/>
    </row>
    <row r="217" spans="1:26">
      <c r="A217" s="9"/>
      <c r="B217" s="9"/>
      <c r="C217" s="9"/>
      <c r="D217" s="9"/>
      <c r="E217" s="35"/>
      <c r="F217" s="35"/>
      <c r="G217" s="256"/>
      <c r="H217" s="265"/>
      <c r="I217" s="260"/>
      <c r="J217" s="260"/>
      <c r="K217" s="265"/>
      <c r="L217" s="260"/>
      <c r="M217" s="111"/>
      <c r="N217" s="9"/>
      <c r="O217" s="9"/>
      <c r="P217" s="9"/>
      <c r="Q217" s="9"/>
      <c r="R217" s="9"/>
      <c r="S217" s="44"/>
      <c r="T217" s="44"/>
      <c r="U217" s="44"/>
      <c r="V217" s="44"/>
      <c r="W217" s="44"/>
      <c r="X217" s="44"/>
      <c r="Y217" s="44"/>
      <c r="Z217" s="44"/>
    </row>
    <row r="218" spans="1:26">
      <c r="A218" s="9"/>
      <c r="B218" s="9"/>
      <c r="C218" s="9"/>
      <c r="D218" s="9"/>
      <c r="E218" s="35"/>
      <c r="F218" s="35"/>
      <c r="G218" s="256"/>
      <c r="H218" s="265"/>
      <c r="I218" s="260"/>
      <c r="J218" s="260"/>
      <c r="K218" s="265"/>
      <c r="L218" s="260"/>
      <c r="M218" s="111"/>
      <c r="N218" s="9"/>
      <c r="O218" s="9"/>
      <c r="P218" s="9"/>
      <c r="Q218" s="9"/>
      <c r="R218" s="9"/>
      <c r="S218" s="44"/>
      <c r="T218" s="44"/>
      <c r="U218" s="44"/>
      <c r="V218" s="44"/>
      <c r="W218" s="44"/>
      <c r="X218" s="44"/>
      <c r="Y218" s="44"/>
      <c r="Z218" s="44"/>
    </row>
    <row r="219" spans="1:26">
      <c r="A219" s="9"/>
      <c r="B219" s="9"/>
      <c r="C219" s="9"/>
      <c r="D219" s="9"/>
      <c r="E219" s="35"/>
      <c r="F219" s="35"/>
      <c r="G219" s="256"/>
      <c r="H219" s="265"/>
      <c r="I219" s="260"/>
      <c r="J219" s="260"/>
      <c r="K219" s="265"/>
      <c r="L219" s="260"/>
      <c r="M219" s="111"/>
      <c r="N219" s="9"/>
      <c r="O219" s="9"/>
      <c r="P219" s="9"/>
      <c r="Q219" s="9"/>
      <c r="R219" s="9"/>
      <c r="S219" s="44"/>
      <c r="T219" s="44"/>
      <c r="U219" s="44"/>
      <c r="V219" s="44"/>
      <c r="W219" s="44"/>
      <c r="X219" s="44"/>
      <c r="Y219" s="44"/>
      <c r="Z219" s="44"/>
    </row>
    <row r="220" spans="1:26">
      <c r="A220" s="9"/>
      <c r="B220" s="9"/>
      <c r="C220" s="9"/>
      <c r="D220" s="9"/>
      <c r="E220" s="35"/>
      <c r="F220" s="35"/>
      <c r="G220" s="256"/>
      <c r="H220" s="265"/>
      <c r="I220" s="260"/>
      <c r="J220" s="260"/>
      <c r="K220" s="265"/>
      <c r="L220" s="260"/>
      <c r="M220" s="111"/>
      <c r="N220" s="9"/>
      <c r="O220" s="9"/>
      <c r="P220" s="9"/>
      <c r="Q220" s="9"/>
      <c r="R220" s="9"/>
      <c r="S220" s="44"/>
      <c r="T220" s="44"/>
      <c r="U220" s="44"/>
      <c r="V220" s="44"/>
      <c r="W220" s="44"/>
      <c r="X220" s="44"/>
      <c r="Y220" s="44"/>
      <c r="Z220" s="44"/>
    </row>
    <row r="221" spans="1:26">
      <c r="A221" s="9"/>
      <c r="B221" s="9"/>
      <c r="C221" s="9"/>
      <c r="D221" s="9"/>
      <c r="E221" s="35"/>
      <c r="F221" s="35"/>
      <c r="G221" s="256"/>
      <c r="H221" s="265"/>
      <c r="I221" s="260"/>
      <c r="J221" s="260"/>
      <c r="K221" s="265"/>
      <c r="L221" s="260"/>
      <c r="M221" s="111"/>
      <c r="N221" s="9"/>
      <c r="O221" s="9"/>
      <c r="P221" s="9"/>
      <c r="Q221" s="9"/>
      <c r="R221" s="9"/>
      <c r="S221" s="9"/>
      <c r="T221" s="9"/>
      <c r="U221" s="9"/>
      <c r="V221" s="9"/>
      <c r="W221" s="9"/>
      <c r="X221" s="9"/>
      <c r="Y221" s="9"/>
      <c r="Z221" s="9"/>
    </row>
    <row r="222" spans="1:26">
      <c r="A222" s="9"/>
      <c r="B222" s="9"/>
      <c r="C222" s="9"/>
      <c r="D222" s="9"/>
      <c r="E222" s="35"/>
      <c r="F222" s="35"/>
      <c r="G222" s="256"/>
      <c r="H222" s="265"/>
      <c r="I222" s="260"/>
      <c r="J222" s="260"/>
      <c r="K222" s="265"/>
      <c r="L222" s="260"/>
      <c r="M222" s="111"/>
      <c r="N222" s="9"/>
      <c r="O222" s="9"/>
      <c r="P222" s="9"/>
      <c r="Q222" s="9"/>
      <c r="R222" s="9"/>
      <c r="S222" s="9"/>
      <c r="T222" s="9"/>
      <c r="U222" s="9"/>
      <c r="V222" s="9"/>
      <c r="W222" s="9"/>
      <c r="X222" s="9"/>
      <c r="Y222" s="9"/>
      <c r="Z222" s="9"/>
    </row>
    <row r="223" spans="1:26">
      <c r="A223" s="9"/>
      <c r="B223" s="9"/>
      <c r="C223" s="9"/>
      <c r="D223" s="9"/>
      <c r="E223" s="35"/>
      <c r="F223" s="35"/>
      <c r="G223" s="256"/>
      <c r="H223" s="265"/>
      <c r="I223" s="260"/>
      <c r="J223" s="260"/>
      <c r="K223" s="265"/>
      <c r="L223" s="260"/>
      <c r="M223" s="111"/>
      <c r="N223" s="9"/>
      <c r="O223" s="9"/>
      <c r="P223" s="9"/>
      <c r="Q223" s="9"/>
      <c r="R223" s="9"/>
      <c r="S223" s="9"/>
      <c r="T223" s="9"/>
      <c r="U223" s="9"/>
      <c r="V223" s="9"/>
      <c r="W223" s="9"/>
      <c r="X223" s="9"/>
      <c r="Y223" s="9"/>
      <c r="Z223" s="9"/>
    </row>
    <row r="224" spans="1:26">
      <c r="A224" s="9"/>
      <c r="B224" s="9"/>
      <c r="C224" s="9"/>
      <c r="D224" s="9"/>
      <c r="E224" s="35"/>
      <c r="F224" s="35"/>
      <c r="G224" s="256"/>
      <c r="H224" s="265"/>
      <c r="I224" s="260"/>
      <c r="J224" s="260"/>
      <c r="K224" s="265"/>
      <c r="L224" s="260"/>
      <c r="M224" s="111"/>
      <c r="N224" s="9"/>
      <c r="O224" s="9"/>
      <c r="P224" s="9"/>
      <c r="Q224" s="9"/>
      <c r="R224" s="9"/>
      <c r="S224" s="9"/>
      <c r="T224" s="9"/>
      <c r="U224" s="9"/>
      <c r="V224" s="9"/>
      <c r="W224" s="9"/>
      <c r="X224" s="9"/>
      <c r="Y224" s="9"/>
      <c r="Z224" s="9"/>
    </row>
    <row r="225" spans="1:26">
      <c r="A225" s="9"/>
      <c r="B225" s="9"/>
      <c r="C225" s="9"/>
      <c r="D225" s="9"/>
      <c r="E225" s="35"/>
      <c r="F225" s="35"/>
      <c r="G225" s="256"/>
      <c r="H225" s="265"/>
      <c r="I225" s="260"/>
      <c r="J225" s="260"/>
      <c r="K225" s="265"/>
      <c r="L225" s="260"/>
      <c r="M225" s="111"/>
      <c r="N225" s="9"/>
      <c r="O225" s="9"/>
      <c r="P225" s="9"/>
      <c r="Q225" s="9"/>
      <c r="R225" s="9"/>
      <c r="S225" s="9"/>
      <c r="T225" s="9"/>
      <c r="U225" s="9"/>
      <c r="V225" s="9"/>
      <c r="W225" s="9"/>
      <c r="X225" s="9"/>
      <c r="Y225" s="9"/>
      <c r="Z225" s="9"/>
    </row>
    <row r="226" spans="1:26">
      <c r="A226" s="9"/>
      <c r="B226" s="9"/>
      <c r="C226" s="9"/>
      <c r="D226" s="9"/>
      <c r="E226" s="35"/>
      <c r="F226" s="35"/>
      <c r="G226" s="256"/>
      <c r="H226" s="265"/>
      <c r="I226" s="260"/>
      <c r="J226" s="260"/>
      <c r="K226" s="265"/>
      <c r="L226" s="260"/>
      <c r="M226" s="111"/>
      <c r="N226" s="9"/>
      <c r="O226" s="9"/>
      <c r="P226" s="9"/>
      <c r="Q226" s="9"/>
      <c r="R226" s="9"/>
      <c r="S226" s="9"/>
      <c r="T226" s="9"/>
      <c r="U226" s="9"/>
      <c r="V226" s="9"/>
      <c r="W226" s="9"/>
      <c r="X226" s="9"/>
      <c r="Y226" s="9"/>
      <c r="Z226" s="9"/>
    </row>
    <row r="227" spans="1:26">
      <c r="A227" s="9"/>
      <c r="B227" s="9"/>
      <c r="C227" s="9"/>
      <c r="D227" s="9"/>
      <c r="E227" s="35"/>
      <c r="F227" s="35"/>
      <c r="G227" s="256"/>
      <c r="H227" s="265"/>
      <c r="I227" s="260"/>
      <c r="J227" s="260"/>
      <c r="K227" s="265"/>
      <c r="L227" s="260"/>
      <c r="M227" s="111"/>
      <c r="N227" s="9"/>
      <c r="O227" s="9"/>
      <c r="P227" s="9"/>
      <c r="Q227" s="9"/>
      <c r="R227" s="9"/>
      <c r="S227" s="9"/>
      <c r="T227" s="9"/>
      <c r="U227" s="9"/>
      <c r="V227" s="9"/>
      <c r="W227" s="9"/>
      <c r="X227" s="9"/>
      <c r="Y227" s="9"/>
      <c r="Z227" s="9"/>
    </row>
    <row r="228" spans="1:26">
      <c r="A228" s="9"/>
      <c r="B228" s="9"/>
      <c r="C228" s="9"/>
      <c r="D228" s="9"/>
      <c r="E228" s="35"/>
      <c r="F228" s="35"/>
      <c r="G228" s="256"/>
      <c r="H228" s="265"/>
      <c r="I228" s="260"/>
      <c r="J228" s="260"/>
      <c r="K228" s="265"/>
      <c r="L228" s="260"/>
      <c r="M228" s="111"/>
      <c r="N228" s="9"/>
      <c r="O228" s="9"/>
      <c r="P228" s="9"/>
      <c r="Q228" s="9"/>
      <c r="R228" s="9"/>
      <c r="S228" s="9"/>
      <c r="T228" s="9"/>
      <c r="U228" s="9"/>
      <c r="V228" s="9"/>
      <c r="W228" s="9"/>
      <c r="X228" s="9"/>
      <c r="Y228" s="9"/>
      <c r="Z228" s="9"/>
    </row>
    <row r="229" spans="1:26">
      <c r="A229" s="9"/>
      <c r="B229" s="9"/>
      <c r="C229" s="9"/>
      <c r="D229" s="9"/>
      <c r="E229" s="35"/>
      <c r="F229" s="35"/>
      <c r="G229" s="256"/>
      <c r="H229" s="265"/>
      <c r="I229" s="260"/>
      <c r="J229" s="260"/>
      <c r="K229" s="265"/>
      <c r="L229" s="260"/>
      <c r="M229" s="111"/>
      <c r="N229" s="9"/>
      <c r="O229" s="9"/>
      <c r="P229" s="9"/>
      <c r="Q229" s="9"/>
      <c r="R229" s="9"/>
      <c r="S229" s="9"/>
      <c r="T229" s="9"/>
      <c r="U229" s="9"/>
      <c r="V229" s="9"/>
      <c r="W229" s="9"/>
      <c r="X229" s="9"/>
      <c r="Y229" s="9"/>
      <c r="Z229" s="9"/>
    </row>
    <row r="230" spans="1:26">
      <c r="A230" s="9"/>
      <c r="B230" s="9"/>
      <c r="C230" s="9"/>
      <c r="D230" s="9"/>
      <c r="E230" s="35"/>
      <c r="F230" s="35"/>
      <c r="G230" s="256"/>
      <c r="H230" s="265"/>
      <c r="I230" s="260"/>
      <c r="J230" s="260"/>
      <c r="K230" s="265"/>
      <c r="L230" s="260"/>
      <c r="M230" s="111"/>
      <c r="N230" s="9"/>
      <c r="O230" s="9"/>
      <c r="P230" s="9"/>
      <c r="Q230" s="9"/>
      <c r="R230" s="9"/>
      <c r="S230" s="9"/>
      <c r="T230" s="9"/>
      <c r="U230" s="9"/>
      <c r="V230" s="9"/>
      <c r="W230" s="9"/>
      <c r="X230" s="9"/>
      <c r="Y230" s="9"/>
      <c r="Z230" s="9"/>
    </row>
    <row r="231" spans="1:26">
      <c r="A231" s="9"/>
      <c r="B231" s="9"/>
      <c r="C231" s="9"/>
      <c r="D231" s="9"/>
      <c r="E231" s="35"/>
      <c r="F231" s="35"/>
      <c r="G231" s="256"/>
      <c r="H231" s="265"/>
      <c r="I231" s="260"/>
      <c r="J231" s="260"/>
      <c r="K231" s="265"/>
      <c r="L231" s="260"/>
      <c r="M231" s="111"/>
      <c r="N231" s="9"/>
      <c r="O231" s="9"/>
      <c r="P231" s="9"/>
      <c r="Q231" s="9"/>
      <c r="R231" s="9"/>
      <c r="S231" s="9"/>
      <c r="T231" s="9"/>
      <c r="U231" s="9"/>
      <c r="V231" s="9"/>
      <c r="W231" s="9"/>
      <c r="X231" s="9"/>
      <c r="Y231" s="9"/>
      <c r="Z231" s="9"/>
    </row>
    <row r="232" spans="1:26">
      <c r="A232" s="9"/>
      <c r="B232" s="9"/>
      <c r="C232" s="9"/>
      <c r="D232" s="9"/>
      <c r="E232" s="35"/>
      <c r="F232" s="35"/>
      <c r="G232" s="256"/>
      <c r="H232" s="265"/>
      <c r="I232" s="260"/>
      <c r="J232" s="260"/>
      <c r="K232" s="265"/>
      <c r="L232" s="260"/>
      <c r="M232" s="111"/>
      <c r="N232" s="9"/>
      <c r="O232" s="9"/>
      <c r="P232" s="9"/>
      <c r="Q232" s="9"/>
      <c r="R232" s="9"/>
      <c r="S232" s="9"/>
      <c r="T232" s="9"/>
      <c r="U232" s="9"/>
      <c r="V232" s="9"/>
      <c r="W232" s="9"/>
      <c r="X232" s="9"/>
      <c r="Y232" s="9"/>
      <c r="Z232" s="9"/>
    </row>
    <row r="233" spans="1:26">
      <c r="A233" s="9"/>
      <c r="B233" s="9"/>
      <c r="C233" s="9"/>
      <c r="D233" s="9"/>
      <c r="E233" s="35"/>
      <c r="F233" s="35"/>
      <c r="G233" s="256"/>
      <c r="H233" s="265"/>
      <c r="I233" s="260"/>
      <c r="J233" s="260"/>
      <c r="K233" s="265"/>
      <c r="L233" s="260"/>
      <c r="M233" s="111"/>
      <c r="N233" s="9"/>
      <c r="O233" s="9"/>
      <c r="P233" s="9"/>
      <c r="Q233" s="9"/>
      <c r="R233" s="9"/>
      <c r="S233" s="9"/>
      <c r="T233" s="9"/>
      <c r="U233" s="9"/>
      <c r="V233" s="9"/>
      <c r="W233" s="9"/>
      <c r="X233" s="9"/>
      <c r="Y233" s="9"/>
      <c r="Z233" s="9"/>
    </row>
    <row r="234" spans="1:26">
      <c r="A234" s="9"/>
      <c r="B234" s="9"/>
      <c r="C234" s="9"/>
      <c r="D234" s="9"/>
      <c r="E234" s="35"/>
      <c r="F234" s="35"/>
      <c r="G234" s="256"/>
      <c r="H234" s="265"/>
      <c r="I234" s="260"/>
      <c r="J234" s="260"/>
      <c r="K234" s="265"/>
      <c r="L234" s="260"/>
      <c r="M234" s="111"/>
      <c r="N234" s="9"/>
      <c r="O234" s="9"/>
      <c r="P234" s="9"/>
      <c r="Q234" s="9"/>
      <c r="R234" s="9"/>
      <c r="S234" s="9"/>
      <c r="T234" s="9"/>
      <c r="U234" s="9"/>
      <c r="V234" s="9"/>
      <c r="W234" s="9"/>
      <c r="X234" s="9"/>
      <c r="Y234" s="9"/>
      <c r="Z234" s="9"/>
    </row>
    <row r="235" spans="1:26">
      <c r="A235" s="9"/>
      <c r="B235" s="9"/>
      <c r="C235" s="9"/>
      <c r="D235" s="9"/>
      <c r="E235" s="35"/>
      <c r="F235" s="35"/>
      <c r="G235" s="256"/>
      <c r="H235" s="265"/>
      <c r="I235" s="260"/>
      <c r="J235" s="260"/>
      <c r="K235" s="265"/>
      <c r="L235" s="260"/>
      <c r="M235" s="111"/>
      <c r="N235" s="9"/>
      <c r="O235" s="9"/>
      <c r="P235" s="9"/>
      <c r="Q235" s="9"/>
      <c r="R235" s="9"/>
      <c r="S235" s="9"/>
      <c r="T235" s="9"/>
      <c r="U235" s="9"/>
      <c r="V235" s="9"/>
      <c r="W235" s="9"/>
      <c r="X235" s="9"/>
      <c r="Y235" s="9"/>
      <c r="Z235" s="9"/>
    </row>
    <row r="236" spans="1:26">
      <c r="A236" s="9"/>
      <c r="B236" s="9"/>
      <c r="C236" s="9"/>
      <c r="D236" s="9"/>
      <c r="E236" s="35"/>
      <c r="F236" s="35"/>
      <c r="G236" s="256"/>
      <c r="H236" s="265"/>
      <c r="I236" s="260"/>
      <c r="J236" s="260"/>
      <c r="K236" s="265"/>
      <c r="L236" s="260"/>
      <c r="M236" s="111"/>
      <c r="N236" s="9"/>
      <c r="O236" s="9"/>
      <c r="P236" s="9"/>
      <c r="Q236" s="9"/>
      <c r="R236" s="9"/>
      <c r="S236" s="9"/>
      <c r="T236" s="9"/>
      <c r="U236" s="9"/>
      <c r="V236" s="9"/>
      <c r="W236" s="9"/>
      <c r="X236" s="9"/>
      <c r="Y236" s="9"/>
      <c r="Z236" s="9"/>
    </row>
    <row r="237" spans="1:26">
      <c r="A237" s="9"/>
      <c r="B237" s="9"/>
      <c r="C237" s="9"/>
      <c r="D237" s="9"/>
      <c r="E237" s="35"/>
      <c r="F237" s="35"/>
      <c r="G237" s="256"/>
      <c r="H237" s="265"/>
      <c r="I237" s="260"/>
      <c r="J237" s="260"/>
      <c r="K237" s="265"/>
      <c r="L237" s="260"/>
      <c r="M237" s="111"/>
      <c r="N237" s="9"/>
      <c r="O237" s="9"/>
      <c r="P237" s="9"/>
      <c r="Q237" s="9"/>
      <c r="R237" s="9"/>
      <c r="S237" s="9"/>
      <c r="T237" s="9"/>
      <c r="U237" s="9"/>
      <c r="V237" s="9"/>
      <c r="W237" s="9"/>
      <c r="X237" s="9"/>
      <c r="Y237" s="9"/>
      <c r="Z237" s="9"/>
    </row>
    <row r="238" spans="1:26">
      <c r="A238" s="9"/>
      <c r="B238" s="9"/>
      <c r="C238" s="9"/>
      <c r="D238" s="9"/>
      <c r="E238" s="35"/>
      <c r="F238" s="35"/>
      <c r="G238" s="256"/>
      <c r="H238" s="265"/>
      <c r="I238" s="260"/>
      <c r="J238" s="260"/>
      <c r="K238" s="265"/>
      <c r="L238" s="260"/>
      <c r="M238" s="111"/>
      <c r="N238" s="9"/>
      <c r="O238" s="9"/>
      <c r="P238" s="9"/>
      <c r="Q238" s="9"/>
      <c r="R238" s="9"/>
      <c r="S238" s="9"/>
      <c r="T238" s="9"/>
      <c r="U238" s="9"/>
      <c r="V238" s="9"/>
      <c r="W238" s="9"/>
      <c r="X238" s="9"/>
      <c r="Y238" s="9"/>
      <c r="Z238" s="9"/>
    </row>
    <row r="239" spans="1:26">
      <c r="A239" s="9"/>
      <c r="B239" s="9"/>
      <c r="C239" s="9"/>
      <c r="D239" s="9"/>
      <c r="E239" s="35"/>
      <c r="F239" s="35"/>
      <c r="G239" s="256"/>
      <c r="H239" s="265"/>
      <c r="I239" s="260"/>
      <c r="J239" s="260"/>
      <c r="K239" s="265"/>
      <c r="L239" s="260"/>
      <c r="M239" s="111"/>
      <c r="N239" s="9"/>
      <c r="O239" s="9"/>
      <c r="P239" s="9"/>
      <c r="Q239" s="9"/>
      <c r="R239" s="9"/>
      <c r="S239" s="9"/>
      <c r="T239" s="9"/>
      <c r="U239" s="9"/>
      <c r="V239" s="9"/>
      <c r="W239" s="9"/>
      <c r="X239" s="9"/>
      <c r="Y239" s="9"/>
      <c r="Z239" s="9"/>
    </row>
    <row r="240" spans="1:26">
      <c r="A240" s="9"/>
      <c r="B240" s="9"/>
      <c r="C240" s="9"/>
      <c r="D240" s="9"/>
      <c r="E240" s="35"/>
      <c r="F240" s="35"/>
      <c r="G240" s="256"/>
      <c r="H240" s="265"/>
      <c r="I240" s="260"/>
      <c r="J240" s="260"/>
      <c r="K240" s="265"/>
      <c r="L240" s="260"/>
      <c r="M240" s="111"/>
      <c r="N240" s="9"/>
      <c r="O240" s="9"/>
      <c r="P240" s="9"/>
      <c r="Q240" s="9"/>
      <c r="R240" s="9"/>
      <c r="S240" s="9"/>
      <c r="T240" s="9"/>
      <c r="U240" s="9"/>
      <c r="V240" s="9"/>
      <c r="W240" s="9"/>
      <c r="X240" s="9"/>
      <c r="Y240" s="9"/>
      <c r="Z240" s="9"/>
    </row>
    <row r="241" spans="1:26">
      <c r="A241" s="9"/>
      <c r="B241" s="9"/>
      <c r="C241" s="9"/>
      <c r="D241" s="9"/>
      <c r="E241" s="35"/>
      <c r="F241" s="35"/>
      <c r="G241" s="256"/>
      <c r="H241" s="265"/>
      <c r="I241" s="260"/>
      <c r="J241" s="260"/>
      <c r="K241" s="265"/>
      <c r="L241" s="260"/>
      <c r="M241" s="111"/>
      <c r="N241" s="9"/>
      <c r="O241" s="9"/>
      <c r="P241" s="9"/>
      <c r="Q241" s="9"/>
      <c r="R241" s="9"/>
      <c r="S241" s="9"/>
      <c r="T241" s="9"/>
      <c r="U241" s="9"/>
      <c r="V241" s="9"/>
      <c r="W241" s="9"/>
      <c r="X241" s="9"/>
      <c r="Y241" s="9"/>
      <c r="Z241" s="9"/>
    </row>
    <row r="242" spans="1:26">
      <c r="A242" s="9"/>
      <c r="B242" s="9"/>
      <c r="C242" s="9"/>
      <c r="D242" s="9"/>
      <c r="E242" s="35"/>
      <c r="F242" s="35"/>
      <c r="G242" s="256"/>
      <c r="H242" s="265"/>
      <c r="I242" s="260"/>
      <c r="J242" s="260"/>
      <c r="K242" s="265"/>
      <c r="L242" s="260"/>
      <c r="M242" s="111"/>
      <c r="N242" s="9"/>
      <c r="O242" s="9"/>
      <c r="P242" s="9"/>
      <c r="Q242" s="9"/>
      <c r="R242" s="9"/>
      <c r="S242" s="9"/>
      <c r="T242" s="9"/>
      <c r="U242" s="9"/>
      <c r="V242" s="9"/>
      <c r="W242" s="9"/>
      <c r="X242" s="9"/>
      <c r="Y242" s="9"/>
      <c r="Z242" s="9"/>
    </row>
    <row r="243" spans="1:26">
      <c r="A243" s="9"/>
      <c r="B243" s="9"/>
      <c r="C243" s="9"/>
      <c r="D243" s="9"/>
      <c r="E243" s="35"/>
      <c r="F243" s="35"/>
      <c r="G243" s="256"/>
      <c r="H243" s="265"/>
      <c r="I243" s="260"/>
      <c r="J243" s="260"/>
      <c r="K243" s="265"/>
      <c r="L243" s="260"/>
      <c r="M243" s="111"/>
      <c r="N243" s="9"/>
      <c r="O243" s="9"/>
      <c r="P243" s="9"/>
      <c r="Q243" s="9"/>
      <c r="R243" s="9"/>
      <c r="S243" s="9"/>
      <c r="T243" s="9"/>
      <c r="U243" s="9"/>
      <c r="V243" s="9"/>
      <c r="W243" s="9"/>
      <c r="X243" s="9"/>
      <c r="Y243" s="9"/>
      <c r="Z243" s="9"/>
    </row>
    <row r="244" spans="1:26">
      <c r="A244" s="9"/>
      <c r="B244" s="9"/>
      <c r="C244" s="9"/>
      <c r="D244" s="9"/>
      <c r="E244" s="35"/>
      <c r="F244" s="35"/>
      <c r="G244" s="256"/>
      <c r="H244" s="265"/>
      <c r="I244" s="260"/>
      <c r="J244" s="260"/>
      <c r="K244" s="265"/>
      <c r="L244" s="260"/>
      <c r="M244" s="111"/>
      <c r="N244" s="9"/>
      <c r="O244" s="9"/>
      <c r="P244" s="9"/>
      <c r="Q244" s="9"/>
      <c r="R244" s="9"/>
      <c r="S244" s="9"/>
      <c r="T244" s="9"/>
      <c r="U244" s="9"/>
      <c r="V244" s="9"/>
      <c r="W244" s="9"/>
      <c r="X244" s="9"/>
      <c r="Y244" s="9"/>
      <c r="Z244" s="9"/>
    </row>
    <row r="245" spans="1:26">
      <c r="A245" s="9"/>
      <c r="B245" s="9"/>
      <c r="C245" s="9"/>
      <c r="D245" s="9"/>
      <c r="E245" s="35"/>
      <c r="F245" s="35"/>
      <c r="G245" s="256"/>
      <c r="H245" s="265"/>
      <c r="I245" s="260"/>
      <c r="J245" s="260"/>
      <c r="K245" s="265"/>
      <c r="L245" s="260"/>
      <c r="M245" s="111"/>
      <c r="N245" s="9"/>
      <c r="O245" s="9"/>
      <c r="P245" s="9"/>
      <c r="Q245" s="9"/>
      <c r="R245" s="9"/>
      <c r="S245" s="9"/>
      <c r="T245" s="9"/>
      <c r="U245" s="9"/>
      <c r="V245" s="9"/>
      <c r="W245" s="9"/>
      <c r="X245" s="9"/>
      <c r="Y245" s="9"/>
      <c r="Z245" s="9"/>
    </row>
    <row r="246" spans="1:26">
      <c r="A246" s="9"/>
      <c r="B246" s="9"/>
      <c r="C246" s="9"/>
      <c r="D246" s="9"/>
      <c r="E246" s="35"/>
      <c r="F246" s="35"/>
      <c r="G246" s="256"/>
      <c r="H246" s="265"/>
      <c r="I246" s="260"/>
      <c r="J246" s="260"/>
      <c r="K246" s="265"/>
      <c r="L246" s="260"/>
      <c r="M246" s="111"/>
      <c r="N246" s="9"/>
      <c r="O246" s="9"/>
      <c r="P246" s="9"/>
      <c r="Q246" s="9"/>
      <c r="R246" s="9"/>
      <c r="S246" s="9"/>
      <c r="T246" s="9"/>
      <c r="U246" s="9"/>
      <c r="V246" s="9"/>
      <c r="W246" s="9"/>
      <c r="X246" s="9"/>
      <c r="Y246" s="9"/>
      <c r="Z246" s="9"/>
    </row>
    <row r="247" spans="1:26">
      <c r="A247" s="9"/>
      <c r="B247" s="9"/>
      <c r="C247" s="9"/>
      <c r="D247" s="9"/>
      <c r="E247" s="35"/>
      <c r="F247" s="35"/>
      <c r="G247" s="256"/>
      <c r="H247" s="265"/>
      <c r="I247" s="260"/>
      <c r="J247" s="260"/>
      <c r="K247" s="265"/>
      <c r="L247" s="260"/>
      <c r="M247" s="111"/>
      <c r="N247" s="9"/>
      <c r="O247" s="9"/>
      <c r="P247" s="9"/>
      <c r="Q247" s="9"/>
      <c r="R247" s="9"/>
      <c r="S247" s="9"/>
      <c r="T247" s="9"/>
      <c r="U247" s="9"/>
      <c r="V247" s="9"/>
      <c r="W247" s="9"/>
      <c r="X247" s="9"/>
      <c r="Y247" s="9"/>
      <c r="Z247" s="9"/>
    </row>
    <row r="248" spans="1:26">
      <c r="A248" s="9"/>
      <c r="B248" s="9"/>
      <c r="C248" s="9"/>
      <c r="D248" s="9"/>
      <c r="E248" s="35"/>
      <c r="F248" s="35"/>
      <c r="G248" s="256"/>
      <c r="H248" s="265"/>
      <c r="I248" s="260"/>
      <c r="J248" s="260"/>
      <c r="K248" s="265"/>
      <c r="L248" s="260"/>
      <c r="M248" s="111"/>
      <c r="N248" s="9"/>
      <c r="O248" s="9"/>
      <c r="P248" s="9"/>
      <c r="Q248" s="9"/>
      <c r="R248" s="9"/>
      <c r="S248" s="9"/>
      <c r="T248" s="9"/>
      <c r="U248" s="9"/>
      <c r="V248" s="9"/>
      <c r="W248" s="9"/>
      <c r="X248" s="9"/>
      <c r="Y248" s="9"/>
      <c r="Z248" s="9"/>
    </row>
    <row r="249" spans="1:26">
      <c r="A249" s="9"/>
      <c r="B249" s="9"/>
      <c r="C249" s="9"/>
      <c r="D249" s="9"/>
      <c r="E249" s="35"/>
      <c r="F249" s="35"/>
      <c r="G249" s="256"/>
      <c r="H249" s="265"/>
      <c r="I249" s="260"/>
      <c r="J249" s="260"/>
      <c r="K249" s="265"/>
      <c r="L249" s="260"/>
      <c r="M249" s="111"/>
      <c r="N249" s="9"/>
      <c r="O249" s="9"/>
      <c r="P249" s="9"/>
      <c r="Q249" s="9"/>
      <c r="R249" s="9"/>
      <c r="S249" s="9"/>
      <c r="T249" s="9"/>
      <c r="U249" s="9"/>
      <c r="V249" s="9"/>
      <c r="W249" s="9"/>
      <c r="X249" s="9"/>
      <c r="Y249" s="9"/>
      <c r="Z249" s="9"/>
    </row>
    <row r="250" spans="1:26">
      <c r="A250" s="9"/>
      <c r="B250" s="9"/>
      <c r="C250" s="9"/>
      <c r="D250" s="9"/>
      <c r="E250" s="35"/>
      <c r="F250" s="35"/>
      <c r="G250" s="256"/>
      <c r="H250" s="265"/>
      <c r="I250" s="260"/>
      <c r="J250" s="260"/>
      <c r="K250" s="265"/>
      <c r="L250" s="260"/>
      <c r="M250" s="111"/>
      <c r="N250" s="9"/>
      <c r="O250" s="9"/>
      <c r="P250" s="9"/>
      <c r="Q250" s="9"/>
      <c r="R250" s="9"/>
      <c r="S250" s="9"/>
      <c r="T250" s="9"/>
      <c r="U250" s="9"/>
      <c r="V250" s="9"/>
      <c r="W250" s="9"/>
      <c r="X250" s="9"/>
      <c r="Y250" s="9"/>
      <c r="Z250" s="9"/>
    </row>
    <row r="251" spans="1:26">
      <c r="A251" s="9"/>
      <c r="B251" s="9"/>
      <c r="C251" s="9"/>
      <c r="D251" s="9"/>
      <c r="E251" s="35"/>
      <c r="F251" s="35"/>
      <c r="G251" s="256"/>
      <c r="H251" s="265"/>
      <c r="I251" s="260"/>
      <c r="J251" s="260"/>
      <c r="K251" s="265"/>
      <c r="L251" s="260"/>
      <c r="M251" s="111"/>
      <c r="N251" s="9"/>
      <c r="O251" s="9"/>
      <c r="P251" s="9"/>
      <c r="Q251" s="9"/>
      <c r="R251" s="9"/>
      <c r="S251" s="9"/>
      <c r="T251" s="9"/>
      <c r="U251" s="9"/>
      <c r="V251" s="9"/>
      <c r="W251" s="9"/>
      <c r="X251" s="9"/>
      <c r="Y251" s="9"/>
      <c r="Z251" s="9"/>
    </row>
    <row r="252" spans="1:26">
      <c r="A252" s="9"/>
      <c r="B252" s="9"/>
      <c r="C252" s="9"/>
      <c r="D252" s="9"/>
      <c r="E252" s="35"/>
      <c r="F252" s="35"/>
      <c r="G252" s="256"/>
      <c r="H252" s="265"/>
      <c r="I252" s="260"/>
      <c r="J252" s="260"/>
      <c r="K252" s="265"/>
      <c r="L252" s="260"/>
      <c r="M252" s="111"/>
      <c r="N252" s="9"/>
      <c r="O252" s="9"/>
      <c r="P252" s="9"/>
      <c r="Q252" s="9"/>
      <c r="R252" s="9"/>
      <c r="S252" s="9"/>
      <c r="T252" s="9"/>
      <c r="U252" s="9"/>
      <c r="V252" s="9"/>
      <c r="W252" s="9"/>
      <c r="X252" s="9"/>
      <c r="Y252" s="9"/>
      <c r="Z252" s="9"/>
    </row>
    <row r="253" spans="1:26">
      <c r="A253" s="9"/>
      <c r="B253" s="9"/>
      <c r="C253" s="9"/>
      <c r="D253" s="9"/>
      <c r="E253" s="35"/>
      <c r="F253" s="35"/>
      <c r="G253" s="256"/>
      <c r="H253" s="265"/>
      <c r="I253" s="260"/>
      <c r="J253" s="260"/>
      <c r="K253" s="265"/>
      <c r="L253" s="260"/>
      <c r="M253" s="111"/>
      <c r="N253" s="9"/>
      <c r="O253" s="9"/>
      <c r="P253" s="9"/>
      <c r="Q253" s="9"/>
      <c r="R253" s="9"/>
      <c r="S253" s="9"/>
      <c r="T253" s="9"/>
      <c r="U253" s="9"/>
      <c r="V253" s="9"/>
      <c r="W253" s="9"/>
      <c r="X253" s="9"/>
      <c r="Y253" s="9"/>
      <c r="Z253" s="9"/>
    </row>
    <row r="254" spans="1:26">
      <c r="A254" s="9"/>
      <c r="B254" s="9"/>
      <c r="C254" s="9"/>
      <c r="D254" s="9"/>
      <c r="E254" s="35"/>
      <c r="F254" s="35"/>
      <c r="G254" s="256"/>
      <c r="H254" s="265"/>
      <c r="I254" s="260"/>
      <c r="J254" s="260"/>
      <c r="K254" s="265"/>
      <c r="L254" s="260"/>
      <c r="M254" s="111"/>
      <c r="N254" s="9"/>
      <c r="O254" s="9"/>
      <c r="P254" s="9"/>
      <c r="Q254" s="9"/>
      <c r="R254" s="9"/>
      <c r="S254" s="9"/>
      <c r="T254" s="9"/>
      <c r="U254" s="9"/>
      <c r="V254" s="9"/>
      <c r="W254" s="9"/>
      <c r="X254" s="9"/>
      <c r="Y254" s="9"/>
      <c r="Z254" s="9"/>
    </row>
    <row r="255" spans="1:26">
      <c r="A255" s="9"/>
      <c r="B255" s="9"/>
      <c r="C255" s="9"/>
      <c r="D255" s="9"/>
      <c r="E255" s="35"/>
      <c r="F255" s="35"/>
      <c r="G255" s="256"/>
      <c r="H255" s="265"/>
      <c r="I255" s="260"/>
      <c r="J255" s="260"/>
      <c r="K255" s="265"/>
      <c r="L255" s="260"/>
      <c r="M255" s="111"/>
      <c r="N255" s="9"/>
      <c r="O255" s="9"/>
      <c r="P255" s="9"/>
      <c r="Q255" s="9"/>
      <c r="R255" s="9"/>
      <c r="S255" s="9"/>
      <c r="T255" s="9"/>
      <c r="U255" s="9"/>
      <c r="V255" s="9"/>
      <c r="W255" s="9"/>
      <c r="X255" s="9"/>
      <c r="Y255" s="9"/>
      <c r="Z255" s="9"/>
    </row>
    <row r="256" spans="1:26">
      <c r="A256" s="9"/>
      <c r="B256" s="9"/>
      <c r="C256" s="9"/>
      <c r="D256" s="9"/>
      <c r="E256" s="35"/>
      <c r="F256" s="35"/>
      <c r="G256" s="256"/>
      <c r="H256" s="265"/>
      <c r="I256" s="260"/>
      <c r="J256" s="260"/>
      <c r="K256" s="265"/>
      <c r="L256" s="260"/>
      <c r="M256" s="111"/>
      <c r="N256" s="9"/>
      <c r="O256" s="9"/>
      <c r="P256" s="9"/>
      <c r="Q256" s="9"/>
      <c r="R256" s="9"/>
      <c r="S256" s="9"/>
      <c r="T256" s="9"/>
      <c r="U256" s="9"/>
      <c r="V256" s="9"/>
      <c r="W256" s="9"/>
      <c r="X256" s="9"/>
      <c r="Y256" s="9"/>
      <c r="Z256" s="9"/>
    </row>
    <row r="257" spans="1:26">
      <c r="A257" s="9"/>
      <c r="B257" s="9"/>
      <c r="C257" s="9"/>
      <c r="D257" s="9"/>
      <c r="E257" s="35"/>
      <c r="F257" s="35"/>
      <c r="G257" s="256"/>
      <c r="H257" s="265"/>
      <c r="I257" s="260"/>
      <c r="J257" s="260"/>
      <c r="K257" s="265"/>
      <c r="L257" s="260"/>
      <c r="M257" s="111"/>
      <c r="N257" s="9"/>
      <c r="O257" s="9"/>
      <c r="P257" s="9"/>
      <c r="Q257" s="9"/>
      <c r="R257" s="9"/>
      <c r="S257" s="9"/>
      <c r="T257" s="9"/>
      <c r="U257" s="9"/>
      <c r="V257" s="9"/>
      <c r="W257" s="9"/>
      <c r="X257" s="9"/>
      <c r="Y257" s="9"/>
      <c r="Z257" s="9"/>
    </row>
    <row r="258" spans="1:26">
      <c r="A258" s="9"/>
      <c r="B258" s="9"/>
      <c r="C258" s="9"/>
      <c r="D258" s="9"/>
      <c r="E258" s="35"/>
      <c r="F258" s="35"/>
      <c r="G258" s="256"/>
      <c r="H258" s="265"/>
      <c r="I258" s="260"/>
      <c r="J258" s="260"/>
      <c r="K258" s="265"/>
      <c r="L258" s="260"/>
      <c r="M258" s="111"/>
      <c r="N258" s="9"/>
      <c r="O258" s="9"/>
      <c r="P258" s="9"/>
      <c r="Q258" s="9"/>
      <c r="R258" s="9"/>
      <c r="S258" s="9"/>
      <c r="T258" s="9"/>
      <c r="U258" s="9"/>
      <c r="V258" s="9"/>
      <c r="W258" s="9"/>
      <c r="X258" s="9"/>
      <c r="Y258" s="9"/>
      <c r="Z258" s="9"/>
    </row>
    <row r="259" spans="1:26">
      <c r="A259" s="9"/>
      <c r="B259" s="9"/>
      <c r="C259" s="9"/>
      <c r="D259" s="9"/>
      <c r="E259" s="35"/>
      <c r="F259" s="35"/>
      <c r="G259" s="256"/>
      <c r="H259" s="265"/>
      <c r="I259" s="260"/>
      <c r="J259" s="260"/>
      <c r="K259" s="265"/>
      <c r="L259" s="260"/>
      <c r="M259" s="111"/>
      <c r="N259" s="9"/>
      <c r="O259" s="9"/>
      <c r="P259" s="9"/>
      <c r="Q259" s="9"/>
      <c r="R259" s="9"/>
      <c r="S259" s="9"/>
      <c r="T259" s="9"/>
      <c r="U259" s="9"/>
      <c r="V259" s="9"/>
      <c r="W259" s="9"/>
      <c r="X259" s="9"/>
      <c r="Y259" s="9"/>
      <c r="Z259" s="9"/>
    </row>
    <row r="260" spans="1:26">
      <c r="A260" s="9"/>
      <c r="B260" s="9"/>
      <c r="C260" s="9"/>
      <c r="D260" s="9"/>
      <c r="E260" s="35"/>
      <c r="F260" s="35"/>
      <c r="G260" s="256"/>
      <c r="H260" s="265"/>
      <c r="I260" s="260"/>
      <c r="J260" s="260"/>
      <c r="K260" s="265"/>
      <c r="L260" s="260"/>
      <c r="M260" s="111"/>
      <c r="N260" s="9"/>
      <c r="O260" s="9"/>
      <c r="P260" s="9"/>
      <c r="Q260" s="9"/>
      <c r="R260" s="9"/>
      <c r="S260" s="9"/>
      <c r="T260" s="9"/>
      <c r="U260" s="9"/>
      <c r="V260" s="9"/>
      <c r="W260" s="9"/>
      <c r="X260" s="9"/>
      <c r="Y260" s="9"/>
      <c r="Z260" s="9"/>
    </row>
  </sheetData>
  <dataConsolidate/>
  <mergeCells count="62">
    <mergeCell ref="E35:F35"/>
    <mergeCell ref="E36:F36"/>
    <mergeCell ref="G33:I33"/>
    <mergeCell ref="G34:I34"/>
    <mergeCell ref="E31:F31"/>
    <mergeCell ref="E32:F32"/>
    <mergeCell ref="E33:F33"/>
    <mergeCell ref="E34:F34"/>
    <mergeCell ref="G31:I31"/>
    <mergeCell ref="G32:I32"/>
    <mergeCell ref="G35:I35"/>
    <mergeCell ref="G36:I36"/>
    <mergeCell ref="E5:H5"/>
    <mergeCell ref="G6:I6"/>
    <mergeCell ref="G7:I7"/>
    <mergeCell ref="G8:I8"/>
    <mergeCell ref="E7:F7"/>
    <mergeCell ref="E8:F8"/>
    <mergeCell ref="E27:F27"/>
    <mergeCell ref="E28:F28"/>
    <mergeCell ref="E29:F29"/>
    <mergeCell ref="E30:F30"/>
    <mergeCell ref="G19:I19"/>
    <mergeCell ref="G20:I20"/>
    <mergeCell ref="G25:I25"/>
    <mergeCell ref="G26:I26"/>
    <mergeCell ref="G21:I21"/>
    <mergeCell ref="G22:I22"/>
    <mergeCell ref="G27:I27"/>
    <mergeCell ref="G28:I28"/>
    <mergeCell ref="G29:I29"/>
    <mergeCell ref="G30:I30"/>
    <mergeCell ref="G23:I23"/>
    <mergeCell ref="G24:I24"/>
    <mergeCell ref="E11:F11"/>
    <mergeCell ref="E12:F12"/>
    <mergeCell ref="G11:I11"/>
    <mergeCell ref="G12:I12"/>
    <mergeCell ref="G9:I9"/>
    <mergeCell ref="G10:I10"/>
    <mergeCell ref="E9:F9"/>
    <mergeCell ref="E10:F10"/>
    <mergeCell ref="E13:F13"/>
    <mergeCell ref="E14:F14"/>
    <mergeCell ref="E15:F15"/>
    <mergeCell ref="E16:F16"/>
    <mergeCell ref="E17:F17"/>
    <mergeCell ref="G13:I13"/>
    <mergeCell ref="G14:I14"/>
    <mergeCell ref="G15:I15"/>
    <mergeCell ref="G16:I16"/>
    <mergeCell ref="G17:I17"/>
    <mergeCell ref="G18:I18"/>
    <mergeCell ref="E25:F25"/>
    <mergeCell ref="E26:F26"/>
    <mergeCell ref="E21:F21"/>
    <mergeCell ref="E22:F22"/>
    <mergeCell ref="E23:F23"/>
    <mergeCell ref="E24:F24"/>
    <mergeCell ref="E19:F19"/>
    <mergeCell ref="E20:F20"/>
    <mergeCell ref="E18:F18"/>
  </mergeCells>
  <phoneticPr fontId="11" type="noConversion"/>
  <pageMargins left="0.7" right="0.7" top="0.75" bottom="0.75" header="0.3" footer="0.3"/>
  <pageSetup paperSize="9" scale="59" orientation="portrait" r:id="rId1"/>
  <headerFooter alignWithMargins="0"/>
  <colBreaks count="1" manualBreakCount="1">
    <brk id="16" max="5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230</vt:i4>
      </vt:variant>
    </vt:vector>
  </HeadingPairs>
  <TitlesOfParts>
    <vt:vector size="239" baseType="lpstr">
      <vt:lpstr>Intro</vt:lpstr>
      <vt:lpstr>SP AusNet record of changes</vt:lpstr>
      <vt:lpstr>Input</vt:lpstr>
      <vt:lpstr>Adjustment for previous period</vt:lpstr>
      <vt:lpstr>Actual RAB roll forward</vt:lpstr>
      <vt:lpstr>Total actual RAB roll forward</vt:lpstr>
      <vt:lpstr>Tax value roll forward</vt:lpstr>
      <vt:lpstr>Asset lives roll forward</vt:lpstr>
      <vt:lpstr>Output summary</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'Asset lives roll forward'!Print_Area</vt:lpstr>
      <vt:lpstr>Input!Print_Area</vt:lpstr>
      <vt:lpstr>Intro!Print_Area</vt:lpstr>
      <vt:lpstr>'Output summary'!Print_Area</vt:lpstr>
      <vt:lpstr>'Tax value roll forward'!Print_Area</vt:lpstr>
      <vt:lpstr>'Total actual RAB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npere</cp:lastModifiedBy>
  <cp:lastPrinted>2013-01-08T22:46:26Z</cp:lastPrinted>
  <dcterms:created xsi:type="dcterms:W3CDTF">2000-02-13T23:07:37Z</dcterms:created>
  <dcterms:modified xsi:type="dcterms:W3CDTF">2013-03-15T05:03:01Z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ý</vt:lpwstr>
  </property>
</Properties>
</file>