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then\appdata\roaming\imanage\work\recent\aer213040 - metering - standardised models and development work\"/>
    </mc:Choice>
  </mc:AlternateContent>
  <xr:revisionPtr revIDLastSave="0" documentId="13_ncr:1_{80AFD111-C086-4AA2-BE08-12D3C2D479F1}" xr6:coauthVersionLast="46" xr6:coauthVersionMax="46" xr10:uidLastSave="{00000000-0000-0000-0000-000000000000}"/>
  <bookViews>
    <workbookView xWindow="-110" yWindow="-110" windowWidth="19420" windowHeight="10420" tabRatio="810" xr2:uid="{27489D03-788A-4121-BBE6-2C1A5EEF2166}"/>
  </bookViews>
  <sheets>
    <sheet name="Title Page" sheetId="16" r:id="rId1"/>
    <sheet name="Input|General" sheetId="10" r:id="rId2"/>
    <sheet name="Input| Historical Inflation" sheetId="11" r:id="rId3"/>
    <sheet name="Input| Prices" sheetId="9" r:id="rId4"/>
    <sheet name="Opex Specific &gt;" sheetId="4" r:id="rId5"/>
    <sheet name="Input | Meter-Opex BST" sheetId="7" r:id="rId6"/>
    <sheet name="Calc | Opex" sheetId="22" r:id="rId7"/>
    <sheet name="Capex Specific &gt;" sheetId="3" r:id="rId8"/>
    <sheet name="Input | Meters Vols &amp; Costs" sheetId="14" r:id="rId9"/>
    <sheet name="Input | Comms &amp; IT" sheetId="15" r:id="rId10"/>
    <sheet name="Calc | Capex Meters" sheetId="25" r:id="rId11"/>
    <sheet name="Calculations &gt;" sheetId="24" r:id="rId12"/>
    <sheet name="Calc | Meters Detail" sheetId="23" r:id="rId13"/>
    <sheet name="Calc | Capex Comms &amp; IT" sheetId="26" r:id="rId14"/>
    <sheet name="Outputs" sheetId="19" r:id="rId15"/>
    <sheet name="Output | PTRM" sheetId="21" r:id="rId16"/>
    <sheet name="Output | RFM" sheetId="29" r:id="rId17"/>
    <sheet name="Lookup|Tables" sheetId="13" r:id="rId18"/>
  </sheets>
  <externalReferences>
    <externalReference r:id="rId19"/>
  </externalReferences>
  <definedNames>
    <definedName name="_xlnm._FilterDatabase" localSheetId="2">'Input| Historical Inflation'!$F$1:$F$52</definedName>
    <definedName name="_xlnm._FilterDatabase" localSheetId="1">'Input|General'!$I$7:$I$36</definedName>
    <definedName name="_Order1" hidden="1">0</definedName>
    <definedName name="AAA" hidden="1">'[1]FNC Department'!#REF!</definedName>
    <definedName name="Basis_Capex">'Input|General'!$K$31</definedName>
    <definedName name="Basis_CapexEY">'Input|General'!$I$31</definedName>
    <definedName name="Basis_OpexForecast">'Input|General'!$K$30</definedName>
    <definedName name="Basis_OpexForecastEY">'Input|General'!$I$30</definedName>
    <definedName name="Basis_OpexHist">'Input|General'!$K$29</definedName>
    <definedName name="Basis_OpexHistEY">'Input|General'!$I$29</definedName>
    <definedName name="Basis_Ptrm">'Input|General'!$K$33</definedName>
    <definedName name="Basis_PtrmEY">'Input|General'!$I$33</definedName>
    <definedName name="Basis_Rfm">'Input|General'!$K$35</definedName>
    <definedName name="Basis_RfmEY">'Input|General'!$I$35</definedName>
    <definedName name="Capex_BaseYear">'Input|General'!$K$19</definedName>
    <definedName name="dollars">'Lookup|Tables'!$G$10</definedName>
    <definedName name="factor">'Lookup|Tables'!$G$17</definedName>
    <definedName name="FPFirstYear">'Input|General'!$I$23</definedName>
    <definedName name="FPLastYear">'Input|General'!$I$24</definedName>
    <definedName name="ICC_Action">'Input | Comms &amp; IT'!$E$28:$E$37</definedName>
    <definedName name="ICC_ActionAlloc">'Input | Comms &amp; IT'!$F$45:$F$64</definedName>
    <definedName name="ICC_AllocFields">'Input | Comms &amp; IT'!$E$45:$F$64</definedName>
    <definedName name="ICC_Calc_Actions">'Input | Comms &amp; IT'!$K$142:$P$161</definedName>
    <definedName name="ICC_Calc_Equip">'Calc | Capex Comms &amp; IT'!$J$12:$Q$31</definedName>
    <definedName name="ICC_Calc_Install">'Calc | Capex Comms &amp; IT'!$J$36:$Q$55</definedName>
    <definedName name="ICC_Calc_Overheads">'Calc | Capex Comms &amp; IT'!$J$60:$Q$79</definedName>
    <definedName name="ICC_Calc_PopImpact">'Input | Comms &amp; IT'!$H$28:$H$37</definedName>
    <definedName name="ICC_EquipType">'Input | Comms &amp; IT'!$E$11:$E$25</definedName>
    <definedName name="ICC_EquipTypeAlloc">'Input | Comms &amp; IT'!$E$45:$E$64</definedName>
    <definedName name="ICC_InitPop">'Input | Comms &amp; IT'!$G$97:$G$111</definedName>
    <definedName name="ICC_OverheadsRate">'Input | Comms &amp; IT'!$M$45:$M$64</definedName>
    <definedName name="ICC_ProjectComCost">'Input | Comms &amp; IT'!$J$69:$Q$78</definedName>
    <definedName name="ICC_ProjectComOH">'Input | Comms &amp; IT'!$R$69:$R$78</definedName>
    <definedName name="ICC_ProjectComSCS">'Input | Comms &amp; IT'!$F$69:$F$78</definedName>
    <definedName name="ICC_ProjectITCost">'Input | Comms &amp; IT'!$J$82:$Q$91</definedName>
    <definedName name="ICC_ProjectITOH">'Input | Comms &amp; IT'!$R$82:$R$91</definedName>
    <definedName name="ICC_ProjectITSCS">'Input | Comms &amp; IT'!$F$82:$F$91</definedName>
    <definedName name="ICC_ScsAlloc">'Input | Comms &amp; IT'!$L$45:$L$64</definedName>
    <definedName name="ICC_Vol">'Input | Comms &amp; IT'!$J$142:$P$161</definedName>
    <definedName name="ICC_VolBasis">'Input | Comms &amp; IT'!$G$14:$G$25</definedName>
    <definedName name="ICM_AddMetReq">'Input | Meters Vols &amp; Costs'!$O$430:$U$444</definedName>
    <definedName name="ICM_D_TC1">'Calc | Meters Detail'!$O$467:$U$481</definedName>
    <definedName name="ICM_D_TC10">'Calc | Meters Detail'!$O$647:$U$661</definedName>
    <definedName name="ICM_D_TC2">'Calc | Meters Detail'!$O$487:$U$501</definedName>
    <definedName name="ICM_D_TC3">'Calc | Meters Detail'!$O$507:$U$521</definedName>
    <definedName name="ICM_D_TC4">'Calc | Meters Detail'!$O$527:$U$541</definedName>
    <definedName name="ICM_D_TC5">'Calc | Meters Detail'!$O$547:$U$561</definedName>
    <definedName name="ICM_D_TC6">'Calc | Meters Detail'!$O$567:$U$581</definedName>
    <definedName name="ICM_D_TC7">'Calc | Meters Detail'!$O$587:$U$601</definedName>
    <definedName name="ICM_D_TC8">'Calc | Meters Detail'!$O$607:$U$621</definedName>
    <definedName name="ICM_D_TC9">'Calc | Meters Detail'!$O$627:$U$641</definedName>
    <definedName name="ICM_Hrs">'Input | Meters Vols &amp; Costs'!$P$83:$Y$97</definedName>
    <definedName name="ICM_ImpactPop">'Input | Meters Vols &amp; Costs'!$P$29:$P$38</definedName>
    <definedName name="ICM_LabourCost">'Input | Meters Vols &amp; Costs'!$P$103:$Y$117</definedName>
    <definedName name="ICM_Rates">'Input | Meters Vols &amp; Costs'!$P$76:$P$76</definedName>
    <definedName name="ICM_UnitCost">'Input | Meters Vols &amp; Costs'!$P$125:$P$139</definedName>
    <definedName name="ICM_UnitCostSign">'Input | Meters Vols &amp; Costs'!$Q$29:$Q$38</definedName>
    <definedName name="ICM_Vol1">'Input | Meters Vols &amp; Costs'!$O$169:$U$183</definedName>
    <definedName name="ICM_Vol10">'Input | Meters Vols &amp; Costs'!$O$349:$U$363</definedName>
    <definedName name="ICM_Vol2">'Input | Meters Vols &amp; Costs'!$O$189:$U$203</definedName>
    <definedName name="ICM_Vol3">'Input | Meters Vols &amp; Costs'!$O$209:$U$223</definedName>
    <definedName name="ICM_Vol4">'Input | Meters Vols &amp; Costs'!$O$229:$U$243</definedName>
    <definedName name="ICM_Vol5">'Input | Meters Vols &amp; Costs'!$O$249:$U$263</definedName>
    <definedName name="ICM_Vol6">'Input | Meters Vols &amp; Costs'!$O$269:$U$283</definedName>
    <definedName name="ICM_Vol7">'Input | Meters Vols &amp; Costs'!$O$289:$U$303</definedName>
    <definedName name="ICM_Vol8">'Input | Meters Vols &amp; Costs'!$O$309:$U$323</definedName>
    <definedName name="ICM_Vol9">'Input | Meters Vols &amp; Costs'!$O$329:$U$343</definedName>
    <definedName name="LUT_Basis">'Lookup|Tables'!$H$41:$H$61</definedName>
    <definedName name="LUT_Dollars">'Lookup|Tables'!$G$10:$G$12</definedName>
    <definedName name="millions">'Lookup|Tables'!$G$12</definedName>
    <definedName name="NSP">'Input|General'!$I$8</definedName>
    <definedName name="number">'Lookup|Tables'!$G$16</definedName>
    <definedName name="Opex_BaseYear">'Input|General'!$K$18</definedName>
    <definedName name="percent" localSheetId="17">'Lookup|Tables'!$G$14</definedName>
    <definedName name="PPFirstYear">'Input|General'!$I$12</definedName>
    <definedName name="PPLastYear">'Input|General'!$I$13</definedName>
    <definedName name="thousands">'Lookup|Tables'!$G$11</definedName>
    <definedName name="unit">'Lookup|Tables'!$G$15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9" l="1"/>
  <c r="B3" i="10" a="1"/>
  <c r="B3" i="10" s="1"/>
  <c r="B2" i="11" a="1"/>
  <c r="B2" i="11" s="1"/>
  <c r="E34" i="10"/>
  <c r="A113" i="15" l="1"/>
  <c r="A93" i="15"/>
  <c r="A39" i="15"/>
  <c r="A6" i="15"/>
  <c r="A141" i="14"/>
  <c r="A120" i="14"/>
  <c r="A71" i="14"/>
  <c r="A41" i="14"/>
  <c r="A25" i="14"/>
  <c r="V223" i="14" l="1"/>
  <c r="V222" i="14"/>
  <c r="V221" i="14"/>
  <c r="V220" i="14"/>
  <c r="V219" i="14"/>
  <c r="V218" i="14"/>
  <c r="V217" i="14"/>
  <c r="V216" i="14"/>
  <c r="V215" i="14"/>
  <c r="V214" i="14"/>
  <c r="V213" i="14"/>
  <c r="V212" i="14"/>
  <c r="V211" i="14"/>
  <c r="V210" i="14"/>
  <c r="V204" i="14"/>
  <c r="V203" i="14"/>
  <c r="V202" i="14"/>
  <c r="V201" i="14"/>
  <c r="V200" i="14"/>
  <c r="V199" i="14"/>
  <c r="V198" i="14"/>
  <c r="V197" i="14"/>
  <c r="V196" i="14"/>
  <c r="V195" i="14"/>
  <c r="V194" i="14"/>
  <c r="V193" i="14"/>
  <c r="V192" i="14"/>
  <c r="V191" i="14"/>
  <c r="V190" i="14"/>
  <c r="V189" i="14"/>
  <c r="V170" i="14"/>
  <c r="V171" i="14"/>
  <c r="V172" i="14"/>
  <c r="V173" i="14"/>
  <c r="V174" i="14"/>
  <c r="V175" i="14"/>
  <c r="V176" i="14"/>
  <c r="V177" i="14"/>
  <c r="V178" i="14"/>
  <c r="V179" i="14"/>
  <c r="V180" i="14"/>
  <c r="V181" i="14"/>
  <c r="V182" i="14"/>
  <c r="V183" i="14"/>
  <c r="V184" i="14"/>
  <c r="V169" i="14"/>
  <c r="Q30" i="14" a="1"/>
  <c r="Q30" i="14" s="1"/>
  <c r="Q31" i="14" a="1"/>
  <c r="Q31" i="14" s="1"/>
  <c r="Q32" i="14" a="1"/>
  <c r="Q32" i="14" s="1"/>
  <c r="Q33" i="14" a="1"/>
  <c r="Q33" i="14" s="1"/>
  <c r="Q34" i="14" a="1"/>
  <c r="Q34" i="14" s="1"/>
  <c r="Q35" i="14" a="1"/>
  <c r="Q35" i="14" s="1"/>
  <c r="Q36" i="14" a="1"/>
  <c r="Q36" i="14" s="1"/>
  <c r="Q37" i="14" a="1"/>
  <c r="Q37" i="14" s="1"/>
  <c r="Q38" i="14" a="1"/>
  <c r="Q38" i="14" s="1"/>
  <c r="Q29" i="14" a="1"/>
  <c r="Q29" i="14" s="1"/>
  <c r="P32" i="14" a="1"/>
  <c r="P32" i="14" s="1"/>
  <c r="P31" i="14" a="1"/>
  <c r="P31" i="14" s="1"/>
  <c r="P30" i="14" a="1"/>
  <c r="P30" i="14" s="1"/>
  <c r="P29" i="14" a="1"/>
  <c r="P29" i="14" s="1"/>
  <c r="P34" i="14" a="1"/>
  <c r="P34" i="14" s="1"/>
  <c r="P35" i="14" a="1"/>
  <c r="P35" i="14" s="1"/>
  <c r="P36" i="14" a="1"/>
  <c r="P36" i="14" s="1"/>
  <c r="P37" i="14" a="1"/>
  <c r="P37" i="14" s="1"/>
  <c r="P38" i="14" a="1"/>
  <c r="P38" i="14" s="1"/>
  <c r="P33" i="14" a="1"/>
  <c r="P33" i="14" s="1"/>
  <c r="H117" i="15"/>
  <c r="Q31" i="7" l="1"/>
  <c r="R31" i="7" s="1"/>
  <c r="S31" i="7" s="1"/>
  <c r="T31" i="7" s="1"/>
  <c r="U31" i="7" s="1"/>
  <c r="V31" i="7" s="1"/>
  <c r="K213" i="23" l="1" a="1"/>
  <c r="K213" i="23" s="1"/>
  <c r="J213" i="23" a="1"/>
  <c r="J213" i="23" s="1"/>
  <c r="I213" i="23" a="1"/>
  <c r="I213" i="23" s="1"/>
  <c r="H213" i="23" a="1"/>
  <c r="H213" i="23" s="1"/>
  <c r="G213" i="23" a="1"/>
  <c r="G213" i="23" s="1"/>
  <c r="F213" i="23" a="1"/>
  <c r="F213" i="23" s="1"/>
  <c r="K212" i="23"/>
  <c r="J212" i="23"/>
  <c r="I212" i="23"/>
  <c r="H212" i="23"/>
  <c r="G212" i="23"/>
  <c r="F212" i="23"/>
  <c r="K94" i="26" a="1"/>
  <c r="K94" i="26" s="1"/>
  <c r="L94" i="26" a="1"/>
  <c r="L94" i="26" s="1"/>
  <c r="M94" i="26" a="1"/>
  <c r="M94" i="26" s="1"/>
  <c r="N94" i="26" a="1"/>
  <c r="N94" i="26" s="1"/>
  <c r="O94" i="26" a="1"/>
  <c r="O94" i="26" s="1"/>
  <c r="P94" i="26" a="1"/>
  <c r="P94" i="26" s="1"/>
  <c r="Q94" i="26" a="1"/>
  <c r="Q94" i="26" s="1"/>
  <c r="J94" i="26" a="1"/>
  <c r="J94" i="26" s="1"/>
  <c r="K114" i="26"/>
  <c r="K115" i="26"/>
  <c r="K109" i="26" a="1"/>
  <c r="K109" i="26" s="1"/>
  <c r="K111" i="26" s="1"/>
  <c r="K126" i="26" s="1"/>
  <c r="K110" i="26" a="1"/>
  <c r="K110" i="26" s="1"/>
  <c r="F430" i="14" a="1"/>
  <c r="F430" i="14" s="1"/>
  <c r="K430" i="14" a="1"/>
  <c r="K430" i="14" s="1"/>
  <c r="J430" i="14" a="1"/>
  <c r="J430" i="14" s="1"/>
  <c r="I430" i="14" a="1"/>
  <c r="I430" i="14" s="1"/>
  <c r="H430" i="14" a="1"/>
  <c r="H430" i="14" s="1"/>
  <c r="G430" i="14" a="1"/>
  <c r="G430" i="14" s="1"/>
  <c r="K429" i="14"/>
  <c r="J429" i="14"/>
  <c r="I429" i="14"/>
  <c r="H429" i="14"/>
  <c r="G429" i="14"/>
  <c r="F429" i="14"/>
  <c r="F39" i="9"/>
  <c r="K444" i="23" a="1"/>
  <c r="K444" i="23" s="1"/>
  <c r="J444" i="23" a="1"/>
  <c r="J444" i="23" s="1"/>
  <c r="I444" i="23" a="1"/>
  <c r="I444" i="23" s="1"/>
  <c r="H444" i="23" a="1"/>
  <c r="H444" i="23" s="1"/>
  <c r="G444" i="23" a="1"/>
  <c r="G444" i="23" s="1"/>
  <c r="F444" i="23" a="1"/>
  <c r="F444" i="23" s="1"/>
  <c r="K443" i="23"/>
  <c r="J443" i="23"/>
  <c r="I443" i="23"/>
  <c r="H443" i="23"/>
  <c r="G443" i="23"/>
  <c r="F443" i="23"/>
  <c r="L445" i="14"/>
  <c r="L444" i="14"/>
  <c r="L443" i="14"/>
  <c r="L442" i="14"/>
  <c r="L441" i="14"/>
  <c r="L440" i="14"/>
  <c r="L439" i="14"/>
  <c r="L438" i="14"/>
  <c r="L437" i="14"/>
  <c r="L436" i="14"/>
  <c r="L435" i="14"/>
  <c r="L434" i="14"/>
  <c r="L433" i="14"/>
  <c r="L432" i="14"/>
  <c r="L431" i="14"/>
  <c r="K116" i="26" l="1"/>
  <c r="C12" i="9"/>
  <c r="K35" i="10"/>
  <c r="K29" i="10"/>
  <c r="E40" i="9"/>
  <c r="D40" i="9"/>
  <c r="D39" i="9"/>
  <c r="E39" i="9"/>
  <c r="E38" i="9"/>
  <c r="D38" i="9"/>
  <c r="E37" i="9"/>
  <c r="D37" i="9"/>
  <c r="U33" i="10"/>
  <c r="U31" i="10"/>
  <c r="U30" i="10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P24" i="22" l="1"/>
  <c r="P25" i="22"/>
  <c r="Q25" i="22"/>
  <c r="R25" i="22"/>
  <c r="S25" i="22"/>
  <c r="T25" i="22"/>
  <c r="U25" i="22"/>
  <c r="V25" i="22"/>
  <c r="Q24" i="22"/>
  <c r="R24" i="22"/>
  <c r="S24" i="22"/>
  <c r="T24" i="22"/>
  <c r="U24" i="22"/>
  <c r="V24" i="22"/>
  <c r="F32" i="22"/>
  <c r="K48" i="9" l="1"/>
  <c r="L48" i="9"/>
  <c r="M48" i="9"/>
  <c r="N48" i="9"/>
  <c r="O48" i="9"/>
  <c r="P48" i="9"/>
  <c r="G17" i="7"/>
  <c r="G38" i="29" l="1"/>
  <c r="H38" i="29"/>
  <c r="I38" i="29"/>
  <c r="J38" i="29"/>
  <c r="K38" i="29"/>
  <c r="O424" i="23" l="1" a="1"/>
  <c r="O424" i="23" s="1"/>
  <c r="O404" i="23" a="1"/>
  <c r="O404" i="23" s="1"/>
  <c r="O384" i="23" a="1"/>
  <c r="O384" i="23" s="1"/>
  <c r="O364" i="23" a="1"/>
  <c r="O364" i="23" s="1"/>
  <c r="O344" i="23" a="1"/>
  <c r="O344" i="23" s="1"/>
  <c r="O324" i="23" a="1"/>
  <c r="O324" i="23" s="1"/>
  <c r="O264" i="23" a="1"/>
  <c r="O264" i="23" s="1"/>
  <c r="L424" i="14"/>
  <c r="L423" i="14"/>
  <c r="L422" i="14"/>
  <c r="L421" i="14"/>
  <c r="L420" i="14"/>
  <c r="L419" i="14"/>
  <c r="L418" i="14"/>
  <c r="L417" i="14"/>
  <c r="L416" i="14"/>
  <c r="L415" i="14"/>
  <c r="L414" i="14"/>
  <c r="L413" i="14"/>
  <c r="L412" i="14"/>
  <c r="L411" i="14"/>
  <c r="L410" i="14"/>
  <c r="L404" i="14"/>
  <c r="L403" i="14"/>
  <c r="L402" i="14"/>
  <c r="L401" i="14"/>
  <c r="L400" i="14"/>
  <c r="L399" i="14"/>
  <c r="L398" i="14"/>
  <c r="L397" i="14"/>
  <c r="L396" i="14"/>
  <c r="L395" i="14"/>
  <c r="L394" i="14"/>
  <c r="L393" i="14"/>
  <c r="L392" i="14"/>
  <c r="L391" i="14"/>
  <c r="L390" i="14"/>
  <c r="L384" i="14"/>
  <c r="L67" i="14"/>
  <c r="L68" i="14"/>
  <c r="L66" i="14"/>
  <c r="L61" i="14"/>
  <c r="L62" i="14"/>
  <c r="L60" i="14"/>
  <c r="L55" i="14"/>
  <c r="H38" i="21"/>
  <c r="I38" i="21"/>
  <c r="J38" i="21"/>
  <c r="K38" i="21"/>
  <c r="G38" i="21"/>
  <c r="U68" i="14"/>
  <c r="T68" i="14"/>
  <c r="S68" i="14"/>
  <c r="R68" i="14"/>
  <c r="Q68" i="14"/>
  <c r="R62" i="14"/>
  <c r="S62" i="14"/>
  <c r="T62" i="14"/>
  <c r="U62" i="14"/>
  <c r="Q62" i="14"/>
  <c r="O50" i="14"/>
  <c r="P50" i="14"/>
  <c r="O244" i="23" l="1" a="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14" i="11"/>
  <c r="O244" i="23" l="1"/>
  <c r="B2" i="22" a="1"/>
  <c r="B2" i="22" s="1"/>
  <c r="B2" i="29" a="1"/>
  <c r="B2" i="29" s="1"/>
  <c r="B2" i="21" a="1"/>
  <c r="B2" i="21" s="1"/>
  <c r="B2" i="15" a="1"/>
  <c r="B2" i="15" s="1"/>
  <c r="B2" i="14" a="1"/>
  <c r="B2" i="14" s="1"/>
  <c r="B2" i="9" a="1"/>
  <c r="B2" i="9" s="1"/>
  <c r="B1" i="29" l="1"/>
  <c r="B1" i="21"/>
  <c r="B1" i="22"/>
  <c r="B1" i="15"/>
  <c r="B1" i="11"/>
  <c r="B1" i="9"/>
  <c r="B1" i="14"/>
  <c r="I15" i="10"/>
  <c r="I10" i="9"/>
  <c r="J13" i="26" l="1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12" i="26"/>
  <c r="F52" i="25"/>
  <c r="G52" i="25"/>
  <c r="H52" i="25"/>
  <c r="I52" i="25"/>
  <c r="J52" i="25"/>
  <c r="K52" i="25"/>
  <c r="F53" i="25" a="1"/>
  <c r="F53" i="25" s="1"/>
  <c r="G53" i="25" a="1"/>
  <c r="G53" i="25" s="1"/>
  <c r="H53" i="25" a="1"/>
  <c r="H53" i="25" s="1"/>
  <c r="I53" i="25" a="1"/>
  <c r="I53" i="25" s="1"/>
  <c r="J53" i="25" a="1"/>
  <c r="J53" i="25" s="1"/>
  <c r="K53" i="25" a="1"/>
  <c r="K53" i="25" s="1"/>
  <c r="I50" i="9" l="1"/>
  <c r="U35" i="10" l="1"/>
  <c r="U29" i="10"/>
  <c r="H49" i="9"/>
  <c r="J48" i="9"/>
  <c r="J36" i="26"/>
  <c r="J60" i="26" s="1"/>
  <c r="J37" i="26"/>
  <c r="J61" i="26" s="1"/>
  <c r="J38" i="26"/>
  <c r="J62" i="26" s="1"/>
  <c r="J39" i="26"/>
  <c r="J63" i="26" s="1"/>
  <c r="J40" i="26"/>
  <c r="J64" i="26" s="1"/>
  <c r="J41" i="26"/>
  <c r="J65" i="26" s="1"/>
  <c r="J42" i="26"/>
  <c r="J66" i="26" s="1"/>
  <c r="J43" i="26"/>
  <c r="J67" i="26" s="1"/>
  <c r="J44" i="26"/>
  <c r="J68" i="26" s="1"/>
  <c r="J45" i="26"/>
  <c r="J69" i="26" s="1"/>
  <c r="J46" i="26"/>
  <c r="J70" i="26" s="1"/>
  <c r="J47" i="26"/>
  <c r="J71" i="26" s="1"/>
  <c r="J48" i="26"/>
  <c r="J72" i="26" s="1"/>
  <c r="J49" i="26"/>
  <c r="J73" i="26" s="1"/>
  <c r="J50" i="26"/>
  <c r="J74" i="26" s="1"/>
  <c r="J51" i="26"/>
  <c r="J75" i="26" s="1"/>
  <c r="J52" i="26"/>
  <c r="J76" i="26" s="1"/>
  <c r="J53" i="26"/>
  <c r="J77" i="26" s="1"/>
  <c r="J54" i="26"/>
  <c r="J78" i="26" s="1"/>
  <c r="J55" i="26"/>
  <c r="J79" i="26" s="1"/>
  <c r="J101" i="26"/>
  <c r="J109" i="26" a="1"/>
  <c r="J109" i="26" s="1"/>
  <c r="J110" i="26" a="1"/>
  <c r="J110" i="26" s="1"/>
  <c r="J114" i="26"/>
  <c r="J115" i="26"/>
  <c r="K101" i="26"/>
  <c r="L101" i="26"/>
  <c r="M101" i="26"/>
  <c r="N101" i="26"/>
  <c r="O101" i="26"/>
  <c r="P101" i="26"/>
  <c r="Q101" i="26"/>
  <c r="P82" i="14" a="1"/>
  <c r="P103" i="14" a="1"/>
  <c r="P103" i="14" s="1"/>
  <c r="I14" i="10"/>
  <c r="I13" i="10"/>
  <c r="F22" i="9" l="1"/>
  <c r="F21" i="9"/>
  <c r="G68" i="13"/>
  <c r="G67" i="13" s="1"/>
  <c r="G66" i="13" s="1"/>
  <c r="D81" i="13"/>
  <c r="D80" i="13" s="1"/>
  <c r="D79" i="13" s="1"/>
  <c r="D78" i="13" s="1"/>
  <c r="J80" i="26"/>
  <c r="J111" i="26"/>
  <c r="J116" i="26"/>
  <c r="J102" i="26"/>
  <c r="J95" i="26" a="1"/>
  <c r="J95" i="26" s="1"/>
  <c r="I24" i="10"/>
  <c r="I23" i="10"/>
  <c r="K18" i="10"/>
  <c r="K19" i="10"/>
  <c r="K31" i="10"/>
  <c r="K30" i="10"/>
  <c r="K33" i="10"/>
  <c r="K34" i="10" s="1"/>
  <c r="J50" i="9"/>
  <c r="I9" i="9"/>
  <c r="P82" i="14"/>
  <c r="Y102" i="14"/>
  <c r="J126" i="26"/>
  <c r="J99" i="26"/>
  <c r="J92" i="26" a="1"/>
  <c r="J92" i="26" s="1"/>
  <c r="J93" i="26" a="1"/>
  <c r="J93" i="26" s="1"/>
  <c r="J56" i="26"/>
  <c r="J100" i="26"/>
  <c r="J32" i="26"/>
  <c r="V102" i="14"/>
  <c r="Q102" i="14"/>
  <c r="W102" i="14"/>
  <c r="S102" i="14"/>
  <c r="X102" i="14"/>
  <c r="R102" i="14"/>
  <c r="U102" i="14"/>
  <c r="T102" i="14"/>
  <c r="K64" i="14"/>
  <c r="K58" i="14"/>
  <c r="V67" i="14"/>
  <c r="V66" i="14"/>
  <c r="V65" i="14"/>
  <c r="V61" i="14"/>
  <c r="V60" i="14"/>
  <c r="V59" i="14"/>
  <c r="M228" i="23" l="1"/>
  <c r="M227" i="23"/>
  <c r="M226" i="23"/>
  <c r="M225" i="23"/>
  <c r="M224" i="23"/>
  <c r="M213" i="23"/>
  <c r="M223" i="23"/>
  <c r="M222" i="23"/>
  <c r="M214" i="23"/>
  <c r="M221" i="23"/>
  <c r="M220" i="23"/>
  <c r="M219" i="23"/>
  <c r="M218" i="23"/>
  <c r="M217" i="23"/>
  <c r="M216" i="23"/>
  <c r="M215" i="23"/>
  <c r="R4" i="22"/>
  <c r="S4" i="22" s="1"/>
  <c r="T4" i="22" s="1"/>
  <c r="U4" i="22" s="1"/>
  <c r="V4" i="22" s="1"/>
  <c r="M455" i="23"/>
  <c r="M449" i="23"/>
  <c r="M448" i="23"/>
  <c r="M456" i="23"/>
  <c r="M454" i="23"/>
  <c r="M459" i="23"/>
  <c r="M453" i="23"/>
  <c r="M447" i="23"/>
  <c r="M457" i="23"/>
  <c r="M445" i="23"/>
  <c r="M450" i="23"/>
  <c r="M444" i="23"/>
  <c r="M458" i="23"/>
  <c r="M452" i="23"/>
  <c r="M446" i="23"/>
  <c r="M451" i="23"/>
  <c r="U18" i="10"/>
  <c r="M146" i="14"/>
  <c r="U19" i="10"/>
  <c r="P102" i="14"/>
  <c r="E39" i="21"/>
  <c r="E31" i="21"/>
  <c r="E36" i="21"/>
  <c r="E35" i="21"/>
  <c r="E38" i="21"/>
  <c r="E30" i="21"/>
  <c r="E28" i="21"/>
  <c r="E37" i="21"/>
  <c r="E29" i="21"/>
  <c r="E27" i="21"/>
  <c r="J103" i="26"/>
  <c r="J96" i="26"/>
  <c r="J125" i="26" s="1"/>
  <c r="J127" i="26" s="1"/>
  <c r="D10" i="11"/>
  <c r="E10" i="11"/>
  <c r="D11" i="11"/>
  <c r="E11" i="11"/>
  <c r="D12" i="11"/>
  <c r="E12" i="11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17" i="15"/>
  <c r="G96" i="15"/>
  <c r="O244" i="14"/>
  <c r="O364" i="14"/>
  <c r="O344" i="14"/>
  <c r="O324" i="14"/>
  <c r="O304" i="14"/>
  <c r="O284" i="14"/>
  <c r="O264" i="14"/>
  <c r="O224" i="14"/>
  <c r="O204" i="14"/>
  <c r="P204" i="14"/>
  <c r="O184" i="14"/>
  <c r="Q4" i="22" l="1"/>
  <c r="P4" i="22" s="1"/>
  <c r="O4" i="22" s="1"/>
  <c r="N4" i="22" s="1"/>
  <c r="M4" i="22" s="1"/>
  <c r="L4" i="22" s="1"/>
  <c r="H17" i="7"/>
  <c r="E38" i="29"/>
  <c r="E29" i="29"/>
  <c r="E20" i="29"/>
  <c r="E11" i="29"/>
  <c r="E37" i="29"/>
  <c r="E28" i="29"/>
  <c r="E19" i="29"/>
  <c r="E36" i="29"/>
  <c r="E27" i="29"/>
  <c r="E15" i="29"/>
  <c r="E35" i="29"/>
  <c r="E23" i="29"/>
  <c r="E14" i="29"/>
  <c r="E31" i="29"/>
  <c r="E22" i="29"/>
  <c r="E13" i="29"/>
  <c r="E39" i="29"/>
  <c r="E30" i="29"/>
  <c r="E21" i="29"/>
  <c r="E12" i="29"/>
  <c r="J105" i="26"/>
  <c r="J35" i="22"/>
  <c r="E19" i="21" l="1"/>
  <c r="E23" i="21"/>
  <c r="E22" i="21"/>
  <c r="E21" i="21"/>
  <c r="E20" i="21"/>
  <c r="M55" i="14"/>
  <c r="M57" i="25"/>
  <c r="M63" i="25"/>
  <c r="M68" i="25"/>
  <c r="M58" i="25"/>
  <c r="M53" i="25"/>
  <c r="M59" i="25"/>
  <c r="M65" i="25"/>
  <c r="M60" i="25"/>
  <c r="M55" i="25"/>
  <c r="M61" i="25"/>
  <c r="M67" i="25"/>
  <c r="M56" i="25"/>
  <c r="M62" i="25"/>
  <c r="M64" i="25"/>
  <c r="M54" i="25"/>
  <c r="M66" i="25"/>
  <c r="M62" i="14"/>
  <c r="M60" i="14"/>
  <c r="M68" i="14"/>
  <c r="M66" i="14"/>
  <c r="M61" i="14"/>
  <c r="M59" i="14"/>
  <c r="M67" i="14"/>
  <c r="M65" i="14"/>
  <c r="M145" i="14" l="1"/>
  <c r="R42" i="7" l="1"/>
  <c r="R45" i="7" s="1"/>
  <c r="R32" i="22" s="1"/>
  <c r="S42" i="7"/>
  <c r="S45" i="7" s="1"/>
  <c r="S32" i="22" s="1"/>
  <c r="T42" i="7"/>
  <c r="T45" i="7" s="1"/>
  <c r="T32" i="22" s="1"/>
  <c r="U42" i="7"/>
  <c r="U45" i="7" s="1"/>
  <c r="U32" i="22" s="1"/>
  <c r="V42" i="7"/>
  <c r="V45" i="7" s="1"/>
  <c r="V32" i="22" s="1"/>
  <c r="P42" i="7"/>
  <c r="P45" i="7" s="1"/>
  <c r="P32" i="22" s="1"/>
  <c r="Q42" i="7" l="1"/>
  <c r="Q45" i="7" s="1"/>
  <c r="Q32" i="22" s="1"/>
  <c r="K50" i="9"/>
  <c r="Q17" i="22"/>
  <c r="R17" i="22"/>
  <c r="R52" i="22" s="1"/>
  <c r="S17" i="22"/>
  <c r="S52" i="22" s="1"/>
  <c r="T17" i="22"/>
  <c r="T52" i="22" s="1"/>
  <c r="U17" i="22"/>
  <c r="U52" i="22" s="1"/>
  <c r="V17" i="22"/>
  <c r="V52" i="22" s="1"/>
  <c r="P17" i="22"/>
  <c r="S38" i="14"/>
  <c r="R38" i="14"/>
  <c r="S37" i="14"/>
  <c r="R37" i="14"/>
  <c r="S36" i="14"/>
  <c r="R36" i="14"/>
  <c r="S35" i="14"/>
  <c r="S34" i="14"/>
  <c r="R34" i="14"/>
  <c r="S33" i="14"/>
  <c r="R33" i="14"/>
  <c r="S32" i="14"/>
  <c r="R32" i="14"/>
  <c r="S31" i="14"/>
  <c r="R31" i="14"/>
  <c r="S30" i="14"/>
  <c r="R30" i="14"/>
  <c r="S29" i="14"/>
  <c r="R29" i="14"/>
  <c r="B2" i="26" a="1"/>
  <c r="B2" i="26" s="1"/>
  <c r="B1" i="26"/>
  <c r="Q115" i="26"/>
  <c r="P115" i="26"/>
  <c r="O115" i="26"/>
  <c r="N115" i="26"/>
  <c r="M115" i="26"/>
  <c r="L115" i="26"/>
  <c r="Q114" i="26"/>
  <c r="Q116" i="26" s="1"/>
  <c r="P114" i="26"/>
  <c r="P116" i="26" s="1"/>
  <c r="O114" i="26"/>
  <c r="N114" i="26"/>
  <c r="M114" i="26"/>
  <c r="L114" i="26"/>
  <c r="Q110" i="26" a="1"/>
  <c r="Q110" i="26" s="1"/>
  <c r="P110" i="26" a="1"/>
  <c r="P110" i="26" s="1"/>
  <c r="O110" i="26" a="1"/>
  <c r="O110" i="26" s="1"/>
  <c r="N110" i="26" a="1"/>
  <c r="N110" i="26" s="1"/>
  <c r="M110" i="26" a="1"/>
  <c r="M110" i="26" s="1"/>
  <c r="L110" i="26" a="1"/>
  <c r="L110" i="26" s="1"/>
  <c r="Q109" i="26" a="1"/>
  <c r="Q109" i="26" s="1"/>
  <c r="P109" i="26" a="1"/>
  <c r="P109" i="26" s="1"/>
  <c r="O109" i="26" a="1"/>
  <c r="O109" i="26" s="1"/>
  <c r="N109" i="26" a="1"/>
  <c r="N109" i="26" s="1"/>
  <c r="M109" i="26" a="1"/>
  <c r="M109" i="26" s="1"/>
  <c r="L109" i="26" a="1"/>
  <c r="L109" i="26" s="1"/>
  <c r="E60" i="26" a="1"/>
  <c r="E60" i="26" s="1"/>
  <c r="E36" i="26" a="1"/>
  <c r="E36" i="26" s="1"/>
  <c r="E12" i="26" a="1"/>
  <c r="E12" i="26" s="1"/>
  <c r="B2" i="23" a="1"/>
  <c r="B2" i="23" s="1"/>
  <c r="B1" i="23"/>
  <c r="B2" i="7" a="1"/>
  <c r="B2" i="7" s="1"/>
  <c r="B2" i="25" a="1"/>
  <c r="B2" i="25" s="1"/>
  <c r="B1" i="25"/>
  <c r="K114" i="25" a="1"/>
  <c r="K114" i="25" s="1"/>
  <c r="J114" i="25" a="1"/>
  <c r="J114" i="25" s="1"/>
  <c r="I114" i="25" a="1"/>
  <c r="I114" i="25" s="1"/>
  <c r="H114" i="25" a="1"/>
  <c r="H114" i="25" s="1"/>
  <c r="G114" i="25" a="1"/>
  <c r="G114" i="25" s="1"/>
  <c r="F114" i="25" a="1"/>
  <c r="F114" i="25" s="1"/>
  <c r="K113" i="25"/>
  <c r="J113" i="25"/>
  <c r="I113" i="25"/>
  <c r="H113" i="25"/>
  <c r="G113" i="25"/>
  <c r="F113" i="25"/>
  <c r="K94" i="25" a="1"/>
  <c r="K94" i="25" s="1"/>
  <c r="J94" i="25" a="1"/>
  <c r="J94" i="25" s="1"/>
  <c r="I94" i="25" a="1"/>
  <c r="I94" i="25" s="1"/>
  <c r="H94" i="25" a="1"/>
  <c r="H94" i="25" s="1"/>
  <c r="G94" i="25" a="1"/>
  <c r="G94" i="25" s="1"/>
  <c r="F94" i="25" a="1"/>
  <c r="F94" i="25" s="1"/>
  <c r="K93" i="25"/>
  <c r="J93" i="25"/>
  <c r="I93" i="25"/>
  <c r="H93" i="25"/>
  <c r="G93" i="25"/>
  <c r="F93" i="25"/>
  <c r="K73" i="25" a="1"/>
  <c r="K73" i="25" s="1"/>
  <c r="J73" i="25" a="1"/>
  <c r="J73" i="25" s="1"/>
  <c r="I73" i="25" a="1"/>
  <c r="I73" i="25" s="1"/>
  <c r="H73" i="25" a="1"/>
  <c r="H73" i="25" s="1"/>
  <c r="G73" i="25" a="1"/>
  <c r="G73" i="25" s="1"/>
  <c r="F73" i="25" a="1"/>
  <c r="F73" i="25" s="1"/>
  <c r="K72" i="25"/>
  <c r="J72" i="25"/>
  <c r="I72" i="25"/>
  <c r="H72" i="25"/>
  <c r="G72" i="25"/>
  <c r="F72" i="25"/>
  <c r="K33" i="25" a="1"/>
  <c r="K33" i="25" s="1"/>
  <c r="J33" i="25" a="1"/>
  <c r="J33" i="25" s="1"/>
  <c r="I33" i="25" a="1"/>
  <c r="I33" i="25" s="1"/>
  <c r="H33" i="25" a="1"/>
  <c r="H33" i="25" s="1"/>
  <c r="G33" i="25" a="1"/>
  <c r="G33" i="25" s="1"/>
  <c r="F33" i="25" a="1"/>
  <c r="F33" i="25" s="1"/>
  <c r="K32" i="25"/>
  <c r="J32" i="25"/>
  <c r="I32" i="25"/>
  <c r="H32" i="25"/>
  <c r="G32" i="25"/>
  <c r="F32" i="25"/>
  <c r="K13" i="25" a="1"/>
  <c r="K13" i="25" s="1"/>
  <c r="J13" i="25" a="1"/>
  <c r="J13" i="25" s="1"/>
  <c r="I13" i="25" a="1"/>
  <c r="I13" i="25" s="1"/>
  <c r="H13" i="25" a="1"/>
  <c r="H13" i="25" s="1"/>
  <c r="G13" i="25" a="1"/>
  <c r="G13" i="25" s="1"/>
  <c r="F13" i="25" a="1"/>
  <c r="F13" i="25" s="1"/>
  <c r="K12" i="25"/>
  <c r="J12" i="25"/>
  <c r="I12" i="25"/>
  <c r="H12" i="25"/>
  <c r="G12" i="25"/>
  <c r="F12" i="25"/>
  <c r="K647" i="23" a="1"/>
  <c r="K647" i="23" s="1"/>
  <c r="J647" i="23" a="1"/>
  <c r="J647" i="23" s="1"/>
  <c r="I647" i="23" a="1"/>
  <c r="I647" i="23" s="1"/>
  <c r="H647" i="23" a="1"/>
  <c r="H647" i="23" s="1"/>
  <c r="G647" i="23" a="1"/>
  <c r="G647" i="23" s="1"/>
  <c r="F647" i="23" a="1"/>
  <c r="F647" i="23" s="1"/>
  <c r="K646" i="23"/>
  <c r="J646" i="23"/>
  <c r="I646" i="23"/>
  <c r="H646" i="23"/>
  <c r="G646" i="23"/>
  <c r="F646" i="23"/>
  <c r="E644" i="23"/>
  <c r="K627" i="23" a="1"/>
  <c r="K627" i="23" s="1"/>
  <c r="J627" i="23" a="1"/>
  <c r="J627" i="23" s="1"/>
  <c r="I627" i="23" a="1"/>
  <c r="I627" i="23" s="1"/>
  <c r="H627" i="23" a="1"/>
  <c r="H627" i="23" s="1"/>
  <c r="G627" i="23" a="1"/>
  <c r="G627" i="23" s="1"/>
  <c r="F627" i="23" a="1"/>
  <c r="F627" i="23" s="1"/>
  <c r="K626" i="23"/>
  <c r="J626" i="23"/>
  <c r="I626" i="23"/>
  <c r="H626" i="23"/>
  <c r="G626" i="23"/>
  <c r="F626" i="23"/>
  <c r="E624" i="23"/>
  <c r="K607" i="23" a="1"/>
  <c r="K607" i="23" s="1"/>
  <c r="J607" i="23" a="1"/>
  <c r="J607" i="23" s="1"/>
  <c r="I607" i="23" a="1"/>
  <c r="I607" i="23" s="1"/>
  <c r="H607" i="23" a="1"/>
  <c r="H607" i="23" s="1"/>
  <c r="G607" i="23" a="1"/>
  <c r="G607" i="23" s="1"/>
  <c r="F607" i="23" a="1"/>
  <c r="F607" i="23" s="1"/>
  <c r="K606" i="23"/>
  <c r="J606" i="23"/>
  <c r="I606" i="23"/>
  <c r="H606" i="23"/>
  <c r="G606" i="23"/>
  <c r="F606" i="23"/>
  <c r="E604" i="23"/>
  <c r="K587" i="23" a="1"/>
  <c r="K587" i="23" s="1"/>
  <c r="J587" i="23" a="1"/>
  <c r="J587" i="23" s="1"/>
  <c r="I587" i="23" a="1"/>
  <c r="I587" i="23" s="1"/>
  <c r="H587" i="23" a="1"/>
  <c r="H587" i="23" s="1"/>
  <c r="G587" i="23" a="1"/>
  <c r="G587" i="23" s="1"/>
  <c r="F587" i="23" a="1"/>
  <c r="F587" i="23" s="1"/>
  <c r="K586" i="23"/>
  <c r="J586" i="23"/>
  <c r="I586" i="23"/>
  <c r="H586" i="23"/>
  <c r="G586" i="23"/>
  <c r="F586" i="23"/>
  <c r="E584" i="23"/>
  <c r="K567" i="23" a="1"/>
  <c r="K567" i="23" s="1"/>
  <c r="J567" i="23" a="1"/>
  <c r="J567" i="23" s="1"/>
  <c r="I567" i="23" a="1"/>
  <c r="I567" i="23" s="1"/>
  <c r="H567" i="23" a="1"/>
  <c r="H567" i="23" s="1"/>
  <c r="G567" i="23" a="1"/>
  <c r="G567" i="23" s="1"/>
  <c r="F567" i="23" a="1"/>
  <c r="F567" i="23" s="1"/>
  <c r="K566" i="23"/>
  <c r="J566" i="23"/>
  <c r="I566" i="23"/>
  <c r="H566" i="23"/>
  <c r="G566" i="23"/>
  <c r="F566" i="23"/>
  <c r="E564" i="23"/>
  <c r="K547" i="23" a="1"/>
  <c r="K547" i="23" s="1"/>
  <c r="J547" i="23" a="1"/>
  <c r="J547" i="23" s="1"/>
  <c r="I547" i="23" a="1"/>
  <c r="I547" i="23" s="1"/>
  <c r="H547" i="23" a="1"/>
  <c r="H547" i="23" s="1"/>
  <c r="G547" i="23" a="1"/>
  <c r="G547" i="23" s="1"/>
  <c r="F547" i="23" a="1"/>
  <c r="F547" i="23" s="1"/>
  <c r="K546" i="23"/>
  <c r="J546" i="23"/>
  <c r="I546" i="23"/>
  <c r="H546" i="23"/>
  <c r="G546" i="23"/>
  <c r="F546" i="23"/>
  <c r="E544" i="23"/>
  <c r="K527" i="23" a="1"/>
  <c r="K527" i="23" s="1"/>
  <c r="J527" i="23" a="1"/>
  <c r="J527" i="23" s="1"/>
  <c r="I527" i="23" a="1"/>
  <c r="I527" i="23" s="1"/>
  <c r="H527" i="23" a="1"/>
  <c r="H527" i="23" s="1"/>
  <c r="G527" i="23" a="1"/>
  <c r="G527" i="23" s="1"/>
  <c r="F527" i="23" a="1"/>
  <c r="F527" i="23" s="1"/>
  <c r="K526" i="23"/>
  <c r="J526" i="23"/>
  <c r="I526" i="23"/>
  <c r="H526" i="23"/>
  <c r="G526" i="23"/>
  <c r="F526" i="23"/>
  <c r="E524" i="23"/>
  <c r="K507" i="23" a="1"/>
  <c r="K507" i="23" s="1"/>
  <c r="J507" i="23" a="1"/>
  <c r="J507" i="23" s="1"/>
  <c r="I507" i="23" a="1"/>
  <c r="I507" i="23" s="1"/>
  <c r="H507" i="23" a="1"/>
  <c r="H507" i="23" s="1"/>
  <c r="G507" i="23" a="1"/>
  <c r="G507" i="23" s="1"/>
  <c r="F507" i="23" a="1"/>
  <c r="F507" i="23" s="1"/>
  <c r="K506" i="23"/>
  <c r="J506" i="23"/>
  <c r="I506" i="23"/>
  <c r="H506" i="23"/>
  <c r="G506" i="23"/>
  <c r="F506" i="23"/>
  <c r="E504" i="23"/>
  <c r="K487" i="23" a="1"/>
  <c r="K487" i="23" s="1"/>
  <c r="J487" i="23" a="1"/>
  <c r="J487" i="23" s="1"/>
  <c r="I487" i="23" a="1"/>
  <c r="I487" i="23" s="1"/>
  <c r="H487" i="23" a="1"/>
  <c r="H487" i="23" s="1"/>
  <c r="G487" i="23" a="1"/>
  <c r="G487" i="23" s="1"/>
  <c r="F487" i="23" a="1"/>
  <c r="F487" i="23" s="1"/>
  <c r="K486" i="23"/>
  <c r="J486" i="23"/>
  <c r="I486" i="23"/>
  <c r="H486" i="23"/>
  <c r="G486" i="23"/>
  <c r="F486" i="23"/>
  <c r="E484" i="23"/>
  <c r="K467" i="23" a="1"/>
  <c r="K467" i="23" s="1"/>
  <c r="J467" i="23" a="1"/>
  <c r="J467" i="23" s="1"/>
  <c r="I467" i="23" a="1"/>
  <c r="I467" i="23" s="1"/>
  <c r="H467" i="23" a="1"/>
  <c r="H467" i="23" s="1"/>
  <c r="G467" i="23" a="1"/>
  <c r="G467" i="23" s="1"/>
  <c r="F467" i="23" a="1"/>
  <c r="F467" i="23" s="1"/>
  <c r="K466" i="23"/>
  <c r="J466" i="23"/>
  <c r="I466" i="23"/>
  <c r="H466" i="23"/>
  <c r="G466" i="23"/>
  <c r="F466" i="23"/>
  <c r="E464" i="23"/>
  <c r="K424" i="23" a="1"/>
  <c r="K424" i="23" s="1"/>
  <c r="J424" i="23" a="1"/>
  <c r="J424" i="23" s="1"/>
  <c r="I424" i="23" a="1"/>
  <c r="I424" i="23" s="1"/>
  <c r="H424" i="23" a="1"/>
  <c r="H424" i="23" s="1"/>
  <c r="G424" i="23" a="1"/>
  <c r="G424" i="23" s="1"/>
  <c r="F424" i="23" a="1"/>
  <c r="F424" i="23" s="1"/>
  <c r="K423" i="23"/>
  <c r="J423" i="23"/>
  <c r="I423" i="23"/>
  <c r="H423" i="23"/>
  <c r="G423" i="23"/>
  <c r="F423" i="23"/>
  <c r="E421" i="23"/>
  <c r="K404" i="23" a="1"/>
  <c r="K404" i="23" s="1"/>
  <c r="J404" i="23" a="1"/>
  <c r="J404" i="23" s="1"/>
  <c r="I404" i="23" a="1"/>
  <c r="I404" i="23" s="1"/>
  <c r="H404" i="23" a="1"/>
  <c r="H404" i="23" s="1"/>
  <c r="G404" i="23" a="1"/>
  <c r="G404" i="23" s="1"/>
  <c r="F404" i="23" a="1"/>
  <c r="F404" i="23" s="1"/>
  <c r="K403" i="23"/>
  <c r="J403" i="23"/>
  <c r="I403" i="23"/>
  <c r="H403" i="23"/>
  <c r="G403" i="23"/>
  <c r="F403" i="23"/>
  <c r="E401" i="23"/>
  <c r="K384" i="23" a="1"/>
  <c r="K384" i="23" s="1"/>
  <c r="J384" i="23" a="1"/>
  <c r="J384" i="23" s="1"/>
  <c r="I384" i="23" a="1"/>
  <c r="I384" i="23" s="1"/>
  <c r="H384" i="23" a="1"/>
  <c r="H384" i="23" s="1"/>
  <c r="G384" i="23" a="1"/>
  <c r="G384" i="23" s="1"/>
  <c r="F384" i="23" a="1"/>
  <c r="F384" i="23" s="1"/>
  <c r="K383" i="23"/>
  <c r="J383" i="23"/>
  <c r="I383" i="23"/>
  <c r="H383" i="23"/>
  <c r="G383" i="23"/>
  <c r="F383" i="23"/>
  <c r="E381" i="23"/>
  <c r="K364" i="23" a="1"/>
  <c r="K364" i="23" s="1"/>
  <c r="J364" i="23" a="1"/>
  <c r="J364" i="23" s="1"/>
  <c r="I364" i="23" a="1"/>
  <c r="I364" i="23" s="1"/>
  <c r="H364" i="23" a="1"/>
  <c r="H364" i="23" s="1"/>
  <c r="G364" i="23" a="1"/>
  <c r="G364" i="23" s="1"/>
  <c r="F364" i="23" a="1"/>
  <c r="F364" i="23" s="1"/>
  <c r="K363" i="23"/>
  <c r="J363" i="23"/>
  <c r="I363" i="23"/>
  <c r="H363" i="23"/>
  <c r="G363" i="23"/>
  <c r="F363" i="23"/>
  <c r="E361" i="23"/>
  <c r="K344" i="23" a="1"/>
  <c r="K344" i="23" s="1"/>
  <c r="J344" i="23" a="1"/>
  <c r="J344" i="23" s="1"/>
  <c r="I344" i="23" a="1"/>
  <c r="I344" i="23" s="1"/>
  <c r="H344" i="23" a="1"/>
  <c r="H344" i="23" s="1"/>
  <c r="G344" i="23" a="1"/>
  <c r="G344" i="23" s="1"/>
  <c r="F344" i="23" a="1"/>
  <c r="F344" i="23" s="1"/>
  <c r="K343" i="23"/>
  <c r="J343" i="23"/>
  <c r="I343" i="23"/>
  <c r="H343" i="23"/>
  <c r="G343" i="23"/>
  <c r="F343" i="23"/>
  <c r="E341" i="23"/>
  <c r="K324" i="23" a="1"/>
  <c r="K324" i="23" s="1"/>
  <c r="J324" i="23" a="1"/>
  <c r="J324" i="23" s="1"/>
  <c r="I324" i="23" a="1"/>
  <c r="I324" i="23" s="1"/>
  <c r="H324" i="23" a="1"/>
  <c r="H324" i="23" s="1"/>
  <c r="G324" i="23" a="1"/>
  <c r="G324" i="23" s="1"/>
  <c r="F324" i="23" a="1"/>
  <c r="F324" i="23" s="1"/>
  <c r="K323" i="23"/>
  <c r="J323" i="23"/>
  <c r="I323" i="23"/>
  <c r="H323" i="23"/>
  <c r="G323" i="23"/>
  <c r="F323" i="23"/>
  <c r="E321" i="23"/>
  <c r="K304" i="23" a="1"/>
  <c r="K304" i="23" s="1"/>
  <c r="J304" i="23" a="1"/>
  <c r="J304" i="23" s="1"/>
  <c r="I304" i="23" a="1"/>
  <c r="I304" i="23" s="1"/>
  <c r="H304" i="23" a="1"/>
  <c r="H304" i="23" s="1"/>
  <c r="G304" i="23" a="1"/>
  <c r="G304" i="23" s="1"/>
  <c r="F304" i="23" a="1"/>
  <c r="F304" i="23" s="1"/>
  <c r="K303" i="23"/>
  <c r="J303" i="23"/>
  <c r="I303" i="23"/>
  <c r="H303" i="23"/>
  <c r="G303" i="23"/>
  <c r="F303" i="23"/>
  <c r="E301" i="23"/>
  <c r="K284" i="23" a="1"/>
  <c r="K284" i="23" s="1"/>
  <c r="J284" i="23" a="1"/>
  <c r="J284" i="23" s="1"/>
  <c r="I284" i="23" a="1"/>
  <c r="I284" i="23" s="1"/>
  <c r="H284" i="23" a="1"/>
  <c r="H284" i="23" s="1"/>
  <c r="G284" i="23" a="1"/>
  <c r="G284" i="23" s="1"/>
  <c r="F284" i="23" a="1"/>
  <c r="F284" i="23" s="1"/>
  <c r="K283" i="23"/>
  <c r="J283" i="23"/>
  <c r="I283" i="23"/>
  <c r="H283" i="23"/>
  <c r="G283" i="23"/>
  <c r="F283" i="23"/>
  <c r="E281" i="23"/>
  <c r="K264" i="23" a="1"/>
  <c r="K264" i="23" s="1"/>
  <c r="J264" i="23" a="1"/>
  <c r="J264" i="23" s="1"/>
  <c r="I264" i="23" a="1"/>
  <c r="I264" i="23" s="1"/>
  <c r="H264" i="23" a="1"/>
  <c r="H264" i="23" s="1"/>
  <c r="G264" i="23" a="1"/>
  <c r="G264" i="23" s="1"/>
  <c r="F264" i="23" a="1"/>
  <c r="F264" i="23" s="1"/>
  <c r="K263" i="23"/>
  <c r="J263" i="23"/>
  <c r="I263" i="23"/>
  <c r="H263" i="23"/>
  <c r="G263" i="23"/>
  <c r="F263" i="23"/>
  <c r="E261" i="23"/>
  <c r="K244" i="23" a="1"/>
  <c r="K244" i="23" s="1"/>
  <c r="J244" i="23" a="1"/>
  <c r="J244" i="23" s="1"/>
  <c r="I244" i="23" a="1"/>
  <c r="I244" i="23" s="1"/>
  <c r="H244" i="23" a="1"/>
  <c r="H244" i="23" s="1"/>
  <c r="G244" i="23" a="1"/>
  <c r="G244" i="23" s="1"/>
  <c r="F244" i="23" a="1"/>
  <c r="F244" i="23" s="1"/>
  <c r="K243" i="23"/>
  <c r="J243" i="23"/>
  <c r="I243" i="23"/>
  <c r="H243" i="23"/>
  <c r="G243" i="23"/>
  <c r="F243" i="23"/>
  <c r="E241" i="23"/>
  <c r="K193" i="23" a="1"/>
  <c r="K193" i="23" s="1"/>
  <c r="J193" i="23" a="1"/>
  <c r="J193" i="23" s="1"/>
  <c r="I193" i="23" a="1"/>
  <c r="I193" i="23" s="1"/>
  <c r="H193" i="23" a="1"/>
  <c r="H193" i="23" s="1"/>
  <c r="G193" i="23" a="1"/>
  <c r="G193" i="23" s="1"/>
  <c r="F193" i="23" a="1"/>
  <c r="F193" i="23" s="1"/>
  <c r="K192" i="23"/>
  <c r="J192" i="23"/>
  <c r="I192" i="23"/>
  <c r="H192" i="23"/>
  <c r="G192" i="23"/>
  <c r="F192" i="23"/>
  <c r="E190" i="23"/>
  <c r="K173" i="23" a="1"/>
  <c r="K173" i="23" s="1"/>
  <c r="J173" i="23" a="1"/>
  <c r="J173" i="23" s="1"/>
  <c r="I173" i="23" a="1"/>
  <c r="I173" i="23" s="1"/>
  <c r="H173" i="23" a="1"/>
  <c r="H173" i="23" s="1"/>
  <c r="G173" i="23" a="1"/>
  <c r="G173" i="23" s="1"/>
  <c r="F173" i="23" a="1"/>
  <c r="F173" i="23" s="1"/>
  <c r="K172" i="23"/>
  <c r="J172" i="23"/>
  <c r="I172" i="23"/>
  <c r="H172" i="23"/>
  <c r="G172" i="23"/>
  <c r="F172" i="23"/>
  <c r="E170" i="23"/>
  <c r="K153" i="23" a="1"/>
  <c r="K153" i="23" s="1"/>
  <c r="J153" i="23" a="1"/>
  <c r="J153" i="23" s="1"/>
  <c r="I153" i="23" a="1"/>
  <c r="I153" i="23" s="1"/>
  <c r="H153" i="23" a="1"/>
  <c r="H153" i="23" s="1"/>
  <c r="G153" i="23" a="1"/>
  <c r="G153" i="23" s="1"/>
  <c r="F153" i="23" a="1"/>
  <c r="F153" i="23" s="1"/>
  <c r="K152" i="23"/>
  <c r="J152" i="23"/>
  <c r="I152" i="23"/>
  <c r="H152" i="23"/>
  <c r="G152" i="23"/>
  <c r="F152" i="23"/>
  <c r="E150" i="23"/>
  <c r="K133" i="23" a="1"/>
  <c r="K133" i="23" s="1"/>
  <c r="J133" i="23" a="1"/>
  <c r="J133" i="23" s="1"/>
  <c r="I133" i="23" a="1"/>
  <c r="I133" i="23" s="1"/>
  <c r="H133" i="23" a="1"/>
  <c r="H133" i="23" s="1"/>
  <c r="G133" i="23" a="1"/>
  <c r="G133" i="23" s="1"/>
  <c r="F133" i="23" a="1"/>
  <c r="F133" i="23" s="1"/>
  <c r="K132" i="23"/>
  <c r="J132" i="23"/>
  <c r="I132" i="23"/>
  <c r="H132" i="23"/>
  <c r="G132" i="23"/>
  <c r="F132" i="23"/>
  <c r="E130" i="23"/>
  <c r="K113" i="23" a="1"/>
  <c r="K113" i="23" s="1"/>
  <c r="J113" i="23" a="1"/>
  <c r="J113" i="23" s="1"/>
  <c r="I113" i="23" a="1"/>
  <c r="I113" i="23" s="1"/>
  <c r="H113" i="23" a="1"/>
  <c r="H113" i="23" s="1"/>
  <c r="G113" i="23" a="1"/>
  <c r="G113" i="23" s="1"/>
  <c r="F113" i="23" a="1"/>
  <c r="F113" i="23" s="1"/>
  <c r="K112" i="23"/>
  <c r="J112" i="23"/>
  <c r="I112" i="23"/>
  <c r="H112" i="23"/>
  <c r="G112" i="23"/>
  <c r="F112" i="23"/>
  <c r="E110" i="23"/>
  <c r="K93" i="23" a="1"/>
  <c r="K93" i="23" s="1"/>
  <c r="J93" i="23" a="1"/>
  <c r="J93" i="23" s="1"/>
  <c r="I93" i="23" a="1"/>
  <c r="I93" i="23" s="1"/>
  <c r="H93" i="23" a="1"/>
  <c r="H93" i="23" s="1"/>
  <c r="G93" i="23" a="1"/>
  <c r="G93" i="23" s="1"/>
  <c r="F93" i="23" a="1"/>
  <c r="F93" i="23" s="1"/>
  <c r="K92" i="23"/>
  <c r="J92" i="23"/>
  <c r="I92" i="23"/>
  <c r="H92" i="23"/>
  <c r="G92" i="23"/>
  <c r="F92" i="23"/>
  <c r="E90" i="23"/>
  <c r="K73" i="23" a="1"/>
  <c r="K73" i="23" s="1"/>
  <c r="J73" i="23" a="1"/>
  <c r="J73" i="23" s="1"/>
  <c r="I73" i="23" a="1"/>
  <c r="I73" i="23" s="1"/>
  <c r="H73" i="23" a="1"/>
  <c r="H73" i="23" s="1"/>
  <c r="G73" i="23" a="1"/>
  <c r="G73" i="23" s="1"/>
  <c r="F73" i="23" a="1"/>
  <c r="F73" i="23" s="1"/>
  <c r="K72" i="23"/>
  <c r="J72" i="23"/>
  <c r="I72" i="23"/>
  <c r="H72" i="23"/>
  <c r="G72" i="23"/>
  <c r="F72" i="23"/>
  <c r="E70" i="23"/>
  <c r="K53" i="23" a="1"/>
  <c r="K53" i="23" s="1"/>
  <c r="J53" i="23" a="1"/>
  <c r="J53" i="23" s="1"/>
  <c r="I53" i="23" a="1"/>
  <c r="I53" i="23" s="1"/>
  <c r="H53" i="23" a="1"/>
  <c r="H53" i="23" s="1"/>
  <c r="G53" i="23" a="1"/>
  <c r="G53" i="23" s="1"/>
  <c r="F53" i="23" a="1"/>
  <c r="F53" i="23" s="1"/>
  <c r="K52" i="23"/>
  <c r="J52" i="23"/>
  <c r="I52" i="23"/>
  <c r="H52" i="23"/>
  <c r="G52" i="23"/>
  <c r="F52" i="23"/>
  <c r="E50" i="23"/>
  <c r="K33" i="23" a="1"/>
  <c r="K33" i="23" s="1"/>
  <c r="J33" i="23" a="1"/>
  <c r="J33" i="23" s="1"/>
  <c r="I33" i="23" a="1"/>
  <c r="I33" i="23" s="1"/>
  <c r="H33" i="23" a="1"/>
  <c r="H33" i="23" s="1"/>
  <c r="G33" i="23" a="1"/>
  <c r="G33" i="23" s="1"/>
  <c r="F33" i="23" a="1"/>
  <c r="F33" i="23" s="1"/>
  <c r="K32" i="23"/>
  <c r="J32" i="23"/>
  <c r="I32" i="23"/>
  <c r="H32" i="23"/>
  <c r="G32" i="23"/>
  <c r="F32" i="23"/>
  <c r="E30" i="23"/>
  <c r="K13" i="23" a="1"/>
  <c r="K13" i="23" s="1"/>
  <c r="J13" i="23" a="1"/>
  <c r="J13" i="23" s="1"/>
  <c r="I13" i="23" a="1"/>
  <c r="I13" i="23" s="1"/>
  <c r="H13" i="23" a="1"/>
  <c r="H13" i="23" s="1"/>
  <c r="G13" i="23" a="1"/>
  <c r="G13" i="23" s="1"/>
  <c r="F13" i="23" a="1"/>
  <c r="F13" i="23" s="1"/>
  <c r="K12" i="23"/>
  <c r="J12" i="23"/>
  <c r="I12" i="23"/>
  <c r="H12" i="23"/>
  <c r="G12" i="23"/>
  <c r="F12" i="23"/>
  <c r="E10" i="23"/>
  <c r="G53" i="22"/>
  <c r="G52" i="22"/>
  <c r="G51" i="22"/>
  <c r="G50" i="22"/>
  <c r="O42" i="22"/>
  <c r="V37" i="22"/>
  <c r="U37" i="22"/>
  <c r="T37" i="22"/>
  <c r="S37" i="22"/>
  <c r="R37" i="22"/>
  <c r="Q37" i="22"/>
  <c r="P37" i="22"/>
  <c r="F37" i="22"/>
  <c r="V27" i="22"/>
  <c r="U27" i="22"/>
  <c r="T27" i="22"/>
  <c r="S27" i="22"/>
  <c r="R27" i="22"/>
  <c r="Q27" i="22"/>
  <c r="P27" i="22"/>
  <c r="V26" i="22"/>
  <c r="U26" i="22"/>
  <c r="T26" i="22"/>
  <c r="S26" i="22"/>
  <c r="R26" i="22"/>
  <c r="Q26" i="22"/>
  <c r="P26" i="22"/>
  <c r="G17" i="22"/>
  <c r="G12" i="22"/>
  <c r="N116" i="26" l="1"/>
  <c r="L111" i="26"/>
  <c r="L116" i="26"/>
  <c r="M116" i="26"/>
  <c r="M118" i="26" s="1"/>
  <c r="O116" i="26"/>
  <c r="L50" i="9"/>
  <c r="R35" i="14"/>
  <c r="T35" i="14" s="1"/>
  <c r="T38" i="14"/>
  <c r="U28" i="22"/>
  <c r="T36" i="14"/>
  <c r="P28" i="22"/>
  <c r="T34" i="14"/>
  <c r="T37" i="14"/>
  <c r="S28" i="22"/>
  <c r="T30" i="14"/>
  <c r="T29" i="14"/>
  <c r="T32" i="14"/>
  <c r="T33" i="14"/>
  <c r="T31" i="14"/>
  <c r="L118" i="26"/>
  <c r="O118" i="26"/>
  <c r="P118" i="26"/>
  <c r="Q118" i="26"/>
  <c r="N118" i="26"/>
  <c r="Q111" i="26"/>
  <c r="Q126" i="26" s="1"/>
  <c r="L126" i="26"/>
  <c r="M111" i="26"/>
  <c r="M126" i="26" s="1"/>
  <c r="N111" i="26"/>
  <c r="N126" i="26" s="1"/>
  <c r="O111" i="26"/>
  <c r="O126" i="26" s="1"/>
  <c r="P111" i="26"/>
  <c r="P126" i="26" s="1"/>
  <c r="Q28" i="22"/>
  <c r="R28" i="22"/>
  <c r="T28" i="22"/>
  <c r="V28" i="22"/>
  <c r="G84" i="15"/>
  <c r="G85" i="15"/>
  <c r="G86" i="15"/>
  <c r="G87" i="15"/>
  <c r="G88" i="15"/>
  <c r="G89" i="15"/>
  <c r="G90" i="15"/>
  <c r="G91" i="15"/>
  <c r="G83" i="15"/>
  <c r="G71" i="15"/>
  <c r="G72" i="15"/>
  <c r="G73" i="15"/>
  <c r="G74" i="15"/>
  <c r="G75" i="15"/>
  <c r="G76" i="15"/>
  <c r="G77" i="15"/>
  <c r="G78" i="15"/>
  <c r="G70" i="15"/>
  <c r="M50" i="9" l="1"/>
  <c r="V36" i="22"/>
  <c r="V38" i="22" s="1"/>
  <c r="V41" i="22" s="1"/>
  <c r="S36" i="22"/>
  <c r="S38" i="22" s="1"/>
  <c r="S41" i="22" s="1"/>
  <c r="Q36" i="22"/>
  <c r="Q38" i="22" s="1"/>
  <c r="Q41" i="22" s="1"/>
  <c r="U36" i="22"/>
  <c r="U38" i="22" s="1"/>
  <c r="U41" i="22" s="1"/>
  <c r="T36" i="22"/>
  <c r="T38" i="22" s="1"/>
  <c r="T41" i="22" s="1"/>
  <c r="R36" i="22"/>
  <c r="R38" i="22" s="1"/>
  <c r="R41" i="22" s="1"/>
  <c r="P36" i="22"/>
  <c r="P38" i="22" s="1"/>
  <c r="P41" i="22" s="1"/>
  <c r="L49" i="14"/>
  <c r="L48" i="14"/>
  <c r="L47" i="14"/>
  <c r="L50" i="14"/>
  <c r="D33" i="11"/>
  <c r="E33" i="11"/>
  <c r="D34" i="11"/>
  <c r="E34" i="11"/>
  <c r="D35" i="11"/>
  <c r="E35" i="11"/>
  <c r="D36" i="11"/>
  <c r="E36" i="11"/>
  <c r="D37" i="11"/>
  <c r="E37" i="11"/>
  <c r="D38" i="11"/>
  <c r="E38" i="11"/>
  <c r="D39" i="11"/>
  <c r="E39" i="11"/>
  <c r="D40" i="11"/>
  <c r="E40" i="11"/>
  <c r="D41" i="11"/>
  <c r="E41" i="11"/>
  <c r="D42" i="11"/>
  <c r="E42" i="11"/>
  <c r="D43" i="11"/>
  <c r="E43" i="11"/>
  <c r="D44" i="11"/>
  <c r="E44" i="11"/>
  <c r="D45" i="11"/>
  <c r="E45" i="11"/>
  <c r="D46" i="11"/>
  <c r="E46" i="11"/>
  <c r="D47" i="11"/>
  <c r="E47" i="11"/>
  <c r="D48" i="11"/>
  <c r="E48" i="11"/>
  <c r="D49" i="11"/>
  <c r="E49" i="11"/>
  <c r="D50" i="11"/>
  <c r="E50" i="11"/>
  <c r="D51" i="11"/>
  <c r="E51" i="11"/>
  <c r="D52" i="11"/>
  <c r="E52" i="11"/>
  <c r="D53" i="11"/>
  <c r="E53" i="11"/>
  <c r="D54" i="11"/>
  <c r="E54" i="11"/>
  <c r="D55" i="11"/>
  <c r="E55" i="11"/>
  <c r="D56" i="11"/>
  <c r="E56" i="11"/>
  <c r="D57" i="11"/>
  <c r="E57" i="11"/>
  <c r="D58" i="11"/>
  <c r="E58" i="11"/>
  <c r="D59" i="11"/>
  <c r="E59" i="11"/>
  <c r="D60" i="11"/>
  <c r="E60" i="11"/>
  <c r="D61" i="11"/>
  <c r="E61" i="11"/>
  <c r="D62" i="11"/>
  <c r="E62" i="11"/>
  <c r="D63" i="11"/>
  <c r="E63" i="11"/>
  <c r="D64" i="11"/>
  <c r="E64" i="11"/>
  <c r="D65" i="11"/>
  <c r="E65" i="11"/>
  <c r="D66" i="11"/>
  <c r="E66" i="11"/>
  <c r="D67" i="11"/>
  <c r="E67" i="11"/>
  <c r="D68" i="11"/>
  <c r="E68" i="11"/>
  <c r="D69" i="11"/>
  <c r="E69" i="11"/>
  <c r="D70" i="11"/>
  <c r="E70" i="11"/>
  <c r="D71" i="11"/>
  <c r="E71" i="11"/>
  <c r="D72" i="11"/>
  <c r="E72" i="11"/>
  <c r="D73" i="11"/>
  <c r="E73" i="11"/>
  <c r="N50" i="9" l="1"/>
  <c r="N50" i="14"/>
  <c r="U50" i="14"/>
  <c r="U140" i="25" s="1"/>
  <c r="T50" i="14"/>
  <c r="T140" i="25" s="1"/>
  <c r="S50" i="14"/>
  <c r="S140" i="25" s="1"/>
  <c r="R50" i="14"/>
  <c r="R140" i="25" s="1"/>
  <c r="Q50" i="14"/>
  <c r="Q140" i="25" s="1"/>
  <c r="V46" i="14"/>
  <c r="V47" i="14"/>
  <c r="V49" i="14"/>
  <c r="V48" i="14"/>
  <c r="O50" i="9" l="1"/>
  <c r="V50" i="14"/>
  <c r="P50" i="9" l="1"/>
  <c r="L54" i="14"/>
  <c r="M54" i="14" l="1"/>
  <c r="P364" i="14"/>
  <c r="E346" i="14"/>
  <c r="U364" i="14"/>
  <c r="T364" i="14"/>
  <c r="S364" i="14"/>
  <c r="R364" i="14"/>
  <c r="Q364" i="14"/>
  <c r="L364" i="14"/>
  <c r="V363" i="14"/>
  <c r="L363" i="14"/>
  <c r="V362" i="14"/>
  <c r="L362" i="14"/>
  <c r="V361" i="14"/>
  <c r="L361" i="14"/>
  <c r="V360" i="14"/>
  <c r="L360" i="14"/>
  <c r="V359" i="14"/>
  <c r="L359" i="14"/>
  <c r="V358" i="14"/>
  <c r="L358" i="14"/>
  <c r="V357" i="14"/>
  <c r="L357" i="14"/>
  <c r="V356" i="14"/>
  <c r="L356" i="14"/>
  <c r="V355" i="14"/>
  <c r="L355" i="14"/>
  <c r="V354" i="14"/>
  <c r="L354" i="14"/>
  <c r="V353" i="14"/>
  <c r="L353" i="14"/>
  <c r="V352" i="14"/>
  <c r="L352" i="14"/>
  <c r="V351" i="14"/>
  <c r="L351" i="14"/>
  <c r="V350" i="14"/>
  <c r="L350" i="14"/>
  <c r="V349" i="14"/>
  <c r="K349" i="14" a="1"/>
  <c r="K349" i="14" s="1"/>
  <c r="J349" i="14" a="1"/>
  <c r="J349" i="14" s="1"/>
  <c r="I349" i="14" a="1"/>
  <c r="I349" i="14" s="1"/>
  <c r="H349" i="14" a="1"/>
  <c r="H349" i="14" s="1"/>
  <c r="G349" i="14" a="1"/>
  <c r="G349" i="14" s="1"/>
  <c r="F349" i="14" a="1"/>
  <c r="F349" i="14" s="1"/>
  <c r="K348" i="14"/>
  <c r="J348" i="14"/>
  <c r="I348" i="14"/>
  <c r="H348" i="14"/>
  <c r="G348" i="14"/>
  <c r="F348" i="14"/>
  <c r="E326" i="14"/>
  <c r="U344" i="14"/>
  <c r="T344" i="14"/>
  <c r="S344" i="14"/>
  <c r="R344" i="14"/>
  <c r="Q344" i="14"/>
  <c r="P344" i="14"/>
  <c r="L344" i="14"/>
  <c r="V343" i="14"/>
  <c r="L343" i="14"/>
  <c r="V342" i="14"/>
  <c r="L342" i="14"/>
  <c r="V341" i="14"/>
  <c r="L341" i="14"/>
  <c r="V340" i="14"/>
  <c r="L340" i="14"/>
  <c r="V339" i="14"/>
  <c r="L339" i="14"/>
  <c r="V338" i="14"/>
  <c r="L338" i="14"/>
  <c r="V337" i="14"/>
  <c r="L337" i="14"/>
  <c r="V336" i="14"/>
  <c r="L336" i="14"/>
  <c r="V335" i="14"/>
  <c r="L335" i="14"/>
  <c r="V334" i="14"/>
  <c r="L334" i="14"/>
  <c r="V333" i="14"/>
  <c r="L333" i="14"/>
  <c r="V332" i="14"/>
  <c r="L332" i="14"/>
  <c r="V331" i="14"/>
  <c r="L331" i="14"/>
  <c r="V330" i="14"/>
  <c r="L330" i="14"/>
  <c r="V329" i="14"/>
  <c r="K329" i="14" a="1"/>
  <c r="K329" i="14" s="1"/>
  <c r="J329" i="14" a="1"/>
  <c r="J329" i="14" s="1"/>
  <c r="I329" i="14" a="1"/>
  <c r="I329" i="14" s="1"/>
  <c r="H329" i="14" a="1"/>
  <c r="H329" i="14" s="1"/>
  <c r="G329" i="14" a="1"/>
  <c r="G329" i="14" s="1"/>
  <c r="F329" i="14" a="1"/>
  <c r="F329" i="14" s="1"/>
  <c r="K328" i="14"/>
  <c r="J328" i="14"/>
  <c r="I328" i="14"/>
  <c r="H328" i="14"/>
  <c r="G328" i="14"/>
  <c r="F328" i="14"/>
  <c r="V344" i="14" l="1"/>
  <c r="V364" i="14"/>
  <c r="B1" i="7" l="1"/>
  <c r="E15" i="21" l="1"/>
  <c r="G26" i="7"/>
  <c r="G25" i="7"/>
  <c r="G24" i="7"/>
  <c r="G23" i="7"/>
  <c r="G18" i="7"/>
  <c r="G13" i="7"/>
  <c r="G14" i="7"/>
  <c r="G15" i="7"/>
  <c r="G12" i="7"/>
  <c r="F37" i="7"/>
  <c r="F38" i="7"/>
  <c r="F39" i="7"/>
  <c r="F36" i="7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D21" i="11"/>
  <c r="E21" i="11"/>
  <c r="D22" i="11"/>
  <c r="E22" i="11"/>
  <c r="D23" i="11"/>
  <c r="E23" i="11"/>
  <c r="D24" i="11"/>
  <c r="E24" i="11"/>
  <c r="D25" i="11"/>
  <c r="E25" i="11"/>
  <c r="D26" i="11"/>
  <c r="E26" i="11"/>
  <c r="D27" i="11"/>
  <c r="E27" i="11"/>
  <c r="D28" i="11"/>
  <c r="E28" i="11"/>
  <c r="D29" i="11"/>
  <c r="E29" i="11"/>
  <c r="D30" i="11"/>
  <c r="E30" i="11"/>
  <c r="D31" i="11"/>
  <c r="E31" i="11"/>
  <c r="D32" i="11"/>
  <c r="E32" i="11"/>
  <c r="M142" i="25" l="1"/>
  <c r="H125" i="26"/>
  <c r="H114" i="26"/>
  <c r="H101" i="26"/>
  <c r="H93" i="26"/>
  <c r="H76" i="26"/>
  <c r="H70" i="26"/>
  <c r="H64" i="26"/>
  <c r="H56" i="26"/>
  <c r="H53" i="26"/>
  <c r="H50" i="26"/>
  <c r="H47" i="26"/>
  <c r="H44" i="26"/>
  <c r="H41" i="26"/>
  <c r="H38" i="26"/>
  <c r="H32" i="26"/>
  <c r="H29" i="26"/>
  <c r="H26" i="26"/>
  <c r="H23" i="26"/>
  <c r="H20" i="26"/>
  <c r="H17" i="26"/>
  <c r="H14" i="26"/>
  <c r="M141" i="25"/>
  <c r="H111" i="26"/>
  <c r="H100" i="26"/>
  <c r="H92" i="26"/>
  <c r="H75" i="26"/>
  <c r="H69" i="26"/>
  <c r="H63" i="26"/>
  <c r="M140" i="25"/>
  <c r="V140" i="25" s="1"/>
  <c r="H110" i="26"/>
  <c r="H99" i="26"/>
  <c r="H80" i="26"/>
  <c r="H74" i="26"/>
  <c r="H68" i="26"/>
  <c r="H62" i="26"/>
  <c r="H55" i="26"/>
  <c r="H52" i="26"/>
  <c r="H49" i="26"/>
  <c r="H46" i="26"/>
  <c r="H43" i="26"/>
  <c r="H40" i="26"/>
  <c r="H37" i="26"/>
  <c r="H31" i="26"/>
  <c r="H28" i="26"/>
  <c r="H25" i="26"/>
  <c r="H22" i="26"/>
  <c r="H19" i="26"/>
  <c r="H16" i="26"/>
  <c r="H13" i="26"/>
  <c r="M126" i="25"/>
  <c r="M120" i="25"/>
  <c r="M114" i="25"/>
  <c r="M104" i="25"/>
  <c r="M98" i="25"/>
  <c r="M87" i="25"/>
  <c r="M81" i="25"/>
  <c r="M75" i="25"/>
  <c r="M43" i="25"/>
  <c r="M37" i="25"/>
  <c r="M27" i="25"/>
  <c r="M21" i="25"/>
  <c r="M15" i="25"/>
  <c r="M659" i="23"/>
  <c r="M653" i="23"/>
  <c r="M647" i="23"/>
  <c r="M638" i="23"/>
  <c r="M632" i="23"/>
  <c r="M617" i="23"/>
  <c r="M611" i="23"/>
  <c r="M602" i="23"/>
  <c r="M596" i="23"/>
  <c r="M590" i="23"/>
  <c r="M581" i="23"/>
  <c r="M575" i="23"/>
  <c r="M569" i="23"/>
  <c r="M560" i="23"/>
  <c r="M554" i="23"/>
  <c r="M548" i="23"/>
  <c r="M539" i="23"/>
  <c r="M533" i="23"/>
  <c r="M139" i="25"/>
  <c r="H109" i="26"/>
  <c r="H96" i="26"/>
  <c r="H79" i="26"/>
  <c r="H73" i="26"/>
  <c r="H67" i="26"/>
  <c r="H61" i="26"/>
  <c r="M125" i="25"/>
  <c r="M119" i="25"/>
  <c r="M109" i="25"/>
  <c r="M103" i="25"/>
  <c r="M97" i="25"/>
  <c r="M86" i="25"/>
  <c r="M80" i="25"/>
  <c r="M74" i="25"/>
  <c r="H127" i="26"/>
  <c r="H116" i="26"/>
  <c r="H103" i="26"/>
  <c r="H95" i="26"/>
  <c r="H78" i="26"/>
  <c r="H72" i="26"/>
  <c r="H66" i="26"/>
  <c r="H60" i="26"/>
  <c r="H54" i="26"/>
  <c r="H51" i="26"/>
  <c r="H48" i="26"/>
  <c r="H45" i="26"/>
  <c r="H42" i="26"/>
  <c r="H39" i="26"/>
  <c r="H36" i="26"/>
  <c r="H30" i="26"/>
  <c r="H27" i="26"/>
  <c r="H24" i="26"/>
  <c r="H21" i="26"/>
  <c r="H18" i="26"/>
  <c r="H15" i="26"/>
  <c r="H12" i="26"/>
  <c r="M124" i="25"/>
  <c r="M118" i="25"/>
  <c r="M108" i="25"/>
  <c r="M102" i="25"/>
  <c r="M96" i="25"/>
  <c r="M85" i="25"/>
  <c r="M79" i="25"/>
  <c r="M73" i="25"/>
  <c r="M47" i="25"/>
  <c r="M41" i="25"/>
  <c r="M35" i="25"/>
  <c r="M25" i="25"/>
  <c r="M19" i="25"/>
  <c r="M13" i="25"/>
  <c r="M657" i="23"/>
  <c r="M651" i="23"/>
  <c r="M642" i="23"/>
  <c r="M636" i="23"/>
  <c r="M630" i="23"/>
  <c r="M621" i="23"/>
  <c r="M615" i="23"/>
  <c r="M609" i="23"/>
  <c r="M600" i="23"/>
  <c r="M594" i="23"/>
  <c r="M588" i="23"/>
  <c r="M579" i="23"/>
  <c r="M573" i="23"/>
  <c r="M567" i="23"/>
  <c r="M558" i="23"/>
  <c r="M552" i="23"/>
  <c r="M537" i="23"/>
  <c r="H126" i="26"/>
  <c r="H115" i="26"/>
  <c r="H102" i="26"/>
  <c r="H94" i="26"/>
  <c r="H77" i="26"/>
  <c r="H71" i="26"/>
  <c r="H65" i="26"/>
  <c r="M129" i="25"/>
  <c r="M123" i="25"/>
  <c r="M117" i="25"/>
  <c r="M107" i="25"/>
  <c r="M101" i="25"/>
  <c r="M95" i="25"/>
  <c r="M84" i="25"/>
  <c r="M78" i="25"/>
  <c r="M46" i="25"/>
  <c r="M40" i="25"/>
  <c r="M34" i="25"/>
  <c r="M116" i="25"/>
  <c r="M94" i="25"/>
  <c r="M38" i="25"/>
  <c r="M23" i="25"/>
  <c r="M14" i="25"/>
  <c r="M655" i="23"/>
  <c r="M634" i="23"/>
  <c r="M614" i="23"/>
  <c r="M593" i="23"/>
  <c r="M582" i="23"/>
  <c r="M572" i="23"/>
  <c r="M561" i="23"/>
  <c r="M551" i="23"/>
  <c r="M541" i="23"/>
  <c r="M532" i="23"/>
  <c r="M517" i="23"/>
  <c r="M511" i="23"/>
  <c r="M502" i="23"/>
  <c r="M496" i="23"/>
  <c r="M490" i="23"/>
  <c r="M481" i="23"/>
  <c r="M475" i="23"/>
  <c r="M469" i="23"/>
  <c r="M128" i="25"/>
  <c r="M106" i="25"/>
  <c r="M83" i="25"/>
  <c r="M45" i="25"/>
  <c r="M33" i="25"/>
  <c r="M20" i="25"/>
  <c r="M661" i="23"/>
  <c r="M652" i="23"/>
  <c r="M640" i="23"/>
  <c r="M631" i="23"/>
  <c r="M620" i="23"/>
  <c r="M612" i="23"/>
  <c r="M599" i="23"/>
  <c r="M591" i="23"/>
  <c r="M578" i="23"/>
  <c r="M570" i="23"/>
  <c r="M557" i="23"/>
  <c r="M549" i="23"/>
  <c r="M538" i="23"/>
  <c r="M530" i="23"/>
  <c r="M521" i="23"/>
  <c r="M515" i="23"/>
  <c r="M509" i="23"/>
  <c r="M500" i="23"/>
  <c r="M494" i="23"/>
  <c r="M488" i="23"/>
  <c r="M127" i="25"/>
  <c r="M105" i="25"/>
  <c r="M82" i="25"/>
  <c r="M44" i="25"/>
  <c r="M28" i="25"/>
  <c r="M18" i="25"/>
  <c r="M660" i="23"/>
  <c r="M650" i="23"/>
  <c r="M639" i="23"/>
  <c r="M629" i="23"/>
  <c r="M619" i="23"/>
  <c r="M610" i="23"/>
  <c r="M598" i="23"/>
  <c r="M589" i="23"/>
  <c r="M577" i="23"/>
  <c r="M568" i="23"/>
  <c r="M556" i="23"/>
  <c r="M547" i="23"/>
  <c r="M536" i="23"/>
  <c r="M529" i="23"/>
  <c r="M520" i="23"/>
  <c r="M514" i="23"/>
  <c r="M508" i="23"/>
  <c r="M499" i="23"/>
  <c r="M493" i="23"/>
  <c r="M487" i="23"/>
  <c r="M478" i="23"/>
  <c r="M472" i="23"/>
  <c r="M434" i="23"/>
  <c r="M428" i="23"/>
  <c r="M419" i="23"/>
  <c r="M413" i="23"/>
  <c r="M407" i="23"/>
  <c r="M398" i="23"/>
  <c r="M392" i="23"/>
  <c r="M386" i="23"/>
  <c r="M377" i="23"/>
  <c r="M371" i="23"/>
  <c r="M365" i="23"/>
  <c r="M356" i="23"/>
  <c r="M350" i="23"/>
  <c r="M344" i="23"/>
  <c r="M335" i="23"/>
  <c r="M329" i="23"/>
  <c r="M314" i="23"/>
  <c r="M308" i="23"/>
  <c r="M299" i="23"/>
  <c r="M293" i="23"/>
  <c r="M287" i="23"/>
  <c r="M278" i="23"/>
  <c r="M272" i="23"/>
  <c r="M266" i="23"/>
  <c r="M257" i="23"/>
  <c r="M251" i="23"/>
  <c r="M245" i="23"/>
  <c r="M206" i="23"/>
  <c r="M200" i="23"/>
  <c r="M194" i="23"/>
  <c r="M186" i="23"/>
  <c r="M180" i="23"/>
  <c r="M174" i="23"/>
  <c r="M166" i="23"/>
  <c r="M160" i="23"/>
  <c r="M154" i="23"/>
  <c r="M146" i="23"/>
  <c r="M140" i="23"/>
  <c r="M134" i="23"/>
  <c r="M126" i="23"/>
  <c r="M120" i="23"/>
  <c r="M114" i="23"/>
  <c r="M99" i="25"/>
  <c r="M42" i="25"/>
  <c r="M17" i="25"/>
  <c r="M649" i="23"/>
  <c r="M633" i="23"/>
  <c r="M616" i="23"/>
  <c r="M597" i="23"/>
  <c r="M576" i="23"/>
  <c r="M555" i="23"/>
  <c r="M535" i="23"/>
  <c r="M522" i="23"/>
  <c r="M510" i="23"/>
  <c r="M495" i="23"/>
  <c r="M480" i="23"/>
  <c r="M471" i="23"/>
  <c r="M438" i="23"/>
  <c r="M431" i="23"/>
  <c r="M412" i="23"/>
  <c r="M405" i="23"/>
  <c r="M404" i="23"/>
  <c r="M394" i="23"/>
  <c r="M387" i="23"/>
  <c r="M88" i="25"/>
  <c r="M39" i="25"/>
  <c r="M16" i="25"/>
  <c r="M648" i="23"/>
  <c r="M628" i="23"/>
  <c r="M613" i="23"/>
  <c r="M595" i="23"/>
  <c r="M574" i="23"/>
  <c r="M553" i="23"/>
  <c r="M534" i="23"/>
  <c r="M519" i="23"/>
  <c r="M507" i="23"/>
  <c r="M492" i="23"/>
  <c r="M479" i="23"/>
  <c r="M470" i="23"/>
  <c r="M437" i="23"/>
  <c r="M430" i="23"/>
  <c r="M418" i="23"/>
  <c r="M411" i="23"/>
  <c r="M393" i="23"/>
  <c r="M385" i="23"/>
  <c r="M384" i="23"/>
  <c r="M374" i="23"/>
  <c r="M367" i="23"/>
  <c r="M355" i="23"/>
  <c r="M348" i="23"/>
  <c r="M337" i="23"/>
  <c r="M330" i="23"/>
  <c r="M319" i="23"/>
  <c r="M312" i="23"/>
  <c r="M305" i="23"/>
  <c r="M304" i="23"/>
  <c r="M294" i="23"/>
  <c r="M286" i="23"/>
  <c r="M275" i="23"/>
  <c r="M268" i="23"/>
  <c r="M256" i="23"/>
  <c r="M249" i="23"/>
  <c r="M208" i="23"/>
  <c r="M201" i="23"/>
  <c r="M193" i="23"/>
  <c r="M184" i="23"/>
  <c r="M177" i="23"/>
  <c r="M168" i="23"/>
  <c r="M161" i="23"/>
  <c r="M153" i="23"/>
  <c r="M144" i="23"/>
  <c r="M137" i="23"/>
  <c r="M128" i="23"/>
  <c r="M121" i="23"/>
  <c r="M113" i="23"/>
  <c r="M105" i="23"/>
  <c r="M99" i="23"/>
  <c r="M93" i="23"/>
  <c r="M85" i="23"/>
  <c r="M79" i="23"/>
  <c r="M73" i="23"/>
  <c r="M65" i="23"/>
  <c r="M59" i="23"/>
  <c r="M53" i="23"/>
  <c r="M45" i="23"/>
  <c r="M39" i="23"/>
  <c r="M33" i="23"/>
  <c r="M25" i="23"/>
  <c r="M19" i="23"/>
  <c r="M13" i="23"/>
  <c r="M592" i="23"/>
  <c r="M571" i="23"/>
  <c r="M550" i="23"/>
  <c r="M531" i="23"/>
  <c r="M518" i="23"/>
  <c r="M417" i="23"/>
  <c r="M122" i="25"/>
  <c r="M77" i="25"/>
  <c r="M36" i="25"/>
  <c r="M662" i="23"/>
  <c r="M627" i="23"/>
  <c r="M608" i="23"/>
  <c r="M491" i="23"/>
  <c r="M477" i="23"/>
  <c r="M468" i="23"/>
  <c r="M436" i="23"/>
  <c r="M429" i="23"/>
  <c r="M121" i="25"/>
  <c r="M76" i="25"/>
  <c r="M26" i="25"/>
  <c r="M658" i="23"/>
  <c r="M641" i="23"/>
  <c r="M607" i="23"/>
  <c r="M587" i="23"/>
  <c r="M528" i="23"/>
  <c r="M516" i="23"/>
  <c r="M501" i="23"/>
  <c r="M489" i="23"/>
  <c r="M476" i="23"/>
  <c r="M467" i="23"/>
  <c r="M435" i="23"/>
  <c r="M427" i="23"/>
  <c r="M416" i="23"/>
  <c r="M409" i="23"/>
  <c r="M397" i="23"/>
  <c r="M390" i="23"/>
  <c r="M379" i="23"/>
  <c r="M372" i="23"/>
  <c r="M353" i="23"/>
  <c r="M346" i="23"/>
  <c r="M334" i="23"/>
  <c r="M327" i="23"/>
  <c r="M317" i="23"/>
  <c r="M310" i="23"/>
  <c r="M298" i="23"/>
  <c r="M291" i="23"/>
  <c r="M273" i="23"/>
  <c r="M265" i="23"/>
  <c r="M264" i="23"/>
  <c r="M254" i="23"/>
  <c r="M247" i="23"/>
  <c r="M205" i="23"/>
  <c r="M198" i="23"/>
  <c r="M182" i="23"/>
  <c r="M175" i="23"/>
  <c r="M165" i="23"/>
  <c r="M158" i="23"/>
  <c r="M142" i="23"/>
  <c r="M135" i="23"/>
  <c r="M125" i="23"/>
  <c r="M118" i="23"/>
  <c r="M103" i="23"/>
  <c r="M97" i="23"/>
  <c r="M83" i="23"/>
  <c r="M77" i="23"/>
  <c r="M63" i="23"/>
  <c r="M57" i="23"/>
  <c r="M43" i="23"/>
  <c r="M37" i="23"/>
  <c r="M100" i="25"/>
  <c r="M48" i="25"/>
  <c r="M22" i="25"/>
  <c r="M654" i="23"/>
  <c r="M635" i="23"/>
  <c r="M618" i="23"/>
  <c r="M601" i="23"/>
  <c r="M580" i="23"/>
  <c r="M559" i="23"/>
  <c r="M540" i="23"/>
  <c r="M512" i="23"/>
  <c r="M497" i="23"/>
  <c r="M482" i="23"/>
  <c r="M473" i="23"/>
  <c r="M439" i="23"/>
  <c r="M432" i="23"/>
  <c r="M425" i="23"/>
  <c r="M424" i="23"/>
  <c r="M414" i="23"/>
  <c r="M406" i="23"/>
  <c r="M115" i="25"/>
  <c r="M513" i="23"/>
  <c r="M433" i="23"/>
  <c r="M408" i="23"/>
  <c r="M395" i="23"/>
  <c r="M370" i="23"/>
  <c r="M354" i="23"/>
  <c r="M336" i="23"/>
  <c r="M325" i="23"/>
  <c r="M318" i="23"/>
  <c r="M307" i="23"/>
  <c r="M289" i="23"/>
  <c r="M284" i="23"/>
  <c r="M271" i="23"/>
  <c r="M253" i="23"/>
  <c r="M204" i="23"/>
  <c r="M195" i="23"/>
  <c r="M183" i="23"/>
  <c r="M159" i="23"/>
  <c r="M148" i="23"/>
  <c r="M138" i="23"/>
  <c r="M124" i="23"/>
  <c r="M115" i="23"/>
  <c r="M104" i="23"/>
  <c r="M95" i="23"/>
  <c r="M86" i="23"/>
  <c r="M76" i="23"/>
  <c r="M67" i="23"/>
  <c r="M58" i="23"/>
  <c r="M48" i="23"/>
  <c r="M40" i="23"/>
  <c r="M22" i="23"/>
  <c r="M15" i="23"/>
  <c r="M20" i="23"/>
  <c r="M622" i="23"/>
  <c r="M376" i="23"/>
  <c r="M331" i="23"/>
  <c r="M313" i="23"/>
  <c r="M248" i="23"/>
  <c r="M199" i="23"/>
  <c r="M155" i="23"/>
  <c r="M119" i="23"/>
  <c r="M44" i="23"/>
  <c r="M18" i="23"/>
  <c r="M474" i="23"/>
  <c r="M328" i="23"/>
  <c r="M311" i="23"/>
  <c r="M292" i="23"/>
  <c r="M197" i="23"/>
  <c r="M176" i="23"/>
  <c r="M163" i="23"/>
  <c r="M107" i="23"/>
  <c r="M98" i="23"/>
  <c r="M17" i="23"/>
  <c r="M637" i="23"/>
  <c r="M562" i="23"/>
  <c r="M426" i="23"/>
  <c r="M391" i="23"/>
  <c r="M369" i="23"/>
  <c r="M364" i="23"/>
  <c r="M352" i="23"/>
  <c r="M333" i="23"/>
  <c r="M316" i="23"/>
  <c r="M306" i="23"/>
  <c r="M297" i="23"/>
  <c r="M288" i="23"/>
  <c r="M270" i="23"/>
  <c r="M252" i="23"/>
  <c r="M203" i="23"/>
  <c r="M181" i="23"/>
  <c r="M157" i="23"/>
  <c r="M147" i="23"/>
  <c r="M136" i="23"/>
  <c r="M123" i="23"/>
  <c r="M102" i="23"/>
  <c r="M94" i="23"/>
  <c r="M84" i="23"/>
  <c r="M75" i="23"/>
  <c r="M66" i="23"/>
  <c r="M56" i="23"/>
  <c r="M47" i="23"/>
  <c r="M38" i="23"/>
  <c r="M28" i="23"/>
  <c r="M21" i="23"/>
  <c r="M14" i="23"/>
  <c r="M27" i="23"/>
  <c r="M295" i="23"/>
  <c r="M259" i="23"/>
  <c r="M54" i="23"/>
  <c r="M399" i="23"/>
  <c r="M375" i="23"/>
  <c r="M339" i="23"/>
  <c r="M324" i="23"/>
  <c r="M276" i="23"/>
  <c r="M258" i="23"/>
  <c r="M246" i="23"/>
  <c r="M117" i="23"/>
  <c r="M42" i="23"/>
  <c r="M34" i="23"/>
  <c r="M24" i="23"/>
  <c r="M498" i="23"/>
  <c r="M389" i="23"/>
  <c r="M378" i="23"/>
  <c r="M368" i="23"/>
  <c r="M351" i="23"/>
  <c r="M332" i="23"/>
  <c r="M315" i="23"/>
  <c r="M296" i="23"/>
  <c r="M285" i="23"/>
  <c r="M279" i="23"/>
  <c r="M269" i="23"/>
  <c r="M250" i="23"/>
  <c r="M244" i="23"/>
  <c r="M202" i="23"/>
  <c r="M179" i="23"/>
  <c r="M167" i="23"/>
  <c r="M156" i="23"/>
  <c r="M145" i="23"/>
  <c r="M133" i="23"/>
  <c r="M122" i="23"/>
  <c r="M101" i="23"/>
  <c r="M82" i="23"/>
  <c r="M74" i="23"/>
  <c r="M64" i="23"/>
  <c r="M55" i="23"/>
  <c r="M46" i="23"/>
  <c r="M36" i="23"/>
  <c r="M542" i="23"/>
  <c r="M188" i="23"/>
  <c r="M178" i="23"/>
  <c r="M62" i="23"/>
  <c r="M35" i="23"/>
  <c r="M26" i="23"/>
  <c r="M656" i="23"/>
  <c r="M410" i="23"/>
  <c r="M396" i="23"/>
  <c r="M373" i="23"/>
  <c r="M357" i="23"/>
  <c r="M345" i="23"/>
  <c r="M338" i="23"/>
  <c r="M326" i="23"/>
  <c r="M309" i="23"/>
  <c r="M290" i="23"/>
  <c r="M274" i="23"/>
  <c r="M255" i="23"/>
  <c r="M207" i="23"/>
  <c r="M196" i="23"/>
  <c r="M185" i="23"/>
  <c r="M173" i="23"/>
  <c r="M162" i="23"/>
  <c r="M139" i="23"/>
  <c r="M127" i="23"/>
  <c r="M116" i="23"/>
  <c r="M106" i="23"/>
  <c r="M96" i="23"/>
  <c r="M87" i="23"/>
  <c r="M78" i="23"/>
  <c r="M68" i="23"/>
  <c r="M60" i="23"/>
  <c r="M41" i="23"/>
  <c r="M23" i="23"/>
  <c r="M16" i="23"/>
  <c r="M388" i="23"/>
  <c r="M366" i="23"/>
  <c r="M359" i="23"/>
  <c r="M349" i="23"/>
  <c r="M277" i="23"/>
  <c r="M267" i="23"/>
  <c r="M164" i="23"/>
  <c r="M143" i="23"/>
  <c r="M108" i="23"/>
  <c r="M100" i="23"/>
  <c r="M81" i="23"/>
  <c r="M24" i="25"/>
  <c r="M527" i="23"/>
  <c r="M415" i="23"/>
  <c r="M358" i="23"/>
  <c r="M347" i="23"/>
  <c r="M187" i="23"/>
  <c r="M141" i="23"/>
  <c r="M88" i="23"/>
  <c r="M80" i="23"/>
  <c r="M61" i="23"/>
  <c r="H53" i="22"/>
  <c r="H52" i="22"/>
  <c r="H51" i="22"/>
  <c r="H17" i="22"/>
  <c r="H50" i="22"/>
  <c r="H12" i="22"/>
  <c r="M50" i="14"/>
  <c r="M47" i="14"/>
  <c r="M48" i="14"/>
  <c r="M49" i="14"/>
  <c r="M46" i="14"/>
  <c r="H18" i="7"/>
  <c r="E47" i="21"/>
  <c r="E11" i="21"/>
  <c r="E14" i="21"/>
  <c r="E12" i="21"/>
  <c r="E13" i="21"/>
  <c r="I62" i="15"/>
  <c r="I56" i="15"/>
  <c r="I50" i="15"/>
  <c r="G64" i="15"/>
  <c r="G58" i="15"/>
  <c r="G52" i="15"/>
  <c r="G46" i="15"/>
  <c r="H74" i="15"/>
  <c r="H91" i="15"/>
  <c r="H85" i="15"/>
  <c r="I61" i="15"/>
  <c r="I55" i="15"/>
  <c r="I49" i="15"/>
  <c r="G63" i="15"/>
  <c r="G57" i="15"/>
  <c r="G51" i="15"/>
  <c r="G45" i="15"/>
  <c r="H73" i="15"/>
  <c r="H90" i="15"/>
  <c r="H84" i="15"/>
  <c r="I60" i="15"/>
  <c r="I54" i="15"/>
  <c r="I48" i="15"/>
  <c r="G62" i="15"/>
  <c r="G56" i="15"/>
  <c r="G50" i="15"/>
  <c r="H78" i="15"/>
  <c r="H72" i="15"/>
  <c r="H89" i="15"/>
  <c r="H83" i="15"/>
  <c r="I59" i="15"/>
  <c r="I53" i="15"/>
  <c r="I47" i="15"/>
  <c r="G61" i="15"/>
  <c r="G55" i="15"/>
  <c r="G49" i="15"/>
  <c r="H77" i="15"/>
  <c r="H71" i="15"/>
  <c r="H88" i="15"/>
  <c r="H82" i="15"/>
  <c r="I64" i="15"/>
  <c r="I58" i="15"/>
  <c r="I52" i="15"/>
  <c r="I46" i="15"/>
  <c r="G60" i="15"/>
  <c r="G54" i="15"/>
  <c r="G48" i="15"/>
  <c r="H76" i="15"/>
  <c r="H70" i="15"/>
  <c r="H87" i="15"/>
  <c r="I63" i="15"/>
  <c r="I57" i="15"/>
  <c r="I51" i="15"/>
  <c r="I45" i="15"/>
  <c r="G59" i="15"/>
  <c r="G53" i="15"/>
  <c r="G47" i="15"/>
  <c r="H75" i="15"/>
  <c r="H69" i="15"/>
  <c r="H86" i="15"/>
  <c r="H51" i="13"/>
  <c r="H52" i="13"/>
  <c r="H53" i="13"/>
  <c r="H54" i="13"/>
  <c r="H55" i="13"/>
  <c r="H56" i="13"/>
  <c r="H57" i="13"/>
  <c r="H58" i="13"/>
  <c r="H59" i="13"/>
  <c r="H60" i="13"/>
  <c r="H15" i="7" l="1"/>
  <c r="H14" i="7"/>
  <c r="H13" i="7"/>
  <c r="H12" i="7"/>
  <c r="H9" i="7"/>
  <c r="H26" i="7"/>
  <c r="H25" i="7"/>
  <c r="H24" i="7"/>
  <c r="H23" i="7"/>
  <c r="L46" i="21" l="1"/>
  <c r="E188" i="15" l="1" a="1"/>
  <c r="E165" i="15" a="1"/>
  <c r="E165" i="15" s="1"/>
  <c r="U13" i="10"/>
  <c r="U12" i="10"/>
  <c r="U14" i="10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76" i="14"/>
  <c r="H36" i="15" a="1"/>
  <c r="H36" i="15" s="1"/>
  <c r="H37" i="15" a="1"/>
  <c r="H37" i="15" s="1"/>
  <c r="H29" i="15" a="1"/>
  <c r="H29" i="15" s="1"/>
  <c r="H30" i="15" a="1"/>
  <c r="H30" i="15" s="1"/>
  <c r="H31" i="15" a="1"/>
  <c r="H31" i="15" s="1"/>
  <c r="H32" i="15" a="1"/>
  <c r="H32" i="15" s="1"/>
  <c r="H33" i="15" a="1"/>
  <c r="H33" i="15" s="1"/>
  <c r="H34" i="15" a="1"/>
  <c r="H34" i="15" s="1"/>
  <c r="H35" i="15" a="1"/>
  <c r="H35" i="15" s="1"/>
  <c r="H28" i="15" a="1"/>
  <c r="H28" i="15" s="1"/>
  <c r="E188" i="15" l="1"/>
  <c r="E142" i="15" l="1" a="1"/>
  <c r="K165" i="15" s="1"/>
  <c r="E117" i="15" a="1"/>
  <c r="E117" i="15" s="1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42" i="15"/>
  <c r="H156" i="15" l="1"/>
  <c r="M156" i="15"/>
  <c r="M50" i="26" s="1"/>
  <c r="N156" i="15"/>
  <c r="O156" i="15"/>
  <c r="O50" i="26" s="1"/>
  <c r="Q156" i="15"/>
  <c r="Q50" i="26" s="1"/>
  <c r="L156" i="15"/>
  <c r="L50" i="26" s="1"/>
  <c r="P156" i="15"/>
  <c r="H143" i="15"/>
  <c r="M143" i="15"/>
  <c r="P143" i="15"/>
  <c r="P37" i="26" s="1"/>
  <c r="N143" i="15"/>
  <c r="N37" i="26" s="1"/>
  <c r="Q143" i="15"/>
  <c r="O143" i="15"/>
  <c r="L143" i="15"/>
  <c r="L37" i="26" s="1"/>
  <c r="H144" i="15"/>
  <c r="H167" i="15" s="1"/>
  <c r="M144" i="15"/>
  <c r="M38" i="26" s="1"/>
  <c r="N144" i="15"/>
  <c r="N38" i="26" s="1"/>
  <c r="O144" i="15"/>
  <c r="P144" i="15"/>
  <c r="Q144" i="15"/>
  <c r="Q38" i="26" s="1"/>
  <c r="L144" i="15"/>
  <c r="H155" i="15"/>
  <c r="H178" i="15" s="1"/>
  <c r="M155" i="15"/>
  <c r="M49" i="26" s="1"/>
  <c r="P155" i="15"/>
  <c r="N155" i="15"/>
  <c r="N49" i="26" s="1"/>
  <c r="L155" i="15"/>
  <c r="L49" i="26" s="1"/>
  <c r="O155" i="15"/>
  <c r="O49" i="26" s="1"/>
  <c r="Q155" i="15"/>
  <c r="Q49" i="26" s="1"/>
  <c r="H160" i="15"/>
  <c r="H183" i="15" s="1"/>
  <c r="M160" i="15"/>
  <c r="N160" i="15"/>
  <c r="P160" i="15"/>
  <c r="P54" i="26" s="1"/>
  <c r="O160" i="15"/>
  <c r="O54" i="26" s="1"/>
  <c r="Q160" i="15"/>
  <c r="L160" i="15"/>
  <c r="L54" i="26" s="1"/>
  <c r="H154" i="15"/>
  <c r="M154" i="15"/>
  <c r="N154" i="15"/>
  <c r="N48" i="26" s="1"/>
  <c r="P154" i="15"/>
  <c r="P48" i="26" s="1"/>
  <c r="Q154" i="15"/>
  <c r="Q48" i="26" s="1"/>
  <c r="O154" i="15"/>
  <c r="O48" i="26" s="1"/>
  <c r="L154" i="15"/>
  <c r="H148" i="15"/>
  <c r="M148" i="15"/>
  <c r="M42" i="26" s="1"/>
  <c r="P148" i="15"/>
  <c r="P42" i="26" s="1"/>
  <c r="N148" i="15"/>
  <c r="N42" i="26" s="1"/>
  <c r="O148" i="15"/>
  <c r="O42" i="26" s="1"/>
  <c r="Q148" i="15"/>
  <c r="Q42" i="26" s="1"/>
  <c r="L148" i="15"/>
  <c r="H150" i="15"/>
  <c r="M150" i="15"/>
  <c r="M44" i="26" s="1"/>
  <c r="P150" i="15"/>
  <c r="P44" i="26" s="1"/>
  <c r="N150" i="15"/>
  <c r="N44" i="26" s="1"/>
  <c r="Q150" i="15"/>
  <c r="O150" i="15"/>
  <c r="O44" i="26" s="1"/>
  <c r="L150" i="15"/>
  <c r="L44" i="26" s="1"/>
  <c r="H161" i="15"/>
  <c r="H184" i="15" s="1"/>
  <c r="M161" i="15"/>
  <c r="P161" i="15"/>
  <c r="P55" i="26" s="1"/>
  <c r="N161" i="15"/>
  <c r="N55" i="26" s="1"/>
  <c r="L161" i="15"/>
  <c r="L55" i="26" s="1"/>
  <c r="O161" i="15"/>
  <c r="O55" i="26" s="1"/>
  <c r="Q161" i="15"/>
  <c r="Q55" i="26" s="1"/>
  <c r="H149" i="15"/>
  <c r="H172" i="15" s="1"/>
  <c r="M149" i="15"/>
  <c r="M43" i="26" s="1"/>
  <c r="N149" i="15"/>
  <c r="L149" i="15"/>
  <c r="L43" i="26" s="1"/>
  <c r="O149" i="15"/>
  <c r="O43" i="26" s="1"/>
  <c r="P149" i="15"/>
  <c r="P43" i="26" s="1"/>
  <c r="Q149" i="15"/>
  <c r="Q43" i="26" s="1"/>
  <c r="H159" i="15"/>
  <c r="H182" i="15" s="1"/>
  <c r="M159" i="15"/>
  <c r="M53" i="26" s="1"/>
  <c r="P159" i="15"/>
  <c r="N159" i="15"/>
  <c r="N53" i="26" s="1"/>
  <c r="Q159" i="15"/>
  <c r="O159" i="15"/>
  <c r="O53" i="26" s="1"/>
  <c r="L159" i="15"/>
  <c r="L53" i="26" s="1"/>
  <c r="H153" i="15"/>
  <c r="H176" i="15" s="1"/>
  <c r="M153" i="15"/>
  <c r="M47" i="26" s="1"/>
  <c r="P153" i="15"/>
  <c r="P47" i="26" s="1"/>
  <c r="N153" i="15"/>
  <c r="O153" i="15"/>
  <c r="O47" i="26" s="1"/>
  <c r="L153" i="15"/>
  <c r="L47" i="26" s="1"/>
  <c r="Q153" i="15"/>
  <c r="H147" i="15"/>
  <c r="H170" i="15" s="1"/>
  <c r="H158" i="15"/>
  <c r="M158" i="15"/>
  <c r="M52" i="26" s="1"/>
  <c r="N158" i="15"/>
  <c r="N52" i="26" s="1"/>
  <c r="P158" i="15"/>
  <c r="P52" i="26" s="1"/>
  <c r="L158" i="15"/>
  <c r="O158" i="15"/>
  <c r="Q158" i="15"/>
  <c r="Q52" i="26" s="1"/>
  <c r="H152" i="15"/>
  <c r="M152" i="15"/>
  <c r="M46" i="26" s="1"/>
  <c r="P152" i="15"/>
  <c r="P46" i="26" s="1"/>
  <c r="N152" i="15"/>
  <c r="L152" i="15"/>
  <c r="L46" i="26" s="1"/>
  <c r="O152" i="15"/>
  <c r="O46" i="26" s="1"/>
  <c r="Q152" i="15"/>
  <c r="Q46" i="26" s="1"/>
  <c r="H146" i="15"/>
  <c r="H169" i="15" s="1"/>
  <c r="H157" i="15"/>
  <c r="H180" i="15" s="1"/>
  <c r="M157" i="15"/>
  <c r="N157" i="15"/>
  <c r="N51" i="26" s="1"/>
  <c r="P157" i="15"/>
  <c r="P51" i="26" s="1"/>
  <c r="O157" i="15"/>
  <c r="O51" i="26" s="1"/>
  <c r="Q157" i="15"/>
  <c r="Q51" i="26" s="1"/>
  <c r="L157" i="15"/>
  <c r="L51" i="26" s="1"/>
  <c r="H151" i="15"/>
  <c r="H174" i="15" s="1"/>
  <c r="M151" i="15"/>
  <c r="N151" i="15"/>
  <c r="N45" i="26" s="1"/>
  <c r="P151" i="15"/>
  <c r="P45" i="26" s="1"/>
  <c r="O151" i="15"/>
  <c r="O45" i="26" s="1"/>
  <c r="Q151" i="15"/>
  <c r="Q45" i="26" s="1"/>
  <c r="L151" i="15"/>
  <c r="H145" i="15"/>
  <c r="M145" i="15"/>
  <c r="M39" i="26" s="1"/>
  <c r="P145" i="15"/>
  <c r="P39" i="26" s="1"/>
  <c r="N145" i="15"/>
  <c r="N39" i="26" s="1"/>
  <c r="L145" i="15"/>
  <c r="L39" i="26" s="1"/>
  <c r="O145" i="15"/>
  <c r="O39" i="26" s="1"/>
  <c r="Q145" i="15"/>
  <c r="Q39" i="26" s="1"/>
  <c r="P167" i="15"/>
  <c r="H142" i="15"/>
  <c r="H165" i="15" s="1"/>
  <c r="K159" i="15"/>
  <c r="K29" i="26" s="1"/>
  <c r="K157" i="15"/>
  <c r="K27" i="26" s="1"/>
  <c r="K151" i="15"/>
  <c r="K21" i="26" s="1"/>
  <c r="K145" i="15"/>
  <c r="K15" i="26" s="1"/>
  <c r="K160" i="15"/>
  <c r="K30" i="26" s="1"/>
  <c r="K154" i="15"/>
  <c r="K24" i="26" s="1"/>
  <c r="K148" i="15"/>
  <c r="K18" i="26" s="1"/>
  <c r="K153" i="15"/>
  <c r="K23" i="26" s="1"/>
  <c r="K158" i="15"/>
  <c r="K28" i="26" s="1"/>
  <c r="K152" i="15"/>
  <c r="K22" i="26" s="1"/>
  <c r="K156" i="15"/>
  <c r="K26" i="26" s="1"/>
  <c r="K150" i="15"/>
  <c r="K20" i="26" s="1"/>
  <c r="K161" i="15"/>
  <c r="K31" i="26" s="1"/>
  <c r="K155" i="15"/>
  <c r="K25" i="26" s="1"/>
  <c r="K149" i="15"/>
  <c r="K19" i="26" s="1"/>
  <c r="K143" i="15"/>
  <c r="K13" i="26" s="1"/>
  <c r="G183" i="15"/>
  <c r="G177" i="15"/>
  <c r="G171" i="15"/>
  <c r="G175" i="15"/>
  <c r="G165" i="15"/>
  <c r="G179" i="15"/>
  <c r="G173" i="15"/>
  <c r="G167" i="15"/>
  <c r="G182" i="15"/>
  <c r="G176" i="15"/>
  <c r="G170" i="15"/>
  <c r="G181" i="15"/>
  <c r="G169" i="15"/>
  <c r="G180" i="15"/>
  <c r="G174" i="15"/>
  <c r="G168" i="15"/>
  <c r="G184" i="15"/>
  <c r="G178" i="15"/>
  <c r="G172" i="15"/>
  <c r="G166" i="15"/>
  <c r="E142" i="15"/>
  <c r="H179" i="15"/>
  <c r="H177" i="15"/>
  <c r="H171" i="15"/>
  <c r="H173" i="15"/>
  <c r="H181" i="15"/>
  <c r="H175" i="15"/>
  <c r="H168" i="15"/>
  <c r="H166" i="15"/>
  <c r="E97" i="15"/>
  <c r="E98" i="15"/>
  <c r="E99" i="15"/>
  <c r="E100" i="15"/>
  <c r="E101" i="15"/>
  <c r="E102" i="15"/>
  <c r="E103" i="15"/>
  <c r="E104" i="15"/>
  <c r="E105" i="15"/>
  <c r="E106" i="15"/>
  <c r="E107" i="15"/>
  <c r="E108" i="15"/>
  <c r="E109" i="15"/>
  <c r="E110" i="15"/>
  <c r="E111" i="15"/>
  <c r="L21" i="26" l="1"/>
  <c r="L45" i="26"/>
  <c r="M27" i="26"/>
  <c r="M51" i="26"/>
  <c r="N22" i="26"/>
  <c r="N46" i="26"/>
  <c r="L28" i="26"/>
  <c r="L52" i="26"/>
  <c r="Q23" i="26"/>
  <c r="Q47" i="26"/>
  <c r="Q71" i="26" s="1"/>
  <c r="N19" i="26"/>
  <c r="N43" i="26"/>
  <c r="Q20" i="26"/>
  <c r="Q44" i="26"/>
  <c r="L24" i="26"/>
  <c r="L48" i="26"/>
  <c r="M30" i="26"/>
  <c r="M54" i="26"/>
  <c r="P25" i="26"/>
  <c r="P49" i="26"/>
  <c r="O14" i="26"/>
  <c r="O38" i="26"/>
  <c r="Q13" i="26"/>
  <c r="Q37" i="26"/>
  <c r="M31" i="26"/>
  <c r="M55" i="26"/>
  <c r="Q30" i="26"/>
  <c r="Q54" i="26"/>
  <c r="N23" i="26"/>
  <c r="N47" i="26"/>
  <c r="Q29" i="26"/>
  <c r="Q53" i="26"/>
  <c r="L14" i="26"/>
  <c r="L38" i="26"/>
  <c r="M13" i="26"/>
  <c r="M37" i="26"/>
  <c r="N26" i="26"/>
  <c r="N50" i="26"/>
  <c r="M21" i="26"/>
  <c r="M45" i="26"/>
  <c r="O28" i="26"/>
  <c r="O52" i="26"/>
  <c r="P29" i="26"/>
  <c r="P53" i="26"/>
  <c r="L18" i="26"/>
  <c r="L42" i="26"/>
  <c r="M24" i="26"/>
  <c r="M48" i="26"/>
  <c r="N30" i="26"/>
  <c r="N54" i="26"/>
  <c r="P14" i="26"/>
  <c r="P38" i="26"/>
  <c r="O13" i="26"/>
  <c r="O37" i="26"/>
  <c r="P26" i="26"/>
  <c r="P50" i="26"/>
  <c r="P179" i="15"/>
  <c r="L167" i="15"/>
  <c r="N179" i="15"/>
  <c r="Q182" i="15"/>
  <c r="L171" i="15"/>
  <c r="M166" i="15"/>
  <c r="M177" i="15"/>
  <c r="N176" i="15"/>
  <c r="O166" i="15"/>
  <c r="N183" i="15"/>
  <c r="P182" i="15"/>
  <c r="O181" i="15"/>
  <c r="M174" i="15"/>
  <c r="Q183" i="15"/>
  <c r="M184" i="15"/>
  <c r="P175" i="15"/>
  <c r="P22" i="26"/>
  <c r="O168" i="15"/>
  <c r="O15" i="26"/>
  <c r="M182" i="15"/>
  <c r="M29" i="26"/>
  <c r="N184" i="15"/>
  <c r="N31" i="26"/>
  <c r="Q171" i="15"/>
  <c r="Q18" i="26"/>
  <c r="L179" i="15"/>
  <c r="L26" i="26"/>
  <c r="L168" i="15"/>
  <c r="L15" i="26"/>
  <c r="L182" i="15"/>
  <c r="L29" i="26"/>
  <c r="N167" i="15"/>
  <c r="N14" i="26"/>
  <c r="N168" i="15"/>
  <c r="N15" i="26"/>
  <c r="O174" i="15"/>
  <c r="O21" i="26"/>
  <c r="Q180" i="15"/>
  <c r="Q27" i="26"/>
  <c r="M175" i="15"/>
  <c r="M22" i="26"/>
  <c r="N181" i="15"/>
  <c r="N28" i="26"/>
  <c r="O176" i="15"/>
  <c r="O23" i="26"/>
  <c r="O182" i="15"/>
  <c r="O29" i="26"/>
  <c r="Q172" i="15"/>
  <c r="Q19" i="26"/>
  <c r="P173" i="15"/>
  <c r="P20" i="26"/>
  <c r="N171" i="15"/>
  <c r="N18" i="26"/>
  <c r="Q177" i="15"/>
  <c r="Q24" i="26"/>
  <c r="Q178" i="15"/>
  <c r="Q25" i="26"/>
  <c r="M167" i="15"/>
  <c r="M14" i="26"/>
  <c r="P166" i="15"/>
  <c r="P13" i="26"/>
  <c r="O179" i="15"/>
  <c r="O26" i="26"/>
  <c r="L180" i="15"/>
  <c r="L27" i="26"/>
  <c r="P181" i="15"/>
  <c r="P28" i="26"/>
  <c r="L176" i="15"/>
  <c r="L23" i="26"/>
  <c r="P184" i="15"/>
  <c r="P31" i="26"/>
  <c r="O177" i="15"/>
  <c r="O24" i="26"/>
  <c r="N166" i="15"/>
  <c r="N13" i="26"/>
  <c r="P168" i="15"/>
  <c r="P15" i="26"/>
  <c r="P174" i="15"/>
  <c r="P21" i="26"/>
  <c r="O180" i="15"/>
  <c r="O27" i="26"/>
  <c r="Q175" i="15"/>
  <c r="Q22" i="26"/>
  <c r="M181" i="15"/>
  <c r="M28" i="26"/>
  <c r="P172" i="15"/>
  <c r="P19" i="26"/>
  <c r="Q184" i="15"/>
  <c r="Q31" i="26"/>
  <c r="M173" i="15"/>
  <c r="M20" i="26"/>
  <c r="P171" i="15"/>
  <c r="P18" i="26"/>
  <c r="P177" i="15"/>
  <c r="P24" i="26"/>
  <c r="O183" i="15"/>
  <c r="O30" i="26"/>
  <c r="O178" i="15"/>
  <c r="O25" i="26"/>
  <c r="Q174" i="15"/>
  <c r="Q21" i="26"/>
  <c r="M172" i="15"/>
  <c r="M19" i="26"/>
  <c r="N173" i="15"/>
  <c r="N20" i="26"/>
  <c r="O171" i="15"/>
  <c r="O18" i="26"/>
  <c r="L183" i="15"/>
  <c r="L30" i="26"/>
  <c r="M178" i="15"/>
  <c r="M25" i="26"/>
  <c r="Q179" i="15"/>
  <c r="Q26" i="26"/>
  <c r="M168" i="15"/>
  <c r="M15" i="26"/>
  <c r="N174" i="15"/>
  <c r="N21" i="26"/>
  <c r="P180" i="15"/>
  <c r="P27" i="26"/>
  <c r="O175" i="15"/>
  <c r="O22" i="26"/>
  <c r="Q181" i="15"/>
  <c r="Q28" i="26"/>
  <c r="P176" i="15"/>
  <c r="P23" i="26"/>
  <c r="N182" i="15"/>
  <c r="N29" i="26"/>
  <c r="O172" i="15"/>
  <c r="O19" i="26"/>
  <c r="O184" i="15"/>
  <c r="O31" i="26"/>
  <c r="L173" i="15"/>
  <c r="L20" i="26"/>
  <c r="M171" i="15"/>
  <c r="M18" i="26"/>
  <c r="N177" i="15"/>
  <c r="N24" i="26"/>
  <c r="P183" i="15"/>
  <c r="P30" i="26"/>
  <c r="L178" i="15"/>
  <c r="L25" i="26"/>
  <c r="Q167" i="15"/>
  <c r="Q14" i="26"/>
  <c r="L166" i="15"/>
  <c r="L13" i="26"/>
  <c r="M179" i="15"/>
  <c r="M26" i="26"/>
  <c r="Q168" i="15"/>
  <c r="Q15" i="26"/>
  <c r="N180" i="15"/>
  <c r="N27" i="26"/>
  <c r="L175" i="15"/>
  <c r="L22" i="26"/>
  <c r="M176" i="15"/>
  <c r="M23" i="26"/>
  <c r="L172" i="15"/>
  <c r="L19" i="26"/>
  <c r="L184" i="15"/>
  <c r="L31" i="26"/>
  <c r="O173" i="15"/>
  <c r="O20" i="26"/>
  <c r="N178" i="15"/>
  <c r="N25" i="26"/>
  <c r="L69" i="26"/>
  <c r="M75" i="26"/>
  <c r="L76" i="26"/>
  <c r="Q68" i="26"/>
  <c r="L72" i="26"/>
  <c r="P73" i="26"/>
  <c r="O62" i="26"/>
  <c r="M183" i="15"/>
  <c r="Q173" i="15"/>
  <c r="M180" i="15"/>
  <c r="P178" i="15"/>
  <c r="L177" i="15"/>
  <c r="M79" i="26"/>
  <c r="Q78" i="26"/>
  <c r="O167" i="15"/>
  <c r="Q77" i="26"/>
  <c r="L62" i="26"/>
  <c r="N74" i="26"/>
  <c r="L174" i="15"/>
  <c r="N172" i="15"/>
  <c r="L181" i="15"/>
  <c r="Q176" i="15"/>
  <c r="Q166" i="15"/>
  <c r="N175" i="15"/>
  <c r="M69" i="26"/>
  <c r="P77" i="26"/>
  <c r="L66" i="26"/>
  <c r="N78" i="26"/>
  <c r="P62" i="26"/>
  <c r="P74" i="26"/>
  <c r="K44" i="26"/>
  <c r="K68" i="26" s="1"/>
  <c r="K48" i="26"/>
  <c r="K72" i="26" s="1"/>
  <c r="K53" i="26"/>
  <c r="K77" i="26" s="1"/>
  <c r="K46" i="26"/>
  <c r="K70" i="26" s="1"/>
  <c r="K39" i="26"/>
  <c r="K63" i="26" s="1"/>
  <c r="K54" i="26"/>
  <c r="K78" i="26" s="1"/>
  <c r="K52" i="26"/>
  <c r="K76" i="26" s="1"/>
  <c r="K45" i="26"/>
  <c r="K69" i="26" s="1"/>
  <c r="K49" i="26"/>
  <c r="K73" i="26" s="1"/>
  <c r="K47" i="26"/>
  <c r="K71" i="26" s="1"/>
  <c r="K51" i="26"/>
  <c r="K75" i="26" s="1"/>
  <c r="K50" i="26"/>
  <c r="K74" i="26" s="1"/>
  <c r="K37" i="26"/>
  <c r="K61" i="26" s="1"/>
  <c r="K43" i="26"/>
  <c r="K67" i="26" s="1"/>
  <c r="K55" i="26"/>
  <c r="K79" i="26" s="1"/>
  <c r="K42" i="26"/>
  <c r="K66" i="26" s="1"/>
  <c r="R42" i="22" a="1"/>
  <c r="R42" i="22" s="1"/>
  <c r="R43" i="22" s="1"/>
  <c r="P42" i="22" a="1"/>
  <c r="P42" i="22" s="1"/>
  <c r="P43" i="22" s="1"/>
  <c r="Q42" i="22" a="1"/>
  <c r="Q42" i="22" s="1"/>
  <c r="Q43" i="22" s="1"/>
  <c r="K171" i="15"/>
  <c r="K174" i="15"/>
  <c r="K180" i="15"/>
  <c r="K179" i="15"/>
  <c r="K168" i="15"/>
  <c r="K175" i="15"/>
  <c r="K181" i="15"/>
  <c r="K176" i="15"/>
  <c r="K173" i="15"/>
  <c r="K183" i="15"/>
  <c r="K177" i="15"/>
  <c r="K182" i="15"/>
  <c r="K166" i="15"/>
  <c r="K172" i="15"/>
  <c r="K178" i="15"/>
  <c r="K184" i="15"/>
  <c r="O61" i="26" l="1"/>
  <c r="O76" i="26"/>
  <c r="N67" i="26"/>
  <c r="N70" i="26"/>
  <c r="M72" i="26"/>
  <c r="M61" i="26"/>
  <c r="N71" i="26"/>
  <c r="Q61" i="26"/>
  <c r="M78" i="26"/>
  <c r="L67" i="26"/>
  <c r="Q63" i="26"/>
  <c r="Q62" i="26"/>
  <c r="O79" i="26"/>
  <c r="O70" i="26"/>
  <c r="M73" i="26"/>
  <c r="Q69" i="26"/>
  <c r="P72" i="26"/>
  <c r="P63" i="26"/>
  <c r="P79" i="26"/>
  <c r="L75" i="26"/>
  <c r="M62" i="26"/>
  <c r="Q67" i="26"/>
  <c r="N63" i="26"/>
  <c r="L77" i="26"/>
  <c r="L74" i="26"/>
  <c r="M77" i="26"/>
  <c r="N72" i="26"/>
  <c r="N66" i="26"/>
  <c r="L70" i="26"/>
  <c r="M68" i="26"/>
  <c r="O68" i="26"/>
  <c r="M71" i="26"/>
  <c r="M74" i="26"/>
  <c r="L73" i="26"/>
  <c r="M66" i="26"/>
  <c r="O67" i="26"/>
  <c r="M63" i="26"/>
  <c r="L78" i="26"/>
  <c r="M67" i="26"/>
  <c r="O73" i="26"/>
  <c r="P66" i="26"/>
  <c r="Q79" i="26"/>
  <c r="M76" i="26"/>
  <c r="O75" i="26"/>
  <c r="N61" i="26"/>
  <c r="L71" i="26"/>
  <c r="O74" i="26"/>
  <c r="Q73" i="26"/>
  <c r="O77" i="26"/>
  <c r="N76" i="26"/>
  <c r="Q75" i="26"/>
  <c r="N62" i="26"/>
  <c r="Q66" i="26"/>
  <c r="O63" i="26"/>
  <c r="N73" i="26"/>
  <c r="N69" i="26"/>
  <c r="P71" i="26"/>
  <c r="N68" i="26"/>
  <c r="L79" i="26"/>
  <c r="N75" i="26"/>
  <c r="L61" i="26"/>
  <c r="P78" i="26"/>
  <c r="L68" i="26"/>
  <c r="N77" i="26"/>
  <c r="Q76" i="26"/>
  <c r="P75" i="26"/>
  <c r="Q74" i="26"/>
  <c r="O66" i="26"/>
  <c r="O78" i="26"/>
  <c r="P67" i="26"/>
  <c r="Q70" i="26"/>
  <c r="P69" i="26"/>
  <c r="O72" i="26"/>
  <c r="P76" i="26"/>
  <c r="P61" i="26"/>
  <c r="Q72" i="26"/>
  <c r="P68" i="26"/>
  <c r="O71" i="26"/>
  <c r="M70" i="26"/>
  <c r="O69" i="26"/>
  <c r="L63" i="26"/>
  <c r="N79" i="26"/>
  <c r="P70" i="26"/>
  <c r="K144" i="15" l="1"/>
  <c r="K14" i="26" s="1"/>
  <c r="K38" i="26" l="1"/>
  <c r="K62" i="26" s="1"/>
  <c r="E306" i="14"/>
  <c r="E286" i="14"/>
  <c r="E266" i="14"/>
  <c r="E246" i="14"/>
  <c r="E226" i="14"/>
  <c r="E206" i="14"/>
  <c r="E186" i="14"/>
  <c r="E166" i="14"/>
  <c r="P324" i="14"/>
  <c r="L324" i="14"/>
  <c r="V323" i="14"/>
  <c r="L323" i="14"/>
  <c r="V322" i="14"/>
  <c r="L322" i="14"/>
  <c r="V321" i="14"/>
  <c r="L321" i="14"/>
  <c r="V320" i="14"/>
  <c r="L320" i="14"/>
  <c r="V319" i="14"/>
  <c r="L319" i="14"/>
  <c r="V318" i="14"/>
  <c r="L318" i="14"/>
  <c r="V317" i="14"/>
  <c r="L317" i="14"/>
  <c r="V316" i="14"/>
  <c r="L316" i="14"/>
  <c r="V315" i="14"/>
  <c r="L315" i="14"/>
  <c r="L314" i="14"/>
  <c r="L313" i="14"/>
  <c r="L312" i="14"/>
  <c r="L311" i="14"/>
  <c r="L310" i="14"/>
  <c r="K309" i="14" a="1"/>
  <c r="K309" i="14" s="1"/>
  <c r="J309" i="14" a="1"/>
  <c r="J309" i="14" s="1"/>
  <c r="I309" i="14" a="1"/>
  <c r="I309" i="14" s="1"/>
  <c r="H309" i="14" a="1"/>
  <c r="H309" i="14" s="1"/>
  <c r="G309" i="14" a="1"/>
  <c r="G309" i="14" s="1"/>
  <c r="F309" i="14" a="1"/>
  <c r="F309" i="14" s="1"/>
  <c r="K308" i="14"/>
  <c r="J308" i="14"/>
  <c r="I308" i="14"/>
  <c r="H308" i="14"/>
  <c r="G308" i="14"/>
  <c r="F308" i="14"/>
  <c r="P304" i="14"/>
  <c r="L304" i="14"/>
  <c r="V303" i="14"/>
  <c r="L303" i="14"/>
  <c r="V302" i="14"/>
  <c r="L302" i="14"/>
  <c r="V301" i="14"/>
  <c r="L301" i="14"/>
  <c r="V300" i="14"/>
  <c r="L300" i="14"/>
  <c r="V299" i="14"/>
  <c r="L299" i="14"/>
  <c r="V298" i="14"/>
  <c r="L298" i="14"/>
  <c r="V297" i="14"/>
  <c r="L297" i="14"/>
  <c r="V296" i="14"/>
  <c r="L296" i="14"/>
  <c r="V295" i="14"/>
  <c r="L295" i="14"/>
  <c r="L294" i="14"/>
  <c r="L293" i="14"/>
  <c r="L292" i="14"/>
  <c r="L291" i="14"/>
  <c r="R304" i="14"/>
  <c r="L290" i="14"/>
  <c r="K289" i="14" a="1"/>
  <c r="K289" i="14" s="1"/>
  <c r="J289" i="14" a="1"/>
  <c r="J289" i="14" s="1"/>
  <c r="I289" i="14" a="1"/>
  <c r="I289" i="14" s="1"/>
  <c r="H289" i="14" a="1"/>
  <c r="H289" i="14" s="1"/>
  <c r="G289" i="14" a="1"/>
  <c r="G289" i="14" s="1"/>
  <c r="F289" i="14" a="1"/>
  <c r="F289" i="14" s="1"/>
  <c r="K288" i="14"/>
  <c r="J288" i="14"/>
  <c r="I288" i="14"/>
  <c r="H288" i="14"/>
  <c r="G288" i="14"/>
  <c r="F288" i="14"/>
  <c r="P284" i="14"/>
  <c r="L284" i="14"/>
  <c r="V283" i="14"/>
  <c r="L283" i="14"/>
  <c r="V282" i="14"/>
  <c r="L282" i="14"/>
  <c r="V281" i="14"/>
  <c r="L281" i="14"/>
  <c r="V280" i="14"/>
  <c r="L280" i="14"/>
  <c r="V279" i="14"/>
  <c r="L279" i="14"/>
  <c r="V278" i="14"/>
  <c r="L278" i="14"/>
  <c r="V277" i="14"/>
  <c r="L277" i="14"/>
  <c r="V276" i="14"/>
  <c r="L276" i="14"/>
  <c r="V275" i="14"/>
  <c r="L275" i="14"/>
  <c r="L274" i="14"/>
  <c r="L273" i="14"/>
  <c r="L272" i="14"/>
  <c r="L271" i="14"/>
  <c r="V270" i="14"/>
  <c r="L270" i="14"/>
  <c r="Q284" i="14"/>
  <c r="K269" i="14" a="1"/>
  <c r="K269" i="14" s="1"/>
  <c r="J269" i="14" a="1"/>
  <c r="J269" i="14" s="1"/>
  <c r="I269" i="14" a="1"/>
  <c r="I269" i="14" s="1"/>
  <c r="H269" i="14" a="1"/>
  <c r="H269" i="14" s="1"/>
  <c r="G269" i="14" a="1"/>
  <c r="G269" i="14" s="1"/>
  <c r="F269" i="14" a="1"/>
  <c r="F269" i="14" s="1"/>
  <c r="K268" i="14"/>
  <c r="J268" i="14"/>
  <c r="I268" i="14"/>
  <c r="H268" i="14"/>
  <c r="G268" i="14"/>
  <c r="F268" i="14"/>
  <c r="K125" i="14" a="1"/>
  <c r="K125" i="14" s="1"/>
  <c r="J125" i="14" a="1"/>
  <c r="J125" i="14" s="1"/>
  <c r="I125" i="14" a="1"/>
  <c r="I125" i="14" s="1"/>
  <c r="H125" i="14" a="1"/>
  <c r="H125" i="14" s="1"/>
  <c r="G125" i="14" a="1"/>
  <c r="G125" i="14" s="1"/>
  <c r="F125" i="14" a="1"/>
  <c r="F125" i="14" s="1"/>
  <c r="K124" i="14"/>
  <c r="J124" i="14"/>
  <c r="I124" i="14"/>
  <c r="H124" i="14"/>
  <c r="G124" i="14"/>
  <c r="F124" i="14"/>
  <c r="K103" i="14" a="1"/>
  <c r="K103" i="14" s="1"/>
  <c r="J103" i="14" a="1"/>
  <c r="J103" i="14" s="1"/>
  <c r="I103" i="14" a="1"/>
  <c r="I103" i="14" s="1"/>
  <c r="H103" i="14" a="1"/>
  <c r="H103" i="14" s="1"/>
  <c r="G103" i="14" a="1"/>
  <c r="G103" i="14" s="1"/>
  <c r="F103" i="14" a="1"/>
  <c r="F103" i="14" s="1"/>
  <c r="K102" i="14"/>
  <c r="J102" i="14"/>
  <c r="I102" i="14"/>
  <c r="H102" i="14"/>
  <c r="G102" i="14"/>
  <c r="F102" i="14"/>
  <c r="K83" i="14" a="1"/>
  <c r="K83" i="14" s="1"/>
  <c r="J83" i="14" a="1"/>
  <c r="J83" i="14" s="1"/>
  <c r="I83" i="14" a="1"/>
  <c r="I83" i="14" s="1"/>
  <c r="H83" i="14" a="1"/>
  <c r="H83" i="14" s="1"/>
  <c r="G83" i="14" a="1"/>
  <c r="G83" i="14" s="1"/>
  <c r="F83" i="14" a="1"/>
  <c r="F83" i="14" s="1"/>
  <c r="K82" i="14"/>
  <c r="J82" i="14"/>
  <c r="I82" i="14"/>
  <c r="H82" i="14"/>
  <c r="G82" i="14"/>
  <c r="F82" i="14"/>
  <c r="H42" i="13"/>
  <c r="H43" i="13"/>
  <c r="H44" i="13"/>
  <c r="H45" i="13"/>
  <c r="H46" i="13"/>
  <c r="H47" i="13"/>
  <c r="H48" i="13"/>
  <c r="H49" i="13"/>
  <c r="H50" i="13"/>
  <c r="H41" i="13"/>
  <c r="Q324" i="14" l="1"/>
  <c r="R324" i="14"/>
  <c r="V310" i="14"/>
  <c r="V314" i="14"/>
  <c r="V293" i="14"/>
  <c r="V291" i="14"/>
  <c r="Q304" i="14"/>
  <c r="V294" i="14"/>
  <c r="V273" i="14"/>
  <c r="V274" i="14"/>
  <c r="V272" i="14"/>
  <c r="V311" i="14" l="1"/>
  <c r="V312" i="14"/>
  <c r="S324" i="14"/>
  <c r="T324" i="14"/>
  <c r="U324" i="14"/>
  <c r="V313" i="14"/>
  <c r="V292" i="14"/>
  <c r="T304" i="14"/>
  <c r="U304" i="14"/>
  <c r="V289" i="14"/>
  <c r="V290" i="14"/>
  <c r="S304" i="14"/>
  <c r="V271" i="14"/>
  <c r="R284" i="14"/>
  <c r="T284" i="14"/>
  <c r="S284" i="14"/>
  <c r="V304" i="14" l="1"/>
  <c r="V324" i="14"/>
  <c r="V309" i="14"/>
  <c r="U284" i="14"/>
  <c r="V284" i="14" s="1"/>
  <c r="V269" i="14"/>
  <c r="C86" i="13" l="1"/>
  <c r="L162" i="14"/>
  <c r="L184" i="14"/>
  <c r="L204" i="14"/>
  <c r="L224" i="14"/>
  <c r="L244" i="14"/>
  <c r="V263" i="14"/>
  <c r="V262" i="14"/>
  <c r="V261" i="14"/>
  <c r="V260" i="14"/>
  <c r="V259" i="14"/>
  <c r="V258" i="14"/>
  <c r="V257" i="14"/>
  <c r="V256" i="14"/>
  <c r="V255" i="14"/>
  <c r="V243" i="14"/>
  <c r="V242" i="14"/>
  <c r="V241" i="14"/>
  <c r="V240" i="14"/>
  <c r="V239" i="14"/>
  <c r="V238" i="14"/>
  <c r="V237" i="14"/>
  <c r="V236" i="14"/>
  <c r="V235" i="14"/>
  <c r="F168" i="14"/>
  <c r="G168" i="14"/>
  <c r="H168" i="14"/>
  <c r="I168" i="14"/>
  <c r="J168" i="14"/>
  <c r="K168" i="14"/>
  <c r="F188" i="14"/>
  <c r="G188" i="14"/>
  <c r="H188" i="14"/>
  <c r="I188" i="14"/>
  <c r="J188" i="14"/>
  <c r="K188" i="14"/>
  <c r="L190" i="14"/>
  <c r="L191" i="14"/>
  <c r="L192" i="14"/>
  <c r="L193" i="14"/>
  <c r="L194" i="14"/>
  <c r="L195" i="14"/>
  <c r="L196" i="14"/>
  <c r="L197" i="14"/>
  <c r="L198" i="14"/>
  <c r="L199" i="14"/>
  <c r="L200" i="14"/>
  <c r="L201" i="14"/>
  <c r="L202" i="14"/>
  <c r="F189" i="14" a="1"/>
  <c r="F189" i="14" s="1"/>
  <c r="G189" i="14" a="1"/>
  <c r="G189" i="14" s="1"/>
  <c r="H189" i="14" a="1"/>
  <c r="H189" i="14" s="1"/>
  <c r="I189" i="14" a="1"/>
  <c r="I189" i="14" s="1"/>
  <c r="J189" i="14" a="1"/>
  <c r="J189" i="14" s="1"/>
  <c r="K189" i="14" a="1"/>
  <c r="K189" i="14" s="1"/>
  <c r="L203" i="14"/>
  <c r="L383" i="14"/>
  <c r="L382" i="14"/>
  <c r="L381" i="14"/>
  <c r="L380" i="14"/>
  <c r="L379" i="14"/>
  <c r="L378" i="14"/>
  <c r="L377" i="14"/>
  <c r="L376" i="14"/>
  <c r="L375" i="14"/>
  <c r="L374" i="14"/>
  <c r="L373" i="14"/>
  <c r="L372" i="14"/>
  <c r="L371" i="14"/>
  <c r="L370" i="14"/>
  <c r="K369" i="14" a="1"/>
  <c r="K369" i="14" s="1"/>
  <c r="J369" i="14" a="1"/>
  <c r="J369" i="14" s="1"/>
  <c r="I369" i="14" a="1"/>
  <c r="I369" i="14" s="1"/>
  <c r="H369" i="14" a="1"/>
  <c r="H369" i="14" s="1"/>
  <c r="G369" i="14" a="1"/>
  <c r="G369" i="14" s="1"/>
  <c r="F369" i="14" a="1"/>
  <c r="F369" i="14" s="1"/>
  <c r="K368" i="14"/>
  <c r="J368" i="14"/>
  <c r="I368" i="14"/>
  <c r="H368" i="14"/>
  <c r="G368" i="14"/>
  <c r="F368" i="14"/>
  <c r="L264" i="14"/>
  <c r="L263" i="14"/>
  <c r="L262" i="14"/>
  <c r="L261" i="14"/>
  <c r="L260" i="14"/>
  <c r="L259" i="14"/>
  <c r="L258" i="14"/>
  <c r="L257" i="14"/>
  <c r="L256" i="14"/>
  <c r="L255" i="14"/>
  <c r="L254" i="14"/>
  <c r="L253" i="14"/>
  <c r="L252" i="14"/>
  <c r="L251" i="14"/>
  <c r="L250" i="14"/>
  <c r="K249" i="14" a="1"/>
  <c r="K249" i="14" s="1"/>
  <c r="J249" i="14" a="1"/>
  <c r="J249" i="14" s="1"/>
  <c r="I249" i="14" a="1"/>
  <c r="I249" i="14" s="1"/>
  <c r="H249" i="14" a="1"/>
  <c r="H249" i="14" s="1"/>
  <c r="G249" i="14" a="1"/>
  <c r="G249" i="14" s="1"/>
  <c r="F249" i="14" a="1"/>
  <c r="F249" i="14" s="1"/>
  <c r="K248" i="14"/>
  <c r="J248" i="14"/>
  <c r="I248" i="14"/>
  <c r="H248" i="14"/>
  <c r="G248" i="14"/>
  <c r="F248" i="14"/>
  <c r="L243" i="14"/>
  <c r="L242" i="14"/>
  <c r="L241" i="14"/>
  <c r="L240" i="14"/>
  <c r="L239" i="14"/>
  <c r="L238" i="14"/>
  <c r="L237" i="14"/>
  <c r="L236" i="14"/>
  <c r="L235" i="14"/>
  <c r="L234" i="14"/>
  <c r="L233" i="14"/>
  <c r="L232" i="14"/>
  <c r="L231" i="14"/>
  <c r="L230" i="14"/>
  <c r="K229" i="14" a="1"/>
  <c r="K229" i="14" s="1"/>
  <c r="J229" i="14" a="1"/>
  <c r="J229" i="14" s="1"/>
  <c r="I229" i="14" a="1"/>
  <c r="I229" i="14" s="1"/>
  <c r="H229" i="14" a="1"/>
  <c r="H229" i="14" s="1"/>
  <c r="G229" i="14" a="1"/>
  <c r="G229" i="14" s="1"/>
  <c r="F229" i="14" a="1"/>
  <c r="F229" i="14" s="1"/>
  <c r="K228" i="14"/>
  <c r="J228" i="14"/>
  <c r="I228" i="14"/>
  <c r="H228" i="14"/>
  <c r="G228" i="14"/>
  <c r="F228" i="14"/>
  <c r="L223" i="14"/>
  <c r="L222" i="14"/>
  <c r="L221" i="14"/>
  <c r="L220" i="14"/>
  <c r="L219" i="14"/>
  <c r="L218" i="14"/>
  <c r="L217" i="14"/>
  <c r="L216" i="14"/>
  <c r="L215" i="14"/>
  <c r="L214" i="14"/>
  <c r="L213" i="14"/>
  <c r="L212" i="14"/>
  <c r="L211" i="14"/>
  <c r="L210" i="14"/>
  <c r="K209" i="14" a="1"/>
  <c r="K209" i="14" s="1"/>
  <c r="J209" i="14" a="1"/>
  <c r="J209" i="14" s="1"/>
  <c r="I209" i="14" a="1"/>
  <c r="I209" i="14" s="1"/>
  <c r="H209" i="14" a="1"/>
  <c r="H209" i="14" s="1"/>
  <c r="G209" i="14" a="1"/>
  <c r="G209" i="14" s="1"/>
  <c r="F209" i="14" a="1"/>
  <c r="F209" i="14" s="1"/>
  <c r="K208" i="14"/>
  <c r="J208" i="14"/>
  <c r="I208" i="14"/>
  <c r="H208" i="14"/>
  <c r="G208" i="14"/>
  <c r="F208" i="14"/>
  <c r="L183" i="14"/>
  <c r="L182" i="14"/>
  <c r="L181" i="14"/>
  <c r="L180" i="14"/>
  <c r="L179" i="14"/>
  <c r="L178" i="14"/>
  <c r="L177" i="14"/>
  <c r="L176" i="14"/>
  <c r="L175" i="14"/>
  <c r="L174" i="14"/>
  <c r="L173" i="14"/>
  <c r="L172" i="14"/>
  <c r="L171" i="14"/>
  <c r="L170" i="14"/>
  <c r="K169" i="14" a="1"/>
  <c r="K169" i="14" s="1"/>
  <c r="J169" i="14" a="1"/>
  <c r="J169" i="14" s="1"/>
  <c r="I169" i="14" a="1"/>
  <c r="I169" i="14" s="1"/>
  <c r="H169" i="14" a="1"/>
  <c r="H169" i="14" s="1"/>
  <c r="G169" i="14" a="1"/>
  <c r="G169" i="14" s="1"/>
  <c r="F169" i="14" a="1"/>
  <c r="F169" i="14" s="1"/>
  <c r="L160" i="14"/>
  <c r="L159" i="14"/>
  <c r="L158" i="14"/>
  <c r="L157" i="14"/>
  <c r="L156" i="14"/>
  <c r="L155" i="14"/>
  <c r="L154" i="14"/>
  <c r="L153" i="14"/>
  <c r="L152" i="14"/>
  <c r="L151" i="14"/>
  <c r="L150" i="14"/>
  <c r="L149" i="14"/>
  <c r="K409" i="14" a="1"/>
  <c r="K409" i="14" s="1"/>
  <c r="J409" i="14" a="1"/>
  <c r="J409" i="14" s="1"/>
  <c r="I409" i="14" a="1"/>
  <c r="I409" i="14" s="1"/>
  <c r="H409" i="14" a="1"/>
  <c r="H409" i="14" s="1"/>
  <c r="G409" i="14" a="1"/>
  <c r="G409" i="14" s="1"/>
  <c r="F409" i="14" a="1"/>
  <c r="F409" i="14" s="1"/>
  <c r="K408" i="14"/>
  <c r="J408" i="14"/>
  <c r="I408" i="14"/>
  <c r="H408" i="14"/>
  <c r="G408" i="14"/>
  <c r="F408" i="14"/>
  <c r="K389" i="14" a="1"/>
  <c r="K389" i="14" s="1"/>
  <c r="J389" i="14" a="1"/>
  <c r="J389" i="14" s="1"/>
  <c r="I389" i="14" a="1"/>
  <c r="I389" i="14" s="1"/>
  <c r="H389" i="14" a="1"/>
  <c r="H389" i="14" s="1"/>
  <c r="G389" i="14" a="1"/>
  <c r="G389" i="14" s="1"/>
  <c r="F389" i="14" a="1"/>
  <c r="F389" i="14" s="1"/>
  <c r="K388" i="14"/>
  <c r="J388" i="14"/>
  <c r="I388" i="14"/>
  <c r="H388" i="14"/>
  <c r="G388" i="14"/>
  <c r="F388" i="14"/>
  <c r="K147" i="14" a="1"/>
  <c r="K147" i="14" s="1"/>
  <c r="J147" i="14" a="1"/>
  <c r="J147" i="14" s="1"/>
  <c r="I147" i="14" a="1"/>
  <c r="I147" i="14" s="1"/>
  <c r="H147" i="14" a="1"/>
  <c r="H147" i="14" s="1"/>
  <c r="G147" i="14" a="1"/>
  <c r="G147" i="14" s="1"/>
  <c r="F147" i="14" a="1"/>
  <c r="F147" i="14" s="1"/>
  <c r="K146" i="14"/>
  <c r="J146" i="14"/>
  <c r="I146" i="14"/>
  <c r="H146" i="14"/>
  <c r="G146" i="14"/>
  <c r="F146" i="14"/>
  <c r="C72" i="13"/>
  <c r="C40" i="13"/>
  <c r="C24" i="13"/>
  <c r="C9" i="13"/>
  <c r="P264" i="14"/>
  <c r="P184" i="14"/>
  <c r="L161" i="14"/>
  <c r="L148" i="14"/>
  <c r="U9" i="10"/>
  <c r="U8" i="10"/>
  <c r="V254" i="14" l="1"/>
  <c r="V230" i="14"/>
  <c r="V233" i="14"/>
  <c r="V250" i="14"/>
  <c r="V252" i="14"/>
  <c r="Q204" i="14"/>
  <c r="Q184" i="14"/>
  <c r="Q264" i="14"/>
  <c r="S42" i="22" l="1" a="1"/>
  <c r="S42" i="22" s="1"/>
  <c r="S43" i="22" s="1"/>
  <c r="R204" i="14"/>
  <c r="V251" i="14"/>
  <c r="V234" i="14"/>
  <c r="V253" i="14"/>
  <c r="S204" i="14"/>
  <c r="S264" i="14"/>
  <c r="R264" i="14"/>
  <c r="R184" i="14"/>
  <c r="T264" i="14"/>
  <c r="U42" i="22" l="1" a="1"/>
  <c r="U42" i="22" s="1"/>
  <c r="U43" i="22" s="1"/>
  <c r="V42" i="22" a="1"/>
  <c r="V42" i="22" s="1"/>
  <c r="V43" i="22" s="1"/>
  <c r="T42" i="22" a="1"/>
  <c r="T42" i="22" s="1"/>
  <c r="T43" i="22" s="1"/>
  <c r="U264" i="14"/>
  <c r="V264" i="14" s="1"/>
  <c r="V231" i="14"/>
  <c r="V232" i="14"/>
  <c r="V249" i="14"/>
  <c r="T204" i="14"/>
  <c r="S184" i="14"/>
  <c r="U204" i="14" l="1"/>
  <c r="T184" i="14"/>
  <c r="U184" i="14" l="1"/>
  <c r="T339" i="23" l="1"/>
  <c r="P399" i="23"/>
  <c r="R279" i="23"/>
  <c r="T379" i="23"/>
  <c r="T359" i="23"/>
  <c r="T439" i="23"/>
  <c r="T419" i="23"/>
  <c r="S399" i="23"/>
  <c r="S279" i="23"/>
  <c r="S379" i="23"/>
  <c r="S259" i="23"/>
  <c r="S359" i="23"/>
  <c r="S339" i="23"/>
  <c r="S439" i="23"/>
  <c r="S419" i="23"/>
  <c r="T259" i="23"/>
  <c r="T399" i="23"/>
  <c r="Q359" i="23" l="1"/>
  <c r="Q259" i="23"/>
  <c r="Q399" i="23"/>
  <c r="Q419" i="23"/>
  <c r="P259" i="23"/>
  <c r="Q379" i="23"/>
  <c r="Q439" i="23"/>
  <c r="P359" i="23"/>
  <c r="Q279" i="23"/>
  <c r="T279" i="23"/>
  <c r="Q339" i="23"/>
  <c r="P419" i="23"/>
  <c r="R439" i="23"/>
  <c r="R399" i="23"/>
  <c r="R339" i="23"/>
  <c r="R359" i="23"/>
  <c r="R419" i="23"/>
  <c r="R259" i="23"/>
  <c r="R379" i="23"/>
  <c r="U279" i="23"/>
  <c r="U339" i="23"/>
  <c r="U379" i="23"/>
  <c r="U439" i="23"/>
  <c r="U399" i="23"/>
  <c r="P379" i="23"/>
  <c r="P439" i="23"/>
  <c r="U419" i="23"/>
  <c r="P279" i="23"/>
  <c r="P339" i="23"/>
  <c r="U359" i="23"/>
  <c r="U259" i="23"/>
  <c r="V399" i="23" l="1"/>
  <c r="V414" i="23"/>
  <c r="V279" i="23"/>
  <c r="V419" i="23"/>
  <c r="V254" i="23"/>
  <c r="V258" i="23"/>
  <c r="V406" i="23"/>
  <c r="V259" i="23"/>
  <c r="V417" i="23"/>
  <c r="V405" i="23"/>
  <c r="V416" i="23"/>
  <c r="V413" i="23"/>
  <c r="V409" i="23"/>
  <c r="V404" i="23"/>
  <c r="V257" i="23"/>
  <c r="V252" i="23"/>
  <c r="V387" i="23"/>
  <c r="V411" i="23"/>
  <c r="V408" i="23"/>
  <c r="V248" i="23"/>
  <c r="V247" i="23"/>
  <c r="V245" i="23"/>
  <c r="V398" i="23"/>
  <c r="V439" i="23"/>
  <c r="V410" i="23"/>
  <c r="V418" i="23"/>
  <c r="V246" i="23"/>
  <c r="V251" i="23"/>
  <c r="V256" i="23"/>
  <c r="V393" i="23"/>
  <c r="V250" i="23"/>
  <c r="V253" i="23"/>
  <c r="V244" i="23"/>
  <c r="V388" i="23"/>
  <c r="V407" i="23"/>
  <c r="V412" i="23"/>
  <c r="V415" i="23"/>
  <c r="V255" i="23"/>
  <c r="V249" i="23"/>
  <c r="V386" i="23"/>
  <c r="V397" i="23"/>
  <c r="V384" i="23"/>
  <c r="V394" i="23"/>
  <c r="V368" i="23"/>
  <c r="V392" i="23"/>
  <c r="V391" i="23"/>
  <c r="V389" i="23"/>
  <c r="V396" i="23"/>
  <c r="V385" i="23"/>
  <c r="V390" i="23"/>
  <c r="V395" i="23"/>
  <c r="V277" i="23"/>
  <c r="V379" i="23"/>
  <c r="V339" i="23"/>
  <c r="V373" i="23"/>
  <c r="V336" i="23"/>
  <c r="V272" i="23"/>
  <c r="V425" i="23"/>
  <c r="V435" i="23"/>
  <c r="V338" i="23"/>
  <c r="V350" i="23"/>
  <c r="V431" i="23"/>
  <c r="V430" i="23"/>
  <c r="V378" i="23"/>
  <c r="V369" i="23"/>
  <c r="V333" i="23"/>
  <c r="V332" i="23"/>
  <c r="V324" i="23"/>
  <c r="V346" i="23"/>
  <c r="V271" i="23"/>
  <c r="V275" i="23"/>
  <c r="V433" i="23"/>
  <c r="V428" i="23"/>
  <c r="V366" i="23"/>
  <c r="V372" i="23"/>
  <c r="V376" i="23"/>
  <c r="V337" i="23"/>
  <c r="V335" i="23"/>
  <c r="V276" i="23"/>
  <c r="V269" i="23"/>
  <c r="V265" i="23"/>
  <c r="V429" i="23"/>
  <c r="V436" i="23"/>
  <c r="V438" i="23"/>
  <c r="V370" i="23"/>
  <c r="V371" i="23"/>
  <c r="V367" i="23"/>
  <c r="V327" i="23"/>
  <c r="V331" i="23"/>
  <c r="V266" i="23"/>
  <c r="V268" i="23"/>
  <c r="V267" i="23"/>
  <c r="V432" i="23"/>
  <c r="V434" i="23"/>
  <c r="V427" i="23"/>
  <c r="V375" i="23"/>
  <c r="V377" i="23"/>
  <c r="V364" i="23"/>
  <c r="V334" i="23"/>
  <c r="V326" i="23"/>
  <c r="V329" i="23"/>
  <c r="V270" i="23"/>
  <c r="V274" i="23"/>
  <c r="V264" i="23"/>
  <c r="V359" i="23"/>
  <c r="V437" i="23"/>
  <c r="V426" i="23"/>
  <c r="V424" i="23"/>
  <c r="V374" i="23"/>
  <c r="V365" i="23"/>
  <c r="V328" i="23"/>
  <c r="V330" i="23"/>
  <c r="V325" i="23"/>
  <c r="V353" i="23"/>
  <c r="V273" i="23"/>
  <c r="V278" i="23"/>
  <c r="V358" i="23"/>
  <c r="V345" i="23"/>
  <c r="V352" i="23"/>
  <c r="V351" i="23"/>
  <c r="V348" i="23"/>
  <c r="V357" i="23"/>
  <c r="V356" i="23"/>
  <c r="V344" i="23"/>
  <c r="V355" i="23"/>
  <c r="V354" i="23"/>
  <c r="V349" i="23"/>
  <c r="V347" i="23"/>
  <c r="O359" i="23" l="1"/>
  <c r="O339" i="23"/>
  <c r="O279" i="23"/>
  <c r="O379" i="23"/>
  <c r="O439" i="23"/>
  <c r="O419" i="23"/>
  <c r="O259" i="23"/>
  <c r="O399" i="23"/>
  <c r="K12" i="26"/>
  <c r="K36" i="26" l="1"/>
  <c r="K60" i="26" s="1"/>
  <c r="A426" i="14" l="1"/>
  <c r="K167" i="15" l="1"/>
  <c r="M162" i="14" l="1"/>
  <c r="V68" i="14"/>
  <c r="V62" i="14"/>
  <c r="G18" i="29"/>
  <c r="H18" i="29" s="1"/>
  <c r="I18" i="29" s="1"/>
  <c r="J18" i="29" s="1"/>
  <c r="K18" i="29" s="1"/>
  <c r="G18" i="21"/>
  <c r="H18" i="21" s="1"/>
  <c r="I18" i="21" s="1"/>
  <c r="J18" i="21" s="1"/>
  <c r="K18" i="21" s="1"/>
  <c r="G26" i="29"/>
  <c r="H26" i="29" s="1"/>
  <c r="I26" i="29" s="1"/>
  <c r="J26" i="29" s="1"/>
  <c r="K26" i="29" s="1"/>
  <c r="G10" i="29"/>
  <c r="H10" i="29" s="1"/>
  <c r="I10" i="29" s="1"/>
  <c r="J10" i="29" s="1"/>
  <c r="K10" i="29" s="1"/>
  <c r="G34" i="29"/>
  <c r="H34" i="29" s="1"/>
  <c r="I34" i="29" s="1"/>
  <c r="J34" i="29" s="1"/>
  <c r="K34" i="29" s="1"/>
  <c r="G34" i="21"/>
  <c r="H34" i="21" s="1"/>
  <c r="I34" i="21" s="1"/>
  <c r="J34" i="21" s="1"/>
  <c r="K34" i="21" s="1"/>
  <c r="G26" i="21"/>
  <c r="H26" i="21" s="1"/>
  <c r="I26" i="21" s="1"/>
  <c r="J26" i="21" s="1"/>
  <c r="K26" i="21" s="1"/>
  <c r="G10" i="21"/>
  <c r="R5" i="7"/>
  <c r="Q8" i="22"/>
  <c r="Q49" i="22" s="1"/>
  <c r="Q48" i="22" s="1"/>
  <c r="U23" i="10"/>
  <c r="I8" i="9"/>
  <c r="Q168" i="14"/>
  <c r="M68" i="15"/>
  <c r="M81" i="15" s="1"/>
  <c r="L15" i="9"/>
  <c r="U24" i="10"/>
  <c r="L43" i="9" l="1"/>
  <c r="L26" i="9"/>
  <c r="Q388" i="14"/>
  <c r="Q429" i="14"/>
  <c r="S5" i="7"/>
  <c r="T5" i="7" s="1"/>
  <c r="U5" i="7" s="1"/>
  <c r="V5" i="7" s="1"/>
  <c r="Q5" i="7"/>
  <c r="R168" i="14"/>
  <c r="Q45" i="14"/>
  <c r="Q12" i="23"/>
  <c r="Q212" i="23" s="1"/>
  <c r="L68" i="15"/>
  <c r="M11" i="26"/>
  <c r="M98" i="26"/>
  <c r="M108" i="26"/>
  <c r="N68" i="15"/>
  <c r="M141" i="15"/>
  <c r="M35" i="26"/>
  <c r="M187" i="15"/>
  <c r="M88" i="26"/>
  <c r="M91" i="26"/>
  <c r="M59" i="26"/>
  <c r="M116" i="15"/>
  <c r="M113" i="26"/>
  <c r="M124" i="26"/>
  <c r="M164" i="15"/>
  <c r="K15" i="9"/>
  <c r="K26" i="9" s="1"/>
  <c r="R8" i="22"/>
  <c r="R49" i="22" s="1"/>
  <c r="Q12" i="25"/>
  <c r="Q368" i="14"/>
  <c r="Q208" i="14"/>
  <c r="Q288" i="14"/>
  <c r="Q408" i="14"/>
  <c r="Q268" i="14"/>
  <c r="Q248" i="14"/>
  <c r="Q308" i="14"/>
  <c r="Q58" i="14"/>
  <c r="Q348" i="14"/>
  <c r="Q328" i="14"/>
  <c r="Q64" i="14"/>
  <c r="Q138" i="25"/>
  <c r="Q53" i="14"/>
  <c r="Q228" i="14"/>
  <c r="G46" i="21"/>
  <c r="H10" i="21"/>
  <c r="P168" i="14"/>
  <c r="P429" i="14" s="1"/>
  <c r="M15" i="9"/>
  <c r="M26" i="9" s="1"/>
  <c r="L20" i="9"/>
  <c r="L36" i="9"/>
  <c r="L16" i="9"/>
  <c r="L28" i="9" s="1" a="1"/>
  <c r="L28" i="9" s="1"/>
  <c r="L29" i="9" s="1"/>
  <c r="M29" i="9" s="1"/>
  <c r="N29" i="9" s="1"/>
  <c r="O29" i="9" s="1"/>
  <c r="P29" i="9" s="1"/>
  <c r="Q188" i="14"/>
  <c r="Q18" i="7" l="1"/>
  <c r="Q17" i="7"/>
  <c r="P5" i="7"/>
  <c r="P17" i="7" s="1"/>
  <c r="Q4" i="7"/>
  <c r="Q52" i="23"/>
  <c r="Q72" i="23"/>
  <c r="Q92" i="23"/>
  <c r="Q112" i="23"/>
  <c r="Q132" i="23"/>
  <c r="Q152" i="23"/>
  <c r="Q172" i="23"/>
  <c r="Q192" i="23"/>
  <c r="R12" i="25"/>
  <c r="R72" i="25" s="1"/>
  <c r="R429" i="14"/>
  <c r="Q383" i="23"/>
  <c r="Q443" i="23"/>
  <c r="R308" i="14"/>
  <c r="R58" i="14"/>
  <c r="R208" i="14"/>
  <c r="R12" i="23"/>
  <c r="R212" i="23" s="1"/>
  <c r="Q323" i="23"/>
  <c r="Q526" i="23"/>
  <c r="Q303" i="23"/>
  <c r="Q403" i="23"/>
  <c r="Q343" i="23"/>
  <c r="Q546" i="23"/>
  <c r="Q506" i="23"/>
  <c r="Q283" i="23"/>
  <c r="Q243" i="23"/>
  <c r="Q586" i="23"/>
  <c r="Q486" i="23"/>
  <c r="Q606" i="23"/>
  <c r="Q566" i="23"/>
  <c r="Q646" i="23"/>
  <c r="Q626" i="23"/>
  <c r="R328" i="14"/>
  <c r="R45" i="14"/>
  <c r="R53" i="14"/>
  <c r="R288" i="14"/>
  <c r="R138" i="25"/>
  <c r="R368" i="14"/>
  <c r="S168" i="14"/>
  <c r="R408" i="14"/>
  <c r="R348" i="14"/>
  <c r="R64" i="14"/>
  <c r="R188" i="14"/>
  <c r="R248" i="14"/>
  <c r="R388" i="14"/>
  <c r="R228" i="14"/>
  <c r="R268" i="14"/>
  <c r="Q363" i="23"/>
  <c r="Q466" i="23"/>
  <c r="Q263" i="23"/>
  <c r="Q32" i="23"/>
  <c r="Q423" i="23"/>
  <c r="K36" i="9"/>
  <c r="K20" i="9"/>
  <c r="K43" i="9"/>
  <c r="K16" i="9"/>
  <c r="K28" i="9" s="1" a="1"/>
  <c r="K28" i="9" s="1"/>
  <c r="K29" i="9" s="1"/>
  <c r="J15" i="9"/>
  <c r="J26" i="9" s="1"/>
  <c r="N81" i="15"/>
  <c r="N91" i="26"/>
  <c r="O68" i="15"/>
  <c r="N141" i="15"/>
  <c r="N187" i="15"/>
  <c r="N113" i="26"/>
  <c r="N108" i="26"/>
  <c r="N164" i="15"/>
  <c r="N116" i="15"/>
  <c r="N35" i="26"/>
  <c r="N88" i="26"/>
  <c r="N59" i="26"/>
  <c r="N98" i="26"/>
  <c r="N124" i="26"/>
  <c r="N11" i="26"/>
  <c r="L22" i="9" a="1"/>
  <c r="L22" i="9" s="1"/>
  <c r="M43" i="9"/>
  <c r="M36" i="9"/>
  <c r="M16" i="9"/>
  <c r="M28" i="9" s="1" a="1"/>
  <c r="M28" i="9" s="1"/>
  <c r="N15" i="9"/>
  <c r="N26" i="9" s="1"/>
  <c r="M20" i="9"/>
  <c r="H46" i="21"/>
  <c r="I10" i="21"/>
  <c r="P388" i="14"/>
  <c r="P348" i="14"/>
  <c r="P45" i="14"/>
  <c r="P228" i="14"/>
  <c r="P308" i="14"/>
  <c r="P268" i="14"/>
  <c r="P12" i="25"/>
  <c r="P368" i="14"/>
  <c r="P58" i="14"/>
  <c r="P64" i="14"/>
  <c r="P12" i="23"/>
  <c r="P212" i="23" s="1"/>
  <c r="P288" i="14"/>
  <c r="P167" i="14"/>
  <c r="P188" i="14"/>
  <c r="P408" i="14"/>
  <c r="O168" i="14"/>
  <c r="O429" i="14" s="1"/>
  <c r="P328" i="14"/>
  <c r="P208" i="14"/>
  <c r="P248" i="14"/>
  <c r="P8" i="22"/>
  <c r="P49" i="22" s="1"/>
  <c r="P48" i="22" s="1"/>
  <c r="L116" i="15"/>
  <c r="L115" i="15" s="1"/>
  <c r="L11" i="26"/>
  <c r="L164" i="15"/>
  <c r="L187" i="15"/>
  <c r="L88" i="26"/>
  <c r="L81" i="15"/>
  <c r="L124" i="26"/>
  <c r="L59" i="26"/>
  <c r="L98" i="26"/>
  <c r="L108" i="26"/>
  <c r="L113" i="26"/>
  <c r="L91" i="26"/>
  <c r="K68" i="15"/>
  <c r="L35" i="26"/>
  <c r="L141" i="15"/>
  <c r="Q52" i="25"/>
  <c r="Q113" i="25"/>
  <c r="Q93" i="25"/>
  <c r="Q72" i="25"/>
  <c r="Q32" i="25"/>
  <c r="S8" i="22"/>
  <c r="S49" i="22" s="1"/>
  <c r="M22" i="9" l="1" a="1"/>
  <c r="M22" i="9" s="1"/>
  <c r="K22" i="9" a="1"/>
  <c r="K22" i="9" s="1"/>
  <c r="L23" i="9"/>
  <c r="O5" i="7"/>
  <c r="P4" i="7"/>
  <c r="R32" i="25"/>
  <c r="R52" i="25"/>
  <c r="P443" i="23"/>
  <c r="P52" i="23"/>
  <c r="P72" i="23"/>
  <c r="P92" i="23"/>
  <c r="P112" i="23"/>
  <c r="P132" i="23"/>
  <c r="P152" i="23"/>
  <c r="P172" i="23"/>
  <c r="P192" i="23"/>
  <c r="R52" i="23"/>
  <c r="R72" i="23"/>
  <c r="R92" i="23"/>
  <c r="R112" i="23"/>
  <c r="R132" i="23"/>
  <c r="R152" i="23"/>
  <c r="R172" i="23"/>
  <c r="R192" i="23"/>
  <c r="R93" i="25"/>
  <c r="R113" i="25"/>
  <c r="R423" i="23"/>
  <c r="R443" i="23"/>
  <c r="S248" i="14"/>
  <c r="S429" i="14"/>
  <c r="R363" i="23"/>
  <c r="R546" i="23"/>
  <c r="R383" i="23"/>
  <c r="R606" i="23"/>
  <c r="R243" i="23"/>
  <c r="R343" i="23"/>
  <c r="R586" i="23"/>
  <c r="R403" i="23"/>
  <c r="R303" i="23"/>
  <c r="R486" i="23"/>
  <c r="R323" i="23"/>
  <c r="R566" i="23"/>
  <c r="R32" i="23"/>
  <c r="R263" i="23"/>
  <c r="R506" i="23"/>
  <c r="R466" i="23"/>
  <c r="R283" i="23"/>
  <c r="R526" i="23"/>
  <c r="R646" i="23"/>
  <c r="R626" i="23"/>
  <c r="S408" i="14"/>
  <c r="S368" i="14"/>
  <c r="S53" i="14"/>
  <c r="S348" i="14"/>
  <c r="S308" i="14"/>
  <c r="S45" i="14"/>
  <c r="S12" i="23"/>
  <c r="S212" i="23" s="1"/>
  <c r="T168" i="14"/>
  <c r="S208" i="14"/>
  <c r="S328" i="14"/>
  <c r="S12" i="25"/>
  <c r="S32" i="25" s="1"/>
  <c r="S188" i="14"/>
  <c r="S388" i="14"/>
  <c r="S138" i="25"/>
  <c r="S228" i="14"/>
  <c r="S288" i="14"/>
  <c r="S268" i="14"/>
  <c r="S58" i="14"/>
  <c r="S64" i="14"/>
  <c r="I46" i="21"/>
  <c r="J10" i="21"/>
  <c r="J16" i="9"/>
  <c r="J28" i="9" s="1" a="1"/>
  <c r="J28" i="9" s="1"/>
  <c r="J29" i="9" s="1"/>
  <c r="J20" i="9"/>
  <c r="I15" i="9"/>
  <c r="I26" i="9" s="1"/>
  <c r="J43" i="9"/>
  <c r="J36" i="9"/>
  <c r="O15" i="9"/>
  <c r="O26" i="9" s="1"/>
  <c r="N16" i="9"/>
  <c r="N28" i="9" s="1" a="1"/>
  <c r="N28" i="9" s="1"/>
  <c r="N43" i="9"/>
  <c r="N20" i="9"/>
  <c r="N36" i="9"/>
  <c r="M23" i="9"/>
  <c r="P263" i="23"/>
  <c r="P646" i="23"/>
  <c r="P403" i="23"/>
  <c r="P383" i="23"/>
  <c r="P526" i="23"/>
  <c r="P486" i="23"/>
  <c r="P243" i="23"/>
  <c r="P363" i="23"/>
  <c r="P626" i="23"/>
  <c r="P586" i="23"/>
  <c r="P506" i="23"/>
  <c r="P343" i="23"/>
  <c r="P546" i="23"/>
  <c r="P283" i="23"/>
  <c r="P32" i="23"/>
  <c r="P303" i="23"/>
  <c r="P423" i="23"/>
  <c r="P466" i="23"/>
  <c r="P566" i="23"/>
  <c r="P323" i="23"/>
  <c r="P606" i="23"/>
  <c r="O98" i="26"/>
  <c r="O35" i="26"/>
  <c r="O59" i="26"/>
  <c r="O88" i="26"/>
  <c r="O108" i="26"/>
  <c r="O164" i="15"/>
  <c r="O113" i="26"/>
  <c r="O124" i="26"/>
  <c r="O11" i="26"/>
  <c r="O81" i="15"/>
  <c r="O187" i="15"/>
  <c r="O116" i="15"/>
  <c r="O141" i="15"/>
  <c r="P68" i="15"/>
  <c r="O91" i="26"/>
  <c r="O388" i="14"/>
  <c r="O12" i="25"/>
  <c r="O368" i="14"/>
  <c r="O58" i="14"/>
  <c r="O408" i="14"/>
  <c r="O248" i="14"/>
  <c r="O188" i="14"/>
  <c r="O308" i="14"/>
  <c r="O12" i="23"/>
  <c r="O228" i="14"/>
  <c r="O167" i="14"/>
  <c r="O208" i="14"/>
  <c r="O64" i="14"/>
  <c r="N168" i="14"/>
  <c r="O348" i="14"/>
  <c r="O45" i="14"/>
  <c r="O288" i="14"/>
  <c r="O268" i="14"/>
  <c r="O328" i="14"/>
  <c r="K108" i="26"/>
  <c r="K91" i="26"/>
  <c r="K164" i="15"/>
  <c r="K35" i="26"/>
  <c r="K81" i="15"/>
  <c r="K141" i="15"/>
  <c r="K116" i="15"/>
  <c r="K115" i="15" s="1"/>
  <c r="K98" i="26"/>
  <c r="K187" i="15"/>
  <c r="K113" i="26"/>
  <c r="K59" i="26"/>
  <c r="K124" i="26"/>
  <c r="K88" i="26"/>
  <c r="K11" i="26"/>
  <c r="J68" i="15"/>
  <c r="P113" i="25"/>
  <c r="P32" i="25"/>
  <c r="P72" i="25"/>
  <c r="P52" i="25"/>
  <c r="P93" i="25"/>
  <c r="T8" i="22"/>
  <c r="T49" i="22" s="1"/>
  <c r="O8" i="22"/>
  <c r="O49" i="22" s="1"/>
  <c r="O48" i="22" s="1"/>
  <c r="N5" i="7" l="1"/>
  <c r="M5" i="7" s="1"/>
  <c r="L5" i="7" s="1"/>
  <c r="O18" i="7"/>
  <c r="O17" i="7"/>
  <c r="N22" i="9" a="1"/>
  <c r="N22" i="9" s="1"/>
  <c r="K23" i="9"/>
  <c r="O43" i="22"/>
  <c r="O4" i="7"/>
  <c r="O443" i="23"/>
  <c r="O212" i="23"/>
  <c r="S152" i="23"/>
  <c r="S72" i="23"/>
  <c r="S92" i="23"/>
  <c r="S112" i="23"/>
  <c r="S132" i="23"/>
  <c r="S192" i="23"/>
  <c r="S52" i="23"/>
  <c r="S172" i="23"/>
  <c r="T429" i="14"/>
  <c r="S586" i="23"/>
  <c r="S443" i="23"/>
  <c r="S566" i="23"/>
  <c r="S343" i="23"/>
  <c r="S526" i="23"/>
  <c r="S646" i="23"/>
  <c r="S323" i="23"/>
  <c r="T45" i="14"/>
  <c r="T268" i="14"/>
  <c r="T64" i="14"/>
  <c r="S403" i="23"/>
  <c r="S263" i="23"/>
  <c r="S243" i="23"/>
  <c r="T248" i="14"/>
  <c r="S546" i="23"/>
  <c r="T328" i="14"/>
  <c r="T58" i="14"/>
  <c r="T348" i="14"/>
  <c r="S283" i="23"/>
  <c r="S363" i="23"/>
  <c r="T12" i="23"/>
  <c r="S303" i="23"/>
  <c r="T12" i="25"/>
  <c r="T52" i="25" s="1"/>
  <c r="S32" i="23"/>
  <c r="S506" i="23"/>
  <c r="T228" i="14"/>
  <c r="S626" i="23"/>
  <c r="T288" i="14"/>
  <c r="T53" i="14"/>
  <c r="T388" i="14"/>
  <c r="T188" i="14"/>
  <c r="S52" i="25"/>
  <c r="S113" i="25"/>
  <c r="S93" i="25"/>
  <c r="T368" i="14"/>
  <c r="S486" i="23"/>
  <c r="S383" i="23"/>
  <c r="S72" i="25"/>
  <c r="T308" i="14"/>
  <c r="S423" i="23"/>
  <c r="S466" i="23"/>
  <c r="U168" i="14"/>
  <c r="T138" i="25"/>
  <c r="T408" i="14"/>
  <c r="T208" i="14"/>
  <c r="S606" i="23"/>
  <c r="N4" i="7"/>
  <c r="O72" i="25"/>
  <c r="O93" i="25"/>
  <c r="O32" i="25"/>
  <c r="O113" i="25"/>
  <c r="O52" i="25"/>
  <c r="P164" i="15"/>
  <c r="P81" i="15"/>
  <c r="P35" i="26"/>
  <c r="P108" i="26"/>
  <c r="P116" i="15"/>
  <c r="P11" i="26"/>
  <c r="P98" i="26"/>
  <c r="P124" i="26"/>
  <c r="P88" i="26"/>
  <c r="P59" i="26"/>
  <c r="Q68" i="15"/>
  <c r="P91" i="26"/>
  <c r="P187" i="15"/>
  <c r="P113" i="26"/>
  <c r="P141" i="15"/>
  <c r="J116" i="15"/>
  <c r="J115" i="15" s="1"/>
  <c r="J91" i="26"/>
  <c r="J59" i="26"/>
  <c r="J11" i="26"/>
  <c r="J164" i="15"/>
  <c r="J88" i="26"/>
  <c r="J35" i="26"/>
  <c r="J141" i="15"/>
  <c r="J81" i="15"/>
  <c r="J113" i="26"/>
  <c r="J108" i="26"/>
  <c r="J98" i="26"/>
  <c r="J187" i="15"/>
  <c r="J124" i="26"/>
  <c r="N408" i="14"/>
  <c r="N58" i="14"/>
  <c r="N45" i="14"/>
  <c r="N64" i="14"/>
  <c r="N167" i="14"/>
  <c r="O20" i="9"/>
  <c r="P15" i="9"/>
  <c r="P26" i="9" s="1"/>
  <c r="O16" i="9"/>
  <c r="O28" i="9" s="1" a="1"/>
  <c r="O28" i="9" s="1"/>
  <c r="O43" i="9"/>
  <c r="O36" i="9"/>
  <c r="U8" i="22"/>
  <c r="U49" i="22" s="1"/>
  <c r="H15" i="9"/>
  <c r="H26" i="9" s="1"/>
  <c r="I20" i="9"/>
  <c r="I36" i="9"/>
  <c r="I43" i="9"/>
  <c r="I16" i="9"/>
  <c r="I28" i="9" s="1" a="1"/>
  <c r="I28" i="9" s="1"/>
  <c r="I29" i="9" s="1"/>
  <c r="I33" i="9" s="1"/>
  <c r="O72" i="23"/>
  <c r="O303" i="23"/>
  <c r="O486" i="23"/>
  <c r="O172" i="23"/>
  <c r="O506" i="23"/>
  <c r="O52" i="23"/>
  <c r="O383" i="23"/>
  <c r="O112" i="23"/>
  <c r="O132" i="23"/>
  <c r="O423" i="23"/>
  <c r="O403" i="23"/>
  <c r="O363" i="23"/>
  <c r="O263" i="23"/>
  <c r="O646" i="23"/>
  <c r="O323" i="23"/>
  <c r="O192" i="23"/>
  <c r="O466" i="23"/>
  <c r="O32" i="23"/>
  <c r="O626" i="23"/>
  <c r="O566" i="23"/>
  <c r="O586" i="23"/>
  <c r="O546" i="23"/>
  <c r="O526" i="23"/>
  <c r="O343" i="23"/>
  <c r="O152" i="23"/>
  <c r="O606" i="23"/>
  <c r="O243" i="23"/>
  <c r="O283" i="23"/>
  <c r="O92" i="23"/>
  <c r="J22" i="9" a="1"/>
  <c r="J22" i="9" s="1"/>
  <c r="K10" i="21"/>
  <c r="K46" i="21" s="1"/>
  <c r="J46" i="21"/>
  <c r="N8" i="22"/>
  <c r="T113" i="25"/>
  <c r="N23" i="9"/>
  <c r="J23" i="9" l="1"/>
  <c r="I22" i="9" a="1"/>
  <c r="I22" i="9" s="1"/>
  <c r="O22" i="9" a="1"/>
  <c r="O22" i="9" s="1"/>
  <c r="T32" i="23"/>
  <c r="T212" i="23"/>
  <c r="T32" i="25"/>
  <c r="T443" i="23"/>
  <c r="T52" i="23"/>
  <c r="T72" i="23"/>
  <c r="T92" i="23"/>
  <c r="T112" i="23"/>
  <c r="T132" i="23"/>
  <c r="T152" i="23"/>
  <c r="T172" i="23"/>
  <c r="T192" i="23"/>
  <c r="T72" i="25"/>
  <c r="T93" i="25"/>
  <c r="K51" i="9"/>
  <c r="O51" i="9"/>
  <c r="L51" i="9"/>
  <c r="P51" i="9"/>
  <c r="J51" i="9"/>
  <c r="N51" i="9"/>
  <c r="I51" i="9"/>
  <c r="M51" i="9"/>
  <c r="T243" i="23"/>
  <c r="T606" i="23"/>
  <c r="T526" i="23"/>
  <c r="T283" i="23"/>
  <c r="T383" i="23"/>
  <c r="T506" i="23"/>
  <c r="T423" i="23"/>
  <c r="T646" i="23"/>
  <c r="T566" i="23"/>
  <c r="T303" i="23"/>
  <c r="T363" i="23"/>
  <c r="T586" i="23"/>
  <c r="T466" i="23"/>
  <c r="T486" i="23"/>
  <c r="T263" i="23"/>
  <c r="T403" i="23"/>
  <c r="T323" i="23"/>
  <c r="T546" i="23"/>
  <c r="T343" i="23"/>
  <c r="T626" i="23"/>
  <c r="U348" i="14"/>
  <c r="U429" i="14"/>
  <c r="U408" i="14"/>
  <c r="U138" i="25"/>
  <c r="U58" i="14"/>
  <c r="U64" i="14"/>
  <c r="U228" i="14"/>
  <c r="U288" i="14"/>
  <c r="U188" i="14"/>
  <c r="U45" i="14"/>
  <c r="U268" i="14"/>
  <c r="U12" i="25"/>
  <c r="U52" i="25" s="1"/>
  <c r="U12" i="23"/>
  <c r="U212" i="23" s="1"/>
  <c r="U368" i="14"/>
  <c r="U388" i="14"/>
  <c r="U53" i="14"/>
  <c r="U208" i="14"/>
  <c r="U328" i="14"/>
  <c r="U248" i="14"/>
  <c r="U308" i="14"/>
  <c r="V8" i="22"/>
  <c r="V49" i="22" s="1"/>
  <c r="P44" i="22"/>
  <c r="T44" i="22"/>
  <c r="Q44" i="22"/>
  <c r="S44" i="22"/>
  <c r="U44" i="22"/>
  <c r="V44" i="22"/>
  <c r="R44" i="22"/>
  <c r="J200" i="15"/>
  <c r="K200" i="15" s="1"/>
  <c r="L200" i="15" s="1"/>
  <c r="M200" i="15" s="1"/>
  <c r="N200" i="15" s="1"/>
  <c r="O200" i="15" s="1"/>
  <c r="P200" i="15" s="1"/>
  <c r="Q200" i="15" s="1"/>
  <c r="J197" i="15"/>
  <c r="K197" i="15" s="1"/>
  <c r="L197" i="15" s="1"/>
  <c r="M197" i="15" s="1"/>
  <c r="N197" i="15" s="1"/>
  <c r="O197" i="15" s="1"/>
  <c r="P197" i="15" s="1"/>
  <c r="Q197" i="15" s="1"/>
  <c r="J190" i="15"/>
  <c r="K190" i="15" s="1"/>
  <c r="L190" i="15" s="1"/>
  <c r="M190" i="15" s="1"/>
  <c r="N190" i="15" s="1"/>
  <c r="O190" i="15" s="1"/>
  <c r="P190" i="15" s="1"/>
  <c r="Q190" i="15" s="1"/>
  <c r="J199" i="15"/>
  <c r="K199" i="15" s="1"/>
  <c r="L199" i="15" s="1"/>
  <c r="M199" i="15" s="1"/>
  <c r="N199" i="15" s="1"/>
  <c r="O199" i="15" s="1"/>
  <c r="P199" i="15" s="1"/>
  <c r="Q199" i="15" s="1"/>
  <c r="J193" i="15"/>
  <c r="K193" i="15" s="1"/>
  <c r="L193" i="15" s="1"/>
  <c r="M193" i="15" s="1"/>
  <c r="N193" i="15" s="1"/>
  <c r="O193" i="15" s="1"/>
  <c r="P193" i="15" s="1"/>
  <c r="Q193" i="15" s="1"/>
  <c r="J196" i="15"/>
  <c r="K196" i="15" s="1"/>
  <c r="L196" i="15" s="1"/>
  <c r="M196" i="15" s="1"/>
  <c r="N196" i="15" s="1"/>
  <c r="O196" i="15" s="1"/>
  <c r="P196" i="15" s="1"/>
  <c r="Q196" i="15" s="1"/>
  <c r="J194" i="15"/>
  <c r="K194" i="15" s="1"/>
  <c r="L194" i="15" s="1"/>
  <c r="M194" i="15" s="1"/>
  <c r="N194" i="15" s="1"/>
  <c r="O194" i="15" s="1"/>
  <c r="P194" i="15" s="1"/>
  <c r="Q194" i="15" s="1"/>
  <c r="J198" i="15"/>
  <c r="K198" i="15" s="1"/>
  <c r="L198" i="15" s="1"/>
  <c r="M198" i="15" s="1"/>
  <c r="N198" i="15" s="1"/>
  <c r="O198" i="15" s="1"/>
  <c r="P198" i="15" s="1"/>
  <c r="Q198" i="15" s="1"/>
  <c r="J192" i="15"/>
  <c r="K192" i="15" s="1"/>
  <c r="L192" i="15" s="1"/>
  <c r="M192" i="15" s="1"/>
  <c r="N192" i="15" s="1"/>
  <c r="O192" i="15" s="1"/>
  <c r="P192" i="15" s="1"/>
  <c r="Q192" i="15" s="1"/>
  <c r="J195" i="15"/>
  <c r="K195" i="15" s="1"/>
  <c r="L195" i="15" s="1"/>
  <c r="M195" i="15" s="1"/>
  <c r="N195" i="15" s="1"/>
  <c r="O195" i="15" s="1"/>
  <c r="P195" i="15" s="1"/>
  <c r="Q195" i="15" s="1"/>
  <c r="J202" i="15"/>
  <c r="K202" i="15" s="1"/>
  <c r="L202" i="15" s="1"/>
  <c r="M202" i="15" s="1"/>
  <c r="N202" i="15" s="1"/>
  <c r="O202" i="15" s="1"/>
  <c r="P202" i="15" s="1"/>
  <c r="Q202" i="15" s="1"/>
  <c r="J201" i="15"/>
  <c r="K201" i="15" s="1"/>
  <c r="L201" i="15" s="1"/>
  <c r="M201" i="15" s="1"/>
  <c r="N201" i="15" s="1"/>
  <c r="O201" i="15" s="1"/>
  <c r="P201" i="15" s="1"/>
  <c r="Q201" i="15" s="1"/>
  <c r="J188" i="15"/>
  <c r="J191" i="15"/>
  <c r="J189" i="15"/>
  <c r="K189" i="15" s="1"/>
  <c r="L189" i="15" s="1"/>
  <c r="M189" i="15" s="1"/>
  <c r="N189" i="15" s="1"/>
  <c r="O189" i="15" s="1"/>
  <c r="P189" i="15" s="1"/>
  <c r="Q189" i="15" s="1"/>
  <c r="H36" i="9"/>
  <c r="H20" i="9"/>
  <c r="H16" i="9"/>
  <c r="H28" i="9" s="1" a="1"/>
  <c r="H28" i="9" s="1"/>
  <c r="H29" i="9" s="1"/>
  <c r="N418" i="14"/>
  <c r="N420" i="14"/>
  <c r="N419" i="14"/>
  <c r="N414" i="14"/>
  <c r="N411" i="14"/>
  <c r="N417" i="14"/>
  <c r="N409" i="14"/>
  <c r="N423" i="14"/>
  <c r="N422" i="14"/>
  <c r="N412" i="14"/>
  <c r="N410" i="14"/>
  <c r="N413" i="14"/>
  <c r="N415" i="14"/>
  <c r="N416" i="14"/>
  <c r="N421" i="14"/>
  <c r="Q113" i="26"/>
  <c r="Q187" i="15"/>
  <c r="Q35" i="26"/>
  <c r="Q98" i="26"/>
  <c r="Q164" i="15"/>
  <c r="Q124" i="26"/>
  <c r="Q91" i="26"/>
  <c r="Q116" i="15"/>
  <c r="Q141" i="15"/>
  <c r="Q88" i="26"/>
  <c r="Q81" i="15"/>
  <c r="Q108" i="26"/>
  <c r="Q11" i="26"/>
  <c r="Q59" i="26"/>
  <c r="P16" i="9"/>
  <c r="P28" i="9" s="1" a="1"/>
  <c r="P28" i="9" s="1"/>
  <c r="P43" i="9"/>
  <c r="P20" i="9"/>
  <c r="P36" i="9"/>
  <c r="O23" i="9"/>
  <c r="M8" i="22"/>
  <c r="L8" i="22"/>
  <c r="I23" i="9" l="1"/>
  <c r="I32" i="9" s="1"/>
  <c r="H22" i="9" a="1"/>
  <c r="H22" i="9" s="1"/>
  <c r="P22" i="9" a="1"/>
  <c r="P22" i="9" s="1"/>
  <c r="K147" i="15"/>
  <c r="K146" i="15"/>
  <c r="P13" i="23" a="1"/>
  <c r="Q13" i="23" a="1"/>
  <c r="T13" i="23" a="1"/>
  <c r="U13" i="23" a="1"/>
  <c r="R13" i="23" a="1"/>
  <c r="S13" i="23" a="1"/>
  <c r="O73" i="23" a="1"/>
  <c r="O73" i="23" s="1"/>
  <c r="O33" i="23" a="1"/>
  <c r="O33" i="23" s="1"/>
  <c r="O13" i="23" a="1"/>
  <c r="O53" i="23" a="1"/>
  <c r="O53" i="23" s="1"/>
  <c r="S113" i="23" a="1"/>
  <c r="S113" i="23" s="1"/>
  <c r="S128" i="23" s="1"/>
  <c r="S173" i="23" a="1"/>
  <c r="S173" i="23" s="1"/>
  <c r="S188" i="23" s="1"/>
  <c r="S33" i="23" a="1"/>
  <c r="S33" i="23" s="1"/>
  <c r="S48" i="23" s="1"/>
  <c r="S133" i="23" a="1"/>
  <c r="S133" i="23" s="1"/>
  <c r="S148" i="23" s="1"/>
  <c r="S153" i="23" a="1"/>
  <c r="S153" i="23" s="1"/>
  <c r="S168" i="23" s="1"/>
  <c r="S93" i="23" a="1"/>
  <c r="S93" i="23" s="1"/>
  <c r="S108" i="23" s="1"/>
  <c r="S193" i="23" a="1"/>
  <c r="S193" i="23" s="1"/>
  <c r="U32" i="25"/>
  <c r="Q33" i="23" a="1"/>
  <c r="Q33" i="23" s="1"/>
  <c r="Q48" i="23" s="1"/>
  <c r="Q93" i="23" a="1"/>
  <c r="Q93" i="23" s="1"/>
  <c r="Q108" i="23" s="1"/>
  <c r="Q113" i="23" a="1"/>
  <c r="Q113" i="23" s="1"/>
  <c r="Q128" i="23" s="1"/>
  <c r="Q133" i="23" a="1"/>
  <c r="Q133" i="23" s="1"/>
  <c r="Q148" i="23" s="1"/>
  <c r="Q153" i="23" a="1"/>
  <c r="Q153" i="23" s="1"/>
  <c r="Q168" i="23" s="1"/>
  <c r="Q173" i="23" a="1"/>
  <c r="Q173" i="23" s="1"/>
  <c r="Q188" i="23" s="1"/>
  <c r="Q193" i="23" a="1"/>
  <c r="Q193" i="23" s="1"/>
  <c r="R33" i="23" a="1"/>
  <c r="R33" i="23" s="1"/>
  <c r="R48" i="23" s="1"/>
  <c r="R93" i="23" a="1"/>
  <c r="R93" i="23" s="1"/>
  <c r="R108" i="23" s="1"/>
  <c r="R113" i="23" a="1"/>
  <c r="R113" i="23" s="1"/>
  <c r="R128" i="23" s="1"/>
  <c r="R133" i="23" a="1"/>
  <c r="R133" i="23" s="1"/>
  <c r="R148" i="23" s="1"/>
  <c r="R153" i="23" a="1"/>
  <c r="R153" i="23" s="1"/>
  <c r="R168" i="23" s="1"/>
  <c r="R173" i="23" a="1"/>
  <c r="R173" i="23" s="1"/>
  <c r="R188" i="23" s="1"/>
  <c r="R193" i="23" a="1"/>
  <c r="R193" i="23" s="1"/>
  <c r="T33" i="23" a="1"/>
  <c r="T33" i="23" s="1"/>
  <c r="T48" i="23" s="1"/>
  <c r="T93" i="23" a="1"/>
  <c r="T93" i="23" s="1"/>
  <c r="T108" i="23" s="1"/>
  <c r="T113" i="23" a="1"/>
  <c r="T113" i="23" s="1"/>
  <c r="T128" i="23" s="1"/>
  <c r="T133" i="23" a="1"/>
  <c r="T133" i="23" s="1"/>
  <c r="T148" i="23" s="1"/>
  <c r="T153" i="23" a="1"/>
  <c r="T153" i="23" s="1"/>
  <c r="T168" i="23" s="1"/>
  <c r="T173" i="23" a="1"/>
  <c r="T173" i="23" s="1"/>
  <c r="T188" i="23" s="1"/>
  <c r="T193" i="23" a="1"/>
  <c r="T193" i="23" s="1"/>
  <c r="U443" i="23"/>
  <c r="U52" i="23"/>
  <c r="U72" i="23"/>
  <c r="U92" i="23"/>
  <c r="U112" i="23"/>
  <c r="U132" i="23"/>
  <c r="U152" i="23"/>
  <c r="U172" i="23"/>
  <c r="U192" i="23"/>
  <c r="O93" i="23" a="1"/>
  <c r="O93" i="23" s="1"/>
  <c r="O193" i="23" a="1"/>
  <c r="O193" i="23" s="1"/>
  <c r="O173" i="23" a="1"/>
  <c r="O173" i="23" s="1"/>
  <c r="O153" i="23" a="1"/>
  <c r="O153" i="23" s="1"/>
  <c r="O133" i="23" a="1"/>
  <c r="O133" i="23" s="1"/>
  <c r="O113" i="23" a="1"/>
  <c r="O113" i="23" s="1"/>
  <c r="U33" i="23" a="1"/>
  <c r="U33" i="23" s="1"/>
  <c r="U48" i="23" s="1"/>
  <c r="U93" i="23" a="1"/>
  <c r="U93" i="23" s="1"/>
  <c r="U108" i="23" s="1"/>
  <c r="U113" i="23" a="1"/>
  <c r="U113" i="23" s="1"/>
  <c r="U128" i="23" s="1"/>
  <c r="U133" i="23" a="1"/>
  <c r="U133" i="23" s="1"/>
  <c r="U148" i="23" s="1"/>
  <c r="U153" i="23" a="1"/>
  <c r="U153" i="23" s="1"/>
  <c r="U168" i="23" s="1"/>
  <c r="U173" i="23" a="1"/>
  <c r="U173" i="23" s="1"/>
  <c r="U188" i="23" s="1"/>
  <c r="U193" i="23" a="1"/>
  <c r="U193" i="23" s="1"/>
  <c r="P33" i="23" a="1"/>
  <c r="P33" i="23" s="1"/>
  <c r="P48" i="23" s="1"/>
  <c r="P93" i="23" a="1"/>
  <c r="P93" i="23" s="1"/>
  <c r="P108" i="23" s="1"/>
  <c r="P113" i="23" a="1"/>
  <c r="P113" i="23" s="1"/>
  <c r="P128" i="23" s="1"/>
  <c r="P133" i="23" a="1"/>
  <c r="P133" i="23" s="1"/>
  <c r="P148" i="23" s="1"/>
  <c r="P153" i="23" a="1"/>
  <c r="P153" i="23" s="1"/>
  <c r="P168" i="23" s="1"/>
  <c r="P173" i="23" a="1"/>
  <c r="P173" i="23" s="1"/>
  <c r="P188" i="23" s="1"/>
  <c r="P193" i="23" a="1"/>
  <c r="P193" i="23" s="1"/>
  <c r="U363" i="23"/>
  <c r="U32" i="23"/>
  <c r="U403" i="23"/>
  <c r="U383" i="23"/>
  <c r="U566" i="23"/>
  <c r="U283" i="23"/>
  <c r="U486" i="23"/>
  <c r="U506" i="23"/>
  <c r="U243" i="23"/>
  <c r="U646" i="23"/>
  <c r="U606" i="23"/>
  <c r="U323" i="23"/>
  <c r="U263" i="23"/>
  <c r="U626" i="23"/>
  <c r="U303" i="23"/>
  <c r="U466" i="23"/>
  <c r="U423" i="23"/>
  <c r="U343" i="23"/>
  <c r="U586" i="23"/>
  <c r="U526" i="23"/>
  <c r="U546" i="23"/>
  <c r="U113" i="25"/>
  <c r="U72" i="25"/>
  <c r="U93" i="25"/>
  <c r="P23" i="9"/>
  <c r="J32" i="9"/>
  <c r="N424" i="14"/>
  <c r="H23" i="9" l="1"/>
  <c r="J33" i="9" s="1"/>
  <c r="K17" i="26"/>
  <c r="K41" i="26"/>
  <c r="K170" i="15"/>
  <c r="K191" i="15" s="1"/>
  <c r="L147" i="15" s="1"/>
  <c r="L41" i="26" s="1"/>
  <c r="K16" i="26"/>
  <c r="K40" i="26"/>
  <c r="K169" i="15"/>
  <c r="K188" i="15" s="1"/>
  <c r="L146" i="15" s="1"/>
  <c r="S13" i="23"/>
  <c r="R13" i="23"/>
  <c r="U13" i="23"/>
  <c r="T13" i="23"/>
  <c r="Q13" i="23"/>
  <c r="P13" i="23"/>
  <c r="O13" i="23"/>
  <c r="O213" i="23" s="1"/>
  <c r="O227" i="23"/>
  <c r="O225" i="23"/>
  <c r="O223" i="23"/>
  <c r="O221" i="23"/>
  <c r="O219" i="23"/>
  <c r="O217" i="23"/>
  <c r="O215" i="23"/>
  <c r="O222" i="23"/>
  <c r="O224" i="23"/>
  <c r="O226" i="23"/>
  <c r="O220" i="23"/>
  <c r="O218" i="23"/>
  <c r="O216" i="23"/>
  <c r="O214" i="23"/>
  <c r="P559" i="23"/>
  <c r="P581" i="23"/>
  <c r="P492" i="23"/>
  <c r="P634" i="23"/>
  <c r="P596" i="23"/>
  <c r="P650" i="23"/>
  <c r="P477" i="23"/>
  <c r="Q495" i="23"/>
  <c r="Q591" i="23"/>
  <c r="Q550" i="23"/>
  <c r="Q576" i="23"/>
  <c r="V197" i="23"/>
  <c r="Q468" i="23"/>
  <c r="S478" i="23"/>
  <c r="S480" i="23"/>
  <c r="S474" i="23"/>
  <c r="S481" i="23"/>
  <c r="S471" i="23"/>
  <c r="S476" i="23"/>
  <c r="S468" i="23"/>
  <c r="S479" i="23"/>
  <c r="S477" i="23"/>
  <c r="S473" i="23"/>
  <c r="S470" i="23"/>
  <c r="S469" i="23"/>
  <c r="S475" i="23"/>
  <c r="S472" i="23"/>
  <c r="T590" i="23"/>
  <c r="T592" i="23"/>
  <c r="T588" i="23"/>
  <c r="T597" i="23"/>
  <c r="T591" i="23"/>
  <c r="T593" i="23"/>
  <c r="T600" i="23"/>
  <c r="T595" i="23"/>
  <c r="T601" i="23"/>
  <c r="T598" i="23"/>
  <c r="T596" i="23"/>
  <c r="T599" i="23"/>
  <c r="T589" i="23"/>
  <c r="T594" i="23"/>
  <c r="O570" i="23"/>
  <c r="O571" i="23"/>
  <c r="O578" i="23"/>
  <c r="O579" i="23"/>
  <c r="O569" i="23"/>
  <c r="O581" i="23"/>
  <c r="O580" i="23"/>
  <c r="O568" i="23"/>
  <c r="O575" i="23"/>
  <c r="O574" i="23"/>
  <c r="O577" i="23"/>
  <c r="O572" i="23"/>
  <c r="O573" i="23"/>
  <c r="O576" i="23"/>
  <c r="U572" i="23"/>
  <c r="U574" i="23"/>
  <c r="U570" i="23"/>
  <c r="U573" i="23"/>
  <c r="U576" i="23"/>
  <c r="U569" i="23"/>
  <c r="U575" i="23"/>
  <c r="U580" i="23"/>
  <c r="U578" i="23"/>
  <c r="U577" i="23"/>
  <c r="U579" i="23"/>
  <c r="U568" i="23"/>
  <c r="U571" i="23"/>
  <c r="U581" i="23"/>
  <c r="S648" i="23"/>
  <c r="S655" i="23"/>
  <c r="S649" i="23"/>
  <c r="S661" i="23"/>
  <c r="S658" i="23"/>
  <c r="S660" i="23"/>
  <c r="S651" i="23"/>
  <c r="S653" i="23"/>
  <c r="S656" i="23"/>
  <c r="S659" i="23"/>
  <c r="S652" i="23"/>
  <c r="S657" i="23"/>
  <c r="S650" i="23"/>
  <c r="S654" i="23"/>
  <c r="T613" i="23"/>
  <c r="T618" i="23"/>
  <c r="T611" i="23"/>
  <c r="T610" i="23"/>
  <c r="T609" i="23"/>
  <c r="T612" i="23"/>
  <c r="T616" i="23"/>
  <c r="T617" i="23"/>
  <c r="T619" i="23"/>
  <c r="T615" i="23"/>
  <c r="T621" i="23"/>
  <c r="T614" i="23"/>
  <c r="T620" i="23"/>
  <c r="T608" i="23"/>
  <c r="O636" i="23"/>
  <c r="O630" i="23"/>
  <c r="O638" i="23"/>
  <c r="O641" i="23"/>
  <c r="O640" i="23"/>
  <c r="O639" i="23"/>
  <c r="O637" i="23"/>
  <c r="O629" i="23"/>
  <c r="O631" i="23"/>
  <c r="O633" i="23"/>
  <c r="O632" i="23"/>
  <c r="O634" i="23"/>
  <c r="O635" i="23"/>
  <c r="O628" i="23"/>
  <c r="S632" i="23"/>
  <c r="S628" i="23"/>
  <c r="S639" i="23"/>
  <c r="S641" i="23"/>
  <c r="S640" i="23"/>
  <c r="S636" i="23"/>
  <c r="S629" i="23"/>
  <c r="S631" i="23"/>
  <c r="S634" i="23"/>
  <c r="S633" i="23"/>
  <c r="S637" i="23"/>
  <c r="S630" i="23"/>
  <c r="S638" i="23"/>
  <c r="S635" i="23"/>
  <c r="O613" i="23"/>
  <c r="O611" i="23"/>
  <c r="O620" i="23"/>
  <c r="O615" i="23"/>
  <c r="O610" i="23"/>
  <c r="O608" i="23"/>
  <c r="O609" i="23"/>
  <c r="O612" i="23"/>
  <c r="O621" i="23"/>
  <c r="O617" i="23"/>
  <c r="O618" i="23"/>
  <c r="O614" i="23"/>
  <c r="O616" i="23"/>
  <c r="O619" i="23"/>
  <c r="P610" i="23"/>
  <c r="P613" i="23"/>
  <c r="P614" i="23"/>
  <c r="P616" i="23"/>
  <c r="P609" i="23"/>
  <c r="P621" i="23"/>
  <c r="P612" i="23"/>
  <c r="P619" i="23"/>
  <c r="R570" i="23"/>
  <c r="R574" i="23"/>
  <c r="R578" i="23"/>
  <c r="R573" i="23"/>
  <c r="R576" i="23"/>
  <c r="R569" i="23"/>
  <c r="R581" i="23"/>
  <c r="R568" i="23"/>
  <c r="R572" i="23"/>
  <c r="R579" i="23"/>
  <c r="R577" i="23"/>
  <c r="R580" i="23"/>
  <c r="R575" i="23"/>
  <c r="R571" i="23"/>
  <c r="T629" i="23"/>
  <c r="T639" i="23"/>
  <c r="T631" i="23"/>
  <c r="T637" i="23"/>
  <c r="T628" i="23"/>
  <c r="T636" i="23"/>
  <c r="T633" i="23"/>
  <c r="T632" i="23"/>
  <c r="T635" i="23"/>
  <c r="T638" i="23"/>
  <c r="T641" i="23"/>
  <c r="T630" i="23"/>
  <c r="T634" i="23"/>
  <c r="T640" i="23"/>
  <c r="R592" i="23"/>
  <c r="R588" i="23"/>
  <c r="R601" i="23"/>
  <c r="R593" i="23"/>
  <c r="R589" i="23"/>
  <c r="R598" i="23"/>
  <c r="R596" i="23"/>
  <c r="R590" i="23"/>
  <c r="R599" i="23"/>
  <c r="R597" i="23"/>
  <c r="R594" i="23"/>
  <c r="R595" i="23"/>
  <c r="R591" i="23"/>
  <c r="R600" i="23"/>
  <c r="O470" i="23"/>
  <c r="O478" i="23"/>
  <c r="O473" i="23"/>
  <c r="O481" i="23"/>
  <c r="O469" i="23"/>
  <c r="O479" i="23"/>
  <c r="O468" i="23"/>
  <c r="O475" i="23"/>
  <c r="O476" i="23"/>
  <c r="O477" i="23"/>
  <c r="O471" i="23"/>
  <c r="O474" i="23"/>
  <c r="O472" i="23"/>
  <c r="O480" i="23"/>
  <c r="K32" i="9"/>
  <c r="P659" i="23"/>
  <c r="P653" i="23"/>
  <c r="P652" i="23"/>
  <c r="P648" i="23"/>
  <c r="P658" i="23"/>
  <c r="P649" i="23"/>
  <c r="T560" i="23"/>
  <c r="T550" i="23"/>
  <c r="T556" i="23"/>
  <c r="T554" i="23"/>
  <c r="T558" i="23"/>
  <c r="T552" i="23"/>
  <c r="T557" i="23"/>
  <c r="T548" i="23"/>
  <c r="T551" i="23"/>
  <c r="T549" i="23"/>
  <c r="T553" i="23"/>
  <c r="T559" i="23"/>
  <c r="T555" i="23"/>
  <c r="T561" i="23"/>
  <c r="R633" i="23"/>
  <c r="R637" i="23"/>
  <c r="R636" i="23"/>
  <c r="R630" i="23"/>
  <c r="R631" i="23"/>
  <c r="R629" i="23"/>
  <c r="R641" i="23"/>
  <c r="R635" i="23"/>
  <c r="R639" i="23"/>
  <c r="R634" i="23"/>
  <c r="R640" i="23"/>
  <c r="R638" i="23"/>
  <c r="R632" i="23"/>
  <c r="R628" i="23"/>
  <c r="P497" i="23"/>
  <c r="P500" i="23"/>
  <c r="P499" i="23"/>
  <c r="P496" i="23"/>
  <c r="P490" i="23"/>
  <c r="P494" i="23"/>
  <c r="P488" i="23"/>
  <c r="P489" i="23"/>
  <c r="P495" i="23"/>
  <c r="P498" i="23"/>
  <c r="R609" i="23"/>
  <c r="R618" i="23"/>
  <c r="R608" i="23"/>
  <c r="R613" i="23"/>
  <c r="R616" i="23"/>
  <c r="R611" i="23"/>
  <c r="R614" i="23"/>
  <c r="R615" i="23"/>
  <c r="R619" i="23"/>
  <c r="R621" i="23"/>
  <c r="R612" i="23"/>
  <c r="R610" i="23"/>
  <c r="R617" i="23"/>
  <c r="R620" i="23"/>
  <c r="O660" i="23"/>
  <c r="O648" i="23"/>
  <c r="O657" i="23"/>
  <c r="O656" i="23"/>
  <c r="O651" i="23"/>
  <c r="O655" i="23"/>
  <c r="O661" i="23"/>
  <c r="O659" i="23"/>
  <c r="O649" i="23"/>
  <c r="O658" i="23"/>
  <c r="O652" i="23"/>
  <c r="O654" i="23"/>
  <c r="O650" i="23"/>
  <c r="O653" i="23"/>
  <c r="T500" i="23"/>
  <c r="T488" i="23"/>
  <c r="T492" i="23"/>
  <c r="T498" i="23"/>
  <c r="T501" i="23"/>
  <c r="T490" i="23"/>
  <c r="T489" i="23"/>
  <c r="T496" i="23"/>
  <c r="T499" i="23"/>
  <c r="T491" i="23"/>
  <c r="T495" i="23"/>
  <c r="T497" i="23"/>
  <c r="T494" i="23"/>
  <c r="T493" i="23"/>
  <c r="O493" i="23"/>
  <c r="O492" i="23"/>
  <c r="O495" i="23"/>
  <c r="O490" i="23"/>
  <c r="O494" i="23"/>
  <c r="O500" i="23"/>
  <c r="O499" i="23"/>
  <c r="O491" i="23"/>
  <c r="O489" i="23"/>
  <c r="O488" i="23"/>
  <c r="O496" i="23"/>
  <c r="O497" i="23"/>
  <c r="O501" i="23"/>
  <c r="O498" i="23"/>
  <c r="U473" i="23"/>
  <c r="U475" i="23"/>
  <c r="U480" i="23"/>
  <c r="U474" i="23"/>
  <c r="U469" i="23"/>
  <c r="U476" i="23"/>
  <c r="U481" i="23"/>
  <c r="U468" i="23"/>
  <c r="U479" i="23"/>
  <c r="U472" i="23"/>
  <c r="U470" i="23"/>
  <c r="U478" i="23"/>
  <c r="U477" i="23"/>
  <c r="U471" i="23"/>
  <c r="S499" i="23"/>
  <c r="S489" i="23"/>
  <c r="S496" i="23"/>
  <c r="S490" i="23"/>
  <c r="S497" i="23"/>
  <c r="S492" i="23"/>
  <c r="S501" i="23"/>
  <c r="S494" i="23"/>
  <c r="S498" i="23"/>
  <c r="S500" i="23"/>
  <c r="S488" i="23"/>
  <c r="S491" i="23"/>
  <c r="S495" i="23"/>
  <c r="S493" i="23"/>
  <c r="U653" i="23"/>
  <c r="U649" i="23"/>
  <c r="U659" i="23"/>
  <c r="U657" i="23"/>
  <c r="U648" i="23"/>
  <c r="U661" i="23"/>
  <c r="U658" i="23"/>
  <c r="U656" i="23"/>
  <c r="U655" i="23"/>
  <c r="U652" i="23"/>
  <c r="U651" i="23"/>
  <c r="U654" i="23"/>
  <c r="U660" i="23"/>
  <c r="U650" i="23"/>
  <c r="Q612" i="23"/>
  <c r="R654" i="23"/>
  <c r="R655" i="23"/>
  <c r="R659" i="23"/>
  <c r="R648" i="23"/>
  <c r="R658" i="23"/>
  <c r="R656" i="23"/>
  <c r="R661" i="23"/>
  <c r="R651" i="23"/>
  <c r="R653" i="23"/>
  <c r="R652" i="23"/>
  <c r="R649" i="23"/>
  <c r="R650" i="23"/>
  <c r="R660" i="23"/>
  <c r="R657" i="23"/>
  <c r="R495" i="23"/>
  <c r="R501" i="23"/>
  <c r="R494" i="23"/>
  <c r="R490" i="23"/>
  <c r="R492" i="23"/>
  <c r="R500" i="23"/>
  <c r="R499" i="23"/>
  <c r="R488" i="23"/>
  <c r="R498" i="23"/>
  <c r="R493" i="23"/>
  <c r="R489" i="23"/>
  <c r="R497" i="23"/>
  <c r="R491" i="23"/>
  <c r="R496" i="23"/>
  <c r="U558" i="23"/>
  <c r="U555" i="23"/>
  <c r="U549" i="23"/>
  <c r="U554" i="23"/>
  <c r="U550" i="23"/>
  <c r="U553" i="23"/>
  <c r="U557" i="23"/>
  <c r="U561" i="23"/>
  <c r="U556" i="23"/>
  <c r="U560" i="23"/>
  <c r="U548" i="23"/>
  <c r="U551" i="23"/>
  <c r="U559" i="23"/>
  <c r="U552" i="23"/>
  <c r="S578" i="23"/>
  <c r="S576" i="23"/>
  <c r="S569" i="23"/>
  <c r="S579" i="23"/>
  <c r="S572" i="23"/>
  <c r="S581" i="23"/>
  <c r="S570" i="23"/>
  <c r="S580" i="23"/>
  <c r="S571" i="23"/>
  <c r="S574" i="23"/>
  <c r="S573" i="23"/>
  <c r="S577" i="23"/>
  <c r="S568" i="23"/>
  <c r="S575" i="23"/>
  <c r="O560" i="23"/>
  <c r="O548" i="23"/>
  <c r="O551" i="23"/>
  <c r="O553" i="23"/>
  <c r="O550" i="23"/>
  <c r="O555" i="23"/>
  <c r="O557" i="23"/>
  <c r="O549" i="23"/>
  <c r="O552" i="23"/>
  <c r="O561" i="23"/>
  <c r="O558" i="23"/>
  <c r="O559" i="23"/>
  <c r="O556" i="23"/>
  <c r="O554" i="23"/>
  <c r="U494" i="23"/>
  <c r="U501" i="23"/>
  <c r="U492" i="23"/>
  <c r="U488" i="23"/>
  <c r="U498" i="23"/>
  <c r="U493" i="23"/>
  <c r="U496" i="23"/>
  <c r="U491" i="23"/>
  <c r="U490" i="23"/>
  <c r="U489" i="23"/>
  <c r="U500" i="23"/>
  <c r="U499" i="23"/>
  <c r="U495" i="23"/>
  <c r="U497" i="23"/>
  <c r="S591" i="23"/>
  <c r="S588" i="23"/>
  <c r="S595" i="23"/>
  <c r="S598" i="23"/>
  <c r="S596" i="23"/>
  <c r="S601" i="23"/>
  <c r="S599" i="23"/>
  <c r="S593" i="23"/>
  <c r="S589" i="23"/>
  <c r="S600" i="23"/>
  <c r="S592" i="23"/>
  <c r="S590" i="23"/>
  <c r="S597" i="23"/>
  <c r="S594" i="23"/>
  <c r="U640" i="23"/>
  <c r="U635" i="23"/>
  <c r="U638" i="23"/>
  <c r="U641" i="23"/>
  <c r="U629" i="23"/>
  <c r="U639" i="23"/>
  <c r="U630" i="23"/>
  <c r="U636" i="23"/>
  <c r="U637" i="23"/>
  <c r="U632" i="23"/>
  <c r="U631" i="23"/>
  <c r="U633" i="23"/>
  <c r="U634" i="23"/>
  <c r="U628" i="23"/>
  <c r="U598" i="23"/>
  <c r="U589" i="23"/>
  <c r="U588" i="23"/>
  <c r="U593" i="23"/>
  <c r="U594" i="23"/>
  <c r="U596" i="23"/>
  <c r="U601" i="23"/>
  <c r="U597" i="23"/>
  <c r="U600" i="23"/>
  <c r="U592" i="23"/>
  <c r="U591" i="23"/>
  <c r="U595" i="23"/>
  <c r="U599" i="23"/>
  <c r="U590" i="23"/>
  <c r="S612" i="23"/>
  <c r="S616" i="23"/>
  <c r="S608" i="23"/>
  <c r="S611" i="23"/>
  <c r="S609" i="23"/>
  <c r="S618" i="23"/>
  <c r="S615" i="23"/>
  <c r="S617" i="23"/>
  <c r="S620" i="23"/>
  <c r="S613" i="23"/>
  <c r="S610" i="23"/>
  <c r="S614" i="23"/>
  <c r="S621" i="23"/>
  <c r="S619" i="23"/>
  <c r="T568" i="23"/>
  <c r="T575" i="23"/>
  <c r="T579" i="23"/>
  <c r="T571" i="23"/>
  <c r="T576" i="23"/>
  <c r="T578" i="23"/>
  <c r="T573" i="23"/>
  <c r="T580" i="23"/>
  <c r="T574" i="23"/>
  <c r="T570" i="23"/>
  <c r="T572" i="23"/>
  <c r="T569" i="23"/>
  <c r="T581" i="23"/>
  <c r="T577" i="23"/>
  <c r="T649" i="23"/>
  <c r="T659" i="23"/>
  <c r="T651" i="23"/>
  <c r="T656" i="23"/>
  <c r="T648" i="23"/>
  <c r="T658" i="23"/>
  <c r="T654" i="23"/>
  <c r="T652" i="23"/>
  <c r="T650" i="23"/>
  <c r="T655" i="23"/>
  <c r="T653" i="23"/>
  <c r="T660" i="23"/>
  <c r="T661" i="23"/>
  <c r="T657" i="23"/>
  <c r="R473" i="23"/>
  <c r="R479" i="23"/>
  <c r="R480" i="23"/>
  <c r="R476" i="23"/>
  <c r="R471" i="23"/>
  <c r="R472" i="23"/>
  <c r="R481" i="23"/>
  <c r="R475" i="23"/>
  <c r="R470" i="23"/>
  <c r="R468" i="23"/>
  <c r="R478" i="23"/>
  <c r="R469" i="23"/>
  <c r="R477" i="23"/>
  <c r="R474" i="23"/>
  <c r="R552" i="23"/>
  <c r="R555" i="23"/>
  <c r="R549" i="23"/>
  <c r="R548" i="23"/>
  <c r="R554" i="23"/>
  <c r="R561" i="23"/>
  <c r="R551" i="23"/>
  <c r="R558" i="23"/>
  <c r="R550" i="23"/>
  <c r="R560" i="23"/>
  <c r="R553" i="23"/>
  <c r="R559" i="23"/>
  <c r="R556" i="23"/>
  <c r="R557" i="23"/>
  <c r="S558" i="23"/>
  <c r="S561" i="23"/>
  <c r="S560" i="23"/>
  <c r="S555" i="23"/>
  <c r="S554" i="23"/>
  <c r="S553" i="23"/>
  <c r="S557" i="23"/>
  <c r="S550" i="23"/>
  <c r="S548" i="23"/>
  <c r="S552" i="23"/>
  <c r="S549" i="23"/>
  <c r="S551" i="23"/>
  <c r="S556" i="23"/>
  <c r="S559" i="23"/>
  <c r="T475" i="23"/>
  <c r="T478" i="23"/>
  <c r="T469" i="23"/>
  <c r="T477" i="23"/>
  <c r="T481" i="23"/>
  <c r="T474" i="23"/>
  <c r="T470" i="23"/>
  <c r="T476" i="23"/>
  <c r="T471" i="23"/>
  <c r="T472" i="23"/>
  <c r="T473" i="23"/>
  <c r="T480" i="23"/>
  <c r="T479" i="23"/>
  <c r="T468" i="23"/>
  <c r="O591" i="23"/>
  <c r="O599" i="23"/>
  <c r="O589" i="23"/>
  <c r="O594" i="23"/>
  <c r="O595" i="23"/>
  <c r="O597" i="23"/>
  <c r="O598" i="23"/>
  <c r="O596" i="23"/>
  <c r="O601" i="23"/>
  <c r="O592" i="23"/>
  <c r="O588" i="23"/>
  <c r="O593" i="23"/>
  <c r="O590" i="23"/>
  <c r="O600" i="23"/>
  <c r="U616" i="23"/>
  <c r="U609" i="23"/>
  <c r="U619" i="23"/>
  <c r="U618" i="23"/>
  <c r="U612" i="23"/>
  <c r="U620" i="23"/>
  <c r="U611" i="23"/>
  <c r="U621" i="23"/>
  <c r="U615" i="23"/>
  <c r="U610" i="23"/>
  <c r="U617" i="23"/>
  <c r="U608" i="23"/>
  <c r="U614" i="23"/>
  <c r="U613" i="23"/>
  <c r="K33" i="9" l="1"/>
  <c r="L169" i="15"/>
  <c r="L40" i="26"/>
  <c r="K65" i="26"/>
  <c r="L16" i="26"/>
  <c r="L64" i="26" s="1"/>
  <c r="L17" i="26"/>
  <c r="L65" i="26" s="1"/>
  <c r="L170" i="15"/>
  <c r="L191" i="15" s="1"/>
  <c r="M147" i="15" s="1"/>
  <c r="M41" i="26" s="1"/>
  <c r="K64" i="26"/>
  <c r="K100" i="26"/>
  <c r="K93" i="26" a="1"/>
  <c r="K93" i="26" s="1"/>
  <c r="K56" i="26"/>
  <c r="K92" i="26" a="1"/>
  <c r="K92" i="26" s="1"/>
  <c r="K99" i="26"/>
  <c r="K32" i="26"/>
  <c r="O228" i="23"/>
  <c r="Q474" i="23"/>
  <c r="V36" i="23"/>
  <c r="V39" i="23"/>
  <c r="Q581" i="23"/>
  <c r="V581" i="23" s="1"/>
  <c r="V35" i="23"/>
  <c r="Q469" i="23"/>
  <c r="Q571" i="23"/>
  <c r="V41" i="23"/>
  <c r="V38" i="23"/>
  <c r="K37" i="9"/>
  <c r="Q53" i="22" s="1"/>
  <c r="J37" i="9"/>
  <c r="Q476" i="23"/>
  <c r="Q570" i="23"/>
  <c r="Q475" i="23"/>
  <c r="P554" i="23"/>
  <c r="Q578" i="23"/>
  <c r="Q477" i="23"/>
  <c r="V477" i="23" s="1"/>
  <c r="Q577" i="23"/>
  <c r="P558" i="23"/>
  <c r="P628" i="23"/>
  <c r="V186" i="23"/>
  <c r="P632" i="23"/>
  <c r="P629" i="23"/>
  <c r="Q498" i="23"/>
  <c r="V498" i="23" s="1"/>
  <c r="P555" i="23"/>
  <c r="P637" i="23"/>
  <c r="Q500" i="23"/>
  <c r="V500" i="23" s="1"/>
  <c r="P556" i="23"/>
  <c r="P630" i="23"/>
  <c r="P501" i="23"/>
  <c r="P493" i="23"/>
  <c r="P660" i="23"/>
  <c r="P657" i="23"/>
  <c r="P656" i="23"/>
  <c r="P611" i="23"/>
  <c r="P617" i="23"/>
  <c r="P487" i="23"/>
  <c r="P491" i="23"/>
  <c r="P651" i="23"/>
  <c r="P654" i="23"/>
  <c r="P661" i="23"/>
  <c r="P608" i="23"/>
  <c r="P615" i="23"/>
  <c r="P655" i="23"/>
  <c r="P618" i="23"/>
  <c r="P620" i="23"/>
  <c r="V157" i="23"/>
  <c r="P567" i="23"/>
  <c r="P580" i="23"/>
  <c r="P574" i="23"/>
  <c r="P577" i="23"/>
  <c r="P569" i="23"/>
  <c r="P547" i="23"/>
  <c r="P560" i="23"/>
  <c r="P557" i="23"/>
  <c r="Q597" i="23"/>
  <c r="P641" i="23"/>
  <c r="P635" i="23"/>
  <c r="P636" i="23"/>
  <c r="P571" i="23"/>
  <c r="P573" i="23"/>
  <c r="P576" i="23"/>
  <c r="V576" i="23" s="1"/>
  <c r="P568" i="23"/>
  <c r="P550" i="23"/>
  <c r="V550" i="23" s="1"/>
  <c r="P551" i="23"/>
  <c r="P640" i="23"/>
  <c r="P638" i="23"/>
  <c r="V122" i="23"/>
  <c r="P579" i="23"/>
  <c r="P570" i="23"/>
  <c r="P572" i="23"/>
  <c r="P561" i="23"/>
  <c r="P548" i="23"/>
  <c r="P552" i="23"/>
  <c r="P633" i="23"/>
  <c r="P631" i="23"/>
  <c r="P578" i="23"/>
  <c r="P575" i="23"/>
  <c r="P549" i="23"/>
  <c r="P553" i="23"/>
  <c r="P639" i="23"/>
  <c r="V96" i="23"/>
  <c r="Q609" i="23"/>
  <c r="V609" i="23" s="1"/>
  <c r="V203" i="23"/>
  <c r="V161" i="23"/>
  <c r="P594" i="23"/>
  <c r="V201" i="23"/>
  <c r="V156" i="23"/>
  <c r="P590" i="23"/>
  <c r="V102" i="23"/>
  <c r="V106" i="23"/>
  <c r="Q558" i="23"/>
  <c r="V107" i="23"/>
  <c r="Q559" i="23"/>
  <c r="V559" i="23" s="1"/>
  <c r="V166" i="23"/>
  <c r="P597" i="23"/>
  <c r="Q554" i="23"/>
  <c r="P598" i="23"/>
  <c r="P601" i="23"/>
  <c r="P587" i="23"/>
  <c r="V103" i="23"/>
  <c r="Q613" i="23"/>
  <c r="V613" i="23" s="1"/>
  <c r="Q621" i="23"/>
  <c r="V621" i="23" s="1"/>
  <c r="Q551" i="23"/>
  <c r="Q561" i="23"/>
  <c r="V162" i="23"/>
  <c r="Q555" i="23"/>
  <c r="P593" i="23"/>
  <c r="P588" i="23"/>
  <c r="P595" i="23"/>
  <c r="Q651" i="23"/>
  <c r="V97" i="23"/>
  <c r="V101" i="23"/>
  <c r="Q608" i="23"/>
  <c r="Q619" i="23"/>
  <c r="V619" i="23" s="1"/>
  <c r="Q614" i="23"/>
  <c r="V614" i="23" s="1"/>
  <c r="V200" i="23"/>
  <c r="Q552" i="23"/>
  <c r="Q560" i="23"/>
  <c r="Q556" i="23"/>
  <c r="V160" i="23"/>
  <c r="V158" i="23"/>
  <c r="P600" i="23"/>
  <c r="V95" i="23"/>
  <c r="Q610" i="23"/>
  <c r="V610" i="23" s="1"/>
  <c r="V155" i="23"/>
  <c r="V134" i="23"/>
  <c r="P591" i="23"/>
  <c r="V591" i="23" s="1"/>
  <c r="P599" i="23"/>
  <c r="Q661" i="23"/>
  <c r="V105" i="23"/>
  <c r="Q616" i="23"/>
  <c r="V616" i="23" s="1"/>
  <c r="Q607" i="23"/>
  <c r="Q618" i="23"/>
  <c r="Q548" i="23"/>
  <c r="Q557" i="23"/>
  <c r="Q549" i="23"/>
  <c r="V154" i="23"/>
  <c r="V163" i="23"/>
  <c r="V167" i="23"/>
  <c r="P592" i="23"/>
  <c r="V104" i="23"/>
  <c r="Q620" i="23"/>
  <c r="V164" i="23"/>
  <c r="V159" i="23"/>
  <c r="V136" i="23"/>
  <c r="P589" i="23"/>
  <c r="V98" i="23"/>
  <c r="V100" i="23"/>
  <c r="V94" i="23"/>
  <c r="V99" i="23"/>
  <c r="Q615" i="23"/>
  <c r="Q617" i="23"/>
  <c r="Q611" i="23"/>
  <c r="Q553" i="23"/>
  <c r="V165" i="23"/>
  <c r="Q659" i="23"/>
  <c r="V659" i="23" s="1"/>
  <c r="V195" i="23"/>
  <c r="Q653" i="23"/>
  <c r="V653" i="23" s="1"/>
  <c r="Q208" i="23"/>
  <c r="Q654" i="23"/>
  <c r="Q635" i="23"/>
  <c r="V199" i="23"/>
  <c r="V198" i="23"/>
  <c r="V19" i="23"/>
  <c r="Q599" i="23"/>
  <c r="P469" i="23"/>
  <c r="P471" i="23"/>
  <c r="V196" i="23"/>
  <c r="P470" i="23"/>
  <c r="P475" i="23"/>
  <c r="P476" i="23"/>
  <c r="Q658" i="23"/>
  <c r="V658" i="23" s="1"/>
  <c r="Q652" i="23"/>
  <c r="V652" i="23" s="1"/>
  <c r="V205" i="23"/>
  <c r="V206" i="23"/>
  <c r="V204" i="23"/>
  <c r="V18" i="23"/>
  <c r="V14" i="23"/>
  <c r="P479" i="23"/>
  <c r="P480" i="23"/>
  <c r="P468" i="23"/>
  <c r="V468" i="23" s="1"/>
  <c r="P481" i="23"/>
  <c r="V26" i="23"/>
  <c r="Q649" i="23"/>
  <c r="V649" i="23" s="1"/>
  <c r="Q660" i="23"/>
  <c r="Q650" i="23"/>
  <c r="V650" i="23" s="1"/>
  <c r="V202" i="23"/>
  <c r="V194" i="23"/>
  <c r="P472" i="23"/>
  <c r="P473" i="23"/>
  <c r="P478" i="23"/>
  <c r="V24" i="23"/>
  <c r="Q648" i="23"/>
  <c r="V648" i="23" s="1"/>
  <c r="V207" i="23"/>
  <c r="Q656" i="23"/>
  <c r="Q655" i="23"/>
  <c r="Q657" i="23"/>
  <c r="Q632" i="23"/>
  <c r="V25" i="23"/>
  <c r="Q600" i="23"/>
  <c r="P467" i="23"/>
  <c r="P474" i="23"/>
  <c r="Q480" i="23"/>
  <c r="Q479" i="23"/>
  <c r="Q575" i="23"/>
  <c r="Q579" i="23"/>
  <c r="Q567" i="23"/>
  <c r="V42" i="23"/>
  <c r="V15" i="23"/>
  <c r="V22" i="23"/>
  <c r="Q491" i="23"/>
  <c r="Q499" i="23"/>
  <c r="V499" i="23" s="1"/>
  <c r="Q481" i="23"/>
  <c r="Q472" i="23"/>
  <c r="Q478" i="23"/>
  <c r="Q572" i="23"/>
  <c r="Q568" i="23"/>
  <c r="V47" i="23"/>
  <c r="V46" i="23"/>
  <c r="V40" i="23"/>
  <c r="V20" i="23"/>
  <c r="Q489" i="23"/>
  <c r="V489" i="23" s="1"/>
  <c r="Q494" i="23"/>
  <c r="V494" i="23" s="1"/>
  <c r="Q487" i="23"/>
  <c r="Q501" i="23"/>
  <c r="Q488" i="23"/>
  <c r="V488" i="23" s="1"/>
  <c r="Q497" i="23"/>
  <c r="V497" i="23" s="1"/>
  <c r="Q473" i="23"/>
  <c r="Q471" i="23"/>
  <c r="Q580" i="23"/>
  <c r="Q573" i="23"/>
  <c r="V34" i="23"/>
  <c r="V43" i="23"/>
  <c r="V37" i="23"/>
  <c r="V16" i="23"/>
  <c r="V17" i="23"/>
  <c r="V21" i="23"/>
  <c r="Q493" i="23"/>
  <c r="Q492" i="23"/>
  <c r="V492" i="23" s="1"/>
  <c r="Q490" i="23"/>
  <c r="V490" i="23" s="1"/>
  <c r="Q470" i="23"/>
  <c r="V13" i="23"/>
  <c r="Q569" i="23"/>
  <c r="Q574" i="23"/>
  <c r="V45" i="23"/>
  <c r="V44" i="23"/>
  <c r="V27" i="23"/>
  <c r="V23" i="23"/>
  <c r="Q496" i="23"/>
  <c r="V496" i="23" s="1"/>
  <c r="V183" i="23"/>
  <c r="V142" i="23"/>
  <c r="Q630" i="23"/>
  <c r="Q629" i="23"/>
  <c r="Q598" i="23"/>
  <c r="Q594" i="23"/>
  <c r="Q593" i="23"/>
  <c r="V182" i="23"/>
  <c r="V175" i="23"/>
  <c r="V179" i="23"/>
  <c r="V137" i="23"/>
  <c r="V146" i="23"/>
  <c r="V139" i="23"/>
  <c r="V145" i="23"/>
  <c r="Q633" i="23"/>
  <c r="Q628" i="23"/>
  <c r="Q589" i="23"/>
  <c r="V181" i="23"/>
  <c r="V135" i="23"/>
  <c r="V144" i="23"/>
  <c r="Q639" i="23"/>
  <c r="Q641" i="23"/>
  <c r="Q631" i="23"/>
  <c r="Q595" i="23"/>
  <c r="Q590" i="23"/>
  <c r="V177" i="23"/>
  <c r="V184" i="23"/>
  <c r="V174" i="23"/>
  <c r="V176" i="23"/>
  <c r="V140" i="23"/>
  <c r="V147" i="23"/>
  <c r="Q627" i="23"/>
  <c r="Q636" i="23"/>
  <c r="Q634" i="23"/>
  <c r="V634" i="23" s="1"/>
  <c r="Q592" i="23"/>
  <c r="Q596" i="23"/>
  <c r="V596" i="23" s="1"/>
  <c r="V185" i="23"/>
  <c r="V187" i="23"/>
  <c r="V143" i="23"/>
  <c r="V138" i="23"/>
  <c r="V141" i="23"/>
  <c r="Q640" i="23"/>
  <c r="Q638" i="23"/>
  <c r="Q637" i="23"/>
  <c r="Q588" i="23"/>
  <c r="Q601" i="23"/>
  <c r="V178" i="23"/>
  <c r="V180" i="23"/>
  <c r="V123" i="23"/>
  <c r="V119" i="23"/>
  <c r="V127" i="23"/>
  <c r="V118" i="23"/>
  <c r="V126" i="23"/>
  <c r="V115" i="23"/>
  <c r="V120" i="23"/>
  <c r="V117" i="23"/>
  <c r="V124" i="23"/>
  <c r="V125" i="23"/>
  <c r="V116" i="23"/>
  <c r="V114" i="23"/>
  <c r="V121" i="23"/>
  <c r="T647" i="23"/>
  <c r="T662" i="23" s="1"/>
  <c r="T208" i="23"/>
  <c r="U627" i="23"/>
  <c r="U642" i="23" s="1"/>
  <c r="U28" i="23"/>
  <c r="U467" i="23"/>
  <c r="U482" i="23" s="1"/>
  <c r="O208" i="23"/>
  <c r="O647" i="23"/>
  <c r="O148" i="23"/>
  <c r="O587" i="23"/>
  <c r="R487" i="23"/>
  <c r="R502" i="23" s="1"/>
  <c r="T487" i="23"/>
  <c r="T502" i="23" s="1"/>
  <c r="T567" i="23"/>
  <c r="T582" i="23" s="1"/>
  <c r="R587" i="23"/>
  <c r="R602" i="23" s="1"/>
  <c r="S587" i="23"/>
  <c r="S602" i="23" s="1"/>
  <c r="V495" i="23"/>
  <c r="L32" i="9"/>
  <c r="L37" i="9" s="1"/>
  <c r="P607" i="23"/>
  <c r="R547" i="23"/>
  <c r="R562" i="23" s="1"/>
  <c r="U587" i="23"/>
  <c r="U602" i="23" s="1"/>
  <c r="R647" i="23"/>
  <c r="R662" i="23" s="1"/>
  <c r="R208" i="23"/>
  <c r="U647" i="23"/>
  <c r="U662" i="23" s="1"/>
  <c r="U208" i="23"/>
  <c r="O567" i="23"/>
  <c r="O128" i="23"/>
  <c r="S487" i="23"/>
  <c r="S502" i="23" s="1"/>
  <c r="S647" i="23"/>
  <c r="S662" i="23" s="1"/>
  <c r="S208" i="23"/>
  <c r="O88" i="23"/>
  <c r="R627" i="23"/>
  <c r="R642" i="23" s="1"/>
  <c r="S547" i="23"/>
  <c r="S562" i="23" s="1"/>
  <c r="T607" i="23"/>
  <c r="T622" i="23" s="1"/>
  <c r="S607" i="23"/>
  <c r="S622" i="23" s="1"/>
  <c r="R607" i="23"/>
  <c r="R622" i="23" s="1"/>
  <c r="Q547" i="23"/>
  <c r="T547" i="23"/>
  <c r="T562" i="23" s="1"/>
  <c r="O547" i="23"/>
  <c r="O108" i="23"/>
  <c r="S567" i="23"/>
  <c r="S582" i="23" s="1"/>
  <c r="O48" i="23"/>
  <c r="O487" i="23"/>
  <c r="O68" i="23"/>
  <c r="O28" i="23"/>
  <c r="O467" i="23"/>
  <c r="R567" i="23"/>
  <c r="R582" i="23" s="1"/>
  <c r="S28" i="23"/>
  <c r="S467" i="23"/>
  <c r="S482" i="23" s="1"/>
  <c r="U607" i="23"/>
  <c r="U622" i="23" s="1"/>
  <c r="R28" i="23"/>
  <c r="R467" i="23"/>
  <c r="R482" i="23" s="1"/>
  <c r="O607" i="23"/>
  <c r="O168" i="23"/>
  <c r="S627" i="23"/>
  <c r="S642" i="23" s="1"/>
  <c r="U547" i="23"/>
  <c r="U562" i="23" s="1"/>
  <c r="P647" i="23"/>
  <c r="P208" i="23"/>
  <c r="T627" i="23"/>
  <c r="T642" i="23" s="1"/>
  <c r="V612" i="23"/>
  <c r="T467" i="23"/>
  <c r="T482" i="23" s="1"/>
  <c r="T28" i="23"/>
  <c r="U487" i="23"/>
  <c r="U502" i="23" s="1"/>
  <c r="U567" i="23"/>
  <c r="U582" i="23" s="1"/>
  <c r="T587" i="23"/>
  <c r="T602" i="23" s="1"/>
  <c r="O627" i="23"/>
  <c r="O188" i="23"/>
  <c r="L33" i="9" l="1"/>
  <c r="K40" i="9"/>
  <c r="P53" i="22"/>
  <c r="P18" i="7"/>
  <c r="V632" i="23"/>
  <c r="K102" i="26"/>
  <c r="K103" i="26" s="1"/>
  <c r="K95" i="26" a="1"/>
  <c r="K95" i="26" s="1"/>
  <c r="K96" i="26" s="1"/>
  <c r="K125" i="26" s="1"/>
  <c r="K127" i="26" s="1"/>
  <c r="K80" i="26"/>
  <c r="M170" i="15"/>
  <c r="M191" i="15" s="1"/>
  <c r="M17" i="26"/>
  <c r="V660" i="23"/>
  <c r="V654" i="23"/>
  <c r="V476" i="23"/>
  <c r="V580" i="23"/>
  <c r="V556" i="23"/>
  <c r="V655" i="23"/>
  <c r="V657" i="23"/>
  <c r="V592" i="23"/>
  <c r="V491" i="23"/>
  <c r="V637" i="23"/>
  <c r="V593" i="23"/>
  <c r="V555" i="23"/>
  <c r="V635" i="23"/>
  <c r="V629" i="23"/>
  <c r="V579" i="23"/>
  <c r="V474" i="23"/>
  <c r="V469" i="23"/>
  <c r="V574" i="23"/>
  <c r="V493" i="23"/>
  <c r="V631" i="23"/>
  <c r="V93" i="23"/>
  <c r="V570" i="23"/>
  <c r="V501" i="23"/>
  <c r="V475" i="23"/>
  <c r="V608" i="23"/>
  <c r="V588" i="23"/>
  <c r="V558" i="23"/>
  <c r="V617" i="23"/>
  <c r="V578" i="23"/>
  <c r="P627" i="23"/>
  <c r="P642" i="23" s="1"/>
  <c r="V577" i="23"/>
  <c r="V597" i="23"/>
  <c r="P502" i="23"/>
  <c r="V575" i="23"/>
  <c r="V651" i="23"/>
  <c r="V549" i="23"/>
  <c r="J38" i="9"/>
  <c r="K38" i="9"/>
  <c r="I38" i="9"/>
  <c r="N38" i="9"/>
  <c r="O38" i="9"/>
  <c r="P38" i="9"/>
  <c r="L38" i="9"/>
  <c r="M38" i="9"/>
  <c r="V554" i="23"/>
  <c r="V571" i="23"/>
  <c r="V33" i="23"/>
  <c r="V628" i="23"/>
  <c r="V615" i="23"/>
  <c r="V153" i="23"/>
  <c r="V618" i="23"/>
  <c r="V630" i="23"/>
  <c r="V656" i="23"/>
  <c r="V620" i="23"/>
  <c r="P622" i="23"/>
  <c r="P662" i="23"/>
  <c r="V661" i="23"/>
  <c r="V611" i="23"/>
  <c r="V561" i="23"/>
  <c r="V641" i="23"/>
  <c r="V569" i="23"/>
  <c r="V548" i="23"/>
  <c r="V568" i="23"/>
  <c r="V636" i="23"/>
  <c r="V639" i="23"/>
  <c r="V590" i="23"/>
  <c r="V633" i="23"/>
  <c r="V640" i="23"/>
  <c r="V600" i="23"/>
  <c r="V599" i="23"/>
  <c r="V560" i="23"/>
  <c r="V638" i="23"/>
  <c r="V572" i="23"/>
  <c r="V573" i="23"/>
  <c r="V557" i="23"/>
  <c r="P582" i="23"/>
  <c r="V551" i="23"/>
  <c r="V553" i="23"/>
  <c r="V552" i="23"/>
  <c r="P562" i="23"/>
  <c r="V133" i="23"/>
  <c r="P28" i="23"/>
  <c r="V479" i="23"/>
  <c r="V595" i="23"/>
  <c r="V601" i="23"/>
  <c r="V472" i="23"/>
  <c r="V470" i="23"/>
  <c r="V193" i="23"/>
  <c r="Q647" i="23"/>
  <c r="V647" i="23" s="1"/>
  <c r="V589" i="23"/>
  <c r="V594" i="23"/>
  <c r="V478" i="23"/>
  <c r="V598" i="23"/>
  <c r="V480" i="23"/>
  <c r="P602" i="23"/>
  <c r="V188" i="23"/>
  <c r="V148" i="23"/>
  <c r="V173" i="23"/>
  <c r="Q622" i="23"/>
  <c r="V622" i="23" s="1"/>
  <c r="Q562" i="23"/>
  <c r="V562" i="23" s="1"/>
  <c r="V471" i="23"/>
  <c r="V481" i="23"/>
  <c r="V473" i="23"/>
  <c r="P482" i="23"/>
  <c r="Q28" i="23"/>
  <c r="V28" i="23" s="1"/>
  <c r="Q467" i="23"/>
  <c r="Q582" i="23"/>
  <c r="V582" i="23" s="1"/>
  <c r="V48" i="23"/>
  <c r="Q502" i="23"/>
  <c r="V502" i="23" s="1"/>
  <c r="Q587" i="23"/>
  <c r="Q602" i="23" s="1"/>
  <c r="V602" i="23" s="1"/>
  <c r="V128" i="23"/>
  <c r="V113" i="23"/>
  <c r="Q642" i="23"/>
  <c r="V642" i="23" s="1"/>
  <c r="I37" i="9"/>
  <c r="O53" i="22" s="1"/>
  <c r="V108" i="23"/>
  <c r="O622" i="23"/>
  <c r="V607" i="23"/>
  <c r="O562" i="23"/>
  <c r="V547" i="23"/>
  <c r="O662" i="23"/>
  <c r="V208" i="23"/>
  <c r="O482" i="23"/>
  <c r="M32" i="9"/>
  <c r="M37" i="9" s="1"/>
  <c r="O642" i="23"/>
  <c r="V487" i="23"/>
  <c r="O502" i="23"/>
  <c r="O582" i="23"/>
  <c r="V567" i="23"/>
  <c r="O602" i="23"/>
  <c r="V168" i="23"/>
  <c r="M33" i="9" l="1"/>
  <c r="L40" i="9"/>
  <c r="I40" i="9"/>
  <c r="J39" i="9"/>
  <c r="P39" i="9"/>
  <c r="M39" i="9"/>
  <c r="I39" i="9"/>
  <c r="J40" i="9"/>
  <c r="N39" i="9"/>
  <c r="O39" i="9"/>
  <c r="L39" i="9"/>
  <c r="K39" i="9"/>
  <c r="M65" i="26"/>
  <c r="N147" i="15"/>
  <c r="N41" i="26" s="1"/>
  <c r="V627" i="23"/>
  <c r="V467" i="23"/>
  <c r="V587" i="23"/>
  <c r="Q662" i="23"/>
  <c r="V662" i="23" s="1"/>
  <c r="Q482" i="23"/>
  <c r="V482" i="23" s="1"/>
  <c r="N32" i="9"/>
  <c r="N37" i="9" s="1"/>
  <c r="N33" i="9" l="1"/>
  <c r="M40" i="9"/>
  <c r="N17" i="26"/>
  <c r="N170" i="15"/>
  <c r="N191" i="15" s="1"/>
  <c r="O32" i="9"/>
  <c r="O37" i="9" s="1"/>
  <c r="O33" i="9" l="1"/>
  <c r="N40" i="9"/>
  <c r="O147" i="15"/>
  <c r="O41" i="26" s="1"/>
  <c r="N65" i="26"/>
  <c r="P32" i="9"/>
  <c r="P37" i="9" s="1"/>
  <c r="O40" i="9" l="1"/>
  <c r="P33" i="9"/>
  <c r="P40" i="9" s="1"/>
  <c r="O170" i="15"/>
  <c r="O191" i="15" s="1"/>
  <c r="O17" i="26"/>
  <c r="Q12" i="22"/>
  <c r="O12" i="22"/>
  <c r="O65" i="26" l="1"/>
  <c r="P147" i="15"/>
  <c r="P41" i="26" s="1"/>
  <c r="P12" i="22"/>
  <c r="I19" i="21"/>
  <c r="I13" i="21"/>
  <c r="I27" i="21"/>
  <c r="K13" i="21"/>
  <c r="K13" i="29" s="1"/>
  <c r="K37" i="29" s="1"/>
  <c r="K19" i="21"/>
  <c r="K23" i="21" s="1"/>
  <c r="K27" i="21"/>
  <c r="K31" i="21" s="1"/>
  <c r="J13" i="21"/>
  <c r="J19" i="21"/>
  <c r="J27" i="21"/>
  <c r="G27" i="21"/>
  <c r="G19" i="21"/>
  <c r="G13" i="21"/>
  <c r="H27" i="21"/>
  <c r="H13" i="21"/>
  <c r="H19" i="21"/>
  <c r="P170" i="15" l="1"/>
  <c r="P191" i="15" s="1"/>
  <c r="P17" i="26"/>
  <c r="R50" i="22"/>
  <c r="R51" i="22" s="1"/>
  <c r="R53" i="22" s="1"/>
  <c r="V50" i="22"/>
  <c r="V51" i="22" s="1"/>
  <c r="V53" i="22" s="1"/>
  <c r="T50" i="22"/>
  <c r="T51" i="22" s="1"/>
  <c r="T53" i="22" s="1"/>
  <c r="U50" i="22"/>
  <c r="U51" i="22" s="1"/>
  <c r="U53" i="22" s="1"/>
  <c r="S50" i="22"/>
  <c r="S51" i="22" s="1"/>
  <c r="S53" i="22" s="1"/>
  <c r="J37" i="21"/>
  <c r="J13" i="29"/>
  <c r="J37" i="29" s="1"/>
  <c r="G31" i="21"/>
  <c r="G27" i="29"/>
  <c r="L27" i="21"/>
  <c r="L31" i="21" s="1"/>
  <c r="H23" i="21"/>
  <c r="H19" i="29"/>
  <c r="H23" i="29" s="1"/>
  <c r="J31" i="21"/>
  <c r="J27" i="29"/>
  <c r="J31" i="29" s="1"/>
  <c r="K37" i="21"/>
  <c r="H37" i="21"/>
  <c r="H13" i="29"/>
  <c r="H37" i="29" s="1"/>
  <c r="H31" i="21"/>
  <c r="H27" i="29"/>
  <c r="H31" i="29" s="1"/>
  <c r="I31" i="21"/>
  <c r="I27" i="29"/>
  <c r="I31" i="29" s="1"/>
  <c r="K19" i="29"/>
  <c r="K23" i="29" s="1"/>
  <c r="I37" i="21"/>
  <c r="I13" i="29"/>
  <c r="I37" i="29" s="1"/>
  <c r="L13" i="21"/>
  <c r="G13" i="29"/>
  <c r="G37" i="29" s="1"/>
  <c r="G37" i="21"/>
  <c r="J23" i="21"/>
  <c r="J19" i="29"/>
  <c r="J23" i="29" s="1"/>
  <c r="K27" i="29"/>
  <c r="K31" i="29" s="1"/>
  <c r="L19" i="21"/>
  <c r="L23" i="21" s="1"/>
  <c r="G23" i="21"/>
  <c r="G19" i="29"/>
  <c r="I23" i="21"/>
  <c r="I19" i="29"/>
  <c r="I23" i="29" s="1"/>
  <c r="P65" i="26" l="1"/>
  <c r="Q147" i="15"/>
  <c r="Q41" i="26" s="1"/>
  <c r="K47" i="21"/>
  <c r="G47" i="21"/>
  <c r="J47" i="21"/>
  <c r="H47" i="21"/>
  <c r="L37" i="21"/>
  <c r="I47" i="21"/>
  <c r="L37" i="29"/>
  <c r="L13" i="29"/>
  <c r="G31" i="29"/>
  <c r="L27" i="29"/>
  <c r="L31" i="29" s="1"/>
  <c r="G23" i="29"/>
  <c r="L19" i="29"/>
  <c r="L23" i="29" s="1"/>
  <c r="Q17" i="26" l="1"/>
  <c r="Q170" i="15"/>
  <c r="Q191" i="15" s="1"/>
  <c r="L47" i="21"/>
  <c r="Q65" i="26" l="1"/>
  <c r="O423" i="14" l="1"/>
  <c r="O418" i="14"/>
  <c r="O417" i="14"/>
  <c r="O415" i="14"/>
  <c r="O414" i="14"/>
  <c r="O422" i="14"/>
  <c r="O421" i="14"/>
  <c r="O420" i="14"/>
  <c r="O416" i="14"/>
  <c r="O419" i="14"/>
  <c r="O410" i="14"/>
  <c r="O413" i="14"/>
  <c r="O412" i="14"/>
  <c r="O411" i="14"/>
  <c r="O409" i="14"/>
  <c r="P229" i="14" s="1"/>
  <c r="P209" i="14" l="1"/>
  <c r="P244" i="14"/>
  <c r="P73" i="23" a="1"/>
  <c r="Q229" i="14"/>
  <c r="R229" i="14" s="1"/>
  <c r="R244" i="14" s="1"/>
  <c r="O424" i="14"/>
  <c r="R73" i="23" a="1"/>
  <c r="Q73" i="23" a="1"/>
  <c r="Q209" i="14"/>
  <c r="Q244" i="14" l="1"/>
  <c r="S229" i="14"/>
  <c r="T229" i="14" s="1"/>
  <c r="P224" i="14"/>
  <c r="P53" i="23" a="1"/>
  <c r="P223" i="23" s="1"/>
  <c r="P73" i="23"/>
  <c r="P88" i="23"/>
  <c r="S73" i="23" a="1"/>
  <c r="S244" i="14"/>
  <c r="R73" i="23"/>
  <c r="Q73" i="23"/>
  <c r="Q224" i="14"/>
  <c r="R209" i="14"/>
  <c r="Q53" i="23" a="1"/>
  <c r="P219" i="23" l="1"/>
  <c r="P222" i="23"/>
  <c r="P53" i="23"/>
  <c r="P220" i="23"/>
  <c r="P216" i="23"/>
  <c r="P221" i="23"/>
  <c r="P217" i="23"/>
  <c r="P215" i="23"/>
  <c r="P225" i="23"/>
  <c r="P214" i="23"/>
  <c r="P226" i="23"/>
  <c r="P227" i="23"/>
  <c r="P224" i="23"/>
  <c r="P218" i="23"/>
  <c r="Q223" i="23"/>
  <c r="Q225" i="23"/>
  <c r="Q218" i="23"/>
  <c r="Q219" i="23"/>
  <c r="Q53" i="23"/>
  <c r="Q217" i="23"/>
  <c r="Q227" i="23"/>
  <c r="Q222" i="23"/>
  <c r="Q214" i="23"/>
  <c r="Q216" i="23"/>
  <c r="Q215" i="23"/>
  <c r="Q221" i="23"/>
  <c r="Q224" i="23"/>
  <c r="Q226" i="23"/>
  <c r="Q220" i="23"/>
  <c r="R224" i="14"/>
  <c r="R53" i="23" a="1"/>
  <c r="S209" i="14"/>
  <c r="Q88" i="23"/>
  <c r="S73" i="23"/>
  <c r="R88" i="23"/>
  <c r="T244" i="14"/>
  <c r="T73" i="23" a="1"/>
  <c r="U229" i="14"/>
  <c r="O304" i="23" a="1"/>
  <c r="S536" i="23" s="1"/>
  <c r="P213" i="23" l="1"/>
  <c r="P228" i="23" s="1"/>
  <c r="P68" i="23"/>
  <c r="S535" i="23"/>
  <c r="U244" i="14"/>
  <c r="V244" i="14" s="1"/>
  <c r="U73" i="23" a="1"/>
  <c r="V84" i="23" s="1"/>
  <c r="S537" i="23"/>
  <c r="S529" i="23"/>
  <c r="Q68" i="23"/>
  <c r="Q213" i="23"/>
  <c r="S539" i="23"/>
  <c r="S224" i="14"/>
  <c r="S53" i="23" a="1"/>
  <c r="T209" i="14"/>
  <c r="R223" i="23"/>
  <c r="R215" i="23"/>
  <c r="R53" i="23"/>
  <c r="R217" i="23"/>
  <c r="R227" i="23"/>
  <c r="R221" i="23"/>
  <c r="R225" i="23"/>
  <c r="R219" i="23"/>
  <c r="R220" i="23"/>
  <c r="R218" i="23"/>
  <c r="R216" i="23"/>
  <c r="R214" i="23"/>
  <c r="R224" i="23"/>
  <c r="R226" i="23"/>
  <c r="R222" i="23"/>
  <c r="T540" i="23"/>
  <c r="T539" i="23"/>
  <c r="T536" i="23"/>
  <c r="T531" i="23"/>
  <c r="T541" i="23"/>
  <c r="T534" i="23"/>
  <c r="T533" i="23"/>
  <c r="T532" i="23"/>
  <c r="T528" i="23"/>
  <c r="T535" i="23"/>
  <c r="T537" i="23"/>
  <c r="T530" i="23"/>
  <c r="T529" i="23"/>
  <c r="T538" i="23"/>
  <c r="T73" i="23"/>
  <c r="S541" i="23"/>
  <c r="S540" i="23"/>
  <c r="S528" i="23"/>
  <c r="S534" i="23"/>
  <c r="S530" i="23"/>
  <c r="O537" i="23"/>
  <c r="O541" i="23"/>
  <c r="O528" i="23"/>
  <c r="V315" i="23"/>
  <c r="V309" i="23"/>
  <c r="V306" i="23"/>
  <c r="T319" i="23"/>
  <c r="V314" i="23"/>
  <c r="V307" i="23"/>
  <c r="O536" i="23"/>
  <c r="O532" i="23"/>
  <c r="O529" i="23"/>
  <c r="O533" i="23"/>
  <c r="O538" i="23"/>
  <c r="V312" i="23"/>
  <c r="V313" i="23"/>
  <c r="O531" i="23"/>
  <c r="V308" i="23"/>
  <c r="O540" i="23"/>
  <c r="O535" i="23"/>
  <c r="O530" i="23"/>
  <c r="O539" i="23"/>
  <c r="Q319" i="23"/>
  <c r="V318" i="23"/>
  <c r="V316" i="23"/>
  <c r="U319" i="23"/>
  <c r="V311" i="23"/>
  <c r="S319" i="23"/>
  <c r="V305" i="23"/>
  <c r="R319" i="23"/>
  <c r="P319" i="23"/>
  <c r="O534" i="23"/>
  <c r="O304" i="23"/>
  <c r="V317" i="23"/>
  <c r="V310" i="23"/>
  <c r="P539" i="23"/>
  <c r="P537" i="23"/>
  <c r="P535" i="23"/>
  <c r="P538" i="23"/>
  <c r="P529" i="23"/>
  <c r="P541" i="23"/>
  <c r="P528" i="23"/>
  <c r="P540" i="23"/>
  <c r="P533" i="23"/>
  <c r="P536" i="23"/>
  <c r="P532" i="23"/>
  <c r="P531" i="23"/>
  <c r="P534" i="23"/>
  <c r="P530" i="23"/>
  <c r="R536" i="23"/>
  <c r="R530" i="23"/>
  <c r="Q539" i="23"/>
  <c r="Q531" i="23"/>
  <c r="Q533" i="23"/>
  <c r="P527" i="23"/>
  <c r="R537" i="23"/>
  <c r="R533" i="23"/>
  <c r="Q536" i="23"/>
  <c r="Q537" i="23"/>
  <c r="R529" i="23"/>
  <c r="R539" i="23"/>
  <c r="R535" i="23"/>
  <c r="Q529" i="23"/>
  <c r="Q540" i="23"/>
  <c r="R531" i="23"/>
  <c r="R540" i="23"/>
  <c r="R541" i="23"/>
  <c r="Q532" i="23"/>
  <c r="Q534" i="23"/>
  <c r="R528" i="23"/>
  <c r="R532" i="23"/>
  <c r="Q530" i="23"/>
  <c r="Q541" i="23"/>
  <c r="R534" i="23"/>
  <c r="R538" i="23"/>
  <c r="Q528" i="23"/>
  <c r="Q538" i="23"/>
  <c r="Q535" i="23"/>
  <c r="S538" i="23"/>
  <c r="S532" i="23"/>
  <c r="S527" i="23"/>
  <c r="S88" i="23"/>
  <c r="R527" i="23"/>
  <c r="V229" i="14"/>
  <c r="S531" i="23"/>
  <c r="S533" i="23"/>
  <c r="Q527" i="23"/>
  <c r="V79" i="23" l="1"/>
  <c r="V78" i="23"/>
  <c r="V87" i="23"/>
  <c r="V74" i="23"/>
  <c r="V81" i="23"/>
  <c r="V80" i="23"/>
  <c r="R542" i="23"/>
  <c r="V86" i="23"/>
  <c r="V75" i="23"/>
  <c r="V319" i="23"/>
  <c r="V85" i="23"/>
  <c r="V82" i="23"/>
  <c r="V83" i="23"/>
  <c r="V76" i="23"/>
  <c r="S542" i="23"/>
  <c r="O527" i="23"/>
  <c r="V304" i="23"/>
  <c r="O319" i="23"/>
  <c r="U209" i="14"/>
  <c r="T53" i="23" a="1"/>
  <c r="T224" i="14"/>
  <c r="O430" i="14" a="1"/>
  <c r="Q228" i="23"/>
  <c r="T527" i="23"/>
  <c r="T542" i="23" s="1"/>
  <c r="T88" i="23"/>
  <c r="Q542" i="23"/>
  <c r="P542" i="23"/>
  <c r="S53" i="23"/>
  <c r="S227" i="23"/>
  <c r="S225" i="23"/>
  <c r="S214" i="23"/>
  <c r="S223" i="23"/>
  <c r="S222" i="23"/>
  <c r="S217" i="23"/>
  <c r="S219" i="23"/>
  <c r="S226" i="23"/>
  <c r="S220" i="23"/>
  <c r="S216" i="23"/>
  <c r="S218" i="23"/>
  <c r="S221" i="23"/>
  <c r="S215" i="23"/>
  <c r="S224" i="23"/>
  <c r="R68" i="23"/>
  <c r="R213" i="23"/>
  <c r="R228" i="23" s="1"/>
  <c r="U532" i="23"/>
  <c r="V532" i="23" s="1"/>
  <c r="U534" i="23"/>
  <c r="V534" i="23" s="1"/>
  <c r="U535" i="23"/>
  <c r="V535" i="23" s="1"/>
  <c r="U531" i="23"/>
  <c r="V531" i="23" s="1"/>
  <c r="U529" i="23"/>
  <c r="V529" i="23" s="1"/>
  <c r="U73" i="23"/>
  <c r="V73" i="23" s="1"/>
  <c r="U537" i="23"/>
  <c r="V537" i="23" s="1"/>
  <c r="U539" i="23"/>
  <c r="V539" i="23" s="1"/>
  <c r="U540" i="23"/>
  <c r="V540" i="23" s="1"/>
  <c r="U536" i="23"/>
  <c r="V536" i="23" s="1"/>
  <c r="U533" i="23"/>
  <c r="V533" i="23" s="1"/>
  <c r="U530" i="23"/>
  <c r="V530" i="23" s="1"/>
  <c r="U538" i="23"/>
  <c r="V538" i="23" s="1"/>
  <c r="U541" i="23"/>
  <c r="V541" i="23" s="1"/>
  <c r="U528" i="23"/>
  <c r="V528" i="23" s="1"/>
  <c r="V77" i="23"/>
  <c r="V209" i="14"/>
  <c r="O430" i="14" l="1"/>
  <c r="V435" i="14"/>
  <c r="V444" i="14"/>
  <c r="V438" i="14"/>
  <c r="V437" i="14"/>
  <c r="V433" i="14"/>
  <c r="V434" i="14"/>
  <c r="R445" i="14"/>
  <c r="V439" i="14"/>
  <c r="P445" i="14"/>
  <c r="V431" i="14"/>
  <c r="V432" i="14"/>
  <c r="U445" i="14"/>
  <c r="V445" i="14" s="1"/>
  <c r="V430" i="14"/>
  <c r="V441" i="14"/>
  <c r="Q445" i="14"/>
  <c r="T445" i="14"/>
  <c r="S445" i="14"/>
  <c r="V442" i="14"/>
  <c r="V440" i="14"/>
  <c r="V436" i="14"/>
  <c r="V443" i="14"/>
  <c r="U88" i="23"/>
  <c r="V88" i="23" s="1"/>
  <c r="U527" i="23"/>
  <c r="U542" i="23" s="1"/>
  <c r="V542" i="23" s="1"/>
  <c r="T216" i="23"/>
  <c r="T225" i="23"/>
  <c r="T224" i="23"/>
  <c r="T218" i="23"/>
  <c r="T227" i="23"/>
  <c r="T214" i="23"/>
  <c r="T226" i="23"/>
  <c r="T223" i="23"/>
  <c r="T220" i="23"/>
  <c r="T219" i="23"/>
  <c r="T53" i="23"/>
  <c r="T215" i="23"/>
  <c r="T217" i="23"/>
  <c r="T221" i="23"/>
  <c r="T222" i="23"/>
  <c r="O542" i="23"/>
  <c r="V527" i="23"/>
  <c r="S68" i="23"/>
  <c r="S213" i="23"/>
  <c r="S228" i="23" s="1"/>
  <c r="U53" i="23" a="1"/>
  <c r="V66" i="23" s="1"/>
  <c r="U224" i="14"/>
  <c r="V224" i="14" s="1"/>
  <c r="O389" i="14" a="1"/>
  <c r="O13" i="25" a="1"/>
  <c r="O369" i="14" a="1"/>
  <c r="O284" i="23" a="1"/>
  <c r="T510" i="23" s="1"/>
  <c r="P414" i="14" l="1"/>
  <c r="Q414" i="14" s="1"/>
  <c r="R414" i="14" s="1"/>
  <c r="S414" i="14" s="1"/>
  <c r="T414" i="14" s="1"/>
  <c r="U414" i="14" s="1"/>
  <c r="V414" i="14" s="1"/>
  <c r="P417" i="14"/>
  <c r="Q417" i="14" s="1"/>
  <c r="R417" i="14" s="1"/>
  <c r="S417" i="14" s="1"/>
  <c r="T417" i="14" s="1"/>
  <c r="U417" i="14" s="1"/>
  <c r="V417" i="14" s="1"/>
  <c r="P422" i="14"/>
  <c r="Q422" i="14" s="1"/>
  <c r="R422" i="14" s="1"/>
  <c r="S422" i="14" s="1"/>
  <c r="T422" i="14" s="1"/>
  <c r="U422" i="14" s="1"/>
  <c r="V422" i="14" s="1"/>
  <c r="P421" i="14"/>
  <c r="Q421" i="14" s="1"/>
  <c r="R421" i="14" s="1"/>
  <c r="S421" i="14" s="1"/>
  <c r="T421" i="14" s="1"/>
  <c r="U421" i="14" s="1"/>
  <c r="V421" i="14" s="1"/>
  <c r="V397" i="14"/>
  <c r="V395" i="14"/>
  <c r="V403" i="14"/>
  <c r="P416" i="14"/>
  <c r="Q416" i="14" s="1"/>
  <c r="R416" i="14" s="1"/>
  <c r="S416" i="14" s="1"/>
  <c r="T416" i="14" s="1"/>
  <c r="U416" i="14" s="1"/>
  <c r="V416" i="14" s="1"/>
  <c r="P404" i="14"/>
  <c r="U404" i="14"/>
  <c r="Q404" i="14"/>
  <c r="R404" i="14"/>
  <c r="V392" i="14"/>
  <c r="V391" i="14"/>
  <c r="V396" i="14"/>
  <c r="V398" i="14"/>
  <c r="V399" i="14"/>
  <c r="T404" i="14"/>
  <c r="V390" i="14"/>
  <c r="V393" i="14"/>
  <c r="O389" i="14"/>
  <c r="V394" i="14"/>
  <c r="V401" i="14"/>
  <c r="V400" i="14"/>
  <c r="S404" i="14"/>
  <c r="V402" i="14"/>
  <c r="P409" i="14"/>
  <c r="P415" i="14"/>
  <c r="Q415" i="14" s="1"/>
  <c r="R415" i="14" s="1"/>
  <c r="S415" i="14" s="1"/>
  <c r="T415" i="14" s="1"/>
  <c r="U415" i="14" s="1"/>
  <c r="V415" i="14" s="1"/>
  <c r="P419" i="14"/>
  <c r="Q419" i="14" s="1"/>
  <c r="R419" i="14" s="1"/>
  <c r="S419" i="14" s="1"/>
  <c r="T419" i="14" s="1"/>
  <c r="U419" i="14" s="1"/>
  <c r="V419" i="14" s="1"/>
  <c r="P411" i="14"/>
  <c r="Q411" i="14" s="1"/>
  <c r="R411" i="14" s="1"/>
  <c r="S411" i="14" s="1"/>
  <c r="T411" i="14" s="1"/>
  <c r="U411" i="14" s="1"/>
  <c r="V411" i="14" s="1"/>
  <c r="P420" i="14"/>
  <c r="Q420" i="14" s="1"/>
  <c r="R420" i="14" s="1"/>
  <c r="S420" i="14" s="1"/>
  <c r="T420" i="14" s="1"/>
  <c r="U420" i="14" s="1"/>
  <c r="V420" i="14" s="1"/>
  <c r="P413" i="14"/>
  <c r="Q413" i="14" s="1"/>
  <c r="R413" i="14" s="1"/>
  <c r="S413" i="14" s="1"/>
  <c r="T413" i="14" s="1"/>
  <c r="U413" i="14" s="1"/>
  <c r="V413" i="14" s="1"/>
  <c r="P410" i="14"/>
  <c r="Q410" i="14" s="1"/>
  <c r="R410" i="14" s="1"/>
  <c r="S410" i="14" s="1"/>
  <c r="T410" i="14" s="1"/>
  <c r="U410" i="14" s="1"/>
  <c r="V410" i="14" s="1"/>
  <c r="P423" i="14"/>
  <c r="Q423" i="14" s="1"/>
  <c r="R423" i="14" s="1"/>
  <c r="S423" i="14" s="1"/>
  <c r="T423" i="14" s="1"/>
  <c r="U423" i="14" s="1"/>
  <c r="V423" i="14" s="1"/>
  <c r="P418" i="14"/>
  <c r="Q418" i="14" s="1"/>
  <c r="R418" i="14" s="1"/>
  <c r="S418" i="14" s="1"/>
  <c r="T418" i="14" s="1"/>
  <c r="U418" i="14" s="1"/>
  <c r="V418" i="14" s="1"/>
  <c r="P412" i="14"/>
  <c r="Q412" i="14" s="1"/>
  <c r="R412" i="14" s="1"/>
  <c r="S412" i="14" s="1"/>
  <c r="T412" i="14" s="1"/>
  <c r="U412" i="14" s="1"/>
  <c r="V412" i="14" s="1"/>
  <c r="V55" i="23"/>
  <c r="T511" i="23"/>
  <c r="V61" i="23"/>
  <c r="V60" i="23"/>
  <c r="T516" i="23"/>
  <c r="T520" i="23"/>
  <c r="T508" i="23"/>
  <c r="T512" i="23"/>
  <c r="U509" i="23"/>
  <c r="U220" i="23"/>
  <c r="V220" i="23" s="1"/>
  <c r="U223" i="23"/>
  <c r="V223" i="23" s="1"/>
  <c r="U510" i="23"/>
  <c r="U217" i="23"/>
  <c r="V217" i="23" s="1"/>
  <c r="U512" i="23"/>
  <c r="U224" i="23"/>
  <c r="V224" i="23" s="1"/>
  <c r="U508" i="23"/>
  <c r="U214" i="23"/>
  <c r="V214" i="23" s="1"/>
  <c r="U513" i="23"/>
  <c r="U521" i="23"/>
  <c r="U221" i="23"/>
  <c r="V221" i="23" s="1"/>
  <c r="U514" i="23"/>
  <c r="U515" i="23"/>
  <c r="U218" i="23"/>
  <c r="V218" i="23" s="1"/>
  <c r="U516" i="23"/>
  <c r="U520" i="23"/>
  <c r="U53" i="23"/>
  <c r="U517" i="23"/>
  <c r="U225" i="23"/>
  <c r="V225" i="23" s="1"/>
  <c r="U519" i="23"/>
  <c r="U215" i="23"/>
  <c r="V215" i="23" s="1"/>
  <c r="U226" i="23"/>
  <c r="V226" i="23" s="1"/>
  <c r="U222" i="23"/>
  <c r="V222" i="23" s="1"/>
  <c r="U511" i="23"/>
  <c r="U227" i="23"/>
  <c r="V227" i="23" s="1"/>
  <c r="U219" i="23"/>
  <c r="V219" i="23" s="1"/>
  <c r="U216" i="23"/>
  <c r="V216" i="23" s="1"/>
  <c r="U518" i="23"/>
  <c r="V58" i="23"/>
  <c r="V54" i="23"/>
  <c r="V63" i="23"/>
  <c r="V56" i="23"/>
  <c r="V62" i="23"/>
  <c r="V67" i="23"/>
  <c r="V65" i="23"/>
  <c r="V64" i="23"/>
  <c r="T513" i="23"/>
  <c r="P444" i="23"/>
  <c r="O449" i="23"/>
  <c r="O521" i="23"/>
  <c r="O456" i="23"/>
  <c r="O508" i="23"/>
  <c r="O450" i="23"/>
  <c r="O519" i="23"/>
  <c r="O510" i="23"/>
  <c r="O514" i="23"/>
  <c r="O454" i="23"/>
  <c r="O516" i="23"/>
  <c r="O455" i="23"/>
  <c r="O518" i="23"/>
  <c r="O448" i="23"/>
  <c r="O512" i="23"/>
  <c r="U444" i="23"/>
  <c r="O453" i="23"/>
  <c r="Q444" i="23"/>
  <c r="S444" i="23"/>
  <c r="T444" i="23"/>
  <c r="O458" i="23"/>
  <c r="O451" i="23"/>
  <c r="O520" i="23"/>
  <c r="O452" i="23"/>
  <c r="O446" i="23"/>
  <c r="O511" i="23"/>
  <c r="O447" i="23"/>
  <c r="O517" i="23"/>
  <c r="O515" i="23"/>
  <c r="O445" i="23"/>
  <c r="O457" i="23"/>
  <c r="O513" i="23"/>
  <c r="T299" i="23"/>
  <c r="U299" i="23"/>
  <c r="P455" i="23"/>
  <c r="T450" i="23"/>
  <c r="P454" i="23"/>
  <c r="U458" i="23"/>
  <c r="V291" i="23"/>
  <c r="S451" i="23"/>
  <c r="T446" i="23"/>
  <c r="P449" i="23"/>
  <c r="Q451" i="23"/>
  <c r="Q448" i="23"/>
  <c r="V285" i="23"/>
  <c r="S452" i="23"/>
  <c r="P452" i="23"/>
  <c r="P456" i="23"/>
  <c r="P451" i="23"/>
  <c r="S299" i="23"/>
  <c r="T457" i="23"/>
  <c r="U453" i="23"/>
  <c r="R451" i="23"/>
  <c r="S448" i="23"/>
  <c r="S454" i="23"/>
  <c r="V297" i="23"/>
  <c r="V294" i="23"/>
  <c r="R447" i="23"/>
  <c r="U449" i="23"/>
  <c r="Q456" i="23"/>
  <c r="U456" i="23"/>
  <c r="V287" i="23"/>
  <c r="T445" i="23"/>
  <c r="S455" i="23"/>
  <c r="V292" i="23"/>
  <c r="V288" i="23"/>
  <c r="Q445" i="23"/>
  <c r="Q299" i="23"/>
  <c r="V296" i="23"/>
  <c r="R444" i="23"/>
  <c r="R455" i="23"/>
  <c r="R450" i="23"/>
  <c r="T453" i="23"/>
  <c r="P447" i="23"/>
  <c r="U454" i="23"/>
  <c r="Q446" i="23"/>
  <c r="U445" i="23"/>
  <c r="Q453" i="23"/>
  <c r="P446" i="23"/>
  <c r="S446" i="23"/>
  <c r="V289" i="23"/>
  <c r="S449" i="23"/>
  <c r="U451" i="23"/>
  <c r="R445" i="23"/>
  <c r="V295" i="23"/>
  <c r="U448" i="23"/>
  <c r="P299" i="23"/>
  <c r="S447" i="23"/>
  <c r="U457" i="23"/>
  <c r="T455" i="23"/>
  <c r="U450" i="23"/>
  <c r="R453" i="23"/>
  <c r="O284" i="23"/>
  <c r="O509" i="23"/>
  <c r="S453" i="23"/>
  <c r="R456" i="23"/>
  <c r="T458" i="23"/>
  <c r="Q455" i="23"/>
  <c r="Q454" i="23"/>
  <c r="Q450" i="23"/>
  <c r="V298" i="23"/>
  <c r="V286" i="23"/>
  <c r="R458" i="23"/>
  <c r="R454" i="23"/>
  <c r="P457" i="23"/>
  <c r="P450" i="23"/>
  <c r="R452" i="23"/>
  <c r="Q449" i="23"/>
  <c r="S450" i="23"/>
  <c r="T449" i="23"/>
  <c r="T454" i="23"/>
  <c r="V290" i="23"/>
  <c r="T448" i="23"/>
  <c r="S445" i="23"/>
  <c r="U455" i="23"/>
  <c r="R299" i="23"/>
  <c r="T456" i="23"/>
  <c r="U446" i="23"/>
  <c r="R449" i="23"/>
  <c r="P448" i="23"/>
  <c r="R448" i="23"/>
  <c r="U447" i="23"/>
  <c r="S456" i="23"/>
  <c r="T447" i="23"/>
  <c r="T452" i="23"/>
  <c r="S457" i="23"/>
  <c r="P453" i="23"/>
  <c r="R457" i="23"/>
  <c r="Q457" i="23"/>
  <c r="R446" i="23"/>
  <c r="S458" i="23"/>
  <c r="U452" i="23"/>
  <c r="Q452" i="23"/>
  <c r="P458" i="23"/>
  <c r="V293" i="23"/>
  <c r="Q447" i="23"/>
  <c r="T451" i="23"/>
  <c r="Q458" i="23"/>
  <c r="P445" i="23"/>
  <c r="P521" i="23"/>
  <c r="P511" i="23"/>
  <c r="P518" i="23"/>
  <c r="P509" i="23"/>
  <c r="P514" i="23"/>
  <c r="P510" i="23"/>
  <c r="P512" i="23"/>
  <c r="P515" i="23"/>
  <c r="P516" i="23"/>
  <c r="P517" i="23"/>
  <c r="P508" i="23"/>
  <c r="P513" i="23"/>
  <c r="P520" i="23"/>
  <c r="P519" i="23"/>
  <c r="P507" i="23"/>
  <c r="Q519" i="23"/>
  <c r="Q517" i="23"/>
  <c r="Q510" i="23"/>
  <c r="Q520" i="23"/>
  <c r="Q516" i="23"/>
  <c r="Q513" i="23"/>
  <c r="Q508" i="23"/>
  <c r="Q515" i="23"/>
  <c r="Q521" i="23"/>
  <c r="Q511" i="23"/>
  <c r="Q514" i="23"/>
  <c r="Q518" i="23"/>
  <c r="Q512" i="23"/>
  <c r="Q509" i="23"/>
  <c r="Q507" i="23"/>
  <c r="R510" i="23"/>
  <c r="R519" i="23"/>
  <c r="R517" i="23"/>
  <c r="R520" i="23"/>
  <c r="R521" i="23"/>
  <c r="R515" i="23"/>
  <c r="R518" i="23"/>
  <c r="R516" i="23"/>
  <c r="R511" i="23"/>
  <c r="R513" i="23"/>
  <c r="R508" i="23"/>
  <c r="R512" i="23"/>
  <c r="R514" i="23"/>
  <c r="R509" i="23"/>
  <c r="S521" i="23"/>
  <c r="S508" i="23"/>
  <c r="R507" i="23"/>
  <c r="S514" i="23"/>
  <c r="S517" i="23"/>
  <c r="S511" i="23"/>
  <c r="S513" i="23"/>
  <c r="S515" i="23"/>
  <c r="S512" i="23"/>
  <c r="S510" i="23"/>
  <c r="S509" i="23"/>
  <c r="S518" i="23"/>
  <c r="S520" i="23"/>
  <c r="S519" i="23"/>
  <c r="S516" i="23"/>
  <c r="V57" i="23"/>
  <c r="T514" i="23"/>
  <c r="T517" i="23"/>
  <c r="T518" i="23"/>
  <c r="S384" i="14"/>
  <c r="V380" i="14"/>
  <c r="V373" i="14"/>
  <c r="V378" i="14"/>
  <c r="R384" i="14"/>
  <c r="V376" i="14"/>
  <c r="O369" i="14"/>
  <c r="V383" i="14"/>
  <c r="V379" i="14"/>
  <c r="V375" i="14"/>
  <c r="Q384" i="14"/>
  <c r="V374" i="14"/>
  <c r="P384" i="14"/>
  <c r="V370" i="14"/>
  <c r="V377" i="14"/>
  <c r="T384" i="14"/>
  <c r="U384" i="14"/>
  <c r="V371" i="14"/>
  <c r="V372" i="14"/>
  <c r="V382" i="14"/>
  <c r="V381" i="14"/>
  <c r="S507" i="23"/>
  <c r="T509" i="23"/>
  <c r="T515" i="23"/>
  <c r="P34" i="25"/>
  <c r="T43" i="25"/>
  <c r="P39" i="25"/>
  <c r="P42" i="25"/>
  <c r="Q37" i="25"/>
  <c r="R45" i="25"/>
  <c r="P38" i="25"/>
  <c r="T44" i="25"/>
  <c r="R34" i="25"/>
  <c r="R41" i="25"/>
  <c r="Q46" i="25"/>
  <c r="U45" i="25"/>
  <c r="T35" i="25"/>
  <c r="Q39" i="25"/>
  <c r="U46" i="25"/>
  <c r="S40" i="25"/>
  <c r="S45" i="25"/>
  <c r="U37" i="25"/>
  <c r="R44" i="25"/>
  <c r="T42" i="25"/>
  <c r="Q35" i="25"/>
  <c r="T41" i="25"/>
  <c r="Q38" i="25"/>
  <c r="S36" i="25"/>
  <c r="U38" i="25"/>
  <c r="T40" i="25"/>
  <c r="R40" i="25"/>
  <c r="R38" i="25"/>
  <c r="R35" i="25"/>
  <c r="R37" i="25"/>
  <c r="Q41" i="25"/>
  <c r="R46" i="25"/>
  <c r="P37" i="25"/>
  <c r="U43" i="25"/>
  <c r="P33" i="25"/>
  <c r="O44" i="25"/>
  <c r="O45" i="25"/>
  <c r="O43" i="25"/>
  <c r="Q36" i="25"/>
  <c r="S43" i="25"/>
  <c r="U42" i="25"/>
  <c r="P41" i="25"/>
  <c r="U47" i="25"/>
  <c r="S38" i="25"/>
  <c r="P46" i="25"/>
  <c r="T47" i="25"/>
  <c r="P40" i="25"/>
  <c r="U39" i="25"/>
  <c r="U41" i="25"/>
  <c r="U33" i="25"/>
  <c r="Q28" i="25"/>
  <c r="O37" i="25"/>
  <c r="Q44" i="25"/>
  <c r="Q47" i="25"/>
  <c r="T46" i="25"/>
  <c r="U35" i="25"/>
  <c r="P44" i="25"/>
  <c r="S34" i="25"/>
  <c r="R39" i="25"/>
  <c r="T37" i="25"/>
  <c r="Q45" i="25"/>
  <c r="O46" i="25"/>
  <c r="O39" i="25"/>
  <c r="O40" i="25"/>
  <c r="S41" i="25"/>
  <c r="P36" i="25"/>
  <c r="S39" i="25"/>
  <c r="T39" i="25"/>
  <c r="P47" i="25"/>
  <c r="S46" i="25"/>
  <c r="S44" i="25"/>
  <c r="R47" i="25"/>
  <c r="T38" i="25"/>
  <c r="R42" i="25"/>
  <c r="S37" i="25"/>
  <c r="Q33" i="25"/>
  <c r="R33" i="25"/>
  <c r="O38" i="25"/>
  <c r="S33" i="25"/>
  <c r="P45" i="25"/>
  <c r="U36" i="25"/>
  <c r="S35" i="25"/>
  <c r="R36" i="25"/>
  <c r="U34" i="25"/>
  <c r="T45" i="25"/>
  <c r="R43" i="25"/>
  <c r="U40" i="25"/>
  <c r="Q42" i="25"/>
  <c r="Q40" i="25"/>
  <c r="S47" i="25"/>
  <c r="S42" i="25"/>
  <c r="T34" i="25"/>
  <c r="U44" i="25"/>
  <c r="T36" i="25"/>
  <c r="P43" i="25"/>
  <c r="Q43" i="25"/>
  <c r="P35" i="25"/>
  <c r="Q34" i="25"/>
  <c r="T33" i="25"/>
  <c r="O34" i="25"/>
  <c r="O41" i="25"/>
  <c r="O42" i="25"/>
  <c r="O13" i="25"/>
  <c r="V14" i="25"/>
  <c r="R28" i="25"/>
  <c r="O36" i="25"/>
  <c r="O47" i="25"/>
  <c r="U28" i="25"/>
  <c r="V21" i="25"/>
  <c r="V22" i="25"/>
  <c r="V25" i="25"/>
  <c r="V15" i="25"/>
  <c r="V16" i="25"/>
  <c r="O35" i="25"/>
  <c r="V26" i="25"/>
  <c r="V23" i="25"/>
  <c r="V17" i="25"/>
  <c r="V20" i="25"/>
  <c r="V27" i="25"/>
  <c r="S28" i="25"/>
  <c r="P28" i="25"/>
  <c r="V19" i="25"/>
  <c r="V24" i="25"/>
  <c r="V18" i="25"/>
  <c r="T28" i="25"/>
  <c r="T519" i="23"/>
  <c r="T68" i="23"/>
  <c r="T507" i="23"/>
  <c r="T522" i="23" s="1"/>
  <c r="T213" i="23"/>
  <c r="T228" i="23" s="1"/>
  <c r="T521" i="23"/>
  <c r="O53" i="25" a="1"/>
  <c r="O445" i="14"/>
  <c r="V59" i="23"/>
  <c r="V447" i="23" l="1"/>
  <c r="V458" i="23"/>
  <c r="O81" i="25"/>
  <c r="V41" i="25"/>
  <c r="R73" i="25"/>
  <c r="R48" i="25"/>
  <c r="R49" i="25" s="1"/>
  <c r="O33" i="25"/>
  <c r="O28" i="25"/>
  <c r="V13" i="25"/>
  <c r="P75" i="25"/>
  <c r="S82" i="25"/>
  <c r="T85" i="25"/>
  <c r="S48" i="25"/>
  <c r="S49" i="25" s="1"/>
  <c r="S73" i="25"/>
  <c r="T78" i="25"/>
  <c r="S79" i="25"/>
  <c r="Q85" i="25"/>
  <c r="T86" i="25"/>
  <c r="U81" i="25"/>
  <c r="U87" i="25"/>
  <c r="O85" i="25"/>
  <c r="V45" i="25"/>
  <c r="Q81" i="25"/>
  <c r="U78" i="25"/>
  <c r="R84" i="25"/>
  <c r="T75" i="25"/>
  <c r="P78" i="25"/>
  <c r="P74" i="25"/>
  <c r="V369" i="14"/>
  <c r="O384" i="14"/>
  <c r="V384" i="14" s="1"/>
  <c r="V515" i="23"/>
  <c r="V520" i="23"/>
  <c r="V453" i="23"/>
  <c r="V516" i="23"/>
  <c r="V508" i="23"/>
  <c r="Q80" i="25"/>
  <c r="O75" i="25"/>
  <c r="V35" i="25"/>
  <c r="O82" i="25"/>
  <c r="V42" i="25"/>
  <c r="Q83" i="25"/>
  <c r="S87" i="25"/>
  <c r="U74" i="25"/>
  <c r="O78" i="25"/>
  <c r="V38" i="25"/>
  <c r="R87" i="25"/>
  <c r="P76" i="25"/>
  <c r="T77" i="25"/>
  <c r="Q87" i="25"/>
  <c r="U79" i="25"/>
  <c r="P81" i="25"/>
  <c r="O84" i="25"/>
  <c r="V44" i="25"/>
  <c r="R77" i="25"/>
  <c r="S76" i="25"/>
  <c r="U77" i="25"/>
  <c r="U85" i="25"/>
  <c r="R85" i="25"/>
  <c r="P522" i="23"/>
  <c r="V509" i="23"/>
  <c r="R459" i="23"/>
  <c r="V517" i="23"/>
  <c r="V451" i="23"/>
  <c r="U459" i="23"/>
  <c r="V454" i="23"/>
  <c r="V456" i="23"/>
  <c r="U507" i="23"/>
  <c r="U522" i="23" s="1"/>
  <c r="U68" i="23"/>
  <c r="V68" i="23" s="1"/>
  <c r="U213" i="23"/>
  <c r="U228" i="23" s="1"/>
  <c r="V228" i="23" s="1"/>
  <c r="V53" i="23"/>
  <c r="V213" i="23"/>
  <c r="V60" i="25"/>
  <c r="V57" i="25"/>
  <c r="V63" i="25"/>
  <c r="V59" i="25"/>
  <c r="S68" i="25"/>
  <c r="V64" i="25"/>
  <c r="V55" i="25"/>
  <c r="U68" i="25"/>
  <c r="U69" i="25" s="1"/>
  <c r="V54" i="25"/>
  <c r="V67" i="25"/>
  <c r="Q68" i="25"/>
  <c r="O53" i="25"/>
  <c r="V56" i="25"/>
  <c r="V61" i="25"/>
  <c r="V62" i="25"/>
  <c r="V65" i="25"/>
  <c r="T68" i="25"/>
  <c r="V58" i="25"/>
  <c r="V66" i="25"/>
  <c r="R68" i="25"/>
  <c r="R69" i="25" s="1"/>
  <c r="P68" i="25"/>
  <c r="P83" i="25"/>
  <c r="R76" i="25"/>
  <c r="Q84" i="25"/>
  <c r="P80" i="25"/>
  <c r="U82" i="25"/>
  <c r="P73" i="25"/>
  <c r="P48" i="25"/>
  <c r="P49" i="25" s="1"/>
  <c r="R75" i="25"/>
  <c r="Q78" i="25"/>
  <c r="S85" i="25"/>
  <c r="Q86" i="25"/>
  <c r="Q77" i="25"/>
  <c r="O507" i="23"/>
  <c r="O299" i="23"/>
  <c r="O444" i="23"/>
  <c r="V284" i="23"/>
  <c r="V512" i="23"/>
  <c r="V514" i="23"/>
  <c r="V521" i="23"/>
  <c r="Q409" i="14"/>
  <c r="P424" i="14"/>
  <c r="O404" i="14"/>
  <c r="V404" i="14" s="1" a="1"/>
  <c r="V404" i="14" s="1"/>
  <c r="V389" i="14"/>
  <c r="O87" i="25"/>
  <c r="V47" i="25"/>
  <c r="S81" i="25"/>
  <c r="O76" i="25"/>
  <c r="V36" i="25"/>
  <c r="O74" i="25"/>
  <c r="V34" i="25"/>
  <c r="T76" i="25"/>
  <c r="Q82" i="25"/>
  <c r="S75" i="25"/>
  <c r="Q73" i="25"/>
  <c r="Q48" i="25"/>
  <c r="S86" i="25"/>
  <c r="O80" i="25"/>
  <c r="V40" i="25"/>
  <c r="S74" i="25"/>
  <c r="O77" i="25"/>
  <c r="V37" i="25"/>
  <c r="T87" i="25"/>
  <c r="S83" i="25"/>
  <c r="U83" i="25"/>
  <c r="R78" i="25"/>
  <c r="T81" i="25"/>
  <c r="S80" i="25"/>
  <c r="R81" i="25"/>
  <c r="P82" i="25"/>
  <c r="S522" i="23"/>
  <c r="V299" i="23"/>
  <c r="V513" i="23"/>
  <c r="V511" i="23"/>
  <c r="T459" i="23"/>
  <c r="V448" i="23"/>
  <c r="V510" i="23"/>
  <c r="V449" i="23"/>
  <c r="S84" i="25"/>
  <c r="T48" i="25"/>
  <c r="T49" i="25" s="1"/>
  <c r="T73" i="25"/>
  <c r="U84" i="25"/>
  <c r="U76" i="25"/>
  <c r="S77" i="25"/>
  <c r="P87" i="25"/>
  <c r="O79" i="25"/>
  <c r="V39" i="25"/>
  <c r="P84" i="25"/>
  <c r="V28" i="25"/>
  <c r="P86" i="25"/>
  <c r="Q76" i="25"/>
  <c r="P77" i="25"/>
  <c r="R80" i="25"/>
  <c r="Q75" i="25"/>
  <c r="U86" i="25"/>
  <c r="R74" i="25"/>
  <c r="P79" i="25"/>
  <c r="Q522" i="23"/>
  <c r="V457" i="23"/>
  <c r="V446" i="23"/>
  <c r="S459" i="23"/>
  <c r="V518" i="23"/>
  <c r="V519" i="23"/>
  <c r="P459" i="23"/>
  <c r="R79" i="25"/>
  <c r="U80" i="25"/>
  <c r="Q74" i="25"/>
  <c r="T74" i="25"/>
  <c r="R83" i="25"/>
  <c r="P85" i="25"/>
  <c r="R82" i="25"/>
  <c r="T79" i="25"/>
  <c r="O86" i="25"/>
  <c r="V46" i="25"/>
  <c r="U75" i="25"/>
  <c r="U73" i="25"/>
  <c r="U48" i="25"/>
  <c r="U49" i="25" s="1"/>
  <c r="S78" i="25"/>
  <c r="O83" i="25"/>
  <c r="V43" i="25"/>
  <c r="R86" i="25"/>
  <c r="T80" i="25"/>
  <c r="T82" i="25"/>
  <c r="Q79" i="25"/>
  <c r="T84" i="25"/>
  <c r="T83" i="25"/>
  <c r="R522" i="23"/>
  <c r="V445" i="23"/>
  <c r="V452" i="23"/>
  <c r="Q459" i="23"/>
  <c r="V459" i="23" s="1"/>
  <c r="V455" i="23"/>
  <c r="V450" i="23"/>
  <c r="V77" i="25" l="1"/>
  <c r="V76" i="25"/>
  <c r="V444" i="23"/>
  <c r="O459" i="23"/>
  <c r="V53" i="25"/>
  <c r="O68" i="25"/>
  <c r="R88" i="25"/>
  <c r="Q88" i="25"/>
  <c r="V83" i="25"/>
  <c r="V86" i="25"/>
  <c r="R409" i="14"/>
  <c r="Q424" i="14"/>
  <c r="L142" i="15" s="1"/>
  <c r="T69" i="25"/>
  <c r="V68" i="25"/>
  <c r="Q69" i="25"/>
  <c r="S69" i="25"/>
  <c r="V84" i="25"/>
  <c r="V80" i="25"/>
  <c r="O114" i="25" a="1"/>
  <c r="O522" i="23"/>
  <c r="O94" i="25" a="1"/>
  <c r="V507" i="23"/>
  <c r="V82" i="25"/>
  <c r="V85" i="25"/>
  <c r="V81" i="25"/>
  <c r="T88" i="25"/>
  <c r="V87" i="25"/>
  <c r="P88" i="25"/>
  <c r="P69" i="25"/>
  <c r="V78" i="25"/>
  <c r="S88" i="25"/>
  <c r="U88" i="25"/>
  <c r="V522" i="23"/>
  <c r="V79" i="25"/>
  <c r="V48" i="25"/>
  <c r="Q49" i="25"/>
  <c r="V74" i="25"/>
  <c r="V75" i="25"/>
  <c r="O73" i="25"/>
  <c r="V33" i="25"/>
  <c r="O48" i="25"/>
  <c r="O49" i="25" s="1"/>
  <c r="O69" i="25" l="1"/>
  <c r="Q129" i="25"/>
  <c r="V116" i="25"/>
  <c r="P129" i="25"/>
  <c r="V128" i="25"/>
  <c r="V124" i="25"/>
  <c r="V121" i="25"/>
  <c r="V117" i="25"/>
  <c r="V118" i="25"/>
  <c r="V120" i="25"/>
  <c r="T129" i="25"/>
  <c r="T141" i="25" s="1"/>
  <c r="T55" i="14" s="1"/>
  <c r="T139" i="25" s="1"/>
  <c r="T142" i="25" s="1"/>
  <c r="J11" i="21" s="1"/>
  <c r="R129" i="25"/>
  <c r="R141" i="25" s="1"/>
  <c r="R55" i="14" s="1"/>
  <c r="R139" i="25" s="1"/>
  <c r="R142" i="25" s="1"/>
  <c r="H11" i="21" s="1"/>
  <c r="O114" i="25"/>
  <c r="V125" i="25"/>
  <c r="S129" i="25"/>
  <c r="S141" i="25" s="1"/>
  <c r="S55" i="14" s="1"/>
  <c r="S139" i="25" s="1"/>
  <c r="S142" i="25" s="1"/>
  <c r="I11" i="21" s="1"/>
  <c r="U129" i="25"/>
  <c r="U141" i="25" s="1"/>
  <c r="U55" i="14" s="1"/>
  <c r="U139" i="25" s="1"/>
  <c r="U142" i="25" s="1"/>
  <c r="K11" i="21" s="1"/>
  <c r="V123" i="25"/>
  <c r="V115" i="25"/>
  <c r="V127" i="25"/>
  <c r="V126" i="25"/>
  <c r="V119" i="25"/>
  <c r="V122" i="25"/>
  <c r="X69" i="25"/>
  <c r="S409" i="14"/>
  <c r="R424" i="14"/>
  <c r="M142" i="15" s="1"/>
  <c r="L36" i="26"/>
  <c r="L165" i="15"/>
  <c r="L188" i="15" s="1"/>
  <c r="L12" i="26"/>
  <c r="V49" i="25"/>
  <c r="X48" i="25"/>
  <c r="T109" i="25"/>
  <c r="P109" i="25"/>
  <c r="V108" i="25"/>
  <c r="U109" i="25"/>
  <c r="Q109" i="25"/>
  <c r="V98" i="25"/>
  <c r="V106" i="25"/>
  <c r="V101" i="25"/>
  <c r="V95" i="25"/>
  <c r="V105" i="25"/>
  <c r="V104" i="25"/>
  <c r="V107" i="25"/>
  <c r="V102" i="25"/>
  <c r="O94" i="25"/>
  <c r="S109" i="25"/>
  <c r="R109" i="25"/>
  <c r="V100" i="25"/>
  <c r="V97" i="25"/>
  <c r="V103" i="25"/>
  <c r="V99" i="25"/>
  <c r="V96" i="25"/>
  <c r="X49" i="25"/>
  <c r="V73" i="25"/>
  <c r="O88" i="25"/>
  <c r="X68" i="25"/>
  <c r="X88" i="25"/>
  <c r="V88" i="25"/>
  <c r="T409" i="14" l="1"/>
  <c r="S424" i="14"/>
  <c r="N142" i="15" s="1"/>
  <c r="M165" i="15"/>
  <c r="M36" i="26"/>
  <c r="M12" i="26"/>
  <c r="O129" i="25"/>
  <c r="V114" i="25"/>
  <c r="H35" i="21"/>
  <c r="H11" i="29"/>
  <c r="J11" i="29"/>
  <c r="J35" i="21"/>
  <c r="L92" i="26" a="1"/>
  <c r="L92" i="26" s="1"/>
  <c r="L60" i="26"/>
  <c r="L99" i="26"/>
  <c r="L32" i="26"/>
  <c r="K35" i="21"/>
  <c r="K11" i="29"/>
  <c r="I35" i="21"/>
  <c r="I11" i="29"/>
  <c r="M146" i="15"/>
  <c r="O109" i="25"/>
  <c r="V109" i="25" s="1"/>
  <c r="V94" i="25"/>
  <c r="L93" i="26" a="1"/>
  <c r="L93" i="26" s="1"/>
  <c r="L100" i="26"/>
  <c r="L56" i="26"/>
  <c r="V129" i="25"/>
  <c r="Q141" i="25"/>
  <c r="M169" i="15" l="1"/>
  <c r="M188" i="15" s="1"/>
  <c r="M16" i="26"/>
  <c r="M40" i="26"/>
  <c r="J35" i="29"/>
  <c r="M92" i="26" a="1"/>
  <c r="M92" i="26" s="1"/>
  <c r="M32" i="26"/>
  <c r="M60" i="26"/>
  <c r="M99" i="26"/>
  <c r="I35" i="29"/>
  <c r="M56" i="26"/>
  <c r="M93" i="26" a="1"/>
  <c r="M93" i="26" s="1"/>
  <c r="M100" i="26"/>
  <c r="L95" i="26" a="1"/>
  <c r="L95" i="26" s="1"/>
  <c r="L96" i="26" s="1"/>
  <c r="L102" i="26"/>
  <c r="L103" i="26" s="1"/>
  <c r="L80" i="26"/>
  <c r="H35" i="29"/>
  <c r="N12" i="26"/>
  <c r="N36" i="26"/>
  <c r="N165" i="15"/>
  <c r="Q55" i="14"/>
  <c r="V141" i="25"/>
  <c r="X141" i="25" s="1"/>
  <c r="X129" i="25"/>
  <c r="K35" i="29"/>
  <c r="T424" i="14"/>
  <c r="O142" i="15" s="1"/>
  <c r="U409" i="14"/>
  <c r="L125" i="26" l="1"/>
  <c r="L127" i="26" s="1"/>
  <c r="L105" i="26"/>
  <c r="V55" i="14"/>
  <c r="Q139" i="25"/>
  <c r="N60" i="26"/>
  <c r="M95" i="26" a="1"/>
  <c r="M95" i="26" s="1"/>
  <c r="M96" i="26" s="1"/>
  <c r="U424" i="14"/>
  <c r="V409" i="14"/>
  <c r="O12" i="26"/>
  <c r="O36" i="26"/>
  <c r="O165" i="15"/>
  <c r="M64" i="26"/>
  <c r="M80" i="26" s="1"/>
  <c r="N146" i="15"/>
  <c r="M125" i="26" l="1"/>
  <c r="O60" i="26"/>
  <c r="P142" i="15"/>
  <c r="V424" i="14"/>
  <c r="Q142" i="15" s="1"/>
  <c r="Q142" i="25"/>
  <c r="V139" i="25"/>
  <c r="N169" i="15"/>
  <c r="N188" i="15" s="1"/>
  <c r="N16" i="26"/>
  <c r="N40" i="26"/>
  <c r="M102" i="26"/>
  <c r="M103" i="26" s="1"/>
  <c r="M105" i="26" s="1"/>
  <c r="Q165" i="15" l="1"/>
  <c r="Q12" i="26"/>
  <c r="Q36" i="26"/>
  <c r="N100" i="26"/>
  <c r="N93" i="26" a="1"/>
  <c r="N93" i="26" s="1"/>
  <c r="N56" i="26"/>
  <c r="P12" i="26"/>
  <c r="P165" i="15"/>
  <c r="P36" i="26"/>
  <c r="V142" i="25"/>
  <c r="G11" i="21"/>
  <c r="N64" i="26"/>
  <c r="N99" i="26"/>
  <c r="N92" i="26" a="1"/>
  <c r="N92" i="26" s="1"/>
  <c r="N32" i="26"/>
  <c r="O146" i="15"/>
  <c r="G12" i="21"/>
  <c r="M127" i="26"/>
  <c r="N95" i="26" l="1" a="1"/>
  <c r="N95" i="26" s="1"/>
  <c r="N96" i="26" s="1"/>
  <c r="N80" i="26"/>
  <c r="N102" i="26"/>
  <c r="N103" i="26" s="1"/>
  <c r="G11" i="29"/>
  <c r="L11" i="21"/>
  <c r="G15" i="21"/>
  <c r="G35" i="21"/>
  <c r="G36" i="21"/>
  <c r="G12" i="29"/>
  <c r="Q60" i="26"/>
  <c r="O169" i="15"/>
  <c r="O188" i="15" s="1"/>
  <c r="O16" i="26"/>
  <c r="O40" i="26"/>
  <c r="P60" i="26"/>
  <c r="O93" i="26" l="1" a="1"/>
  <c r="O93" i="26" s="1"/>
  <c r="O100" i="26"/>
  <c r="O56" i="26"/>
  <c r="O64" i="26"/>
  <c r="O92" i="26" a="1"/>
  <c r="O92" i="26" s="1"/>
  <c r="O32" i="26"/>
  <c r="O99" i="26"/>
  <c r="N105" i="26"/>
  <c r="N125" i="26"/>
  <c r="P146" i="15"/>
  <c r="G35" i="29"/>
  <c r="L11" i="29"/>
  <c r="G15" i="29"/>
  <c r="G36" i="29"/>
  <c r="G39" i="21"/>
  <c r="L35" i="21"/>
  <c r="H12" i="21" l="1"/>
  <c r="N127" i="26"/>
  <c r="G39" i="29"/>
  <c r="L35" i="29"/>
  <c r="P16" i="26"/>
  <c r="P40" i="26"/>
  <c r="P169" i="15"/>
  <c r="P188" i="15" s="1"/>
  <c r="O95" i="26" a="1"/>
  <c r="O95" i="26" s="1"/>
  <c r="O96" i="26" s="1"/>
  <c r="O102" i="26"/>
  <c r="O103" i="26" s="1"/>
  <c r="O80" i="26"/>
  <c r="O125" i="26" l="1"/>
  <c r="O105" i="26"/>
  <c r="P100" i="26"/>
  <c r="P56" i="26"/>
  <c r="P93" i="26" a="1"/>
  <c r="P93" i="26" s="1"/>
  <c r="P64" i="26"/>
  <c r="P92" i="26" a="1"/>
  <c r="P92" i="26" s="1"/>
  <c r="P99" i="26"/>
  <c r="P32" i="26"/>
  <c r="Q146" i="15"/>
  <c r="H36" i="21"/>
  <c r="H12" i="29"/>
  <c r="H15" i="21"/>
  <c r="Q169" i="15" l="1"/>
  <c r="Q188" i="15" s="1"/>
  <c r="Q40" i="26"/>
  <c r="Q16" i="26"/>
  <c r="H36" i="29"/>
  <c r="H15" i="29"/>
  <c r="H39" i="21"/>
  <c r="P80" i="26"/>
  <c r="P95" i="26" a="1"/>
  <c r="P95" i="26" s="1"/>
  <c r="P96" i="26" s="1"/>
  <c r="P102" i="26"/>
  <c r="P103" i="26" s="1"/>
  <c r="I12" i="21"/>
  <c r="O127" i="26"/>
  <c r="P125" i="26" l="1"/>
  <c r="P105" i="26"/>
  <c r="H39" i="29"/>
  <c r="Q64" i="26"/>
  <c r="Q92" i="26" a="1"/>
  <c r="Q92" i="26" s="1"/>
  <c r="Q32" i="26"/>
  <c r="Q99" i="26"/>
  <c r="I36" i="21"/>
  <c r="I12" i="29"/>
  <c r="I15" i="21"/>
  <c r="Q56" i="26"/>
  <c r="Q100" i="26"/>
  <c r="Q93" i="26" a="1"/>
  <c r="Q93" i="26" s="1"/>
  <c r="Q80" i="26" l="1"/>
  <c r="Q95" i="26" a="1"/>
  <c r="Q95" i="26" s="1"/>
  <c r="Q96" i="26" s="1"/>
  <c r="Q102" i="26"/>
  <c r="Q103" i="26" s="1"/>
  <c r="I36" i="29"/>
  <c r="I15" i="29"/>
  <c r="I39" i="21"/>
  <c r="J12" i="21"/>
  <c r="P127" i="26"/>
  <c r="Q125" i="26" l="1"/>
  <c r="Q105" i="26"/>
  <c r="J36" i="21"/>
  <c r="J12" i="29"/>
  <c r="J15" i="21"/>
  <c r="I39" i="29"/>
  <c r="J39" i="21" l="1"/>
  <c r="J36" i="29"/>
  <c r="J15" i="29"/>
  <c r="K12" i="21"/>
  <c r="Q127" i="26"/>
  <c r="K36" i="21" l="1"/>
  <c r="K12" i="29"/>
  <c r="K15" i="21"/>
  <c r="L12" i="21"/>
  <c r="L15" i="21" s="1"/>
  <c r="J39" i="29"/>
  <c r="K36" i="29" l="1"/>
  <c r="K15" i="29"/>
  <c r="L12" i="29"/>
  <c r="L15" i="29" s="1"/>
  <c r="K39" i="21"/>
  <c r="L36" i="21"/>
  <c r="L39" i="21" s="1"/>
  <c r="K39" i="29" l="1"/>
  <c r="L36" i="29"/>
  <c r="L39" i="2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<sst xmlns="http://schemas.openxmlformats.org/spreadsheetml/2006/main" count="1924" uniqueCount="436">
  <si>
    <t>Key:</t>
  </si>
  <si>
    <t>Input</t>
  </si>
  <si>
    <t>External Link</t>
  </si>
  <si>
    <t>Internal Link</t>
  </si>
  <si>
    <t>Meter Type</t>
  </si>
  <si>
    <t>Meter Code</t>
  </si>
  <si>
    <t>Units</t>
  </si>
  <si>
    <t>a</t>
  </si>
  <si>
    <t>b</t>
  </si>
  <si>
    <t>c</t>
  </si>
  <si>
    <t>Comms</t>
  </si>
  <si>
    <t>Other</t>
  </si>
  <si>
    <t>Actual</t>
  </si>
  <si>
    <t>Batteries</t>
  </si>
  <si>
    <t>Relays</t>
  </si>
  <si>
    <t>#</t>
  </si>
  <si>
    <t>Base</t>
  </si>
  <si>
    <t>Total</t>
  </si>
  <si>
    <t>No.</t>
  </si>
  <si>
    <t>i</t>
  </si>
  <si>
    <t>ii</t>
  </si>
  <si>
    <t>iii</t>
  </si>
  <si>
    <t>iv</t>
  </si>
  <si>
    <t>v</t>
  </si>
  <si>
    <t>Meter abolishments</t>
  </si>
  <si>
    <t>Final</t>
  </si>
  <si>
    <t>Summary: Yearly Meter Costs</t>
  </si>
  <si>
    <t>Inputs</t>
  </si>
  <si>
    <t>Yes</t>
  </si>
  <si>
    <t>Value</t>
  </si>
  <si>
    <t>Total opex</t>
  </si>
  <si>
    <t>$millions</t>
  </si>
  <si>
    <t>nominal</t>
  </si>
  <si>
    <t>Adjustments</t>
  </si>
  <si>
    <t>Adjustment 2</t>
  </si>
  <si>
    <t>Adjustment 3</t>
  </si>
  <si>
    <t>Adjustment 4</t>
  </si>
  <si>
    <t>Step</t>
  </si>
  <si>
    <t>Step 3</t>
  </si>
  <si>
    <t>Step 4</t>
  </si>
  <si>
    <t>No</t>
  </si>
  <si>
    <t>Trend</t>
  </si>
  <si>
    <t>Forecast output change</t>
  </si>
  <si>
    <t>Outputs</t>
  </si>
  <si>
    <t>Customer numbers (#)</t>
  </si>
  <si>
    <t>Output 2</t>
  </si>
  <si>
    <t>Output 3</t>
  </si>
  <si>
    <t>Output 4</t>
  </si>
  <si>
    <t>Weights</t>
  </si>
  <si>
    <t>%</t>
  </si>
  <si>
    <t>Calcs</t>
  </si>
  <si>
    <t>Adjusted Base</t>
  </si>
  <si>
    <t>Steps</t>
  </si>
  <si>
    <t>Sum</t>
  </si>
  <si>
    <t>Forecast Productivity change</t>
  </si>
  <si>
    <t>Forecast rate of change, year-on-year</t>
  </si>
  <si>
    <t>Productivity</t>
  </si>
  <si>
    <t>Year</t>
  </si>
  <si>
    <t>Month</t>
  </si>
  <si>
    <t>First year of forecast regulatory control period</t>
  </si>
  <si>
    <t>Internal labour index</t>
  </si>
  <si>
    <t>Input | General inputs</t>
  </si>
  <si>
    <t>Source</t>
  </si>
  <si>
    <t>NSP name</t>
  </si>
  <si>
    <t>NSP</t>
  </si>
  <si>
    <t>Decision stage</t>
  </si>
  <si>
    <t>Year ending for current regulatory period</t>
  </si>
  <si>
    <t>Previous regulatory control period, first year</t>
  </si>
  <si>
    <t>Previous regulatory control period, last year</t>
  </si>
  <si>
    <t>Forecast regulatory control period, first year</t>
  </si>
  <si>
    <t>Forecast regulatory control period, last year</t>
  </si>
  <si>
    <t>End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</si>
  <si>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</si>
  <si>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</si>
  <si>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</si>
  <si>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</si>
  <si>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</si>
  <si>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</si>
  <si>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</si>
  <si>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Economies of Scale Factor</t>
  </si>
  <si>
    <t>Scaled Growth Output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</si>
  <si>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</si>
  <si>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</si>
  <si>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</si>
  <si>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</si>
  <si>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</si>
  <si>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</si>
  <si>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</si>
  <si>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</si>
  <si>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Per cent</t>
  </si>
  <si>
    <t>unit</t>
  </si>
  <si>
    <t>Number</t>
  </si>
  <si>
    <t>number</t>
  </si>
  <si>
    <t>Factor</t>
  </si>
  <si>
    <t>factor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</si>
  <si>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</si>
  <si>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</si>
  <si>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</si>
  <si>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</si>
  <si>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</si>
  <si>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</si>
  <si>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</si>
  <si>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</si>
  <si>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</si>
  <si>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</si>
  <si>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</si>
  <si>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</si>
  <si>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</si>
  <si>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</si>
  <si>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</si>
  <si>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</si>
  <si>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</si>
  <si>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</si>
  <si>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</si>
  <si>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calculated</t>
  </si>
  <si>
    <t>Rate of change</t>
  </si>
  <si>
    <t>Option 1</t>
  </si>
  <si>
    <t>Option 2</t>
  </si>
  <si>
    <t>Basis</t>
  </si>
  <si>
    <t>Hours</t>
  </si>
  <si>
    <t>Labour Rates</t>
  </si>
  <si>
    <t>$dollars/hr</t>
  </si>
  <si>
    <t>Labour Time Required</t>
  </si>
  <si>
    <t>Labour Costs</t>
  </si>
  <si>
    <t>New Meter Installations</t>
  </si>
  <si>
    <t>Abolishments</t>
  </si>
  <si>
    <t>Action</t>
  </si>
  <si>
    <t>Action Name</t>
  </si>
  <si>
    <t>d</t>
  </si>
  <si>
    <t>Meter Actions</t>
  </si>
  <si>
    <t>Total Meter Actions</t>
  </si>
  <si>
    <t>RIN Subcategory 1</t>
  </si>
  <si>
    <t>RIN Subcategory 2</t>
  </si>
  <si>
    <t>AER Type</t>
  </si>
  <si>
    <t>RIN Subcategory 3</t>
  </si>
  <si>
    <t>e</t>
  </si>
  <si>
    <t>Impact on meter population</t>
  </si>
  <si>
    <t>Add</t>
  </si>
  <si>
    <t>Subtract</t>
  </si>
  <si>
    <t>SCS Allocation</t>
  </si>
  <si>
    <t>Operation</t>
  </si>
  <si>
    <t>No Effect</t>
  </si>
  <si>
    <t>viii</t>
  </si>
  <si>
    <t>vii</t>
  </si>
  <si>
    <t>vi</t>
  </si>
  <si>
    <t>(Calc) 
Impact on meter population</t>
  </si>
  <si>
    <t>Unescalated</t>
  </si>
  <si>
    <t>SCS</t>
  </si>
  <si>
    <t>ACS</t>
  </si>
  <si>
    <t>Non-Labour Costs</t>
  </si>
  <si>
    <t>Total Costs</t>
  </si>
  <si>
    <t>(Calc) 
Is Replacement</t>
  </si>
  <si>
    <t>(Calc) 
Is New</t>
  </si>
  <si>
    <t>(Calc) 
Is Other</t>
  </si>
  <si>
    <t>Incl Escalation of Labour Costs</t>
  </si>
  <si>
    <t>GRAND TOTAL</t>
  </si>
  <si>
    <t>Overheads cost</t>
  </si>
  <si>
    <t>Installation cost</t>
  </si>
  <si>
    <t>Equipment cost</t>
  </si>
  <si>
    <t>CALC | Capex Allocation</t>
  </si>
  <si>
    <t>Action/Driver</t>
  </si>
  <si>
    <t>Equipment Type</t>
  </si>
  <si>
    <t>Project 2</t>
  </si>
  <si>
    <t>Volume factor</t>
  </si>
  <si>
    <t>Volume basis</t>
  </si>
  <si>
    <t>Population</t>
  </si>
  <si>
    <t>Overheads rate</t>
  </si>
  <si>
    <t>Allocation to SCS</t>
  </si>
  <si>
    <t>Unit Costs</t>
  </si>
  <si>
    <t>Unit costs and cost allocation</t>
  </si>
  <si>
    <t>Access Points</t>
  </si>
  <si>
    <t>Enter annual volume</t>
  </si>
  <si>
    <t>Proportionate to population of equipment type</t>
  </si>
  <si>
    <t>Proportionate to meter population</t>
  </si>
  <si>
    <t>Volume basis options</t>
  </si>
  <si>
    <t>Misc</t>
  </si>
  <si>
    <t>Y/N</t>
  </si>
  <si>
    <t>Unit Rate</t>
  </si>
  <si>
    <t>Project 3</t>
  </si>
  <si>
    <t>Project 4</t>
  </si>
  <si>
    <t>Project 5</t>
  </si>
  <si>
    <t>Project Name</t>
  </si>
  <si>
    <t>Equipment Unit Cost</t>
  </si>
  <si>
    <t>Gross Meter Population (Year End)</t>
  </si>
  <si>
    <t>Base Year Population (Year End)</t>
  </si>
  <si>
    <t>Project Costs - Comms</t>
  </si>
  <si>
    <t>Project Costs - IT</t>
  </si>
  <si>
    <t>Impact on population</t>
  </si>
  <si>
    <t>Project cost</t>
  </si>
  <si>
    <t>IT</t>
  </si>
  <si>
    <t>Overheads</t>
  </si>
  <si>
    <t>Changes</t>
  </si>
  <si>
    <t>Author</t>
  </si>
  <si>
    <t>Version</t>
  </si>
  <si>
    <t>Date</t>
  </si>
  <si>
    <t>Changelog</t>
  </si>
  <si>
    <t>Status</t>
  </si>
  <si>
    <t>Opex</t>
  </si>
  <si>
    <t>Capex</t>
  </si>
  <si>
    <t>Meters</t>
  </si>
  <si>
    <t>draft</t>
  </si>
  <si>
    <t>Historical Opex</t>
  </si>
  <si>
    <t>Forecast Price Change 4</t>
  </si>
  <si>
    <t>Current Period</t>
  </si>
  <si>
    <t>Base Year</t>
  </si>
  <si>
    <t>Forecast Regulatory Period</t>
  </si>
  <si>
    <t>Project 6</t>
  </si>
  <si>
    <t>Project 7</t>
  </si>
  <si>
    <t>Project 8</t>
  </si>
  <si>
    <t>Project 9</t>
  </si>
  <si>
    <t>Project 10</t>
  </si>
  <si>
    <t>Opex (Historical)</t>
  </si>
  <si>
    <t>Opex (Forecast)</t>
  </si>
  <si>
    <t>Auto-filled tables</t>
  </si>
  <si>
    <t>Population @ End of Year</t>
  </si>
  <si>
    <t>Inputs and Options</t>
  </si>
  <si>
    <t>Impact on Population</t>
  </si>
  <si>
    <t>Output Basis</t>
  </si>
  <si>
    <t>Labour index to input year</t>
  </si>
  <si>
    <t xml:space="preserve"> </t>
  </si>
  <si>
    <t>Note</t>
  </si>
  <si>
    <t>Added Calc</t>
  </si>
  <si>
    <t>Capex Inputs</t>
  </si>
  <si>
    <t>Base Opex (After Adjustment)</t>
  </si>
  <si>
    <t>Forecast rate of change, Index</t>
  </si>
  <si>
    <t>Index</t>
  </si>
  <si>
    <t>Forecast rate of change, Index base year movement</t>
  </si>
  <si>
    <t>Forecast rate of change, Cumulative % incl base year movement</t>
  </si>
  <si>
    <t>Total Steps</t>
  </si>
  <si>
    <t>Comms Volume Basis</t>
  </si>
  <si>
    <t>RIN Subcategories</t>
  </si>
  <si>
    <t>6. Inflation table setup</t>
  </si>
  <si>
    <t>Forecast RP</t>
  </si>
  <si>
    <t>Forecast Inflation</t>
  </si>
  <si>
    <t>Forecast Opex</t>
  </si>
  <si>
    <t>BST Forecast</t>
  </si>
  <si>
    <t>Outputs (In Input $ real terms)</t>
  </si>
  <si>
    <t>Classification</t>
  </si>
  <si>
    <t>AMI - Single Phase, single element</t>
  </si>
  <si>
    <t>Cat1</t>
  </si>
  <si>
    <t>AMI - Single Phase, two elements with 31.5A load control</t>
  </si>
  <si>
    <t>Cat3</t>
  </si>
  <si>
    <t>AMI - 3 Phase with no load control</t>
  </si>
  <si>
    <t>Cat4</t>
  </si>
  <si>
    <t>AMI - Single Phase, single element, with 31.5A load control</t>
  </si>
  <si>
    <t>Cat2</t>
  </si>
  <si>
    <t>AMI - 3 Phase with 31.5A and 2A  load control</t>
  </si>
  <si>
    <t>Cat5b</t>
  </si>
  <si>
    <t>AMI - 3 Phase CT connect</t>
  </si>
  <si>
    <t>Cat6a</t>
  </si>
  <si>
    <t>AMI - 3 Phase CT &amp; VT connect</t>
  </si>
  <si>
    <t>Cat6b</t>
  </si>
  <si>
    <t>Non AMI - Type 5 Locally read Interval - Single Phase</t>
  </si>
  <si>
    <t>Interval</t>
  </si>
  <si>
    <t>Non AMI - Type 6 Locally read Accumulation - Single Phase</t>
  </si>
  <si>
    <t>Accumulation</t>
  </si>
  <si>
    <t>Non AMI - Type 5 Locally read Interval - 3 Phase</t>
  </si>
  <si>
    <t>Interval Multi</t>
  </si>
  <si>
    <t>Non AMI - Type 6 Locally read Accumulation - 3 Phase</t>
  </si>
  <si>
    <t>Accumulation Multi</t>
  </si>
  <si>
    <t>Single Phase Meter Population</t>
  </si>
  <si>
    <t>Direct Connect Meter Population</t>
  </si>
  <si>
    <t>Meter Type 4</t>
  </si>
  <si>
    <t>Single phase single element - AMI</t>
  </si>
  <si>
    <t>Single phase two element with contactor - AMI</t>
  </si>
  <si>
    <t>Multi Phase Meter Population</t>
  </si>
  <si>
    <t>Three phase - AMI</t>
  </si>
  <si>
    <t>Single phase single element with contactor - AMI</t>
  </si>
  <si>
    <t>Three phase direct connected meter with contactor - AMI</t>
  </si>
  <si>
    <t>Current Transformer Connected Meter Population</t>
  </si>
  <si>
    <t>Three phase Current transformer connected meter - AMI</t>
  </si>
  <si>
    <t>Meter Type 5</t>
  </si>
  <si>
    <t>Single phase non off peak - MRIM</t>
  </si>
  <si>
    <t>Meter Type 6</t>
  </si>
  <si>
    <t>Single phase non off peak - Accumulation</t>
  </si>
  <si>
    <t>Multi phase direct connect - MRIM</t>
  </si>
  <si>
    <t>Multi phase direct connect - Accumulation</t>
  </si>
  <si>
    <t>Notes:</t>
  </si>
  <si>
    <t>Net Change in Meter Population</t>
  </si>
  <si>
    <t>Output - Comms/IT Capex (ACS) to Metering RFM/PTRM</t>
  </si>
  <si>
    <t>Output - Meter Capex (ACS) to Metering RFM/PTRM</t>
  </si>
  <si>
    <t>ix</t>
  </si>
  <si>
    <t>x</t>
  </si>
  <si>
    <t>NSP Action 1</t>
  </si>
  <si>
    <t>NSP Action 2</t>
  </si>
  <si>
    <t>NSP Action 3</t>
  </si>
  <si>
    <t>NSP Action 4</t>
  </si>
  <si>
    <t>NSP Action 5</t>
  </si>
  <si>
    <t>NSP Action 6</t>
  </si>
  <si>
    <t>NSP Action 7</t>
  </si>
  <si>
    <t>NSP Action 8</t>
  </si>
  <si>
    <t>Metering Overheads</t>
  </si>
  <si>
    <t>Method</t>
  </si>
  <si>
    <t>Fixed number</t>
  </si>
  <si>
    <t>Fixed proportion</t>
  </si>
  <si>
    <t>Entered Value</t>
  </si>
  <si>
    <t>Overheads Method</t>
  </si>
  <si>
    <t>Meter Related Costs</t>
  </si>
  <si>
    <t>Additional Projects</t>
  </si>
  <si>
    <t>Total (Including Overheads and Additional Costs)</t>
  </si>
  <si>
    <t>ACS Meter Costs</t>
  </si>
  <si>
    <t>Total Metering ACS</t>
  </si>
  <si>
    <t>Valid $real 20xx's</t>
  </si>
  <si>
    <t>Metering Outputs for RFM/PTRM</t>
  </si>
  <si>
    <t>Economy of Scale</t>
  </si>
  <si>
    <t>Forecast Real Price Change</t>
  </si>
  <si>
    <t>Multi phase Current transformer connected meter - MRIM</t>
  </si>
  <si>
    <t>Multi phase Current transformer connected meter - Accumulation</t>
  </si>
  <si>
    <t>CALC | Comms</t>
  </si>
  <si>
    <t>Steps (As Input)</t>
  </si>
  <si>
    <t>w</t>
  </si>
  <si>
    <t>Meter Costs by SCS/ACS</t>
  </si>
  <si>
    <t>Meters - Labour Component</t>
  </si>
  <si>
    <t>Meters - Non-Labour Component</t>
  </si>
  <si>
    <t>Total Meter Costs (SCS &amp; ACS)</t>
  </si>
  <si>
    <t>Meter Costs by Labour/Non-Labour</t>
  </si>
  <si>
    <t>Meters - SCS</t>
  </si>
  <si>
    <t>Meters - ACS</t>
  </si>
  <si>
    <t>Extra: Detailed Cost Tables - including real price escalation</t>
  </si>
  <si>
    <t>Cost Basis</t>
  </si>
  <si>
    <t>Define equipment types and actions / drivers of volumes and unit costs</t>
  </si>
  <si>
    <t>Valid Opex Base Years</t>
  </si>
  <si>
    <t>Forecast Period Year -1</t>
  </si>
  <si>
    <t>Opex - Forecast base year</t>
  </si>
  <si>
    <t>Capex - Forecast base year</t>
  </si>
  <si>
    <t>index2</t>
  </si>
  <si>
    <t>Percent3</t>
  </si>
  <si>
    <t>Previous Value</t>
  </si>
  <si>
    <t>RFM</t>
  </si>
  <si>
    <t>CPI year on year change (NSP Forecast)</t>
  </si>
  <si>
    <t>CPI Calculated YoY change (ABS data where available)</t>
  </si>
  <si>
    <t>Apply Labour Real Price Growth?</t>
  </si>
  <si>
    <t>Final Population</t>
  </si>
  <si>
    <t>Forecast Real Price Growth</t>
  </si>
  <si>
    <t>Labour Weighting of Opex</t>
  </si>
  <si>
    <t>Asset Disposal</t>
  </si>
  <si>
    <t>Capital Contributions</t>
  </si>
  <si>
    <t>Gross capital expenditure</t>
  </si>
  <si>
    <t>Year End</t>
  </si>
  <si>
    <t>Notation Adjustment</t>
  </si>
  <si>
    <t>Notation Adjustment (YYYY or YYYY-YY)</t>
  </si>
  <si>
    <t>NSP New Data</t>
  </si>
  <si>
    <t>AER Addition</t>
  </si>
  <si>
    <t>Meter Equipment Cost?</t>
  </si>
  <si>
    <t>Forecast Capex</t>
  </si>
  <si>
    <t>Net Capex</t>
  </si>
  <si>
    <t>Disposal 2</t>
  </si>
  <si>
    <t>Disposal 3</t>
  </si>
  <si>
    <t>CapCon 1</t>
  </si>
  <si>
    <t>CapCon 2</t>
  </si>
  <si>
    <t>CapCon 3</t>
  </si>
  <si>
    <t>(Calc) 
Calc Equip Cost</t>
  </si>
  <si>
    <t>Include</t>
  </si>
  <si>
    <t>Exclude</t>
  </si>
  <si>
    <t>CPI</t>
  </si>
  <si>
    <t>Cumulative Inflation Index (Lagged)</t>
  </si>
  <si>
    <t>Cumulative Inflation Index</t>
  </si>
  <si>
    <t>Unlagged</t>
  </si>
  <si>
    <t>Lagged</t>
  </si>
  <si>
    <t>Forecast Price Change 3</t>
  </si>
  <si>
    <t>Weighted</t>
  </si>
  <si>
    <t>Average forecast output change</t>
  </si>
  <si>
    <t>Labour Weighted Forecast Price Change</t>
  </si>
  <si>
    <t>Forecast price change</t>
  </si>
  <si>
    <t>Labour Price Change</t>
  </si>
  <si>
    <t>Forecast Labour Price Change</t>
  </si>
  <si>
    <t>Year Series</t>
  </si>
  <si>
    <t>End-Year</t>
  </si>
  <si>
    <t>$Basis, End Year</t>
  </si>
  <si>
    <t>Dynamic Notation</t>
  </si>
  <si>
    <t>End Year Notation</t>
  </si>
  <si>
    <t>Opex Hist &gt; Opex Forecast</t>
  </si>
  <si>
    <t>Opex Forecast -&gt; Output</t>
  </si>
  <si>
    <t>Capex -&gt; Output</t>
  </si>
  <si>
    <t>PTRM -&gt; RFM</t>
  </si>
  <si>
    <t>CPI year on year change (ABS Data)</t>
  </si>
  <si>
    <t>CPI - Basis Conversion Indexes</t>
  </si>
  <si>
    <t>$Basis</t>
  </si>
  <si>
    <t>f</t>
  </si>
  <si>
    <t>Additional Meters Required</t>
  </si>
  <si>
    <t>TOTAL NON-LABOUR COST</t>
  </si>
  <si>
    <t>Apply Labour Cost Escalation</t>
  </si>
  <si>
    <t>Labour Rate</t>
  </si>
  <si>
    <t>Weighted Forecast Price Change</t>
  </si>
  <si>
    <t>Company Name</t>
  </si>
  <si>
    <t>TOTAL LABOUR COST</t>
  </si>
  <si>
    <t>There are no protections currently enabled for non-input cells</t>
  </si>
  <si>
    <t>Current model version is in draft form, with test data for consultation purposes</t>
  </si>
  <si>
    <t>Enter either YYYY-YY (for June YE) or YYYY (for calendar year)</t>
  </si>
  <si>
    <t>Real labour index 1</t>
  </si>
  <si>
    <t>Real labour index 2</t>
  </si>
  <si>
    <t>One-off expenditure item in base year reversed</t>
  </si>
  <si>
    <t>External driver - required change in obligation</t>
  </si>
  <si>
    <t>New obligation commencing in 2022</t>
  </si>
  <si>
    <t>Partial Factor Productivity - Annual improvement</t>
  </si>
  <si>
    <t>AMI - Single Phase, two element</t>
  </si>
  <si>
    <t>AMI - 3 Phase DC</t>
  </si>
  <si>
    <t>AMI 3Ph CT</t>
  </si>
  <si>
    <t>Non AMI - Type 5 Locally read Interval - 3 Phase - CT</t>
  </si>
  <si>
    <t>AMI 1ph 1e</t>
  </si>
  <si>
    <t>AMI 1ph 2e</t>
  </si>
  <si>
    <t>AMI 3ph DC</t>
  </si>
  <si>
    <t>AMI 3ph CT</t>
  </si>
  <si>
    <t>INT 1ph</t>
  </si>
  <si>
    <t>INT 3ph</t>
  </si>
  <si>
    <t>INT 3ph CT</t>
  </si>
  <si>
    <t>ACC 1ph</t>
  </si>
  <si>
    <t>ACC 3ph</t>
  </si>
  <si>
    <t>New Meter Installations - Growth</t>
  </si>
  <si>
    <t>Replacements - Failures and faults</t>
  </si>
  <si>
    <t>Replacements - End of life</t>
  </si>
  <si>
    <t>Refurbished meters</t>
  </si>
  <si>
    <t>Strategic project 1</t>
  </si>
  <si>
    <t>Income from disposal of meters</t>
  </si>
  <si>
    <t>Antennas</t>
  </si>
  <si>
    <t>Modems</t>
  </si>
  <si>
    <t>Growth</t>
  </si>
  <si>
    <t>Replacements - faults and failures</t>
  </si>
  <si>
    <t>Upgrade IT application X</t>
  </si>
  <si>
    <t>EOL replacement for IT system X</t>
  </si>
  <si>
    <t>Project Management - replacement program</t>
  </si>
  <si>
    <t>Meter Unit Cost</t>
  </si>
  <si>
    <t>RP Total</t>
  </si>
  <si>
    <t>Forecast Opex expenditure</t>
  </si>
  <si>
    <t>1. Meter Types</t>
  </si>
  <si>
    <t>Forecast Inflation - Unlagged</t>
  </si>
  <si>
    <t>YE Index</t>
  </si>
  <si>
    <t>Dec</t>
  </si>
  <si>
    <t>PTRM - Opex</t>
  </si>
  <si>
    <t>2015-16</t>
  </si>
  <si>
    <t>Basis Out - YE</t>
  </si>
  <si>
    <t>Basis In - YE</t>
  </si>
  <si>
    <t>Ver:</t>
  </si>
  <si>
    <t>AER Metering Opex &amp; Capex Forecasting Model DRAFT</t>
  </si>
  <si>
    <t xml:space="preserve">Version </t>
  </si>
  <si>
    <t>Preliminary Standardised Metering Capex and Opex Forecasting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</si>
</sst>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??_-;_-@_-"/>
    <numFmt numFmtId="165" formatCode="_(* #,##0.00_);_(* \(#,##0.00\);_(* &quot;-&quot;??_);_(@_)"/>
    <numFmt numFmtId="166" formatCode="0;\-0;&quot;&quot;"/>
    <numFmt numFmtId="167" formatCode="_(#,##0_);_(#,##0_);_(&quot;-&quot;_)"/>
    <numFmt numFmtId="168" formatCode="mmm\ yyyy"/>
    <numFmt numFmtId="169" formatCode=";;_(&quot;-&quot;_)"/>
    <numFmt numFmtId="170" formatCode="0.00%;\-0.00%;&quot;&quot;"/>
    <numFmt numFmtId="171" formatCode="dd\-mmm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0.0%"/>
    <numFmt numFmtId="177" formatCode="#,##0;\-#,##0;&quot;&quot;"/>
    <numFmt numFmtId="178" formatCode="_(#,##0_);\(#,##0\);_(&quot;-&quot;_)"/>
    <numFmt numFmtId="179" formatCode="[Red]\●;[Red]\●;[Color10]\●"/>
    <numFmt numFmtId="180" formatCode="_(#,##0.00_);_(#,##0.00_);_(&quot;-&quot;_)"/>
    <numFmt numFmtId="181" formatCode="0.0000"/>
    <numFmt numFmtId="182" formatCode="0.00;[Red]\-0.00;&quot;&quot;"/>
    <numFmt numFmtId="183" formatCode="#,##0;\-#,##0;&quot;-&quot;"/>
    <numFmt numFmtId="184" formatCode="0.00%;\-0.00%;&quot;NULL&quot;"/>
    <numFmt numFmtId="185" formatCode="&quot;$&quot;#,##0;[Red]\-&quot;$&quot;#,##0;&quot;&quot;"/>
    <numFmt numFmtId="186" formatCode="#,##0.00;\-#,##0.00;&quot;&quot;"/>
    <numFmt numFmtId="187" formatCode="[Color10]\●;[Red]\●;[Red]\●"/>
    <numFmt numFmtId="188" formatCode="#,##0;\-#,##0,&quot;&quot;"/>
    <numFmt numFmtId="189" formatCode="#,##0.00;\-#,##0.00;&quot;-&quot;"/>
    <numFmt numFmtId="190" formatCode="#,##0.0000"/>
    <numFmt numFmtId="191" formatCode="&quot;$&quot;#,##0.00;[Red]\-&quot;$&quot;#,##0.00;&quot;&quot;"/>
    <numFmt numFmtId="192" formatCode="0.00000"/>
    <numFmt numFmtId="193" formatCode="0.0000%"/>
    <numFmt numFmtId="194" formatCode="0;0;&quot;NOT USED&quot;"/>
    <numFmt numFmtId="195" formatCode="0.0000%;\-0.0000%;&quot;&quot;"/>
    <numFmt numFmtId="196" formatCode="mmm"/>
  </numFmts>
  <fonts count="6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1"/>
      <color theme="0"/>
      <name val="Arial"/>
      <family val="2"/>
    </font>
    <font>
      <i/>
      <sz val="10"/>
      <color theme="1"/>
      <name val="Arial"/>
      <family val="2"/>
    </font>
    <font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0"/>
      <name val="Arial"/>
      <family val="2"/>
    </font>
    <font>
      <sz val="8"/>
      <name val="Helvetica"/>
      <family val="2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Arial"/>
      <family val="2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0"/>
      <name val="Arial"/>
      <family val="2"/>
    </font>
    <font>
      <b/>
      <i/>
      <sz val="10"/>
      <color rgb="FFFF0000"/>
      <name val="Arial"/>
      <family val="2"/>
    </font>
    <font>
      <sz val="10"/>
      <color theme="1" tint="0.499984740745262"/>
      <name val="Arial"/>
      <family val="2"/>
    </font>
    <font>
      <sz val="11"/>
      <color rgb="FF9C0006"/>
      <name val="Calibri"/>
      <family val="2"/>
      <scheme val="minor"/>
    </font>
    <font>
      <sz val="10"/>
      <color theme="0"/>
      <name val="Arial"/>
      <family val="2"/>
    </font>
    <font>
      <b/>
      <sz val="20"/>
      <color theme="5" tint="-0.24997711111789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0EBB3"/>
        <bgColor indexed="64"/>
      </patternFill>
    </fill>
    <fill>
      <patternFill patternType="solid">
        <fgColor rgb="FF487B79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FC8C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rgb="FF00FFFF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EBB3"/>
        <bgColor rgb="FF00FFFF"/>
      </patternFill>
    </fill>
    <fill>
      <patternFill patternType="solid">
        <fgColor rgb="FFAED28A"/>
        <bgColor rgb="FF00FFFF"/>
      </patternFill>
    </fill>
    <fill>
      <patternFill patternType="solid">
        <fgColor rgb="FFAED28A"/>
        <bgColor indexed="64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5" tint="-0.249977111117893"/>
        <bgColor rgb="FF000000"/>
      </patternFill>
    </fill>
    <fill>
      <patternFill patternType="solid">
        <fgColor rgb="FFDDEBF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rgb="FFC59EE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DEBF7"/>
        <bgColor rgb="FF00FFFF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9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dashDot">
        <color indexed="64"/>
      </right>
      <top/>
      <bottom/>
      <diagonal/>
    </border>
    <border>
      <left style="thin">
        <color theme="0"/>
      </left>
      <right style="dashDot">
        <color indexed="64"/>
      </right>
      <top/>
      <bottom style="thin">
        <color theme="0"/>
      </bottom>
      <diagonal/>
    </border>
    <border>
      <left style="thin">
        <color theme="0"/>
      </left>
      <right style="dashDot">
        <color indexed="64"/>
      </right>
      <top style="thin">
        <color theme="0"/>
      </top>
      <bottom style="thin">
        <color theme="0"/>
      </bottom>
      <diagonal/>
    </border>
    <border>
      <left/>
      <right style="dashDot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dashDot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dashDot">
        <color indexed="64"/>
      </left>
      <right style="hair">
        <color auto="1"/>
      </right>
      <top/>
      <bottom style="hair">
        <color auto="1"/>
      </bottom>
      <diagonal/>
    </border>
    <border>
      <left style="dashDot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Dot">
        <color indexed="64"/>
      </left>
      <right/>
      <top style="hair">
        <color auto="1"/>
      </top>
      <bottom/>
      <diagonal/>
    </border>
    <border>
      <left style="dashDot">
        <color indexed="64"/>
      </left>
      <right style="hair">
        <color auto="1"/>
      </right>
      <top style="hair">
        <color auto="1"/>
      </top>
      <bottom/>
      <diagonal/>
    </border>
    <border>
      <left style="dashDot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dashDot">
        <color indexed="64"/>
      </right>
      <top/>
      <bottom style="hair">
        <color indexed="64"/>
      </bottom>
      <diagonal/>
    </border>
    <border>
      <left style="hair">
        <color auto="1"/>
      </left>
      <right style="dashDot">
        <color indexed="64"/>
      </right>
      <top style="hair">
        <color indexed="64"/>
      </top>
      <bottom style="hair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dashDot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dashDot">
        <color theme="0"/>
      </left>
      <right style="thin">
        <color theme="0"/>
      </right>
      <top/>
      <bottom/>
      <diagonal/>
    </border>
    <border>
      <left style="dashDot">
        <color indexed="64"/>
      </left>
      <right style="thin">
        <color theme="0"/>
      </right>
      <top/>
      <bottom/>
      <diagonal/>
    </border>
    <border>
      <left style="thin">
        <color theme="0"/>
      </left>
      <right style="dashDot">
        <color indexed="64"/>
      </right>
      <top/>
      <bottom/>
      <diagonal/>
    </border>
  </borders>
  <cellStyleXfs count="18">
    <xf numFmtId="0" fontId="0" fillId="0" borderId="0"/>
    <xf numFmtId="0" fontId="12" fillId="0" borderId="0"/>
    <xf numFmtId="165" fontId="12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0" fillId="0" borderId="0" applyNumberFormat="0" applyFill="0" applyBorder="0" applyProtection="0"/>
    <xf numFmtId="0" fontId="9" fillId="0" borderId="0"/>
    <xf numFmtId="0" fontId="34" fillId="0" borderId="0" applyNumberFormat="0" applyFill="0" applyBorder="0" applyAlignment="0" applyProtection="0"/>
    <xf numFmtId="178" fontId="28" fillId="0" borderId="48">
      <alignment horizontal="right" vertical="center"/>
      <protection locked="0"/>
    </xf>
    <xf numFmtId="179" fontId="38" fillId="0" borderId="0">
      <alignment horizontal="center" vertical="center"/>
    </xf>
    <xf numFmtId="0" fontId="12" fillId="0" borderId="0"/>
    <xf numFmtId="0" fontId="60" fillId="36" borderId="0" applyNumberFormat="0" applyBorder="0" applyAlignment="0" applyProtection="0"/>
  </cellStyleXfs>
  <cellXfs count="712">
    <xf numFmtId="0" fontId="0" fillId="0" borderId="0" xfId="0"/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center" vertical="center"/>
    </xf>
    <xf numFmtId="0" fontId="18" fillId="11" borderId="0" xfId="3" applyFont="1" applyFill="1"/>
    <xf numFmtId="0" fontId="16" fillId="0" borderId="0" xfId="3"/>
    <xf numFmtId="164" fontId="21" fillId="0" borderId="0" xfId="3" applyNumberFormat="1" applyFont="1"/>
    <xf numFmtId="0" fontId="0" fillId="15" borderId="0" xfId="0" applyFill="1" applyAlignment="1">
      <alignment horizontal="center" vertical="center"/>
    </xf>
    <xf numFmtId="0" fontId="0" fillId="15" borderId="0" xfId="0" applyFill="1"/>
    <xf numFmtId="164" fontId="14" fillId="15" borderId="0" xfId="0" applyNumberFormat="1" applyFont="1" applyFill="1"/>
    <xf numFmtId="0" fontId="0" fillId="14" borderId="0" xfId="0" applyFill="1"/>
    <xf numFmtId="0" fontId="12" fillId="15" borderId="0" xfId="0" applyFont="1" applyFill="1"/>
    <xf numFmtId="0" fontId="16" fillId="15" borderId="0" xfId="3" applyFill="1"/>
    <xf numFmtId="0" fontId="19" fillId="15" borderId="0" xfId="3" applyFont="1" applyFill="1" applyAlignment="1">
      <alignment horizontal="left" vertical="center"/>
    </xf>
    <xf numFmtId="0" fontId="19" fillId="15" borderId="0" xfId="3" applyFont="1" applyFill="1" applyAlignment="1">
      <alignment horizontal="left" indent="9"/>
    </xf>
    <xf numFmtId="0" fontId="16" fillId="15" borderId="21" xfId="3" applyFill="1" applyBorder="1"/>
    <xf numFmtId="164" fontId="22" fillId="16" borderId="0" xfId="3" applyNumberFormat="1" applyFont="1" applyFill="1"/>
    <xf numFmtId="164" fontId="23" fillId="16" borderId="0" xfId="3" applyNumberFormat="1" applyFont="1" applyFill="1" applyAlignment="1">
      <alignment horizontal="center"/>
    </xf>
    <xf numFmtId="0" fontId="16" fillId="17" borderId="4" xfId="3" applyFill="1" applyBorder="1"/>
    <xf numFmtId="0" fontId="20" fillId="17" borderId="4" xfId="3" applyFont="1" applyFill="1" applyBorder="1"/>
    <xf numFmtId="0" fontId="15" fillId="17" borderId="4" xfId="3" applyFont="1" applyFill="1" applyBorder="1" applyAlignment="1">
      <alignment vertical="center"/>
    </xf>
    <xf numFmtId="0" fontId="16" fillId="17" borderId="4" xfId="3" applyFill="1" applyBorder="1" applyAlignment="1">
      <alignment wrapText="1"/>
    </xf>
    <xf numFmtId="44" fontId="15" fillId="17" borderId="4" xfId="3" applyNumberFormat="1" applyFont="1" applyFill="1" applyBorder="1" applyAlignment="1">
      <alignment horizontal="center" wrapText="1"/>
    </xf>
    <xf numFmtId="0" fontId="16" fillId="16" borderId="0" xfId="3" applyFill="1" applyAlignment="1">
      <alignment wrapText="1"/>
    </xf>
    <xf numFmtId="0" fontId="16" fillId="16" borderId="0" xfId="3" applyFill="1"/>
    <xf numFmtId="164" fontId="22" fillId="0" borderId="0" xfId="3" applyNumberFormat="1" applyFont="1"/>
    <xf numFmtId="164" fontId="23" fillId="0" borderId="0" xfId="3" applyNumberFormat="1" applyFont="1" applyAlignment="1">
      <alignment horizontal="center"/>
    </xf>
    <xf numFmtId="164" fontId="14" fillId="0" borderId="0" xfId="3" applyNumberFormat="1" applyFont="1"/>
    <xf numFmtId="164" fontId="27" fillId="0" borderId="0" xfId="3" applyNumberFormat="1" applyFont="1" applyAlignment="1">
      <alignment horizontal="center"/>
    </xf>
    <xf numFmtId="164" fontId="21" fillId="0" borderId="0" xfId="3" applyNumberFormat="1" applyFont="1" applyAlignment="1">
      <alignment horizontal="center"/>
    </xf>
    <xf numFmtId="171" fontId="22" fillId="13" borderId="16" xfId="3" applyNumberFormat="1" applyFont="1" applyFill="1" applyBorder="1" applyAlignment="1" applyProtection="1">
      <alignment horizontal="center"/>
      <protection locked="0"/>
    </xf>
    <xf numFmtId="172" fontId="22" fillId="13" borderId="16" xfId="3" applyNumberFormat="1" applyFont="1" applyFill="1" applyBorder="1" applyAlignment="1" applyProtection="1">
      <alignment horizontal="center"/>
      <protection locked="0"/>
    </xf>
    <xf numFmtId="1" fontId="22" fillId="13" borderId="16" xfId="3" applyNumberFormat="1" applyFont="1" applyFill="1" applyBorder="1" applyAlignment="1" applyProtection="1">
      <alignment horizontal="center"/>
      <protection locked="0"/>
    </xf>
    <xf numFmtId="164" fontId="27" fillId="0" borderId="0" xfId="3" applyNumberFormat="1" applyFont="1" applyAlignment="1">
      <alignment horizontal="center" wrapText="1"/>
    </xf>
    <xf numFmtId="164" fontId="23" fillId="0" borderId="0" xfId="3" applyNumberFormat="1" applyFont="1" applyAlignment="1">
      <alignment horizontal="center" wrapText="1"/>
    </xf>
    <xf numFmtId="174" fontId="22" fillId="13" borderId="16" xfId="3" applyNumberFormat="1" applyFont="1" applyFill="1" applyBorder="1" applyAlignment="1" applyProtection="1">
      <alignment horizontal="center"/>
      <protection locked="0"/>
    </xf>
    <xf numFmtId="175" fontId="22" fillId="0" borderId="0" xfId="3" applyNumberFormat="1" applyFont="1" applyProtection="1">
      <protection locked="0"/>
    </xf>
    <xf numFmtId="175" fontId="21" fillId="0" borderId="0" xfId="3" applyNumberFormat="1" applyFont="1" applyProtection="1">
      <protection locked="0"/>
    </xf>
    <xf numFmtId="0" fontId="26" fillId="0" borderId="0" xfId="8"/>
    <xf numFmtId="0" fontId="25" fillId="15" borderId="0" xfId="3" applyFont="1" applyFill="1" applyAlignment="1">
      <alignment horizontal="left"/>
    </xf>
    <xf numFmtId="0" fontId="25" fillId="15" borderId="0" xfId="3" applyFont="1" applyFill="1" applyAlignment="1">
      <alignment horizontal="left" indent="9"/>
    </xf>
    <xf numFmtId="0" fontId="16" fillId="16" borderId="22" xfId="3" applyFill="1" applyBorder="1" applyAlignment="1">
      <alignment wrapText="1"/>
    </xf>
    <xf numFmtId="0" fontId="16" fillId="16" borderId="22" xfId="3" applyFill="1" applyBorder="1"/>
    <xf numFmtId="0" fontId="16" fillId="0" borderId="22" xfId="3" applyBorder="1"/>
    <xf numFmtId="164" fontId="23" fillId="16" borderId="0" xfId="3" applyNumberFormat="1" applyFont="1" applyFill="1"/>
    <xf numFmtId="164" fontId="23" fillId="0" borderId="0" xfId="3" applyNumberFormat="1" applyFont="1"/>
    <xf numFmtId="164" fontId="22" fillId="0" borderId="0" xfId="3" applyNumberFormat="1" applyFont="1" applyAlignment="1">
      <alignment horizontal="left" indent="1"/>
    </xf>
    <xf numFmtId="164" fontId="16" fillId="0" borderId="0" xfId="3" applyNumberFormat="1"/>
    <xf numFmtId="168" fontId="22" fillId="0" borderId="0" xfId="3" applyNumberFormat="1" applyFont="1" applyAlignment="1">
      <alignment horizontal="left" indent="1"/>
    </xf>
    <xf numFmtId="168" fontId="22" fillId="0" borderId="16" xfId="3" applyNumberFormat="1" applyFont="1" applyBorder="1" applyAlignment="1" applyProtection="1">
      <alignment horizontal="center"/>
      <protection locked="0"/>
    </xf>
    <xf numFmtId="0" fontId="22" fillId="0" borderId="16" xfId="3" applyFont="1" applyBorder="1" applyAlignment="1" applyProtection="1">
      <alignment horizontal="center"/>
      <protection locked="0"/>
    </xf>
    <xf numFmtId="1" fontId="22" fillId="0" borderId="16" xfId="3" applyNumberFormat="1" applyFont="1" applyBorder="1" applyAlignment="1" applyProtection="1">
      <alignment horizontal="center"/>
      <protection locked="0"/>
    </xf>
    <xf numFmtId="1" fontId="22" fillId="0" borderId="0" xfId="3" applyNumberFormat="1" applyFont="1" applyAlignment="1" applyProtection="1">
      <alignment horizontal="center"/>
      <protection locked="0"/>
    </xf>
    <xf numFmtId="168" fontId="22" fillId="0" borderId="0" xfId="3" applyNumberFormat="1" applyFont="1" applyAlignment="1" applyProtection="1">
      <alignment horizontal="center"/>
      <protection locked="0"/>
    </xf>
    <xf numFmtId="1" fontId="22" fillId="0" borderId="0" xfId="3" applyNumberFormat="1" applyFont="1" applyBorder="1" applyAlignment="1" applyProtection="1">
      <alignment horizontal="center"/>
      <protection locked="0"/>
    </xf>
    <xf numFmtId="0" fontId="14" fillId="20" borderId="24" xfId="0" applyFont="1" applyFill="1" applyBorder="1" applyAlignment="1">
      <alignment horizontal="center" vertical="center"/>
    </xf>
    <xf numFmtId="0" fontId="17" fillId="11" borderId="0" xfId="3" applyFont="1" applyFill="1" applyAlignment="1">
      <alignment horizontal="center" vertical="center"/>
    </xf>
    <xf numFmtId="0" fontId="9" fillId="0" borderId="0" xfId="12"/>
    <xf numFmtId="0" fontId="12" fillId="0" borderId="0" xfId="12" applyFont="1"/>
    <xf numFmtId="0" fontId="12" fillId="0" borderId="0" xfId="12" applyFont="1" applyAlignment="1">
      <alignment horizontal="left"/>
    </xf>
    <xf numFmtId="14" fontId="9" fillId="0" borderId="0" xfId="12" applyNumberFormat="1" applyAlignment="1">
      <alignment horizontal="left"/>
    </xf>
    <xf numFmtId="2" fontId="9" fillId="0" borderId="0" xfId="12" applyNumberFormat="1" applyAlignment="1">
      <alignment horizontal="left"/>
    </xf>
    <xf numFmtId="0" fontId="33" fillId="0" borderId="0" xfId="12" applyFont="1"/>
    <xf numFmtId="0" fontId="29" fillId="0" borderId="0" xfId="12" applyFont="1"/>
    <xf numFmtId="0" fontId="15" fillId="0" borderId="0" xfId="12" applyFont="1"/>
    <xf numFmtId="0" fontId="35" fillId="0" borderId="0" xfId="12" applyFont="1"/>
    <xf numFmtId="2" fontId="9" fillId="0" borderId="0" xfId="12" applyNumberFormat="1"/>
    <xf numFmtId="0" fontId="36" fillId="0" borderId="0" xfId="12" applyFont="1"/>
    <xf numFmtId="0" fontId="17" fillId="11" borderId="0" xfId="3" applyFont="1" applyFill="1" applyAlignment="1">
      <alignment vertical="center"/>
    </xf>
    <xf numFmtId="0" fontId="37" fillId="11" borderId="0" xfId="3" applyFont="1" applyFill="1" applyAlignment="1">
      <alignment vertical="center"/>
    </xf>
    <xf numFmtId="0" fontId="13" fillId="15" borderId="0" xfId="0" applyFont="1" applyFill="1"/>
    <xf numFmtId="0" fontId="12" fillId="15" borderId="0" xfId="0" applyFont="1" applyFill="1" applyAlignment="1">
      <alignment horizontal="center" vertical="center"/>
    </xf>
    <xf numFmtId="179" fontId="12" fillId="15" borderId="0" xfId="0" applyNumberFormat="1" applyFont="1" applyFill="1" applyAlignment="1">
      <alignment horizontal="center" vertical="center"/>
    </xf>
    <xf numFmtId="0" fontId="15" fillId="15" borderId="0" xfId="0" applyFont="1" applyFill="1" applyAlignment="1">
      <alignment horizontal="center" vertical="center"/>
    </xf>
    <xf numFmtId="165" fontId="0" fillId="9" borderId="1" xfId="7" applyNumberFormat="1" applyFont="1" applyFill="1" applyBorder="1" applyAlignment="1">
      <alignment horizontal="center" vertical="center"/>
    </xf>
    <xf numFmtId="14" fontId="9" fillId="0" borderId="0" xfId="12" applyNumberFormat="1"/>
    <xf numFmtId="14" fontId="22" fillId="0" borderId="0" xfId="3" applyNumberFormat="1" applyFont="1"/>
    <xf numFmtId="0" fontId="0" fillId="4" borderId="1" xfId="0" applyFill="1" applyBorder="1" applyAlignment="1">
      <alignment horizontal="center"/>
    </xf>
    <xf numFmtId="0" fontId="11" fillId="14" borderId="0" xfId="0" applyFont="1" applyFill="1" applyAlignment="1"/>
    <xf numFmtId="165" fontId="13" fillId="8" borderId="1" xfId="10" applyNumberFormat="1" applyFont="1" applyFill="1" applyBorder="1" applyAlignment="1">
      <alignment horizontal="center" vertical="center"/>
    </xf>
    <xf numFmtId="0" fontId="8" fillId="0" borderId="0" xfId="12" applyFont="1"/>
    <xf numFmtId="0" fontId="39" fillId="0" borderId="0" xfId="11" applyFont="1"/>
    <xf numFmtId="181" fontId="0" fillId="15" borderId="0" xfId="0" applyNumberFormat="1" applyFill="1" applyAlignment="1">
      <alignment horizontal="center"/>
    </xf>
    <xf numFmtId="165" fontId="13" fillId="8" borderId="10" xfId="10" applyNumberFormat="1" applyFont="1" applyFill="1" applyBorder="1" applyAlignment="1">
      <alignment horizontal="center" vertical="center"/>
    </xf>
    <xf numFmtId="165" fontId="13" fillId="9" borderId="11" xfId="0" applyNumberFormat="1" applyFont="1" applyFill="1" applyBorder="1" applyAlignment="1">
      <alignment horizontal="center" vertical="center"/>
    </xf>
    <xf numFmtId="165" fontId="13" fillId="8" borderId="11" xfId="10" applyNumberFormat="1" applyFont="1" applyFill="1" applyBorder="1" applyAlignment="1">
      <alignment horizontal="center" vertical="center"/>
    </xf>
    <xf numFmtId="164" fontId="21" fillId="0" borderId="0" xfId="3" applyNumberFormat="1" applyFont="1" applyAlignment="1">
      <alignment horizontal="left" indent="1"/>
    </xf>
    <xf numFmtId="0" fontId="7" fillId="0" borderId="0" xfId="12" applyFont="1"/>
    <xf numFmtId="14" fontId="29" fillId="19" borderId="0" xfId="12" applyNumberFormat="1" applyFont="1" applyFill="1"/>
    <xf numFmtId="0" fontId="30" fillId="0" borderId="0" xfId="11" applyFont="1"/>
    <xf numFmtId="0" fontId="10" fillId="0" borderId="0" xfId="0" applyFont="1"/>
    <xf numFmtId="164" fontId="42" fillId="5" borderId="0" xfId="0" applyNumberFormat="1" applyFont="1" applyFill="1" applyAlignment="1">
      <alignment horizontal="left"/>
    </xf>
    <xf numFmtId="164" fontId="42" fillId="5" borderId="0" xfId="0" applyNumberFormat="1" applyFont="1" applyFill="1"/>
    <xf numFmtId="0" fontId="43" fillId="0" borderId="0" xfId="11" applyFont="1"/>
    <xf numFmtId="0" fontId="30" fillId="0" borderId="0" xfId="11" applyFont="1" applyAlignment="1">
      <alignment vertical="center"/>
    </xf>
    <xf numFmtId="0" fontId="15" fillId="20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left" vertical="center" wrapText="1"/>
    </xf>
    <xf numFmtId="0" fontId="30" fillId="0" borderId="0" xfId="11" applyFont="1" applyBorder="1"/>
    <xf numFmtId="0" fontId="10" fillId="0" borderId="0" xfId="0" applyFont="1" applyBorder="1"/>
    <xf numFmtId="0" fontId="30" fillId="0" borderId="8" xfId="11" applyFont="1" applyBorder="1"/>
    <xf numFmtId="0" fontId="10" fillId="0" borderId="8" xfId="0" applyFont="1" applyBorder="1"/>
    <xf numFmtId="0" fontId="12" fillId="3" borderId="26" xfId="0" applyFont="1" applyFill="1" applyBorder="1" applyAlignment="1">
      <alignment horizontal="left" vertical="center" wrapText="1"/>
    </xf>
    <xf numFmtId="0" fontId="44" fillId="0" borderId="0" xfId="11" applyFont="1" applyAlignment="1">
      <alignment horizontal="left"/>
    </xf>
    <xf numFmtId="0" fontId="15" fillId="6" borderId="0" xfId="0" applyFont="1" applyFill="1" applyAlignment="1">
      <alignment horizontal="center" vertical="center" wrapText="1"/>
    </xf>
    <xf numFmtId="1" fontId="12" fillId="4" borderId="1" xfId="1" applyNumberFormat="1" applyFont="1" applyFill="1" applyBorder="1" applyAlignment="1">
      <alignment horizontal="center" vertical="center"/>
    </xf>
    <xf numFmtId="0" fontId="43" fillId="0" borderId="0" xfId="11" applyFont="1" applyAlignment="1">
      <alignment horizontal="center"/>
    </xf>
    <xf numFmtId="0" fontId="31" fillId="6" borderId="36" xfId="11" applyFont="1" applyFill="1" applyBorder="1"/>
    <xf numFmtId="0" fontId="31" fillId="6" borderId="37" xfId="11" applyFont="1" applyFill="1" applyBorder="1"/>
    <xf numFmtId="0" fontId="45" fillId="6" borderId="38" xfId="11" applyFont="1" applyFill="1" applyBorder="1" applyAlignment="1">
      <alignment horizontal="center" vertical="center"/>
    </xf>
    <xf numFmtId="0" fontId="45" fillId="6" borderId="29" xfId="11" applyFont="1" applyFill="1" applyBorder="1" applyAlignment="1">
      <alignment horizontal="center" vertical="center"/>
    </xf>
    <xf numFmtId="0" fontId="45" fillId="6" borderId="38" xfId="11" applyFont="1" applyFill="1" applyBorder="1" applyAlignment="1">
      <alignment horizontal="center" vertical="center" wrapText="1"/>
    </xf>
    <xf numFmtId="0" fontId="45" fillId="6" borderId="39" xfId="11" applyFont="1" applyFill="1" applyBorder="1" applyAlignment="1">
      <alignment horizontal="center" vertical="center"/>
    </xf>
    <xf numFmtId="0" fontId="45" fillId="6" borderId="40" xfId="11" applyFont="1" applyFill="1" applyBorder="1" applyAlignment="1">
      <alignment horizontal="center" vertical="center"/>
    </xf>
    <xf numFmtId="0" fontId="31" fillId="6" borderId="41" xfId="11" applyFont="1" applyFill="1" applyBorder="1" applyAlignment="1">
      <alignment horizontal="center"/>
    </xf>
    <xf numFmtId="0" fontId="31" fillId="6" borderId="41" xfId="11" applyFont="1" applyFill="1" applyBorder="1" applyAlignment="1">
      <alignment horizontal="center" wrapText="1"/>
    </xf>
    <xf numFmtId="0" fontId="31" fillId="6" borderId="34" xfId="11" applyFont="1" applyFill="1" applyBorder="1" applyAlignment="1">
      <alignment horizontal="center"/>
    </xf>
    <xf numFmtId="0" fontId="45" fillId="6" borderId="39" xfId="11" applyFont="1" applyFill="1" applyBorder="1" applyAlignment="1">
      <alignment horizontal="center" vertical="center" wrapText="1"/>
    </xf>
    <xf numFmtId="0" fontId="45" fillId="6" borderId="34" xfId="11" applyFont="1" applyFill="1" applyBorder="1" applyAlignment="1">
      <alignment horizontal="center" vertical="center" wrapText="1"/>
    </xf>
    <xf numFmtId="168" fontId="10" fillId="4" borderId="27" xfId="0" applyNumberFormat="1" applyFont="1" applyFill="1" applyBorder="1" applyAlignment="1">
      <alignment horizontal="center" vertical="center"/>
    </xf>
    <xf numFmtId="9" fontId="12" fillId="3" borderId="27" xfId="0" applyNumberFormat="1" applyFont="1" applyFill="1" applyBorder="1" applyAlignment="1">
      <alignment horizontal="center"/>
    </xf>
    <xf numFmtId="9" fontId="12" fillId="3" borderId="2" xfId="0" applyNumberFormat="1" applyFont="1" applyFill="1" applyBorder="1" applyAlignment="1">
      <alignment horizontal="center"/>
    </xf>
    <xf numFmtId="168" fontId="10" fillId="4" borderId="45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horizontal="center" vertical="center"/>
    </xf>
    <xf numFmtId="0" fontId="31" fillId="0" borderId="0" xfId="11" applyFont="1" applyFill="1"/>
    <xf numFmtId="0" fontId="15" fillId="22" borderId="0" xfId="0" applyFont="1" applyFill="1" applyAlignment="1">
      <alignment horizontal="center" vertical="center"/>
    </xf>
    <xf numFmtId="0" fontId="15" fillId="6" borderId="4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166" fontId="10" fillId="19" borderId="27" xfId="0" applyNumberFormat="1" applyFont="1" applyFill="1" applyBorder="1" applyAlignment="1">
      <alignment horizontal="left" vertical="center"/>
    </xf>
    <xf numFmtId="168" fontId="10" fillId="4" borderId="27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/>
    </xf>
    <xf numFmtId="9" fontId="12" fillId="3" borderId="50" xfId="0" applyNumberFormat="1" applyFont="1" applyFill="1" applyBorder="1" applyAlignment="1">
      <alignment horizontal="center"/>
    </xf>
    <xf numFmtId="9" fontId="12" fillId="3" borderId="25" xfId="0" applyNumberFormat="1" applyFont="1" applyFill="1" applyBorder="1" applyAlignment="1">
      <alignment horizontal="center"/>
    </xf>
    <xf numFmtId="9" fontId="12" fillId="3" borderId="26" xfId="0" applyNumberFormat="1" applyFont="1" applyFill="1" applyBorder="1" applyAlignment="1">
      <alignment horizontal="center"/>
    </xf>
    <xf numFmtId="0" fontId="30" fillId="0" borderId="0" xfId="11" applyFont="1" applyAlignment="1">
      <alignment horizontal="center"/>
    </xf>
    <xf numFmtId="166" fontId="10" fillId="4" borderId="27" xfId="0" applyNumberFormat="1" applyFont="1" applyFill="1" applyBorder="1" applyAlignment="1">
      <alignment horizontal="left" vertical="center"/>
    </xf>
    <xf numFmtId="0" fontId="15" fillId="6" borderId="1" xfId="0" applyFont="1" applyFill="1" applyBorder="1" applyAlignment="1">
      <alignment vertical="center"/>
    </xf>
    <xf numFmtId="9" fontId="12" fillId="3" borderId="14" xfId="0" applyNumberFormat="1" applyFont="1" applyFill="1" applyBorder="1" applyAlignment="1">
      <alignment horizontal="center" vertical="center" wrapText="1"/>
    </xf>
    <xf numFmtId="9" fontId="12" fillId="3" borderId="1" xfId="0" applyNumberFormat="1" applyFont="1" applyFill="1" applyBorder="1" applyAlignment="1">
      <alignment horizontal="center" vertical="center" wrapText="1"/>
    </xf>
    <xf numFmtId="9" fontId="12" fillId="3" borderId="43" xfId="0" applyNumberFormat="1" applyFont="1" applyFill="1" applyBorder="1" applyAlignment="1">
      <alignment horizontal="center" vertical="center" wrapText="1"/>
    </xf>
    <xf numFmtId="166" fontId="10" fillId="4" borderId="14" xfId="0" applyNumberFormat="1" applyFont="1" applyFill="1" applyBorder="1" applyAlignment="1">
      <alignment horizontal="center" vertical="center"/>
    </xf>
    <xf numFmtId="166" fontId="10" fillId="4" borderId="14" xfId="0" applyNumberFormat="1" applyFont="1" applyFill="1" applyBorder="1" applyAlignment="1">
      <alignment horizontal="center" vertical="center" wrapText="1"/>
    </xf>
    <xf numFmtId="177" fontId="12" fillId="4" borderId="10" xfId="0" applyNumberFormat="1" applyFont="1" applyFill="1" applyBorder="1" applyAlignment="1">
      <alignment horizontal="center"/>
    </xf>
    <xf numFmtId="177" fontId="12" fillId="4" borderId="11" xfId="0" applyNumberFormat="1" applyFont="1" applyFill="1" applyBorder="1" applyAlignment="1">
      <alignment horizontal="center"/>
    </xf>
    <xf numFmtId="177" fontId="12" fillId="4" borderId="1" xfId="0" applyNumberFormat="1" applyFont="1" applyFill="1" applyBorder="1" applyAlignment="1">
      <alignment horizontal="center"/>
    </xf>
    <xf numFmtId="164" fontId="42" fillId="10" borderId="0" xfId="0" applyNumberFormat="1" applyFont="1" applyFill="1" applyAlignment="1">
      <alignment horizontal="left"/>
    </xf>
    <xf numFmtId="164" fontId="42" fillId="10" borderId="0" xfId="0" applyNumberFormat="1" applyFont="1" applyFill="1"/>
    <xf numFmtId="0" fontId="30" fillId="0" borderId="0" xfId="11" applyFont="1" applyAlignment="1">
      <alignment horizontal="left"/>
    </xf>
    <xf numFmtId="0" fontId="43" fillId="0" borderId="0" xfId="11" applyFont="1" applyAlignment="1">
      <alignment horizontal="right"/>
    </xf>
    <xf numFmtId="0" fontId="43" fillId="0" borderId="0" xfId="11" applyFont="1" applyAlignment="1">
      <alignment horizontal="left"/>
    </xf>
    <xf numFmtId="0" fontId="15" fillId="6" borderId="51" xfId="0" applyFont="1" applyFill="1" applyBorder="1" applyAlignment="1">
      <alignment horizontal="center" vertical="center"/>
    </xf>
    <xf numFmtId="177" fontId="10" fillId="4" borderId="52" xfId="0" applyNumberFormat="1" applyFont="1" applyFill="1" applyBorder="1" applyAlignment="1">
      <alignment horizontal="center" vertical="center"/>
    </xf>
    <xf numFmtId="167" fontId="15" fillId="8" borderId="14" xfId="0" applyNumberFormat="1" applyFont="1" applyFill="1" applyBorder="1" applyAlignment="1">
      <alignment horizontal="center" vertical="center"/>
    </xf>
    <xf numFmtId="168" fontId="15" fillId="8" borderId="14" xfId="0" applyNumberFormat="1" applyFont="1" applyFill="1" applyBorder="1" applyAlignment="1">
      <alignment horizontal="left" vertical="center"/>
    </xf>
    <xf numFmtId="177" fontId="15" fillId="8" borderId="53" xfId="0" applyNumberFormat="1" applyFont="1" applyFill="1" applyBorder="1" applyAlignment="1">
      <alignment horizontal="center" vertical="center"/>
    </xf>
    <xf numFmtId="177" fontId="15" fillId="8" borderId="2" xfId="0" applyNumberFormat="1" applyFont="1" applyFill="1" applyBorder="1" applyAlignment="1">
      <alignment horizontal="center" vertical="center"/>
    </xf>
    <xf numFmtId="0" fontId="44" fillId="0" borderId="0" xfId="11" applyFont="1" applyAlignment="1">
      <alignment horizontal="center" vertical="center"/>
    </xf>
    <xf numFmtId="0" fontId="44" fillId="0" borderId="0" xfId="11" applyFont="1" applyAlignment="1">
      <alignment horizontal="center" vertical="center" wrapText="1"/>
    </xf>
    <xf numFmtId="166" fontId="10" fillId="8" borderId="27" xfId="0" applyNumberFormat="1" applyFont="1" applyFill="1" applyBorder="1" applyAlignment="1">
      <alignment horizontal="left" vertical="center"/>
    </xf>
    <xf numFmtId="0" fontId="30" fillId="0" borderId="55" xfId="11" applyFont="1" applyBorder="1"/>
    <xf numFmtId="0" fontId="44" fillId="0" borderId="0" xfId="11" quotePrefix="1" applyFont="1" applyAlignment="1">
      <alignment horizontal="center" vertical="center" wrapText="1"/>
    </xf>
    <xf numFmtId="0" fontId="10" fillId="20" borderId="0" xfId="0" applyFont="1" applyFill="1" applyAlignment="1">
      <alignment horizontal="center"/>
    </xf>
    <xf numFmtId="167" fontId="15" fillId="8" borderId="14" xfId="0" applyNumberFormat="1" applyFont="1" applyFill="1" applyBorder="1" applyAlignment="1">
      <alignment horizontal="left" vertical="center"/>
    </xf>
    <xf numFmtId="168" fontId="12" fillId="26" borderId="14" xfId="0" applyNumberFormat="1" applyFont="1" applyFill="1" applyBorder="1" applyAlignment="1">
      <alignment horizontal="left" vertical="center"/>
    </xf>
    <xf numFmtId="0" fontId="10" fillId="0" borderId="4" xfId="11" applyFont="1" applyBorder="1"/>
    <xf numFmtId="0" fontId="13" fillId="0" borderId="4" xfId="11" applyFont="1" applyBorder="1"/>
    <xf numFmtId="168" fontId="12" fillId="8" borderId="14" xfId="0" applyNumberFormat="1" applyFont="1" applyFill="1" applyBorder="1" applyAlignment="1">
      <alignment horizontal="left" vertical="center"/>
    </xf>
    <xf numFmtId="177" fontId="15" fillId="8" borderId="54" xfId="0" applyNumberFormat="1" applyFont="1" applyFill="1" applyBorder="1" applyAlignment="1">
      <alignment horizontal="center" vertical="center"/>
    </xf>
    <xf numFmtId="0" fontId="30" fillId="0" borderId="4" xfId="11" applyFont="1" applyBorder="1"/>
    <xf numFmtId="0" fontId="15" fillId="6" borderId="20" xfId="0" applyFont="1" applyFill="1" applyBorder="1" applyAlignment="1">
      <alignment horizontal="center" vertical="center"/>
    </xf>
    <xf numFmtId="184" fontId="10" fillId="4" borderId="20" xfId="6" applyNumberFormat="1" applyFont="1" applyFill="1" applyBorder="1" applyAlignment="1">
      <alignment horizontal="center" vertical="center"/>
    </xf>
    <xf numFmtId="0" fontId="0" fillId="0" borderId="0" xfId="0" applyBorder="1"/>
    <xf numFmtId="164" fontId="23" fillId="0" borderId="0" xfId="3" applyNumberFormat="1" applyFont="1" applyAlignment="1">
      <alignment horizontal="left"/>
    </xf>
    <xf numFmtId="1" fontId="22" fillId="0" borderId="0" xfId="3" applyNumberFormat="1" applyFont="1" applyBorder="1" applyAlignment="1" applyProtection="1">
      <alignment horizontal="left"/>
      <protection locked="0"/>
    </xf>
    <xf numFmtId="168" fontId="22" fillId="0" borderId="0" xfId="3" applyNumberFormat="1" applyFont="1" applyAlignment="1" applyProtection="1">
      <alignment horizontal="left"/>
      <protection locked="0"/>
    </xf>
    <xf numFmtId="164" fontId="22" fillId="0" borderId="0" xfId="3" applyNumberFormat="1" applyFont="1" applyAlignment="1">
      <alignment horizontal="left"/>
    </xf>
    <xf numFmtId="164" fontId="22" fillId="0" borderId="0" xfId="3" applyNumberFormat="1" applyFont="1" applyBorder="1"/>
    <xf numFmtId="164" fontId="21" fillId="0" borderId="0" xfId="3" applyNumberFormat="1" applyFont="1" applyFill="1" applyBorder="1" applyAlignment="1"/>
    <xf numFmtId="164" fontId="22" fillId="0" borderId="0" xfId="3" applyNumberFormat="1" applyFont="1" applyBorder="1" applyAlignment="1">
      <alignment horizontal="left"/>
    </xf>
    <xf numFmtId="164" fontId="42" fillId="10" borderId="0" xfId="0" applyNumberFormat="1" applyFont="1" applyFill="1" applyAlignment="1">
      <alignment horizontal="left"/>
    </xf>
    <xf numFmtId="0" fontId="15" fillId="6" borderId="0" xfId="0" applyNumberFormat="1" applyFont="1" applyFill="1" applyAlignment="1">
      <alignment vertical="center"/>
    </xf>
    <xf numFmtId="0" fontId="30" fillId="0" borderId="0" xfId="11" applyNumberFormat="1" applyFont="1"/>
    <xf numFmtId="0" fontId="15" fillId="6" borderId="51" xfId="0" applyNumberFormat="1" applyFont="1" applyFill="1" applyBorder="1" applyAlignment="1">
      <alignment horizontal="center" vertical="center"/>
    </xf>
    <xf numFmtId="0" fontId="43" fillId="0" borderId="0" xfId="11" applyNumberFormat="1" applyFont="1"/>
    <xf numFmtId="0" fontId="10" fillId="19" borderId="27" xfId="0" applyNumberFormat="1" applyFont="1" applyFill="1" applyBorder="1" applyAlignment="1">
      <alignment horizontal="left" vertical="center"/>
    </xf>
    <xf numFmtId="0" fontId="15" fillId="8" borderId="14" xfId="0" applyNumberFormat="1" applyFont="1" applyFill="1" applyBorder="1" applyAlignment="1">
      <alignment horizontal="left" vertical="center"/>
    </xf>
    <xf numFmtId="0" fontId="10" fillId="8" borderId="27" xfId="0" applyNumberFormat="1" applyFont="1" applyFill="1" applyBorder="1" applyAlignment="1">
      <alignment horizontal="left" vertical="center"/>
    </xf>
    <xf numFmtId="9" fontId="12" fillId="3" borderId="42" xfId="0" applyNumberFormat="1" applyFont="1" applyFill="1" applyBorder="1" applyAlignment="1">
      <alignment horizontal="center" vertical="center" wrapText="1"/>
    </xf>
    <xf numFmtId="9" fontId="12" fillId="3" borderId="28" xfId="0" applyNumberFormat="1" applyFont="1" applyFill="1" applyBorder="1" applyAlignment="1">
      <alignment horizontal="center" vertical="center" wrapText="1"/>
    </xf>
    <xf numFmtId="9" fontId="12" fillId="3" borderId="44" xfId="0" applyNumberFormat="1" applyFont="1" applyFill="1" applyBorder="1" applyAlignment="1">
      <alignment horizontal="center" vertical="center" wrapText="1"/>
    </xf>
    <xf numFmtId="9" fontId="12" fillId="3" borderId="14" xfId="0" applyNumberFormat="1" applyFont="1" applyFill="1" applyBorder="1" applyAlignment="1">
      <alignment horizontal="center" vertical="center"/>
    </xf>
    <xf numFmtId="186" fontId="12" fillId="3" borderId="42" xfId="0" applyNumberFormat="1" applyFont="1" applyFill="1" applyBorder="1" applyAlignment="1">
      <alignment horizontal="center" vertical="center"/>
    </xf>
    <xf numFmtId="9" fontId="12" fillId="3" borderId="1" xfId="0" applyNumberFormat="1" applyFont="1" applyFill="1" applyBorder="1" applyAlignment="1">
      <alignment horizontal="center" vertical="center"/>
    </xf>
    <xf numFmtId="186" fontId="12" fillId="3" borderId="28" xfId="0" applyNumberFormat="1" applyFont="1" applyFill="1" applyBorder="1" applyAlignment="1">
      <alignment horizontal="center" vertical="center"/>
    </xf>
    <xf numFmtId="186" fontId="12" fillId="3" borderId="35" xfId="0" applyNumberFormat="1" applyFont="1" applyFill="1" applyBorder="1" applyAlignment="1">
      <alignment horizontal="center" vertical="center"/>
    </xf>
    <xf numFmtId="9" fontId="12" fillId="3" borderId="43" xfId="0" applyNumberFormat="1" applyFont="1" applyFill="1" applyBorder="1" applyAlignment="1">
      <alignment horizontal="center" vertical="center"/>
    </xf>
    <xf numFmtId="186" fontId="12" fillId="3" borderId="44" xfId="0" applyNumberFormat="1" applyFont="1" applyFill="1" applyBorder="1" applyAlignment="1">
      <alignment horizontal="center" vertical="center"/>
    </xf>
    <xf numFmtId="176" fontId="12" fillId="3" borderId="27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176" fontId="12" fillId="3" borderId="45" xfId="0" applyNumberFormat="1" applyFont="1" applyFill="1" applyBorder="1" applyAlignment="1">
      <alignment horizontal="center" vertical="center"/>
    </xf>
    <xf numFmtId="166" fontId="10" fillId="4" borderId="27" xfId="0" applyNumberFormat="1" applyFont="1" applyFill="1" applyBorder="1" applyAlignment="1">
      <alignment horizontal="center" vertical="center" wrapText="1"/>
    </xf>
    <xf numFmtId="187" fontId="30" fillId="0" borderId="0" xfId="11" applyNumberFormat="1" applyFont="1" applyAlignment="1">
      <alignment horizontal="center" vertical="center"/>
    </xf>
    <xf numFmtId="0" fontId="0" fillId="0" borderId="0" xfId="0" applyFont="1"/>
    <xf numFmtId="0" fontId="13" fillId="0" borderId="0" xfId="0" applyFont="1"/>
    <xf numFmtId="6" fontId="0" fillId="0" borderId="0" xfId="0" applyNumberFormat="1" applyFont="1"/>
    <xf numFmtId="164" fontId="15" fillId="0" borderId="0" xfId="0" applyNumberFormat="1" applyFont="1"/>
    <xf numFmtId="164" fontId="46" fillId="0" borderId="0" xfId="0" applyNumberFormat="1" applyFont="1"/>
    <xf numFmtId="166" fontId="0" fillId="19" borderId="1" xfId="0" applyNumberFormat="1" applyFont="1" applyFill="1" applyBorder="1" applyAlignment="1">
      <alignment horizontal="left" vertical="center"/>
    </xf>
    <xf numFmtId="166" fontId="0" fillId="19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6" fontId="12" fillId="3" borderId="10" xfId="0" applyNumberFormat="1" applyFont="1" applyFill="1" applyBorder="1" applyAlignment="1">
      <alignment vertical="center" wrapText="1"/>
    </xf>
    <xf numFmtId="166" fontId="0" fillId="19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169" fontId="15" fillId="22" borderId="1" xfId="0" applyNumberFormat="1" applyFont="1" applyFill="1" applyBorder="1" applyAlignment="1">
      <alignment horizontal="center" vertical="center" wrapText="1"/>
    </xf>
    <xf numFmtId="166" fontId="0" fillId="4" borderId="1" xfId="0" applyNumberFormat="1" applyFont="1" applyFill="1" applyBorder="1" applyAlignment="1">
      <alignment horizontal="left" vertical="center"/>
    </xf>
    <xf numFmtId="0" fontId="12" fillId="19" borderId="3" xfId="0" applyFont="1" applyFill="1" applyBorder="1" applyAlignment="1">
      <alignment horizontal="left"/>
    </xf>
    <xf numFmtId="168" fontId="12" fillId="23" borderId="3" xfId="0" applyNumberFormat="1" applyFont="1" applyFill="1" applyBorder="1" applyAlignment="1">
      <alignment horizontal="left"/>
    </xf>
    <xf numFmtId="0" fontId="12" fillId="0" borderId="3" xfId="0" applyFont="1" applyBorder="1" applyAlignment="1">
      <alignment horizontal="left"/>
    </xf>
    <xf numFmtId="185" fontId="12" fillId="3" borderId="1" xfId="0" applyNumberFormat="1" applyFont="1" applyFill="1" applyBorder="1" applyAlignment="1">
      <alignment horizontal="center"/>
    </xf>
    <xf numFmtId="166" fontId="12" fillId="4" borderId="1" xfId="1" applyNumberFormat="1" applyFont="1" applyFill="1" applyBorder="1" applyAlignment="1">
      <alignment horizontal="left"/>
    </xf>
    <xf numFmtId="177" fontId="12" fillId="3" borderId="1" xfId="0" applyNumberFormat="1" applyFont="1" applyFill="1" applyBorder="1" applyAlignment="1">
      <alignment horizontal="center"/>
    </xf>
    <xf numFmtId="177" fontId="12" fillId="3" borderId="2" xfId="0" applyNumberFormat="1" applyFont="1" applyFill="1" applyBorder="1" applyAlignment="1">
      <alignment horizontal="center"/>
    </xf>
    <xf numFmtId="166" fontId="12" fillId="19" borderId="1" xfId="1" applyNumberFormat="1" applyFont="1" applyFill="1" applyBorder="1" applyAlignment="1">
      <alignment horizontal="left"/>
    </xf>
    <xf numFmtId="168" fontId="12" fillId="4" borderId="1" xfId="1" applyNumberFormat="1" applyFont="1" applyFill="1" applyBorder="1" applyAlignment="1">
      <alignment horizontal="left"/>
    </xf>
    <xf numFmtId="177" fontId="12" fillId="4" borderId="2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6" fontId="13" fillId="0" borderId="0" xfId="0" applyNumberFormat="1" applyFont="1"/>
    <xf numFmtId="0" fontId="0" fillId="0" borderId="6" xfId="0" applyFont="1" applyBorder="1" applyAlignment="1">
      <alignment horizontal="center"/>
    </xf>
    <xf numFmtId="183" fontId="15" fillId="8" borderId="0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69" fontId="0" fillId="0" borderId="0" xfId="0" applyNumberFormat="1" applyFont="1"/>
    <xf numFmtId="0" fontId="15" fillId="22" borderId="1" xfId="0" applyFont="1" applyFill="1" applyBorder="1" applyAlignment="1">
      <alignment horizontal="center" vertical="center"/>
    </xf>
    <xf numFmtId="183" fontId="15" fillId="9" borderId="1" xfId="0" applyNumberFormat="1" applyFont="1" applyFill="1" applyBorder="1" applyAlignment="1">
      <alignment horizontal="center" vertical="center"/>
    </xf>
    <xf numFmtId="183" fontId="15" fillId="8" borderId="2" xfId="0" applyNumberFormat="1" applyFont="1" applyFill="1" applyBorder="1" applyAlignment="1">
      <alignment horizontal="center" vertical="center"/>
    </xf>
    <xf numFmtId="183" fontId="15" fillId="8" borderId="1" xfId="0" applyNumberFormat="1" applyFont="1" applyFill="1" applyBorder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166" fontId="13" fillId="20" borderId="3" xfId="0" applyNumberFormat="1" applyFont="1" applyFill="1" applyBorder="1" applyAlignment="1">
      <alignment horizontal="left" vertical="center"/>
    </xf>
    <xf numFmtId="166" fontId="0" fillId="20" borderId="3" xfId="0" applyNumberFormat="1" applyFont="1" applyFill="1" applyBorder="1" applyAlignment="1">
      <alignment horizontal="center" vertical="center"/>
    </xf>
    <xf numFmtId="166" fontId="12" fillId="20" borderId="3" xfId="1" applyNumberFormat="1" applyFont="1" applyFill="1" applyBorder="1" applyAlignment="1">
      <alignment horizontal="left"/>
    </xf>
    <xf numFmtId="0" fontId="13" fillId="0" borderId="0" xfId="0" quotePrefix="1" applyFont="1"/>
    <xf numFmtId="167" fontId="13" fillId="0" borderId="0" xfId="0" quotePrefix="1" applyNumberFormat="1" applyFont="1"/>
    <xf numFmtId="166" fontId="0" fillId="4" borderId="23" xfId="0" applyNumberFormat="1" applyFont="1" applyFill="1" applyBorder="1" applyAlignment="1">
      <alignment horizontal="left" vertical="center"/>
    </xf>
    <xf numFmtId="166" fontId="12" fillId="4" borderId="23" xfId="1" applyNumberFormat="1" applyFont="1" applyFill="1" applyBorder="1" applyAlignment="1">
      <alignment horizontal="left"/>
    </xf>
    <xf numFmtId="167" fontId="15" fillId="8" borderId="10" xfId="0" applyNumberFormat="1" applyFont="1" applyFill="1" applyBorder="1" applyAlignment="1">
      <alignment horizontal="center" vertical="center"/>
    </xf>
    <xf numFmtId="167" fontId="15" fillId="8" borderId="3" xfId="0" applyNumberFormat="1" applyFont="1" applyFill="1" applyBorder="1" applyAlignment="1">
      <alignment horizontal="center" vertical="center"/>
    </xf>
    <xf numFmtId="167" fontId="15" fillId="8" borderId="2" xfId="0" applyNumberFormat="1" applyFont="1" applyFill="1" applyBorder="1" applyAlignment="1">
      <alignment horizontal="center" vertical="center"/>
    </xf>
    <xf numFmtId="183" fontId="15" fillId="8" borderId="10" xfId="0" applyNumberFormat="1" applyFont="1" applyFill="1" applyBorder="1" applyAlignment="1">
      <alignment horizontal="center" vertical="center"/>
    </xf>
    <xf numFmtId="167" fontId="15" fillId="9" borderId="1" xfId="0" applyNumberFormat="1" applyFont="1" applyFill="1" applyBorder="1" applyAlignment="1">
      <alignment horizontal="center" vertical="center"/>
    </xf>
    <xf numFmtId="166" fontId="12" fillId="8" borderId="1" xfId="1" applyNumberFormat="1" applyFont="1" applyFill="1" applyBorder="1" applyAlignment="1">
      <alignment horizontal="left"/>
    </xf>
    <xf numFmtId="177" fontId="15" fillId="8" borderId="14" xfId="0" applyNumberFormat="1" applyFont="1" applyFill="1" applyBorder="1" applyAlignment="1">
      <alignment horizontal="center" vertical="center"/>
    </xf>
    <xf numFmtId="0" fontId="0" fillId="0" borderId="55" xfId="0" applyFont="1" applyBorder="1"/>
    <xf numFmtId="167" fontId="0" fillId="0" borderId="0" xfId="0" applyNumberFormat="1" applyFont="1"/>
    <xf numFmtId="183" fontId="0" fillId="0" borderId="0" xfId="0" applyNumberFormat="1" applyFont="1"/>
    <xf numFmtId="0" fontId="15" fillId="6" borderId="56" xfId="0" applyFont="1" applyFill="1" applyBorder="1" applyAlignment="1">
      <alignment vertical="center"/>
    </xf>
    <xf numFmtId="168" fontId="15" fillId="8" borderId="57" xfId="0" applyNumberFormat="1" applyFont="1" applyFill="1" applyBorder="1" applyAlignment="1">
      <alignment horizontal="left" vertical="center"/>
    </xf>
    <xf numFmtId="0" fontId="0" fillId="0" borderId="0" xfId="0" applyNumberFormat="1" applyFont="1" applyBorder="1"/>
    <xf numFmtId="166" fontId="0" fillId="4" borderId="14" xfId="0" applyNumberFormat="1" applyFont="1" applyFill="1" applyBorder="1" applyAlignment="1">
      <alignment horizontal="left" vertical="center"/>
    </xf>
    <xf numFmtId="166" fontId="12" fillId="4" borderId="14" xfId="1" applyNumberFormat="1" applyFont="1" applyFill="1" applyBorder="1" applyAlignment="1">
      <alignment horizontal="left"/>
    </xf>
    <xf numFmtId="164" fontId="42" fillId="28" borderId="0" xfId="0" applyNumberFormat="1" applyFont="1" applyFill="1" applyAlignment="1">
      <alignment horizontal="left"/>
    </xf>
    <xf numFmtId="164" fontId="42" fillId="28" borderId="0" xfId="0" applyNumberFormat="1" applyFont="1" applyFill="1"/>
    <xf numFmtId="0" fontId="0" fillId="20" borderId="0" xfId="0" applyFont="1" applyFill="1" applyAlignment="1">
      <alignment horizontal="center"/>
    </xf>
    <xf numFmtId="168" fontId="12" fillId="4" borderId="10" xfId="1" applyNumberFormat="1" applyFont="1" applyFill="1" applyBorder="1" applyAlignment="1">
      <alignment horizontal="left"/>
    </xf>
    <xf numFmtId="183" fontId="12" fillId="4" borderId="2" xfId="0" applyNumberFormat="1" applyFont="1" applyFill="1" applyBorder="1" applyAlignment="1">
      <alignment horizontal="center"/>
    </xf>
    <xf numFmtId="188" fontId="12" fillId="3" borderId="2" xfId="0" applyNumberFormat="1" applyFont="1" applyFill="1" applyBorder="1" applyAlignment="1">
      <alignment horizontal="center"/>
    </xf>
    <xf numFmtId="188" fontId="12" fillId="3" borderId="1" xfId="0" applyNumberFormat="1" applyFont="1" applyFill="1" applyBorder="1" applyAlignment="1">
      <alignment horizontal="center"/>
    </xf>
    <xf numFmtId="167" fontId="47" fillId="0" borderId="0" xfId="10" quotePrefix="1" applyNumberFormat="1" applyFont="1" applyAlignment="1"/>
    <xf numFmtId="187" fontId="0" fillId="0" borderId="0" xfId="0" applyNumberFormat="1" applyFont="1" applyAlignment="1">
      <alignment horizontal="center"/>
    </xf>
    <xf numFmtId="164" fontId="42" fillId="10" borderId="0" xfId="0" applyNumberFormat="1" applyFont="1" applyFill="1" applyAlignment="1"/>
    <xf numFmtId="0" fontId="15" fillId="22" borderId="2" xfId="0" applyFont="1" applyFill="1" applyBorder="1" applyAlignment="1">
      <alignment horizontal="center" vertical="center"/>
    </xf>
    <xf numFmtId="0" fontId="13" fillId="0" borderId="20" xfId="0" applyFont="1" applyBorder="1"/>
    <xf numFmtId="0" fontId="13" fillId="0" borderId="0" xfId="0" applyFont="1" applyBorder="1"/>
    <xf numFmtId="0" fontId="15" fillId="22" borderId="54" xfId="0" applyFont="1" applyFill="1" applyBorder="1" applyAlignment="1">
      <alignment horizontal="center" vertical="center"/>
    </xf>
    <xf numFmtId="188" fontId="12" fillId="3" borderId="53" xfId="0" applyNumberFormat="1" applyFont="1" applyFill="1" applyBorder="1" applyAlignment="1">
      <alignment horizontal="center"/>
    </xf>
    <xf numFmtId="0" fontId="15" fillId="22" borderId="59" xfId="0" applyFont="1" applyFill="1" applyBorder="1" applyAlignment="1">
      <alignment horizontal="center" vertical="center"/>
    </xf>
    <xf numFmtId="177" fontId="12" fillId="4" borderId="60" xfId="0" applyNumberFormat="1" applyFont="1" applyFill="1" applyBorder="1" applyAlignment="1">
      <alignment horizontal="center"/>
    </xf>
    <xf numFmtId="0" fontId="15" fillId="22" borderId="0" xfId="0" applyFont="1" applyFill="1" applyBorder="1" applyAlignment="1">
      <alignment horizontal="center" vertical="center"/>
    </xf>
    <xf numFmtId="166" fontId="13" fillId="19" borderId="10" xfId="0" applyNumberFormat="1" applyFont="1" applyFill="1" applyBorder="1" applyAlignment="1">
      <alignment vertical="center" wrapText="1"/>
    </xf>
    <xf numFmtId="166" fontId="0" fillId="19" borderId="10" xfId="0" applyNumberFormat="1" applyFont="1" applyFill="1" applyBorder="1" applyAlignment="1">
      <alignment vertical="center" wrapText="1"/>
    </xf>
    <xf numFmtId="0" fontId="48" fillId="0" borderId="0" xfId="0" applyFont="1"/>
    <xf numFmtId="1" fontId="22" fillId="4" borderId="0" xfId="3" applyNumberFormat="1" applyFont="1" applyFill="1"/>
    <xf numFmtId="164" fontId="22" fillId="4" borderId="0" xfId="3" applyNumberFormat="1" applyFont="1" applyFill="1"/>
    <xf numFmtId="164" fontId="21" fillId="0" borderId="0" xfId="3" applyNumberFormat="1" applyFont="1" applyBorder="1"/>
    <xf numFmtId="173" fontId="22" fillId="0" borderId="0" xfId="3" applyNumberFormat="1" applyFont="1" applyBorder="1" applyAlignment="1">
      <alignment horizontal="left"/>
    </xf>
    <xf numFmtId="0" fontId="0" fillId="15" borderId="0" xfId="0" applyFill="1" applyBorder="1"/>
    <xf numFmtId="172" fontId="0" fillId="4" borderId="1" xfId="0" applyNumberFormat="1" applyFill="1" applyBorder="1" applyAlignment="1">
      <alignment horizontal="center"/>
    </xf>
    <xf numFmtId="166" fontId="10" fillId="29" borderId="27" xfId="0" applyNumberFormat="1" applyFont="1" applyFill="1" applyBorder="1" applyAlignment="1">
      <alignment horizontal="left" vertical="center"/>
    </xf>
    <xf numFmtId="183" fontId="12" fillId="3" borderId="1" xfId="0" applyNumberFormat="1" applyFont="1" applyFill="1" applyBorder="1" applyAlignment="1">
      <alignment horizontal="center"/>
    </xf>
    <xf numFmtId="0" fontId="15" fillId="6" borderId="2" xfId="0" applyFont="1" applyFill="1" applyBorder="1" applyAlignment="1">
      <alignment vertical="center"/>
    </xf>
    <xf numFmtId="177" fontId="12" fillId="4" borderId="54" xfId="0" applyNumberFormat="1" applyFont="1" applyFill="1" applyBorder="1" applyAlignment="1">
      <alignment horizontal="center"/>
    </xf>
    <xf numFmtId="183" fontId="15" fillId="8" borderId="54" xfId="0" applyNumberFormat="1" applyFont="1" applyFill="1" applyBorder="1" applyAlignment="1">
      <alignment horizontal="center" vertical="center"/>
    </xf>
    <xf numFmtId="183" fontId="15" fillId="8" borderId="3" xfId="0" applyNumberFormat="1" applyFont="1" applyFill="1" applyBorder="1" applyAlignment="1">
      <alignment horizontal="center" vertical="center"/>
    </xf>
    <xf numFmtId="183" fontId="15" fillId="8" borderId="60" xfId="0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/>
    </xf>
    <xf numFmtId="0" fontId="0" fillId="0" borderId="0" xfId="3" applyFont="1" applyBorder="1"/>
    <xf numFmtId="0" fontId="0" fillId="0" borderId="0" xfId="3" applyFont="1"/>
    <xf numFmtId="0" fontId="13" fillId="12" borderId="0" xfId="3" applyFont="1" applyFill="1"/>
    <xf numFmtId="0" fontId="0" fillId="12" borderId="0" xfId="3" applyFont="1" applyFill="1"/>
    <xf numFmtId="0" fontId="0" fillId="12" borderId="0" xfId="3" applyFont="1" applyFill="1" applyBorder="1"/>
    <xf numFmtId="0" fontId="13" fillId="8" borderId="0" xfId="3" applyFont="1" applyFill="1"/>
    <xf numFmtId="0" fontId="0" fillId="8" borderId="0" xfId="3" applyFont="1" applyFill="1"/>
    <xf numFmtId="0" fontId="0" fillId="8" borderId="0" xfId="3" applyFont="1" applyFill="1" applyBorder="1"/>
    <xf numFmtId="0" fontId="13" fillId="0" borderId="0" xfId="3" applyFont="1"/>
    <xf numFmtId="0" fontId="0" fillId="0" borderId="15" xfId="3" applyFont="1" applyBorder="1"/>
    <xf numFmtId="168" fontId="49" fillId="4" borderId="16" xfId="3" applyNumberFormat="1" applyFont="1" applyFill="1" applyBorder="1" applyAlignment="1">
      <alignment horizontal="center"/>
    </xf>
    <xf numFmtId="164" fontId="49" fillId="4" borderId="16" xfId="3" applyNumberFormat="1" applyFont="1" applyFill="1" applyBorder="1" applyAlignment="1">
      <alignment horizontal="center"/>
    </xf>
    <xf numFmtId="0" fontId="0" fillId="0" borderId="47" xfId="3" applyFont="1" applyBorder="1"/>
    <xf numFmtId="169" fontId="46" fillId="19" borderId="16" xfId="3" applyNumberFormat="1" applyFont="1" applyFill="1" applyBorder="1" applyAlignment="1">
      <alignment horizontal="left" indent="1"/>
    </xf>
    <xf numFmtId="164" fontId="49" fillId="26" borderId="16" xfId="3" applyNumberFormat="1" applyFont="1" applyFill="1" applyBorder="1" applyAlignment="1">
      <alignment horizontal="center"/>
    </xf>
    <xf numFmtId="168" fontId="49" fillId="26" borderId="16" xfId="3" applyNumberFormat="1" applyFont="1" applyFill="1" applyBorder="1" applyAlignment="1">
      <alignment horizontal="center"/>
    </xf>
    <xf numFmtId="2" fontId="50" fillId="25" borderId="4" xfId="4" applyNumberFormat="1" applyFont="1" applyFill="1" applyBorder="1" applyAlignment="1">
      <alignment horizontal="center"/>
    </xf>
    <xf numFmtId="0" fontId="13" fillId="0" borderId="15" xfId="3" applyFont="1" applyBorder="1"/>
    <xf numFmtId="2" fontId="46" fillId="0" borderId="15" xfId="4" applyNumberFormat="1" applyFont="1" applyFill="1" applyBorder="1" applyAlignment="1">
      <alignment horizontal="center"/>
    </xf>
    <xf numFmtId="164" fontId="50" fillId="0" borderId="0" xfId="3" applyNumberFormat="1" applyFont="1" applyAlignment="1">
      <alignment horizontal="left"/>
    </xf>
    <xf numFmtId="0" fontId="0" fillId="0" borderId="0" xfId="3" applyFont="1" applyAlignment="1">
      <alignment horizontal="center"/>
    </xf>
    <xf numFmtId="164" fontId="50" fillId="0" borderId="0" xfId="3" applyNumberFormat="1" applyFont="1"/>
    <xf numFmtId="49" fontId="46" fillId="4" borderId="16" xfId="3" applyNumberFormat="1" applyFont="1" applyFill="1" applyBorder="1" applyAlignment="1">
      <alignment horizontal="left" indent="1"/>
    </xf>
    <xf numFmtId="164" fontId="49" fillId="18" borderId="16" xfId="3" applyNumberFormat="1" applyFont="1" applyFill="1" applyBorder="1" applyAlignment="1">
      <alignment horizontal="center"/>
    </xf>
    <xf numFmtId="49" fontId="46" fillId="19" borderId="16" xfId="3" applyNumberFormat="1" applyFont="1" applyFill="1" applyBorder="1" applyAlignment="1">
      <alignment horizontal="left" indent="1"/>
    </xf>
    <xf numFmtId="0" fontId="0" fillId="0" borderId="0" xfId="0" applyFont="1" applyAlignment="1"/>
    <xf numFmtId="0" fontId="13" fillId="0" borderId="0" xfId="3" applyFont="1" applyFill="1"/>
    <xf numFmtId="0" fontId="0" fillId="0" borderId="0" xfId="3" applyFont="1" applyFill="1"/>
    <xf numFmtId="0" fontId="0" fillId="0" borderId="0" xfId="3" applyFont="1" applyFill="1" applyBorder="1"/>
    <xf numFmtId="169" fontId="46" fillId="26" borderId="16" xfId="3" applyNumberFormat="1" applyFont="1" applyFill="1" applyBorder="1" applyAlignment="1">
      <alignment horizontal="left" indent="1"/>
    </xf>
    <xf numFmtId="182" fontId="46" fillId="4" borderId="17" xfId="5" applyNumberFormat="1" applyFont="1" applyFill="1" applyBorder="1" applyAlignment="1">
      <alignment horizontal="center"/>
    </xf>
    <xf numFmtId="182" fontId="0" fillId="0" borderId="47" xfId="3" applyNumberFormat="1" applyFont="1" applyBorder="1"/>
    <xf numFmtId="169" fontId="46" fillId="24" borderId="16" xfId="3" applyNumberFormat="1" applyFont="1" applyFill="1" applyBorder="1" applyAlignment="1">
      <alignment horizontal="left" indent="1"/>
    </xf>
    <xf numFmtId="164" fontId="49" fillId="24" borderId="16" xfId="3" applyNumberFormat="1" applyFont="1" applyFill="1" applyBorder="1" applyAlignment="1">
      <alignment horizontal="center"/>
    </xf>
    <xf numFmtId="10" fontId="46" fillId="4" borderId="16" xfId="4" applyNumberFormat="1" applyFont="1" applyFill="1" applyBorder="1" applyAlignment="1">
      <alignment horizontal="center"/>
    </xf>
    <xf numFmtId="169" fontId="46" fillId="24" borderId="18" xfId="3" applyNumberFormat="1" applyFont="1" applyFill="1" applyBorder="1" applyAlignment="1">
      <alignment horizontal="left" indent="1"/>
    </xf>
    <xf numFmtId="164" fontId="49" fillId="24" borderId="18" xfId="3" applyNumberFormat="1" applyFont="1" applyFill="1" applyBorder="1" applyAlignment="1">
      <alignment horizontal="center"/>
    </xf>
    <xf numFmtId="10" fontId="46" fillId="4" borderId="18" xfId="4" applyNumberFormat="1" applyFont="1" applyFill="1" applyBorder="1" applyAlignment="1">
      <alignment horizontal="center"/>
    </xf>
    <xf numFmtId="169" fontId="50" fillId="26" borderId="19" xfId="3" applyNumberFormat="1" applyFont="1" applyFill="1" applyBorder="1" applyAlignment="1">
      <alignment horizontal="left" indent="1"/>
    </xf>
    <xf numFmtId="164" fontId="49" fillId="26" borderId="19" xfId="3" applyNumberFormat="1" applyFont="1" applyFill="1" applyBorder="1" applyAlignment="1">
      <alignment horizontal="center"/>
    </xf>
    <xf numFmtId="10" fontId="50" fillId="26" borderId="19" xfId="4" applyNumberFormat="1" applyFont="1" applyFill="1" applyBorder="1" applyAlignment="1">
      <alignment horizontal="center"/>
    </xf>
    <xf numFmtId="169" fontId="50" fillId="0" borderId="0" xfId="3" applyNumberFormat="1" applyFont="1" applyFill="1" applyBorder="1" applyAlignment="1">
      <alignment horizontal="left" indent="1"/>
    </xf>
    <xf numFmtId="164" fontId="49" fillId="0" borderId="0" xfId="3" applyNumberFormat="1" applyFont="1" applyFill="1" applyBorder="1" applyAlignment="1">
      <alignment horizontal="center"/>
    </xf>
    <xf numFmtId="10" fontId="50" fillId="0" borderId="0" xfId="4" applyNumberFormat="1" applyFont="1" applyFill="1" applyBorder="1" applyAlignment="1">
      <alignment horizontal="center"/>
    </xf>
    <xf numFmtId="170" fontId="46" fillId="24" borderId="16" xfId="4" applyNumberFormat="1" applyFont="1" applyFill="1" applyBorder="1" applyAlignment="1">
      <alignment horizontal="center"/>
    </xf>
    <xf numFmtId="169" fontId="50" fillId="25" borderId="19" xfId="3" applyNumberFormat="1" applyFont="1" applyFill="1" applyBorder="1" applyAlignment="1">
      <alignment horizontal="left" indent="1"/>
    </xf>
    <xf numFmtId="164" fontId="49" fillId="25" borderId="19" xfId="3" applyNumberFormat="1" applyFont="1" applyFill="1" applyBorder="1" applyAlignment="1">
      <alignment horizontal="center"/>
    </xf>
    <xf numFmtId="10" fontId="50" fillId="25" borderId="19" xfId="4" applyNumberFormat="1" applyFont="1" applyFill="1" applyBorder="1" applyAlignment="1">
      <alignment horizontal="center"/>
    </xf>
    <xf numFmtId="10" fontId="46" fillId="24" borderId="16" xfId="4" applyNumberFormat="1" applyFont="1" applyFill="1" applyBorder="1" applyAlignment="1">
      <alignment horizontal="center"/>
    </xf>
    <xf numFmtId="164" fontId="49" fillId="19" borderId="16" xfId="3" applyNumberFormat="1" applyFont="1" applyFill="1" applyBorder="1" applyAlignment="1">
      <alignment horizontal="center"/>
    </xf>
    <xf numFmtId="181" fontId="46" fillId="8" borderId="16" xfId="4" applyNumberFormat="1" applyFont="1" applyFill="1" applyBorder="1" applyAlignment="1">
      <alignment horizontal="center"/>
    </xf>
    <xf numFmtId="181" fontId="46" fillId="4" borderId="16" xfId="4" applyNumberFormat="1" applyFont="1" applyFill="1" applyBorder="1" applyAlignment="1">
      <alignment horizontal="center"/>
    </xf>
    <xf numFmtId="164" fontId="49" fillId="27" borderId="19" xfId="3" applyNumberFormat="1" applyFont="1" applyFill="1" applyBorder="1" applyAlignment="1">
      <alignment horizontal="center"/>
    </xf>
    <xf numFmtId="168" fontId="0" fillId="4" borderId="27" xfId="0" applyNumberFormat="1" applyFont="1" applyFill="1" applyBorder="1" applyAlignment="1">
      <alignment horizontal="left" vertical="center"/>
    </xf>
    <xf numFmtId="0" fontId="0" fillId="19" borderId="27" xfId="0" applyNumberFormat="1" applyFont="1" applyFill="1" applyBorder="1" applyAlignment="1">
      <alignment horizontal="left" vertical="center"/>
    </xf>
    <xf numFmtId="164" fontId="51" fillId="25" borderId="19" xfId="3" applyNumberFormat="1" applyFont="1" applyFill="1" applyBorder="1" applyAlignment="1">
      <alignment horizontal="center"/>
    </xf>
    <xf numFmtId="0" fontId="13" fillId="0" borderId="0" xfId="3" applyFont="1" applyBorder="1"/>
    <xf numFmtId="0" fontId="0" fillId="0" borderId="0" xfId="3" applyFont="1" applyAlignment="1"/>
    <xf numFmtId="0" fontId="15" fillId="6" borderId="1" xfId="0" applyFont="1" applyFill="1" applyBorder="1" applyAlignment="1">
      <alignment horizontal="center" vertical="center"/>
    </xf>
    <xf numFmtId="168" fontId="0" fillId="4" borderId="20" xfId="0" applyNumberFormat="1" applyFont="1" applyFill="1" applyBorder="1" applyAlignment="1">
      <alignment horizontal="left" vertical="center"/>
    </xf>
    <xf numFmtId="168" fontId="15" fillId="26" borderId="62" xfId="0" applyNumberFormat="1" applyFont="1" applyFill="1" applyBorder="1" applyAlignment="1">
      <alignment horizontal="left" vertical="center"/>
    </xf>
    <xf numFmtId="165" fontId="0" fillId="4" borderId="1" xfId="7" applyNumberFormat="1" applyFont="1" applyFill="1" applyBorder="1" applyAlignment="1">
      <alignment horizontal="center" vertical="center"/>
    </xf>
    <xf numFmtId="165" fontId="13" fillId="4" borderId="11" xfId="0" applyNumberFormat="1" applyFont="1" applyFill="1" applyBorder="1" applyAlignment="1">
      <alignment horizontal="center" vertical="center"/>
    </xf>
    <xf numFmtId="165" fontId="0" fillId="4" borderId="10" xfId="7" applyNumberFormat="1" applyFont="1" applyFill="1" applyBorder="1" applyAlignment="1">
      <alignment horizontal="center" vertical="center"/>
    </xf>
    <xf numFmtId="189" fontId="0" fillId="4" borderId="27" xfId="0" applyNumberFormat="1" applyFont="1" applyFill="1" applyBorder="1" applyAlignment="1">
      <alignment horizontal="center" vertical="center"/>
    </xf>
    <xf numFmtId="183" fontId="10" fillId="4" borderId="52" xfId="0" applyNumberFormat="1" applyFont="1" applyFill="1" applyBorder="1" applyAlignment="1">
      <alignment horizontal="center" vertical="center"/>
    </xf>
    <xf numFmtId="183" fontId="10" fillId="4" borderId="27" xfId="0" applyNumberFormat="1" applyFont="1" applyFill="1" applyBorder="1" applyAlignment="1">
      <alignment horizontal="center" vertical="center"/>
    </xf>
    <xf numFmtId="183" fontId="10" fillId="4" borderId="14" xfId="0" applyNumberFormat="1" applyFont="1" applyFill="1" applyBorder="1" applyAlignment="1">
      <alignment horizontal="center" vertical="center"/>
    </xf>
    <xf numFmtId="183" fontId="15" fillId="8" borderId="53" xfId="0" applyNumberFormat="1" applyFont="1" applyFill="1" applyBorder="1" applyAlignment="1">
      <alignment horizontal="center" vertical="center"/>
    </xf>
    <xf numFmtId="177" fontId="13" fillId="0" borderId="63" xfId="11" applyNumberFormat="1" applyFont="1" applyBorder="1" applyAlignment="1">
      <alignment horizontal="center"/>
    </xf>
    <xf numFmtId="177" fontId="13" fillId="0" borderId="4" xfId="11" applyNumberFormat="1" applyFont="1" applyBorder="1" applyAlignment="1">
      <alignment horizontal="center"/>
    </xf>
    <xf numFmtId="183" fontId="43" fillId="0" borderId="63" xfId="11" applyNumberFormat="1" applyFont="1" applyBorder="1" applyAlignment="1">
      <alignment horizontal="center"/>
    </xf>
    <xf numFmtId="183" fontId="43" fillId="0" borderId="4" xfId="11" applyNumberFormat="1" applyFont="1" applyBorder="1" applyAlignment="1">
      <alignment horizontal="center"/>
    </xf>
    <xf numFmtId="10" fontId="46" fillId="4" borderId="5" xfId="4" applyNumberFormat="1" applyFont="1" applyFill="1" applyBorder="1" applyAlignment="1">
      <alignment horizontal="center"/>
    </xf>
    <xf numFmtId="10" fontId="46" fillId="4" borderId="64" xfId="4" applyNumberFormat="1" applyFont="1" applyFill="1" applyBorder="1" applyAlignment="1">
      <alignment horizontal="center"/>
    </xf>
    <xf numFmtId="10" fontId="50" fillId="26" borderId="65" xfId="4" applyNumberFormat="1" applyFont="1" applyFill="1" applyBorder="1" applyAlignment="1">
      <alignment horizontal="center"/>
    </xf>
    <xf numFmtId="10" fontId="50" fillId="25" borderId="65" xfId="4" applyNumberFormat="1" applyFont="1" applyFill="1" applyBorder="1" applyAlignment="1">
      <alignment horizontal="center"/>
    </xf>
    <xf numFmtId="10" fontId="46" fillId="24" borderId="5" xfId="4" applyNumberFormat="1" applyFont="1" applyFill="1" applyBorder="1" applyAlignment="1">
      <alignment horizontal="center"/>
    </xf>
    <xf numFmtId="181" fontId="46" fillId="4" borderId="5" xfId="4" applyNumberFormat="1" applyFont="1" applyFill="1" applyBorder="1" applyAlignment="1">
      <alignment horizontal="center"/>
    </xf>
    <xf numFmtId="0" fontId="0" fillId="12" borderId="59" xfId="3" applyFont="1" applyFill="1" applyBorder="1"/>
    <xf numFmtId="0" fontId="0" fillId="0" borderId="59" xfId="3" applyFont="1" applyBorder="1"/>
    <xf numFmtId="0" fontId="0" fillId="8" borderId="59" xfId="3" applyFont="1" applyFill="1" applyBorder="1"/>
    <xf numFmtId="0" fontId="0" fillId="0" borderId="66" xfId="3" applyFont="1" applyBorder="1"/>
    <xf numFmtId="0" fontId="0" fillId="0" borderId="59" xfId="0" applyFont="1" applyBorder="1"/>
    <xf numFmtId="0" fontId="0" fillId="0" borderId="59" xfId="3" applyFont="1" applyFill="1" applyBorder="1"/>
    <xf numFmtId="182" fontId="46" fillId="4" borderId="67" xfId="5" applyNumberFormat="1" applyFont="1" applyFill="1" applyBorder="1" applyAlignment="1">
      <alignment horizontal="center"/>
    </xf>
    <xf numFmtId="182" fontId="0" fillId="0" borderId="69" xfId="3" applyNumberFormat="1" applyFont="1" applyBorder="1"/>
    <xf numFmtId="10" fontId="46" fillId="4" borderId="68" xfId="4" applyNumberFormat="1" applyFont="1" applyFill="1" applyBorder="1" applyAlignment="1">
      <alignment horizontal="center"/>
    </xf>
    <xf numFmtId="10" fontId="46" fillId="4" borderId="70" xfId="4" applyNumberFormat="1" applyFont="1" applyFill="1" applyBorder="1" applyAlignment="1">
      <alignment horizontal="center"/>
    </xf>
    <xf numFmtId="10" fontId="50" fillId="26" borderId="71" xfId="4" applyNumberFormat="1" applyFont="1" applyFill="1" applyBorder="1" applyAlignment="1">
      <alignment horizontal="center"/>
    </xf>
    <xf numFmtId="10" fontId="50" fillId="0" borderId="59" xfId="4" applyNumberFormat="1" applyFont="1" applyFill="1" applyBorder="1" applyAlignment="1">
      <alignment horizontal="center"/>
    </xf>
    <xf numFmtId="10" fontId="50" fillId="25" borderId="71" xfId="4" applyNumberFormat="1" applyFont="1" applyFill="1" applyBorder="1" applyAlignment="1">
      <alignment horizontal="center"/>
    </xf>
    <xf numFmtId="10" fontId="46" fillId="24" borderId="68" xfId="4" applyNumberFormat="1" applyFont="1" applyFill="1" applyBorder="1" applyAlignment="1">
      <alignment horizontal="center"/>
    </xf>
    <xf numFmtId="181" fontId="46" fillId="4" borderId="68" xfId="4" applyNumberFormat="1" applyFont="1" applyFill="1" applyBorder="1" applyAlignment="1">
      <alignment horizontal="center"/>
    </xf>
    <xf numFmtId="0" fontId="15" fillId="6" borderId="60" xfId="0" applyFont="1" applyFill="1" applyBorder="1" applyAlignment="1">
      <alignment horizontal="center" vertical="center"/>
    </xf>
    <xf numFmtId="189" fontId="0" fillId="4" borderId="72" xfId="0" applyNumberFormat="1" applyFont="1" applyFill="1" applyBorder="1" applyAlignment="1">
      <alignment horizontal="center" vertical="center"/>
    </xf>
    <xf numFmtId="189" fontId="0" fillId="4" borderId="72" xfId="9" applyNumberFormat="1" applyFont="1" applyFill="1" applyBorder="1" applyAlignment="1">
      <alignment horizontal="center" vertical="center"/>
    </xf>
    <xf numFmtId="189" fontId="15" fillId="8" borderId="60" xfId="0" applyNumberFormat="1" applyFont="1" applyFill="1" applyBorder="1" applyAlignment="1">
      <alignment horizontal="center" vertical="center"/>
    </xf>
    <xf numFmtId="166" fontId="0" fillId="29" borderId="1" xfId="0" applyNumberFormat="1" applyFont="1" applyFill="1" applyBorder="1" applyAlignment="1">
      <alignment horizontal="left" vertical="center" wrapText="1"/>
    </xf>
    <xf numFmtId="177" fontId="0" fillId="0" borderId="0" xfId="0" applyNumberFormat="1" applyFont="1"/>
    <xf numFmtId="186" fontId="12" fillId="3" borderId="1" xfId="0" applyNumberFormat="1" applyFont="1" applyFill="1" applyBorder="1" applyAlignment="1">
      <alignment horizontal="center"/>
    </xf>
    <xf numFmtId="186" fontId="12" fillId="3" borderId="2" xfId="0" applyNumberFormat="1" applyFont="1" applyFill="1" applyBorder="1" applyAlignment="1">
      <alignment horizontal="center"/>
    </xf>
    <xf numFmtId="6" fontId="12" fillId="3" borderId="2" xfId="0" applyNumberFormat="1" applyFont="1" applyFill="1" applyBorder="1" applyAlignment="1">
      <alignment horizontal="center" vertical="center" wrapText="1"/>
    </xf>
    <xf numFmtId="6" fontId="12" fillId="3" borderId="2" xfId="0" applyNumberFormat="1" applyFont="1" applyFill="1" applyBorder="1" applyAlignment="1">
      <alignment horizontal="left" vertical="center" wrapText="1"/>
    </xf>
    <xf numFmtId="0" fontId="15" fillId="6" borderId="0" xfId="0" applyFont="1" applyFill="1" applyAlignment="1">
      <alignment vertical="center" wrapText="1"/>
    </xf>
    <xf numFmtId="0" fontId="15" fillId="6" borderId="3" xfId="0" applyFont="1" applyFill="1" applyBorder="1" applyAlignment="1">
      <alignment vertical="center" wrapText="1"/>
    </xf>
    <xf numFmtId="0" fontId="25" fillId="15" borderId="0" xfId="0" applyFont="1" applyFill="1"/>
    <xf numFmtId="0" fontId="0" fillId="0" borderId="74" xfId="3" applyFont="1" applyBorder="1"/>
    <xf numFmtId="182" fontId="46" fillId="4" borderId="16" xfId="5" applyNumberFormat="1" applyFont="1" applyFill="1" applyBorder="1" applyAlignment="1">
      <alignment horizontal="center"/>
    </xf>
    <xf numFmtId="182" fontId="46" fillId="4" borderId="75" xfId="5" applyNumberFormat="1" applyFont="1" applyFill="1" applyBorder="1" applyAlignment="1">
      <alignment horizontal="center"/>
    </xf>
    <xf numFmtId="2" fontId="29" fillId="19" borderId="0" xfId="12" applyNumberFormat="1" applyFont="1" applyFill="1"/>
    <xf numFmtId="0" fontId="29" fillId="19" borderId="0" xfId="12" applyFont="1" applyFill="1" applyAlignment="1">
      <alignment horizontal="center"/>
    </xf>
    <xf numFmtId="0" fontId="6" fillId="0" borderId="0" xfId="12" applyFont="1" applyAlignment="1">
      <alignment horizontal="center"/>
    </xf>
    <xf numFmtId="0" fontId="25" fillId="15" borderId="0" xfId="0" applyFont="1" applyFill="1" applyAlignment="1">
      <alignment horizontal="center"/>
    </xf>
    <xf numFmtId="0" fontId="5" fillId="0" borderId="0" xfId="12" applyFont="1"/>
    <xf numFmtId="0" fontId="0" fillId="15" borderId="51" xfId="0" applyFill="1" applyBorder="1"/>
    <xf numFmtId="0" fontId="14" fillId="6" borderId="51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0" fillId="15" borderId="0" xfId="0" applyFont="1" applyFill="1"/>
    <xf numFmtId="0" fontId="0" fillId="15" borderId="0" xfId="0" applyFont="1" applyFill="1" applyAlignment="1">
      <alignment horizontal="center" vertical="center"/>
    </xf>
    <xf numFmtId="0" fontId="15" fillId="15" borderId="0" xfId="0" applyFont="1" applyFill="1"/>
    <xf numFmtId="0" fontId="0" fillId="15" borderId="0" xfId="0" applyFont="1" applyFill="1" applyAlignment="1">
      <alignment horizontal="center"/>
    </xf>
    <xf numFmtId="180" fontId="0" fillId="15" borderId="0" xfId="0" applyNumberFormat="1" applyFont="1" applyFill="1"/>
    <xf numFmtId="1" fontId="0" fillId="0" borderId="0" xfId="0" applyNumberFormat="1" applyFont="1"/>
    <xf numFmtId="1" fontId="12" fillId="15" borderId="0" xfId="15" applyNumberFormat="1" applyFont="1" applyFill="1">
      <alignment horizontal="center" vertical="center"/>
    </xf>
    <xf numFmtId="179" fontId="12" fillId="15" borderId="0" xfId="15" applyFont="1" applyFill="1">
      <alignment horizontal="center" vertical="center"/>
    </xf>
    <xf numFmtId="0" fontId="31" fillId="19" borderId="36" xfId="11" applyFont="1" applyFill="1" applyBorder="1"/>
    <xf numFmtId="0" fontId="45" fillId="19" borderId="38" xfId="11" applyFont="1" applyFill="1" applyBorder="1" applyAlignment="1">
      <alignment horizontal="center" vertical="center" wrapText="1"/>
    </xf>
    <xf numFmtId="0" fontId="45" fillId="19" borderId="39" xfId="11" applyFont="1" applyFill="1" applyBorder="1" applyAlignment="1">
      <alignment horizontal="center" vertical="center" wrapText="1"/>
    </xf>
    <xf numFmtId="164" fontId="42" fillId="10" borderId="0" xfId="0" applyNumberFormat="1" applyFont="1" applyFill="1" applyAlignment="1">
      <alignment horizontal="left"/>
    </xf>
    <xf numFmtId="0" fontId="15" fillId="22" borderId="3" xfId="0" applyFont="1" applyFill="1" applyBorder="1" applyAlignment="1">
      <alignment horizontal="center" vertical="center"/>
    </xf>
    <xf numFmtId="177" fontId="12" fillId="3" borderId="54" xfId="0" applyNumberFormat="1" applyFont="1" applyFill="1" applyBorder="1" applyAlignment="1">
      <alignment horizontal="center"/>
    </xf>
    <xf numFmtId="183" fontId="15" fillId="8" borderId="12" xfId="0" applyNumberFormat="1" applyFont="1" applyFill="1" applyBorder="1" applyAlignment="1">
      <alignment horizontal="center" vertical="center"/>
    </xf>
    <xf numFmtId="181" fontId="0" fillId="15" borderId="0" xfId="0" applyNumberFormat="1" applyFill="1" applyBorder="1" applyAlignment="1">
      <alignment horizontal="center"/>
    </xf>
    <xf numFmtId="169" fontId="46" fillId="4" borderId="17" xfId="3" applyNumberFormat="1" applyFont="1" applyFill="1" applyBorder="1" applyAlignment="1">
      <alignment horizontal="left" indent="1"/>
    </xf>
    <xf numFmtId="164" fontId="49" fillId="4" borderId="17" xfId="3" applyNumberFormat="1" applyFont="1" applyFill="1" applyBorder="1" applyAlignment="1">
      <alignment horizontal="center"/>
    </xf>
    <xf numFmtId="169" fontId="50" fillId="18" borderId="16" xfId="3" applyNumberFormat="1" applyFont="1" applyFill="1" applyBorder="1" applyAlignment="1">
      <alignment horizontal="left" indent="1"/>
    </xf>
    <xf numFmtId="164" fontId="51" fillId="18" borderId="16" xfId="3" applyNumberFormat="1" applyFont="1" applyFill="1" applyBorder="1" applyAlignment="1">
      <alignment horizontal="center"/>
    </xf>
    <xf numFmtId="177" fontId="15" fillId="8" borderId="56" xfId="0" applyNumberFormat="1" applyFont="1" applyFill="1" applyBorder="1" applyAlignment="1">
      <alignment horizontal="center" vertical="center"/>
    </xf>
    <xf numFmtId="183" fontId="12" fillId="3" borderId="2" xfId="0" applyNumberFormat="1" applyFont="1" applyFill="1" applyBorder="1" applyAlignment="1">
      <alignment horizontal="center"/>
    </xf>
    <xf numFmtId="183" fontId="12" fillId="29" borderId="2" xfId="0" applyNumberFormat="1" applyFont="1" applyFill="1" applyBorder="1" applyAlignment="1">
      <alignment horizontal="center"/>
    </xf>
    <xf numFmtId="0" fontId="15" fillId="22" borderId="51" xfId="0" applyFont="1" applyFill="1" applyBorder="1" applyAlignment="1">
      <alignment horizontal="center" vertical="center"/>
    </xf>
    <xf numFmtId="183" fontId="12" fillId="3" borderId="53" xfId="0" applyNumberFormat="1" applyFont="1" applyFill="1" applyBorder="1" applyAlignment="1">
      <alignment horizontal="center"/>
    </xf>
    <xf numFmtId="183" fontId="12" fillId="4" borderId="3" xfId="0" applyNumberFormat="1" applyFont="1" applyFill="1" applyBorder="1" applyAlignment="1">
      <alignment horizontal="center"/>
    </xf>
    <xf numFmtId="0" fontId="15" fillId="7" borderId="59" xfId="0" applyFont="1" applyFill="1" applyBorder="1" applyAlignment="1">
      <alignment horizontal="center" vertical="center"/>
    </xf>
    <xf numFmtId="183" fontId="12" fillId="4" borderId="60" xfId="0" applyNumberFormat="1" applyFont="1" applyFill="1" applyBorder="1" applyAlignment="1">
      <alignment horizontal="center"/>
    </xf>
    <xf numFmtId="167" fontId="15" fillId="8" borderId="60" xfId="0" applyNumberFormat="1" applyFont="1" applyFill="1" applyBorder="1" applyAlignment="1">
      <alignment horizontal="center" vertical="center"/>
    </xf>
    <xf numFmtId="0" fontId="30" fillId="0" borderId="55" xfId="11" applyFont="1" applyBorder="1" applyAlignment="1">
      <alignment vertical="center" wrapText="1"/>
    </xf>
    <xf numFmtId="170" fontId="46" fillId="24" borderId="17" xfId="4" applyNumberFormat="1" applyFont="1" applyFill="1" applyBorder="1" applyAlignment="1">
      <alignment horizontal="center"/>
    </xf>
    <xf numFmtId="10" fontId="10" fillId="3" borderId="1" xfId="6" applyNumberFormat="1" applyFont="1" applyFill="1" applyBorder="1" applyAlignment="1">
      <alignment horizontal="center" vertical="center"/>
    </xf>
    <xf numFmtId="0" fontId="0" fillId="0" borderId="56" xfId="0" applyBorder="1"/>
    <xf numFmtId="0" fontId="15" fillId="22" borderId="0" xfId="0" applyFont="1" applyFill="1" applyAlignment="1">
      <alignment horizontal="center" vertical="center" wrapText="1"/>
    </xf>
    <xf numFmtId="10" fontId="10" fillId="29" borderId="1" xfId="6" applyNumberFormat="1" applyFont="1" applyFill="1" applyBorder="1" applyAlignment="1">
      <alignment horizontal="center" vertical="center"/>
    </xf>
    <xf numFmtId="0" fontId="15" fillId="22" borderId="23" xfId="0" applyFont="1" applyFill="1" applyBorder="1" applyAlignment="1">
      <alignment horizontal="center" vertical="center"/>
    </xf>
    <xf numFmtId="0" fontId="15" fillId="22" borderId="13" xfId="0" applyFont="1" applyFill="1" applyBorder="1" applyAlignment="1">
      <alignment horizontal="center" vertical="center"/>
    </xf>
    <xf numFmtId="188" fontId="12" fillId="19" borderId="0" xfId="0" applyNumberFormat="1" applyFont="1" applyFill="1" applyBorder="1" applyAlignment="1">
      <alignment horizontal="center"/>
    </xf>
    <xf numFmtId="188" fontId="12" fillId="19" borderId="51" xfId="0" applyNumberFormat="1" applyFont="1" applyFill="1" applyBorder="1" applyAlignment="1">
      <alignment horizontal="center"/>
    </xf>
    <xf numFmtId="166" fontId="10" fillId="4" borderId="27" xfId="0" applyNumberFormat="1" applyFont="1" applyFill="1" applyBorder="1" applyAlignment="1">
      <alignment horizontal="center" vertical="center"/>
    </xf>
    <xf numFmtId="166" fontId="10" fillId="4" borderId="52" xfId="0" applyNumberFormat="1" applyFont="1" applyFill="1" applyBorder="1" applyAlignment="1">
      <alignment horizontal="center" vertical="center"/>
    </xf>
    <xf numFmtId="177" fontId="12" fillId="4" borderId="53" xfId="0" applyNumberFormat="1" applyFont="1" applyFill="1" applyBorder="1" applyAlignment="1">
      <alignment horizontal="center"/>
    </xf>
    <xf numFmtId="177" fontId="10" fillId="4" borderId="57" xfId="0" applyNumberFormat="1" applyFont="1" applyFill="1" applyBorder="1" applyAlignment="1">
      <alignment horizontal="center" vertical="center"/>
    </xf>
    <xf numFmtId="177" fontId="15" fillId="8" borderId="10" xfId="0" applyNumberFormat="1" applyFont="1" applyFill="1" applyBorder="1" applyAlignment="1">
      <alignment horizontal="center" vertical="center"/>
    </xf>
    <xf numFmtId="166" fontId="10" fillId="19" borderId="27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77" fontId="12" fillId="3" borderId="11" xfId="0" applyNumberFormat="1" applyFont="1" applyFill="1" applyBorder="1" applyAlignment="1">
      <alignment horizontal="center"/>
    </xf>
    <xf numFmtId="0" fontId="15" fillId="22" borderId="11" xfId="0" applyFont="1" applyFill="1" applyBorder="1" applyAlignment="1">
      <alignment horizontal="center" vertical="center"/>
    </xf>
    <xf numFmtId="0" fontId="0" fillId="0" borderId="56" xfId="0" applyFont="1" applyBorder="1"/>
    <xf numFmtId="177" fontId="10" fillId="4" borderId="61" xfId="0" applyNumberFormat="1" applyFont="1" applyFill="1" applyBorder="1" applyAlignment="1">
      <alignment horizontal="center" vertical="center"/>
    </xf>
    <xf numFmtId="0" fontId="10" fillId="20" borderId="51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 vertical="center"/>
    </xf>
    <xf numFmtId="177" fontId="15" fillId="8" borderId="3" xfId="0" applyNumberFormat="1" applyFont="1" applyFill="1" applyBorder="1" applyAlignment="1">
      <alignment horizontal="center" vertical="center"/>
    </xf>
    <xf numFmtId="0" fontId="15" fillId="6" borderId="0" xfId="0" applyNumberFormat="1" applyFont="1" applyFill="1" applyBorder="1" applyAlignment="1">
      <alignment horizontal="center" vertical="center"/>
    </xf>
    <xf numFmtId="0" fontId="53" fillId="0" borderId="0" xfId="11" applyFont="1"/>
    <xf numFmtId="0" fontId="54" fillId="0" borderId="0" xfId="11" applyFont="1"/>
    <xf numFmtId="10" fontId="10" fillId="3" borderId="2" xfId="6" applyNumberFormat="1" applyFont="1" applyFill="1" applyBorder="1" applyAlignment="1">
      <alignment horizontal="center" vertical="center"/>
    </xf>
    <xf numFmtId="10" fontId="10" fillId="3" borderId="53" xfId="6" applyNumberFormat="1" applyFont="1" applyFill="1" applyBorder="1" applyAlignment="1">
      <alignment horizontal="center" vertical="center"/>
    </xf>
    <xf numFmtId="10" fontId="10" fillId="29" borderId="23" xfId="6" applyNumberFormat="1" applyFont="1" applyFill="1" applyBorder="1" applyAlignment="1">
      <alignment horizontal="center" vertical="center"/>
    </xf>
    <xf numFmtId="10" fontId="10" fillId="3" borderId="23" xfId="6" applyNumberFormat="1" applyFont="1" applyFill="1" applyBorder="1" applyAlignment="1">
      <alignment horizontal="center" vertical="center"/>
    </xf>
    <xf numFmtId="10" fontId="10" fillId="3" borderId="77" xfId="6" applyNumberFormat="1" applyFont="1" applyFill="1" applyBorder="1" applyAlignment="1">
      <alignment horizontal="center" vertical="center"/>
    </xf>
    <xf numFmtId="10" fontId="10" fillId="3" borderId="78" xfId="6" applyNumberFormat="1" applyFont="1" applyFill="1" applyBorder="1" applyAlignment="1">
      <alignment horizontal="center" vertical="center"/>
    </xf>
    <xf numFmtId="0" fontId="13" fillId="19" borderId="4" xfId="0" applyFont="1" applyFill="1" applyBorder="1"/>
    <xf numFmtId="0" fontId="52" fillId="15" borderId="4" xfId="0" applyFont="1" applyFill="1" applyBorder="1" applyAlignment="1">
      <alignment horizontal="center"/>
    </xf>
    <xf numFmtId="0" fontId="13" fillId="15" borderId="4" xfId="0" applyFont="1" applyFill="1" applyBorder="1"/>
    <xf numFmtId="10" fontId="13" fillId="23" borderId="62" xfId="6" applyNumberFormat="1" applyFont="1" applyFill="1" applyBorder="1" applyAlignment="1">
      <alignment horizontal="center" vertical="center"/>
    </xf>
    <xf numFmtId="10" fontId="13" fillId="23" borderId="79" xfId="6" applyNumberFormat="1" applyFont="1" applyFill="1" applyBorder="1" applyAlignment="1">
      <alignment horizontal="center" vertical="center"/>
    </xf>
    <xf numFmtId="10" fontId="13" fillId="23" borderId="76" xfId="6" applyNumberFormat="1" applyFont="1" applyFill="1" applyBorder="1" applyAlignment="1">
      <alignment horizontal="center" vertical="center"/>
    </xf>
    <xf numFmtId="0" fontId="46" fillId="19" borderId="16" xfId="3" applyFont="1" applyFill="1" applyBorder="1" applyAlignment="1">
      <alignment horizontal="left" indent="1"/>
    </xf>
    <xf numFmtId="0" fontId="0" fillId="0" borderId="80" xfId="0" applyFont="1" applyBorder="1"/>
    <xf numFmtId="177" fontId="15" fillId="8" borderId="60" xfId="0" applyNumberFormat="1" applyFont="1" applyFill="1" applyBorder="1" applyAlignment="1">
      <alignment horizontal="center" vertical="center"/>
    </xf>
    <xf numFmtId="0" fontId="15" fillId="22" borderId="81" xfId="0" applyFont="1" applyFill="1" applyBorder="1" applyAlignment="1">
      <alignment horizontal="center" vertical="center"/>
    </xf>
    <xf numFmtId="0" fontId="31" fillId="6" borderId="84" xfId="11" applyFont="1" applyFill="1" applyBorder="1"/>
    <xf numFmtId="0" fontId="45" fillId="6" borderId="36" xfId="11" applyFont="1" applyFill="1" applyBorder="1" applyAlignment="1"/>
    <xf numFmtId="0" fontId="45" fillId="6" borderId="29" xfId="11" applyFont="1" applyFill="1" applyBorder="1" applyAlignment="1">
      <alignment horizontal="center" vertical="center" wrapText="1"/>
    </xf>
    <xf numFmtId="0" fontId="15" fillId="6" borderId="73" xfId="0" applyFont="1" applyFill="1" applyBorder="1" applyAlignment="1">
      <alignment horizontal="center" vertical="center"/>
    </xf>
    <xf numFmtId="0" fontId="0" fillId="0" borderId="9" xfId="0" applyBorder="1"/>
    <xf numFmtId="0" fontId="15" fillId="6" borderId="3" xfId="0" applyFont="1" applyFill="1" applyBorder="1" applyAlignment="1">
      <alignment horizontal="center" vertical="center"/>
    </xf>
    <xf numFmtId="183" fontId="0" fillId="29" borderId="80" xfId="9" applyNumberFormat="1" applyFont="1" applyFill="1" applyBorder="1" applyAlignment="1">
      <alignment horizontal="center" vertical="center"/>
    </xf>
    <xf numFmtId="0" fontId="0" fillId="0" borderId="22" xfId="0" applyBorder="1"/>
    <xf numFmtId="164" fontId="42" fillId="5" borderId="0" xfId="0" applyNumberFormat="1" applyFont="1" applyFill="1" applyAlignment="1">
      <alignment horizontal="left"/>
    </xf>
    <xf numFmtId="0" fontId="55" fillId="6" borderId="0" xfId="0" applyFont="1" applyFill="1" applyAlignment="1">
      <alignment horizontal="center" vertical="center"/>
    </xf>
    <xf numFmtId="1" fontId="0" fillId="4" borderId="0" xfId="0" applyNumberForma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6" fillId="15" borderId="0" xfId="3" applyFill="1" applyBorder="1"/>
    <xf numFmtId="0" fontId="10" fillId="17" borderId="4" xfId="3" applyFont="1" applyFill="1" applyBorder="1"/>
    <xf numFmtId="0" fontId="13" fillId="17" borderId="4" xfId="3" applyFont="1" applyFill="1" applyBorder="1"/>
    <xf numFmtId="0" fontId="10" fillId="17" borderId="4" xfId="3" applyFont="1" applyFill="1" applyBorder="1" applyAlignment="1">
      <alignment wrapText="1"/>
    </xf>
    <xf numFmtId="164" fontId="46" fillId="0" borderId="0" xfId="3" applyNumberFormat="1" applyFont="1"/>
    <xf numFmtId="164" fontId="49" fillId="0" borderId="0" xfId="3" applyNumberFormat="1" applyFont="1" applyAlignment="1">
      <alignment horizontal="center"/>
    </xf>
    <xf numFmtId="164" fontId="15" fillId="0" borderId="0" xfId="3" applyNumberFormat="1" applyFont="1"/>
    <xf numFmtId="164" fontId="51" fillId="0" borderId="0" xfId="3" applyNumberFormat="1" applyFont="1" applyAlignment="1">
      <alignment horizontal="center"/>
    </xf>
    <xf numFmtId="164" fontId="50" fillId="0" borderId="0" xfId="3" applyNumberFormat="1" applyFont="1" applyAlignment="1">
      <alignment horizontal="center"/>
    </xf>
    <xf numFmtId="171" fontId="46" fillId="29" borderId="16" xfId="3" applyNumberFormat="1" applyFont="1" applyFill="1" applyBorder="1" applyAlignment="1" applyProtection="1">
      <alignment horizontal="center"/>
      <protection locked="0"/>
    </xf>
    <xf numFmtId="43" fontId="15" fillId="0" borderId="16" xfId="3" applyNumberFormat="1" applyFont="1" applyBorder="1" applyAlignment="1">
      <alignment horizontal="center"/>
    </xf>
    <xf numFmtId="1" fontId="46" fillId="29" borderId="16" xfId="3" applyNumberFormat="1" applyFont="1" applyFill="1" applyBorder="1" applyAlignment="1" applyProtection="1">
      <alignment horizontal="center"/>
      <protection locked="0"/>
    </xf>
    <xf numFmtId="1" fontId="46" fillId="4" borderId="16" xfId="3" applyNumberFormat="1" applyFont="1" applyFill="1" applyBorder="1" applyAlignment="1" applyProtection="1">
      <alignment horizontal="center"/>
      <protection locked="0"/>
    </xf>
    <xf numFmtId="172" fontId="46" fillId="4" borderId="16" xfId="3" applyNumberFormat="1" applyFont="1" applyFill="1" applyBorder="1" applyAlignment="1" applyProtection="1">
      <alignment horizontal="center"/>
      <protection locked="0"/>
    </xf>
    <xf numFmtId="172" fontId="10" fillId="0" borderId="0" xfId="0" applyNumberFormat="1" applyFont="1"/>
    <xf numFmtId="43" fontId="15" fillId="0" borderId="0" xfId="3" applyNumberFormat="1" applyFont="1" applyBorder="1" applyAlignment="1">
      <alignment horizontal="center"/>
    </xf>
    <xf numFmtId="164" fontId="46" fillId="0" borderId="0" xfId="3" applyNumberFormat="1" applyFont="1" applyFill="1"/>
    <xf numFmtId="164" fontId="49" fillId="0" borderId="0" xfId="3" applyNumberFormat="1" applyFont="1" applyFill="1" applyAlignment="1">
      <alignment horizontal="center"/>
    </xf>
    <xf numFmtId="164" fontId="46" fillId="0" borderId="0" xfId="3" applyNumberFormat="1" applyFont="1" applyAlignment="1">
      <alignment horizontal="center"/>
    </xf>
    <xf numFmtId="168" fontId="46" fillId="4" borderId="16" xfId="3" applyNumberFormat="1" applyFont="1" applyFill="1" applyBorder="1" applyAlignment="1" applyProtection="1">
      <alignment horizontal="center"/>
      <protection locked="0"/>
    </xf>
    <xf numFmtId="170" fontId="22" fillId="4" borderId="0" xfId="4" applyNumberFormat="1" applyFont="1" applyFill="1" applyAlignment="1" applyProtection="1">
      <alignment horizontal="center"/>
    </xf>
    <xf numFmtId="164" fontId="56" fillId="0" borderId="0" xfId="3" applyNumberFormat="1" applyFont="1"/>
    <xf numFmtId="164" fontId="49" fillId="0" borderId="0" xfId="3" applyNumberFormat="1" applyFont="1"/>
    <xf numFmtId="0" fontId="25" fillId="0" borderId="0" xfId="0" applyFont="1"/>
    <xf numFmtId="0" fontId="35" fillId="0" borderId="0" xfId="12" applyFont="1" applyAlignment="1"/>
    <xf numFmtId="0" fontId="57" fillId="11" borderId="0" xfId="3" applyFont="1" applyFill="1" applyAlignment="1">
      <alignment vertical="center"/>
    </xf>
    <xf numFmtId="0" fontId="15" fillId="0" borderId="0" xfId="1" applyFont="1" applyAlignment="1">
      <alignment horizontal="left"/>
    </xf>
    <xf numFmtId="166" fontId="15" fillId="29" borderId="1" xfId="1" quotePrefix="1" applyNumberFormat="1" applyFont="1" applyFill="1" applyBorder="1" applyAlignment="1">
      <alignment horizontal="center"/>
    </xf>
    <xf numFmtId="168" fontId="15" fillId="4" borderId="10" xfId="1" applyNumberFormat="1" applyFont="1" applyFill="1" applyBorder="1" applyAlignment="1">
      <alignment horizontal="left"/>
    </xf>
    <xf numFmtId="166" fontId="15" fillId="4" borderId="1" xfId="1" applyNumberFormat="1" applyFont="1" applyFill="1" applyBorder="1" applyAlignment="1">
      <alignment horizontal="center"/>
    </xf>
    <xf numFmtId="166" fontId="15" fillId="26" borderId="1" xfId="1" applyNumberFormat="1" applyFont="1" applyFill="1" applyBorder="1" applyAlignment="1">
      <alignment horizontal="center"/>
    </xf>
    <xf numFmtId="168" fontId="15" fillId="26" borderId="1" xfId="1" applyNumberFormat="1" applyFont="1" applyFill="1" applyBorder="1" applyAlignment="1">
      <alignment horizontal="left"/>
    </xf>
    <xf numFmtId="168" fontId="15" fillId="23" borderId="2" xfId="0" applyNumberFormat="1" applyFont="1" applyFill="1" applyBorder="1" applyAlignment="1">
      <alignment horizontal="center"/>
    </xf>
    <xf numFmtId="168" fontId="15" fillId="23" borderId="3" xfId="0" applyNumberFormat="1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6" xfId="0" applyFont="1" applyBorder="1" applyAlignment="1">
      <alignment horizontal="center"/>
    </xf>
    <xf numFmtId="177" fontId="15" fillId="3" borderId="1" xfId="0" applyNumberFormat="1" applyFont="1" applyFill="1" applyBorder="1" applyAlignment="1">
      <alignment horizontal="center"/>
    </xf>
    <xf numFmtId="177" fontId="15" fillId="3" borderId="23" xfId="0" applyNumberFormat="1" applyFont="1" applyFill="1" applyBorder="1" applyAlignment="1">
      <alignment horizontal="center"/>
    </xf>
    <xf numFmtId="0" fontId="15" fillId="20" borderId="3" xfId="0" applyFont="1" applyFill="1" applyBorder="1" applyAlignment="1">
      <alignment horizontal="left"/>
    </xf>
    <xf numFmtId="0" fontId="58" fillId="0" borderId="0" xfId="0" applyFont="1"/>
    <xf numFmtId="166" fontId="0" fillId="29" borderId="10" xfId="0" applyNumberFormat="1" applyFont="1" applyFill="1" applyBorder="1" applyAlignment="1">
      <alignment vertical="center" wrapText="1"/>
    </xf>
    <xf numFmtId="165" fontId="0" fillId="19" borderId="1" xfId="7" applyNumberFormat="1" applyFont="1" applyFill="1" applyBorder="1" applyAlignment="1">
      <alignment horizontal="center" vertical="center"/>
    </xf>
    <xf numFmtId="165" fontId="13" fillId="19" borderId="11" xfId="0" applyNumberFormat="1" applyFont="1" applyFill="1" applyBorder="1" applyAlignment="1">
      <alignment horizontal="center" vertical="center"/>
    </xf>
    <xf numFmtId="165" fontId="0" fillId="19" borderId="10" xfId="7" applyNumberFormat="1" applyFont="1" applyFill="1" applyBorder="1" applyAlignment="1">
      <alignment horizontal="center" vertical="center"/>
    </xf>
    <xf numFmtId="0" fontId="15" fillId="22" borderId="53" xfId="0" applyFont="1" applyFill="1" applyBorder="1" applyAlignment="1">
      <alignment horizontal="center" vertical="center"/>
    </xf>
    <xf numFmtId="0" fontId="15" fillId="22" borderId="77" xfId="0" applyFont="1" applyFill="1" applyBorder="1" applyAlignment="1">
      <alignment horizontal="center" vertical="center"/>
    </xf>
    <xf numFmtId="0" fontId="25" fillId="29" borderId="1" xfId="0" applyFont="1" applyFill="1" applyBorder="1" applyAlignment="1">
      <alignment horizontal="center"/>
    </xf>
    <xf numFmtId="0" fontId="0" fillId="19" borderId="3" xfId="0" applyFill="1" applyBorder="1"/>
    <xf numFmtId="0" fontId="25" fillId="19" borderId="3" xfId="0" applyFont="1" applyFill="1" applyBorder="1" applyAlignment="1">
      <alignment horizontal="center"/>
    </xf>
    <xf numFmtId="181" fontId="59" fillId="20" borderId="1" xfId="0" applyNumberFormat="1" applyFont="1" applyFill="1" applyBorder="1" applyAlignment="1">
      <alignment horizontal="center"/>
    </xf>
    <xf numFmtId="181" fontId="59" fillId="20" borderId="53" xfId="0" applyNumberFormat="1" applyFont="1" applyFill="1" applyBorder="1" applyAlignment="1">
      <alignment horizontal="center"/>
    </xf>
    <xf numFmtId="181" fontId="0" fillId="4" borderId="1" xfId="0" applyNumberFormat="1" applyFill="1" applyBorder="1" applyAlignment="1">
      <alignment horizontal="center"/>
    </xf>
    <xf numFmtId="181" fontId="0" fillId="4" borderId="10" xfId="0" applyNumberFormat="1" applyFill="1" applyBorder="1" applyAlignment="1">
      <alignment horizontal="center"/>
    </xf>
    <xf numFmtId="181" fontId="0" fillId="4" borderId="53" xfId="0" applyNumberFormat="1" applyFill="1" applyBorder="1" applyAlignment="1">
      <alignment horizontal="center"/>
    </xf>
    <xf numFmtId="181" fontId="0" fillId="4" borderId="60" xfId="0" applyNumberFormat="1" applyFill="1" applyBorder="1" applyAlignment="1">
      <alignment horizontal="center"/>
    </xf>
    <xf numFmtId="181" fontId="0" fillId="4" borderId="2" xfId="0" applyNumberFormat="1" applyFill="1" applyBorder="1" applyAlignment="1">
      <alignment horizontal="center"/>
    </xf>
    <xf numFmtId="181" fontId="59" fillId="20" borderId="60" xfId="0" applyNumberFormat="1" applyFont="1" applyFill="1" applyBorder="1" applyAlignment="1">
      <alignment horizontal="center"/>
    </xf>
    <xf numFmtId="2" fontId="50" fillId="24" borderId="4" xfId="4" applyNumberFormat="1" applyFont="1" applyFill="1" applyBorder="1" applyAlignment="1">
      <alignment horizontal="center"/>
    </xf>
    <xf numFmtId="181" fontId="0" fillId="4" borderId="23" xfId="0" applyNumberFormat="1" applyFont="1" applyFill="1" applyBorder="1" applyAlignment="1">
      <alignment horizontal="center"/>
    </xf>
    <xf numFmtId="10" fontId="0" fillId="0" borderId="0" xfId="9" applyNumberFormat="1" applyFont="1"/>
    <xf numFmtId="10" fontId="0" fillId="0" borderId="59" xfId="9" applyNumberFormat="1" applyFont="1" applyBorder="1"/>
    <xf numFmtId="10" fontId="0" fillId="0" borderId="0" xfId="9" applyNumberFormat="1" applyFont="1" applyBorder="1"/>
    <xf numFmtId="0" fontId="0" fillId="0" borderId="0" xfId="3" applyFont="1" applyAlignment="1">
      <alignment horizontal="right"/>
    </xf>
    <xf numFmtId="0" fontId="10" fillId="0" borderId="0" xfId="0" applyFont="1" applyAlignment="1">
      <alignment horizontal="center"/>
    </xf>
    <xf numFmtId="1" fontId="10" fillId="4" borderId="20" xfId="6" applyNumberFormat="1" applyFont="1" applyFill="1" applyBorder="1" applyAlignment="1">
      <alignment horizontal="center" vertical="center"/>
    </xf>
    <xf numFmtId="1" fontId="10" fillId="4" borderId="51" xfId="6" applyNumberFormat="1" applyFont="1" applyFill="1" applyBorder="1" applyAlignment="1">
      <alignment horizontal="center" vertical="center"/>
    </xf>
    <xf numFmtId="1" fontId="10" fillId="4" borderId="0" xfId="6" applyNumberFormat="1" applyFont="1" applyFill="1" applyBorder="1" applyAlignment="1">
      <alignment horizontal="center" vertical="center"/>
    </xf>
    <xf numFmtId="0" fontId="0" fillId="19" borderId="3" xfId="0" applyFill="1" applyBorder="1" applyAlignment="1">
      <alignment horizontal="left" indent="1"/>
    </xf>
    <xf numFmtId="181" fontId="0" fillId="4" borderId="87" xfId="0" applyNumberFormat="1" applyFont="1" applyFill="1" applyBorder="1" applyAlignment="1">
      <alignment horizontal="center"/>
    </xf>
    <xf numFmtId="184" fontId="10" fillId="4" borderId="59" xfId="6" applyNumberFormat="1" applyFont="1" applyFill="1" applyBorder="1" applyAlignment="1">
      <alignment horizontal="center" vertical="center"/>
    </xf>
    <xf numFmtId="184" fontId="10" fillId="4" borderId="88" xfId="6" applyNumberFormat="1" applyFont="1" applyFill="1" applyBorder="1" applyAlignment="1">
      <alignment horizontal="center" vertical="center"/>
    </xf>
    <xf numFmtId="184" fontId="10" fillId="4" borderId="0" xfId="6" applyNumberFormat="1" applyFont="1" applyFill="1" applyBorder="1" applyAlignment="1">
      <alignment horizontal="center" vertical="center"/>
    </xf>
    <xf numFmtId="184" fontId="10" fillId="4" borderId="89" xfId="6" applyNumberFormat="1" applyFont="1" applyFill="1" applyBorder="1" applyAlignment="1">
      <alignment horizontal="center" vertical="center"/>
    </xf>
    <xf numFmtId="0" fontId="0" fillId="0" borderId="55" xfId="0" applyBorder="1"/>
    <xf numFmtId="10" fontId="10" fillId="3" borderId="52" xfId="6" applyNumberFormat="1" applyFont="1" applyFill="1" applyBorder="1" applyAlignment="1">
      <alignment horizontal="center" vertical="center"/>
    </xf>
    <xf numFmtId="10" fontId="10" fillId="3" borderId="27" xfId="6" applyNumberFormat="1" applyFont="1" applyFill="1" applyBorder="1" applyAlignment="1">
      <alignment horizontal="center" vertical="center"/>
    </xf>
    <xf numFmtId="10" fontId="10" fillId="8" borderId="27" xfId="6" applyNumberFormat="1" applyFont="1" applyFill="1" applyBorder="1" applyAlignment="1">
      <alignment horizontal="center" vertical="center"/>
    </xf>
    <xf numFmtId="10" fontId="10" fillId="8" borderId="14" xfId="6" applyNumberFormat="1" applyFont="1" applyFill="1" applyBorder="1" applyAlignment="1">
      <alignment horizontal="center" vertical="center"/>
    </xf>
    <xf numFmtId="0" fontId="0" fillId="0" borderId="57" xfId="0" applyBorder="1"/>
    <xf numFmtId="10" fontId="10" fillId="29" borderId="27" xfId="6" applyNumberFormat="1" applyFont="1" applyFill="1" applyBorder="1" applyAlignment="1">
      <alignment horizontal="center" vertical="center"/>
    </xf>
    <xf numFmtId="0" fontId="0" fillId="20" borderId="3" xfId="0" applyFont="1" applyFill="1" applyBorder="1" applyAlignment="1">
      <alignment horizontal="left" indent="1"/>
    </xf>
    <xf numFmtId="0" fontId="0" fillId="19" borderId="13" xfId="0" applyFill="1" applyBorder="1" applyAlignment="1">
      <alignment horizontal="left" indent="1"/>
    </xf>
    <xf numFmtId="0" fontId="0" fillId="19" borderId="13" xfId="0" applyFill="1" applyBorder="1"/>
    <xf numFmtId="0" fontId="25" fillId="19" borderId="78" xfId="0" applyFont="1" applyFill="1" applyBorder="1"/>
    <xf numFmtId="10" fontId="10" fillId="26" borderId="62" xfId="6" applyNumberFormat="1" applyFont="1" applyFill="1" applyBorder="1" applyAlignment="1">
      <alignment horizontal="center" vertical="center"/>
    </xf>
    <xf numFmtId="10" fontId="10" fillId="26" borderId="76" xfId="6" applyNumberFormat="1" applyFont="1" applyFill="1" applyBorder="1" applyAlignment="1">
      <alignment horizontal="center" vertical="center"/>
    </xf>
    <xf numFmtId="10" fontId="10" fillId="26" borderId="63" xfId="6" applyNumberFormat="1" applyFont="1" applyFill="1" applyBorder="1" applyAlignment="1">
      <alignment horizontal="center" vertical="center"/>
    </xf>
    <xf numFmtId="0" fontId="0" fillId="20" borderId="4" xfId="0" applyFill="1" applyBorder="1" applyAlignment="1">
      <alignment horizontal="left" indent="1"/>
    </xf>
    <xf numFmtId="0" fontId="0" fillId="20" borderId="4" xfId="0" applyFill="1" applyBorder="1"/>
    <xf numFmtId="0" fontId="25" fillId="20" borderId="4" xfId="0" applyFont="1" applyFill="1" applyBorder="1"/>
    <xf numFmtId="0" fontId="25" fillId="20" borderId="76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166" fontId="0" fillId="4" borderId="1" xfId="0" applyNumberFormat="1" applyFill="1" applyBorder="1" applyAlignment="1">
      <alignment horizontal="left" vertical="center"/>
    </xf>
    <xf numFmtId="166" fontId="0" fillId="4" borderId="23" xfId="0" applyNumberFormat="1" applyFill="1" applyBorder="1" applyAlignment="1">
      <alignment horizontal="left" vertical="center"/>
    </xf>
    <xf numFmtId="166" fontId="12" fillId="4" borderId="1" xfId="1" applyNumberFormat="1" applyFill="1" applyBorder="1" applyAlignment="1">
      <alignment horizontal="left"/>
    </xf>
    <xf numFmtId="166" fontId="12" fillId="4" borderId="23" xfId="1" applyNumberFormat="1" applyFill="1" applyBorder="1" applyAlignment="1">
      <alignment horizontal="left"/>
    </xf>
    <xf numFmtId="183" fontId="0" fillId="0" borderId="0" xfId="0" applyNumberFormat="1"/>
    <xf numFmtId="0" fontId="15" fillId="35" borderId="0" xfId="0" applyFont="1" applyFill="1" applyAlignment="1">
      <alignment horizontal="center" vertical="center"/>
    </xf>
    <xf numFmtId="0" fontId="15" fillId="35" borderId="59" xfId="0" applyFont="1" applyFill="1" applyBorder="1" applyAlignment="1">
      <alignment horizontal="center" vertical="center"/>
    </xf>
    <xf numFmtId="0" fontId="15" fillId="35" borderId="0" xfId="0" applyFont="1" applyFill="1" applyAlignment="1">
      <alignment vertical="center"/>
    </xf>
    <xf numFmtId="164" fontId="21" fillId="0" borderId="0" xfId="3" applyNumberFormat="1" applyFont="1" applyAlignment="1">
      <alignment horizontal="center"/>
    </xf>
    <xf numFmtId="6" fontId="12" fillId="29" borderId="10" xfId="0" applyNumberFormat="1" applyFont="1" applyFill="1" applyBorder="1" applyAlignment="1">
      <alignment vertical="center" wrapText="1"/>
    </xf>
    <xf numFmtId="166" fontId="0" fillId="29" borderId="1" xfId="0" applyNumberFormat="1" applyFont="1" applyFill="1" applyBorder="1" applyAlignment="1">
      <alignment horizontal="center" vertical="center"/>
    </xf>
    <xf numFmtId="6" fontId="12" fillId="29" borderId="1" xfId="0" applyNumberFormat="1" applyFont="1" applyFill="1" applyBorder="1" applyAlignment="1">
      <alignment horizontal="center" vertical="center"/>
    </xf>
    <xf numFmtId="9" fontId="0" fillId="29" borderId="1" xfId="9" applyFont="1" applyFill="1" applyBorder="1" applyAlignment="1">
      <alignment horizontal="center" vertical="center"/>
    </xf>
    <xf numFmtId="181" fontId="12" fillId="4" borderId="2" xfId="7" quotePrefix="1" applyNumberFormat="1" applyFont="1" applyFill="1" applyBorder="1" applyAlignment="1">
      <alignment horizontal="center" vertical="center"/>
    </xf>
    <xf numFmtId="181" fontId="12" fillId="4" borderId="3" xfId="7" quotePrefix="1" applyNumberFormat="1" applyFont="1" applyFill="1" applyBorder="1" applyAlignment="1">
      <alignment horizontal="center" vertical="center"/>
    </xf>
    <xf numFmtId="181" fontId="12" fillId="4" borderId="53" xfId="7" quotePrefix="1" applyNumberFormat="1" applyFont="1" applyFill="1" applyBorder="1" applyAlignment="1">
      <alignment horizontal="center" vertical="center"/>
    </xf>
    <xf numFmtId="190" fontId="12" fillId="19" borderId="2" xfId="7" quotePrefix="1" applyNumberFormat="1" applyFont="1" applyFill="1" applyBorder="1" applyAlignment="1">
      <alignment horizontal="center" vertical="center"/>
    </xf>
    <xf numFmtId="190" fontId="12" fillId="4" borderId="2" xfId="7" quotePrefix="1" applyNumberFormat="1" applyFont="1" applyFill="1" applyBorder="1" applyAlignment="1">
      <alignment horizontal="center" vertical="center"/>
    </xf>
    <xf numFmtId="190" fontId="12" fillId="4" borderId="54" xfId="7" quotePrefix="1" applyNumberFormat="1" applyFont="1" applyFill="1" applyBorder="1" applyAlignment="1">
      <alignment horizontal="center" vertical="center"/>
    </xf>
    <xf numFmtId="190" fontId="13" fillId="4" borderId="1" xfId="0" applyNumberFormat="1" applyFont="1" applyFill="1" applyBorder="1" applyAlignment="1">
      <alignment horizontal="center"/>
    </xf>
    <xf numFmtId="190" fontId="13" fillId="4" borderId="53" xfId="0" applyNumberFormat="1" applyFont="1" applyFill="1" applyBorder="1" applyAlignment="1">
      <alignment horizontal="center"/>
    </xf>
    <xf numFmtId="190" fontId="13" fillId="4" borderId="2" xfId="0" applyNumberFormat="1" applyFont="1" applyFill="1" applyBorder="1" applyAlignment="1">
      <alignment horizontal="center"/>
    </xf>
    <xf numFmtId="191" fontId="12" fillId="3" borderId="1" xfId="0" applyNumberFormat="1" applyFont="1" applyFill="1" applyBorder="1" applyAlignment="1">
      <alignment horizontal="center"/>
    </xf>
    <xf numFmtId="186" fontId="12" fillId="4" borderId="1" xfId="0" applyNumberFormat="1" applyFont="1" applyFill="1" applyBorder="1" applyAlignment="1">
      <alignment horizontal="center"/>
    </xf>
    <xf numFmtId="186" fontId="12" fillId="4" borderId="2" xfId="0" applyNumberFormat="1" applyFont="1" applyFill="1" applyBorder="1" applyAlignment="1">
      <alignment horizontal="center"/>
    </xf>
    <xf numFmtId="177" fontId="12" fillId="29" borderId="12" xfId="0" applyNumberFormat="1" applyFont="1" applyFill="1" applyBorder="1" applyAlignment="1">
      <alignment horizontal="center"/>
    </xf>
    <xf numFmtId="177" fontId="12" fillId="29" borderId="53" xfId="0" applyNumberFormat="1" applyFont="1" applyFill="1" applyBorder="1" applyAlignment="1">
      <alignment horizontal="center"/>
    </xf>
    <xf numFmtId="177" fontId="12" fillId="29" borderId="2" xfId="9" applyNumberFormat="1" applyFont="1" applyFill="1" applyBorder="1" applyAlignment="1">
      <alignment horizontal="center" vertical="center"/>
    </xf>
    <xf numFmtId="177" fontId="12" fillId="29" borderId="1" xfId="9" applyNumberFormat="1" applyFont="1" applyFill="1" applyBorder="1" applyAlignment="1">
      <alignment horizontal="center" vertical="center"/>
    </xf>
    <xf numFmtId="177" fontId="12" fillId="29" borderId="11" xfId="0" applyNumberFormat="1" applyFont="1" applyFill="1" applyBorder="1" applyAlignment="1">
      <alignment horizontal="center"/>
    </xf>
    <xf numFmtId="177" fontId="12" fillId="29" borderId="54" xfId="0" applyNumberFormat="1" applyFont="1" applyFill="1" applyBorder="1" applyAlignment="1">
      <alignment horizontal="center"/>
    </xf>
    <xf numFmtId="166" fontId="12" fillId="19" borderId="1" xfId="1" applyNumberFormat="1" applyFont="1" applyFill="1" applyBorder="1" applyAlignment="1">
      <alignment horizontal="left" vertical="center"/>
    </xf>
    <xf numFmtId="168" fontId="12" fillId="4" borderId="10" xfId="1" applyNumberFormat="1" applyFont="1" applyFill="1" applyBorder="1" applyAlignment="1">
      <alignment horizontal="left" vertical="center"/>
    </xf>
    <xf numFmtId="182" fontId="46" fillId="34" borderId="17" xfId="4" applyNumberFormat="1" applyFont="1" applyFill="1" applyBorder="1" applyAlignment="1">
      <alignment horizontal="center"/>
    </xf>
    <xf numFmtId="2" fontId="46" fillId="34" borderId="17" xfId="4" applyNumberFormat="1" applyFont="1" applyFill="1" applyBorder="1" applyAlignment="1">
      <alignment horizontal="center"/>
    </xf>
    <xf numFmtId="182" fontId="46" fillId="34" borderId="17" xfId="5" applyNumberFormat="1" applyFont="1" applyFill="1" applyBorder="1" applyAlignment="1">
      <alignment horizontal="center"/>
    </xf>
    <xf numFmtId="182" fontId="46" fillId="34" borderId="67" xfId="5" applyNumberFormat="1" applyFont="1" applyFill="1" applyBorder="1" applyAlignment="1">
      <alignment horizontal="center"/>
    </xf>
    <xf numFmtId="164" fontId="46" fillId="34" borderId="17" xfId="5" applyNumberFormat="1" applyFont="1" applyFill="1" applyBorder="1" applyAlignment="1">
      <alignment horizontal="center"/>
    </xf>
    <xf numFmtId="164" fontId="46" fillId="34" borderId="46" xfId="5" applyNumberFormat="1" applyFont="1" applyFill="1" applyBorder="1" applyAlignment="1">
      <alignment horizontal="center"/>
    </xf>
    <xf numFmtId="164" fontId="46" fillId="34" borderId="67" xfId="5" applyNumberFormat="1" applyFont="1" applyFill="1" applyBorder="1" applyAlignment="1">
      <alignment horizontal="center"/>
    </xf>
    <xf numFmtId="170" fontId="46" fillId="34" borderId="16" xfId="4" applyNumberFormat="1" applyFont="1" applyFill="1" applyBorder="1" applyAlignment="1">
      <alignment horizontal="center"/>
    </xf>
    <xf numFmtId="170" fontId="46" fillId="34" borderId="17" xfId="4" applyNumberFormat="1" applyFont="1" applyFill="1" applyBorder="1" applyAlignment="1">
      <alignment horizontal="center"/>
    </xf>
    <xf numFmtId="49" fontId="46" fillId="34" borderId="16" xfId="3" applyNumberFormat="1" applyFont="1" applyFill="1" applyBorder="1" applyAlignment="1">
      <alignment horizontal="left" indent="1"/>
    </xf>
    <xf numFmtId="10" fontId="46" fillId="34" borderId="17" xfId="4" applyNumberFormat="1" applyFont="1" applyFill="1" applyBorder="1" applyAlignment="1">
      <alignment horizontal="center"/>
    </xf>
    <xf numFmtId="10" fontId="46" fillId="34" borderId="46" xfId="4" applyNumberFormat="1" applyFont="1" applyFill="1" applyBorder="1" applyAlignment="1">
      <alignment horizontal="center"/>
    </xf>
    <xf numFmtId="10" fontId="46" fillId="34" borderId="67" xfId="4" applyNumberFormat="1" applyFont="1" applyFill="1" applyBorder="1" applyAlignment="1">
      <alignment horizontal="center"/>
    </xf>
    <xf numFmtId="0" fontId="46" fillId="34" borderId="16" xfId="3" applyFont="1" applyFill="1" applyBorder="1" applyAlignment="1">
      <alignment horizontal="left" indent="1"/>
    </xf>
    <xf numFmtId="164" fontId="49" fillId="34" borderId="16" xfId="3" applyNumberFormat="1" applyFont="1" applyFill="1" applyBorder="1" applyAlignment="1">
      <alignment horizontal="center"/>
    </xf>
    <xf numFmtId="0" fontId="22" fillId="0" borderId="16" xfId="3" applyFont="1" applyBorder="1" applyAlignment="1" applyProtection="1">
      <alignment horizontal="center" wrapText="1"/>
      <protection locked="0"/>
    </xf>
    <xf numFmtId="164" fontId="27" fillId="0" borderId="0" xfId="3" applyNumberFormat="1" applyFont="1" applyAlignment="1">
      <alignment horizontal="left"/>
    </xf>
    <xf numFmtId="164" fontId="21" fillId="0" borderId="0" xfId="3" applyNumberFormat="1" applyFont="1" applyAlignment="1">
      <alignment horizontal="left"/>
    </xf>
    <xf numFmtId="0" fontId="46" fillId="18" borderId="16" xfId="3" applyFont="1" applyFill="1" applyBorder="1" applyAlignment="1">
      <alignment horizontal="left" indent="1"/>
    </xf>
    <xf numFmtId="0" fontId="4" fillId="0" borderId="0" xfId="12" applyFont="1"/>
    <xf numFmtId="192" fontId="0" fillId="0" borderId="59" xfId="3" applyNumberFormat="1" applyFont="1" applyBorder="1"/>
    <xf numFmtId="193" fontId="60" fillId="36" borderId="1" xfId="17" applyNumberFormat="1" applyBorder="1" applyAlignment="1">
      <alignment horizontal="center" vertical="center"/>
    </xf>
    <xf numFmtId="0" fontId="15" fillId="22" borderId="55" xfId="0" applyFont="1" applyFill="1" applyBorder="1" applyAlignment="1">
      <alignment horizontal="center" vertical="center"/>
    </xf>
    <xf numFmtId="0" fontId="15" fillId="22" borderId="90" xfId="0" applyFont="1" applyFill="1" applyBorder="1" applyAlignment="1">
      <alignment horizontal="center" vertical="center"/>
    </xf>
    <xf numFmtId="194" fontId="13" fillId="0" borderId="0" xfId="0" applyNumberFormat="1" applyFont="1" applyAlignment="1">
      <alignment horizontal="left"/>
    </xf>
    <xf numFmtId="193" fontId="12" fillId="3" borderId="1" xfId="9" applyNumberFormat="1" applyFont="1" applyFill="1" applyBorder="1" applyAlignment="1">
      <alignment horizontal="center" vertical="center"/>
    </xf>
    <xf numFmtId="195" fontId="10" fillId="4" borderId="14" xfId="9" applyNumberFormat="1" applyFont="1" applyFill="1" applyBorder="1" applyAlignment="1">
      <alignment horizontal="center" vertical="center" wrapText="1"/>
    </xf>
    <xf numFmtId="177" fontId="10" fillId="4" borderId="10" xfId="0" applyNumberFormat="1" applyFont="1" applyFill="1" applyBorder="1" applyAlignment="1">
      <alignment horizontal="center" vertical="center"/>
    </xf>
    <xf numFmtId="196" fontId="25" fillId="19" borderId="3" xfId="0" applyNumberFormat="1" applyFont="1" applyFill="1" applyBorder="1" applyAlignment="1">
      <alignment horizontal="center"/>
    </xf>
    <xf numFmtId="0" fontId="3" fillId="0" borderId="0" xfId="12" applyFont="1" applyAlignment="1">
      <alignment horizontal="center"/>
    </xf>
    <xf numFmtId="0" fontId="3" fillId="0" borderId="0" xfId="12" applyFont="1"/>
    <xf numFmtId="14" fontId="49" fillId="0" borderId="0" xfId="3" applyNumberFormat="1" applyFont="1"/>
    <xf numFmtId="0" fontId="0" fillId="4" borderId="1" xfId="0" applyFont="1" applyFill="1" applyBorder="1" applyAlignment="1">
      <alignment horizontal="center"/>
    </xf>
    <xf numFmtId="0" fontId="0" fillId="15" borderId="20" xfId="0" applyFill="1" applyBorder="1" applyAlignment="1">
      <alignment horizontal="center"/>
    </xf>
    <xf numFmtId="0" fontId="25" fillId="20" borderId="1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2" fontId="61" fillId="11" borderId="0" xfId="0" applyNumberFormat="1" applyFont="1" applyFill="1" applyAlignment="1">
      <alignment horizontal="left"/>
    </xf>
    <xf numFmtId="2" fontId="61" fillId="11" borderId="0" xfId="0" applyNumberFormat="1" applyFont="1" applyFill="1" applyAlignment="1"/>
    <xf numFmtId="14" fontId="9" fillId="37" borderId="0" xfId="12" applyNumberFormat="1" applyFill="1"/>
    <xf numFmtId="2" fontId="9" fillId="37" borderId="0" xfId="12" applyNumberFormat="1" applyFill="1"/>
    <xf numFmtId="0" fontId="2" fillId="37" borderId="0" xfId="12" applyFont="1" applyFill="1"/>
    <xf numFmtId="0" fontId="9" fillId="37" borderId="0" xfId="12" applyFill="1"/>
    <xf numFmtId="0" fontId="8" fillId="37" borderId="0" xfId="12" applyFont="1" applyFill="1"/>
    <xf numFmtId="0" fontId="29" fillId="0" borderId="0" xfId="12" applyFont="1" applyAlignment="1">
      <alignment horizontal="right"/>
    </xf>
    <xf numFmtId="0" fontId="1" fillId="37" borderId="0" xfId="12" applyFont="1" applyFill="1" applyAlignment="1">
      <alignment horizontal="center"/>
    </xf>
    <xf numFmtId="0" fontId="7" fillId="0" borderId="0" xfId="12" applyFont="1" applyAlignment="1">
      <alignment horizontal="left"/>
    </xf>
    <xf numFmtId="0" fontId="29" fillId="19" borderId="0" xfId="12" applyFont="1" applyFill="1" applyAlignment="1">
      <alignment horizontal="left"/>
    </xf>
    <xf numFmtId="2" fontId="61" fillId="11" borderId="0" xfId="0" applyNumberFormat="1" applyFont="1" applyFill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5" fillId="32" borderId="10" xfId="3" applyFont="1" applyFill="1" applyBorder="1" applyAlignment="1">
      <alignment horizontal="center" vertical="center"/>
    </xf>
    <xf numFmtId="0" fontId="15" fillId="32" borderId="2" xfId="3" applyFont="1" applyFill="1" applyBorder="1" applyAlignment="1">
      <alignment horizontal="center" vertical="center"/>
    </xf>
    <xf numFmtId="0" fontId="13" fillId="33" borderId="10" xfId="16" applyFont="1" applyFill="1" applyBorder="1" applyAlignment="1">
      <alignment horizontal="center" vertical="center"/>
    </xf>
    <xf numFmtId="0" fontId="13" fillId="33" borderId="2" xfId="16" applyFont="1" applyFill="1" applyBorder="1" applyAlignment="1">
      <alignment horizontal="center" vertical="center"/>
    </xf>
    <xf numFmtId="0" fontId="12" fillId="31" borderId="10" xfId="0" applyFont="1" applyFill="1" applyBorder="1" applyAlignment="1">
      <alignment horizontal="center" vertical="center"/>
    </xf>
    <xf numFmtId="0" fontId="12" fillId="31" borderId="2" xfId="0" applyFont="1" applyFill="1" applyBorder="1" applyAlignment="1">
      <alignment horizontal="center" vertical="center"/>
    </xf>
    <xf numFmtId="164" fontId="21" fillId="0" borderId="0" xfId="3" applyNumberFormat="1" applyFont="1" applyAlignment="1">
      <alignment horizontal="center"/>
    </xf>
    <xf numFmtId="0" fontId="46" fillId="34" borderId="85" xfId="3" applyFont="1" applyFill="1" applyBorder="1" applyAlignment="1">
      <alignment horizontal="left"/>
    </xf>
    <xf numFmtId="0" fontId="0" fillId="0" borderId="0" xfId="0" applyAlignment="1">
      <alignment horizontal="left"/>
    </xf>
    <xf numFmtId="49" fontId="46" fillId="29" borderId="85" xfId="3" applyNumberFormat="1" applyFont="1" applyFill="1" applyBorder="1" applyAlignment="1">
      <alignment horizontal="left"/>
    </xf>
    <xf numFmtId="49" fontId="46" fillId="29" borderId="86" xfId="3" applyNumberFormat="1" applyFont="1" applyFill="1" applyBorder="1" applyAlignment="1">
      <alignment horizontal="left"/>
    </xf>
    <xf numFmtId="0" fontId="0" fillId="0" borderId="58" xfId="0" applyBorder="1" applyAlignment="1">
      <alignment horizontal="left"/>
    </xf>
    <xf numFmtId="164" fontId="24" fillId="14" borderId="0" xfId="0" applyNumberFormat="1" applyFont="1" applyFill="1" applyAlignment="1">
      <alignment horizontal="left"/>
    </xf>
    <xf numFmtId="0" fontId="0" fillId="30" borderId="4" xfId="0" applyFill="1" applyBorder="1" applyAlignment="1">
      <alignment horizontal="center"/>
    </xf>
    <xf numFmtId="0" fontId="0" fillId="30" borderId="7" xfId="0" applyFill="1" applyBorder="1" applyAlignment="1">
      <alignment horizontal="center"/>
    </xf>
    <xf numFmtId="0" fontId="46" fillId="34" borderId="0" xfId="3" applyFont="1" applyFill="1" applyBorder="1" applyAlignment="1">
      <alignment horizontal="left"/>
    </xf>
    <xf numFmtId="0" fontId="13" fillId="30" borderId="59" xfId="3" applyFont="1" applyFill="1" applyBorder="1" applyAlignment="1">
      <alignment horizontal="center"/>
    </xf>
    <xf numFmtId="0" fontId="13" fillId="30" borderId="0" xfId="3" applyFont="1" applyFill="1" applyBorder="1" applyAlignment="1">
      <alignment horizontal="center"/>
    </xf>
    <xf numFmtId="0" fontId="13" fillId="0" borderId="0" xfId="3" applyFont="1" applyFill="1" applyAlignment="1">
      <alignment horizontal="center"/>
    </xf>
    <xf numFmtId="0" fontId="0" fillId="0" borderId="0" xfId="0" applyFont="1" applyAlignment="1">
      <alignment horizontal="center"/>
    </xf>
    <xf numFmtId="164" fontId="42" fillId="5" borderId="0" xfId="0" applyNumberFormat="1" applyFont="1" applyFill="1" applyAlignment="1">
      <alignment horizontal="left"/>
    </xf>
    <xf numFmtId="0" fontId="13" fillId="30" borderId="8" xfId="3" applyFont="1" applyFill="1" applyBorder="1" applyAlignment="1">
      <alignment horizontal="center"/>
    </xf>
    <xf numFmtId="0" fontId="25" fillId="0" borderId="0" xfId="0" applyFont="1" applyAlignment="1">
      <alignment horizontal="left" vertical="top" wrapText="1"/>
    </xf>
    <xf numFmtId="0" fontId="45" fillId="6" borderId="30" xfId="11" applyFont="1" applyFill="1" applyBorder="1" applyAlignment="1">
      <alignment horizontal="center"/>
    </xf>
    <xf numFmtId="0" fontId="45" fillId="6" borderId="31" xfId="11" applyFont="1" applyFill="1" applyBorder="1" applyAlignment="1">
      <alignment horizontal="center"/>
    </xf>
    <xf numFmtId="0" fontId="45" fillId="6" borderId="32" xfId="11" applyFont="1" applyFill="1" applyBorder="1" applyAlignment="1">
      <alignment horizontal="center"/>
    </xf>
    <xf numFmtId="0" fontId="45" fillId="6" borderId="82" xfId="11" applyFont="1" applyFill="1" applyBorder="1" applyAlignment="1">
      <alignment horizontal="center" vertical="center"/>
    </xf>
    <xf numFmtId="0" fontId="45" fillId="6" borderId="33" xfId="11" applyFont="1" applyFill="1" applyBorder="1" applyAlignment="1">
      <alignment horizontal="center" vertical="center"/>
    </xf>
    <xf numFmtId="0" fontId="45" fillId="6" borderId="83" xfId="11" applyFont="1" applyFill="1" applyBorder="1" applyAlignment="1">
      <alignment horizontal="center" vertical="center"/>
    </xf>
    <xf numFmtId="49" fontId="15" fillId="6" borderId="0" xfId="0" applyNumberFormat="1" applyFont="1" applyFill="1" applyBorder="1" applyAlignment="1">
      <alignment horizontal="left" vertical="center"/>
    </xf>
    <xf numFmtId="49" fontId="15" fillId="21" borderId="0" xfId="0" applyNumberFormat="1" applyFont="1" applyFill="1" applyBorder="1" applyAlignment="1">
      <alignment horizontal="left" vertical="center"/>
    </xf>
    <xf numFmtId="164" fontId="42" fillId="28" borderId="0" xfId="0" applyNumberFormat="1" applyFont="1" applyFill="1" applyAlignment="1">
      <alignment horizontal="left"/>
    </xf>
    <xf numFmtId="164" fontId="42" fillId="10" borderId="0" xfId="0" applyNumberFormat="1" applyFont="1" applyFill="1" applyAlignment="1">
      <alignment horizontal="left"/>
    </xf>
    <xf numFmtId="0" fontId="29" fillId="0" borderId="0" xfId="12" applyFont="1" applyAlignment="1">
      <alignment horizontal="left"/>
    </xf>
    <xf numFmtId="14" fontId="29" fillId="0" borderId="0" xfId="12" applyNumberFormat="1" applyFont="1" applyAlignment="1"/>
    <xf numFmtId="0" fontId="29" fillId="0" borderId="0" xfId="12" applyFont="1" applyFill="1"/>
    <xf numFmtId="0" fontId="9" fillId="0" borderId="0" xfId="12" applyFill="1"/>
    <xf numFmtId="0" fontId="62" fillId="0" borderId="0" xfId="12" applyFont="1" applyAlignment="1">
      <alignment horizontal="left"/>
    </xf>
    <xf numFmtId="0" fontId="32" fillId="38" borderId="0" xfId="12" applyFont="1" applyFill="1" applyAlignment="1">
      <alignment horizontal="left"/>
    </xf>
    <xf numFmtId="0" fontId="40" fillId="38" borderId="0" xfId="12" applyFont="1" applyFill="1"/>
    <xf numFmtId="0" fontId="11" fillId="38" borderId="0" xfId="12" applyFont="1" applyFill="1"/>
    <xf numFmtId="0" fontId="41" fillId="38" borderId="0" xfId="12" applyFont="1" applyFill="1"/>
  </cellXfs>
  <cellStyles count="18">
    <cellStyle name="Assumptions Right Number" xfId="14" xr:uid="{35D1695D-666D-4F42-B9E1-5D8123E4AC4D}"/>
    <cellStyle name="Bad" xfId="17" builtinId="27"/>
    <cellStyle name="Check RedRedGreen" xfId="15" xr:uid="{C73F9C2D-20EF-49BC-921D-70891E0072B5}"/>
    <cellStyle name="Comma" xfId="10" builtinId="3"/>
    <cellStyle name="Comma 2" xfId="2" xr:uid="{C2D653A7-9D03-4645-A8C2-A1512EEC5EA6}"/>
    <cellStyle name="Comma 3" xfId="5" xr:uid="{DB9E276D-F802-4CBE-BD00-BC3E0B4E0A21}"/>
    <cellStyle name="Comma 4" xfId="7" xr:uid="{3D90EF91-A818-407E-8359-F2413E8F21B2}"/>
    <cellStyle name="Hyperlink 2" xfId="8" xr:uid="{1FC158DE-334E-4003-84A5-DF1AB5E5E3AB}"/>
    <cellStyle name="Hyperlink 5" xfId="13" xr:uid="{DFEBEB28-7746-48A7-B9D6-DCDCAF60098D}"/>
    <cellStyle name="Normal" xfId="0" builtinId="0"/>
    <cellStyle name="Normal 10 2" xfId="16" xr:uid="{7FDE3702-C246-4E52-B969-2F5747479AF9}"/>
    <cellStyle name="Normal 2" xfId="3" xr:uid="{F1B89954-183C-43ED-BDCE-756F8DCC1BC6}"/>
    <cellStyle name="Normal 3" xfId="1" xr:uid="{826B5ED0-E585-4C91-AEBB-05B483E51D4B}"/>
    <cellStyle name="Normal 4" xfId="11" xr:uid="{AF09A2A8-F25C-4361-BC02-1547BC611B70}"/>
    <cellStyle name="Normal 5" xfId="12" xr:uid="{106F01A7-CA09-4C27-B0AC-FD8DC27B4FF4}"/>
    <cellStyle name="Percent" xfId="9" builtinId="5"/>
    <cellStyle name="Percent 2" xfId="4" xr:uid="{5FB61D86-6089-4578-B962-91974E0C3719}"/>
    <cellStyle name="Percent 3" xfId="6" xr:uid="{A8F79C75-9A0E-4419-BB32-B2CB071A6370}"/>
  </cellStyles>
  <dxfs count="109">
    <dxf>
      <font>
        <color theme="1" tint="0.499984740745262"/>
      </font>
      <fill>
        <patternFill>
          <bgColor theme="2"/>
        </patternFill>
      </fill>
      <border>
        <left/>
      </border>
    </dxf>
    <dxf>
      <font>
        <color theme="0" tint="-0.14996795556505021"/>
      </font>
      <fill>
        <patternFill>
          <bgColor theme="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2" tint="-0.24994659260841701"/>
      </font>
      <fill>
        <patternFill>
          <bgColor theme="0"/>
        </patternFill>
      </fill>
      <border>
        <left/>
      </border>
    </dxf>
    <dxf>
      <font>
        <color theme="2" tint="-0.24994659260841701"/>
      </font>
      <fill>
        <patternFill>
          <bgColor theme="0"/>
        </patternFill>
      </fill>
      <border>
        <left/>
      </border>
    </dxf>
    <dxf>
      <font>
        <color theme="2" tint="-0.24994659260841701"/>
      </font>
      <fill>
        <patternFill>
          <bgColor theme="0"/>
        </patternFill>
      </fill>
      <border>
        <left/>
      </border>
    </dxf>
    <dxf>
      <font>
        <color theme="2" tint="-0.24994659260841701"/>
      </font>
      <fill>
        <patternFill>
          <bgColor theme="0"/>
        </patternFill>
      </fill>
      <border>
        <left/>
      </border>
    </dxf>
    <dxf>
      <font>
        <color theme="1" tint="0.499984740745262"/>
      </font>
      <fill>
        <patternFill>
          <bgColor theme="2"/>
        </patternFill>
      </fill>
    </dxf>
    <dxf>
      <font>
        <color theme="1" tint="0.499984740745262"/>
      </font>
      <fill>
        <patternFill>
          <bgColor theme="2"/>
        </patternFill>
      </fill>
    </dxf>
    <dxf>
      <font>
        <color theme="1" tint="0.499984740745262"/>
      </font>
      <fill>
        <patternFill>
          <bgColor theme="2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</dxf>
    <dxf>
      <numFmt numFmtId="14" formatCode="0.00%"/>
    </dxf>
    <dxf>
      <numFmt numFmtId="188" formatCode="#,##0;\-#,##0,&quot;&quot;"/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auto="1"/>
        </left>
      </border>
    </dxf>
    <dxf>
      <fill>
        <patternFill patternType="solid">
          <bgColor theme="0"/>
        </patternFill>
      </fill>
      <border>
        <top/>
        <bottom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fill>
        <patternFill patternType="solid">
          <bgColor theme="0"/>
        </patternFill>
      </fill>
      <border>
        <top/>
        <bottom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2" tint="-0.24994659260841701"/>
      </font>
      <fill>
        <patternFill>
          <bgColor theme="0"/>
        </patternFill>
      </fill>
      <border>
        <left/>
        <top/>
        <bottom/>
        <vertical/>
        <horizontal/>
      </border>
    </dxf>
    <dxf>
      <font>
        <color theme="2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fill>
        <patternFill patternType="solid">
          <bgColor theme="0"/>
        </patternFill>
      </fill>
      <border>
        <top/>
        <bottom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dashDotDot">
          <color auto="1"/>
        </left>
        <right style="dashDotDot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1" tint="0.499984740745262"/>
      </font>
      <fill>
        <patternFill>
          <bgColor theme="2"/>
        </patternFill>
      </fill>
    </dxf>
    <dxf>
      <font>
        <color theme="1" tint="0.499984740745262"/>
      </font>
      <fill>
        <patternFill>
          <bgColor theme="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9" tint="0.39997558519241921"/>
        </patternFill>
      </fill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64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73" formatCode="[$-C09]mmm\-yyyy;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64" formatCode="_-* #,##0_-;\-* #,##0_-;_-* &quot;-&quot;??_-;_-@_-"/>
      <fill>
        <patternFill patternType="solid">
          <fgColor indexed="64"/>
          <bgColor rgb="FFD0EBB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" formatCode="0"/>
      <fill>
        <patternFill patternType="solid">
          <fgColor indexed="64"/>
          <bgColor rgb="FFD0EBB3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scheme val="none"/>
      </font>
      <numFmt numFmtId="164" formatCode="_-* #,##0_-;\-* #,##0_-;_-* &quot;-&quot;??_-;_-@_-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D0EBB3"/>
      <color rgb="FFDDEBF7"/>
      <color rgb="FFAED28A"/>
      <color rgb="FF00FF00"/>
      <color rgb="FFFFE07D"/>
      <color rgb="FFC59EE2"/>
      <color rgb="FFDAEEF3"/>
      <color rgb="FFB4E2BC"/>
      <color rgb="FFFFFFA3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192430</xdr:colOff>
      <xdr:row>5</xdr:row>
      <xdr:rowOff>99303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16C14-68F6-418C-9045-5356AF49C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640" y="0"/>
          <a:ext cx="3142857" cy="102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18553</xdr:colOff>
      <xdr:row>1</xdr:row>
      <xdr:rowOff>66261</xdr:rowOff>
    </xdr:from>
    <xdr:to>
      <xdr:col>14</xdr:col>
      <xdr:colOff>284922</xdr:colOff>
      <xdr:row>2</xdr:row>
      <xdr:rowOff>73881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796" y="284922"/>
          <a:ext cx="7164126" cy="23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549303</xdr:colOff>
      <xdr:row>1</xdr:row>
      <xdr:rowOff>84151</xdr:rowOff>
    </xdr:from>
    <xdr:to>
      <xdr:col>10</xdr:col>
      <xdr:colOff>269684</xdr:colOff>
      <xdr:row>2</xdr:row>
      <xdr:rowOff>105023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283" y="305131"/>
          <a:ext cx="7149881" cy="241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1040295</xdr:colOff>
      <xdr:row>0</xdr:row>
      <xdr:rowOff>304800</xdr:rowOff>
    </xdr:from>
    <xdr:to>
      <xdr:col>12</xdr:col>
      <xdr:colOff>398890</xdr:colOff>
      <xdr:row>2</xdr:row>
      <xdr:rowOff>27498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738" y="304800"/>
          <a:ext cx="7164126" cy="23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68580</xdr:colOff>
      <xdr:row>1</xdr:row>
      <xdr:rowOff>38100</xdr:rowOff>
    </xdr:from>
    <xdr:to>
      <xdr:col>11</xdr:col>
      <xdr:colOff>287076</xdr:colOff>
      <xdr:row>2</xdr:row>
      <xdr:rowOff>56653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8840" y="259080"/>
          <a:ext cx="7164126" cy="23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777240</xdr:colOff>
      <xdr:row>1</xdr:row>
      <xdr:rowOff>99060</xdr:rowOff>
    </xdr:from>
    <xdr:to>
      <xdr:col>9</xdr:col>
      <xdr:colOff>69906</xdr:colOff>
      <xdr:row>2</xdr:row>
      <xdr:rowOff>117613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320040"/>
          <a:ext cx="7164126" cy="239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798444</xdr:colOff>
      <xdr:row>1</xdr:row>
      <xdr:rowOff>64605</xdr:rowOff>
    </xdr:from>
    <xdr:to>
      <xdr:col>9</xdr:col>
      <xdr:colOff>1061169</xdr:colOff>
      <xdr:row>2</xdr:row>
      <xdr:rowOff>83158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1118" y="296518"/>
          <a:ext cx="6971638" cy="25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1072764</xdr:colOff>
      <xdr:row>1</xdr:row>
      <xdr:rowOff>42407</xdr:rowOff>
    </xdr:from>
    <xdr:to>
      <xdr:col>8</xdr:col>
      <xdr:colOff>555599</xdr:colOff>
      <xdr:row>2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590" y="274320"/>
          <a:ext cx="6995161" cy="2504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ionery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FC Section"/>
      <sheetName val="ACCOUNT Section"/>
      <sheetName val="CORPORATE Section"/>
      <sheetName val="BILLING Section"/>
      <sheetName val="FNC Department"/>
      <sheetName val="EMCa - Base Step Trend calc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F9389E0-3682-4E00-81B7-926E62765265}" name="Table4" displayName="Table4" ref="D9:J73" totalsRowShown="0" headerRowDxfId="108" dataDxfId="107" headerRowCellStyle="Normal 2" dataCellStyle="Normal 2">
  <autoFilter ref="D9:J73" xr:uid="{7F9389E0-3682-4E00-81B7-926E62765265}"/>
  <tableColumns count="7">
    <tableColumn id="1" xr3:uid="{8196FCA1-34DA-4C82-BD3E-2F713ABD2D61}" name="Year" dataDxfId="106" dataCellStyle="Normal 2">
      <calculatedColumnFormula>YEAR(F10)</calculatedColumnFormula>
    </tableColumn>
    <tableColumn id="2" xr3:uid="{4052FD31-0C1A-4334-92BE-B957D802E3E0}" name="Month" dataDxfId="105" dataCellStyle="Normal 2">
      <calculatedColumnFormula>MONTH(F10)</calculatedColumnFormula>
    </tableColumn>
    <tableColumn id="3" xr3:uid="{A6846A1A-130E-4DB7-AC5F-1F0308B10F79}" name="Unit" dataDxfId="104" dataCellStyle="Normal 2"/>
    <tableColumn id="4" xr3:uid="{4E99AD5F-9A07-47DD-961E-10B8C529C479}" name="index" dataDxfId="103" dataCellStyle="Normal 2"/>
    <tableColumn id="5" xr3:uid="{0CF542C4-1261-4CD9-88DB-62889A2D6C5E}" name="Percent" dataDxfId="102" dataCellStyle="Normal 2"/>
    <tableColumn id="6" xr3:uid="{1B724C15-754F-4523-88DA-A11ECDF50E9A}" name="index2" dataDxfId="101" dataCellStyle="Normal 2"/>
    <tableColumn id="7" xr3:uid="{043AA3FB-5527-4C10-B853-3EA624F32101}" name="Percent3" dataDxfId="100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3091FC-13DC-4F40-AA11-A4C8AA232D8B}" name="I_MeterTypes" displayName="I_MeterTypes" ref="F8:K23" totalsRowShown="0" headerRowDxfId="99" dataDxfId="98" tableBorderDxfId="97">
  <autoFilter ref="F8:K23" xr:uid="{7D3091FC-13DC-4F40-AA11-A4C8AA232D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41CDFD4-27AF-44FD-B4DF-86B65AC61016}" name="Meter Type" dataDxfId="96"/>
    <tableColumn id="2" xr3:uid="{395475D8-A23C-44BD-8C00-A1287272EB67}" name="RIN Subcategory 1" dataDxfId="95"/>
    <tableColumn id="6" xr3:uid="{ED9A04B3-76BE-4883-9309-721F8EB659E9}" name="RIN Subcategory 2" dataDxfId="94"/>
    <tableColumn id="5" xr3:uid="{568BD1C2-85A9-4E15-A611-B2AE70D448DD}" name="AER Type" dataDxfId="93"/>
    <tableColumn id="3" xr3:uid="{E91011A9-81D9-4C56-A4B9-8EC0BB8B2685}" name="RIN Subcategory 3" dataDxfId="92"/>
    <tableColumn id="4" xr3:uid="{BF3909D4-16B3-462B-B599-15DA8DD7FFBC}" name="Meter Code" dataDxfId="9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E644-C897-4009-87EE-A38849B795D0}">
  <sheetPr codeName="Sheet1">
    <tabColor rgb="FF002060"/>
  </sheetPr>
  <dimension ref="B6:Y43"/>
  <sheetViews>
    <sheetView showGridLines="0" tabSelected="1" zoomScale="82" zoomScaleNormal="82" workbookViewId="0">
      <selection activeCell="H9" sqref="H9"/>
    </sheetView>
  </sheetViews>
  <sheetFormatPr defaultColWidth="8.81640625" defaultRowHeight="14.5" x14ac:dyDescent="0.35"/>
  <cols>
    <col min="1" max="1" width="8.81640625" style="56"/>
    <col min="2" max="2" width="13.26953125" style="56" customWidth="1"/>
    <col min="3" max="3" width="8" style="56" customWidth="1"/>
    <col min="4" max="4" width="15.54296875" style="56" customWidth="1"/>
    <col min="5" max="5" width="5.453125" style="56" customWidth="1"/>
    <col min="6" max="6" width="15.1796875" style="56" customWidth="1"/>
    <col min="7" max="7" width="16.1796875" style="56" customWidth="1"/>
    <col min="8" max="8" width="17.453125" style="56" customWidth="1"/>
    <col min="9" max="9" width="75.26953125" style="56" customWidth="1"/>
    <col min="10" max="10" width="42.54296875" style="56" customWidth="1"/>
    <col min="11" max="11" width="15.26953125" style="56" customWidth="1"/>
    <col min="12" max="12" width="13.453125" style="56" customWidth="1"/>
    <col min="13" max="13" width="37" style="56" customWidth="1"/>
    <col min="14" max="14" width="21.81640625" style="56" customWidth="1"/>
    <col min="15" max="15" width="11.54296875" style="56" customWidth="1"/>
    <col min="16" max="16" width="104.1796875" style="56" customWidth="1"/>
    <col min="17" max="17" width="13.26953125" style="56" customWidth="1"/>
    <col min="18" max="18" width="14.453125" style="56" customWidth="1"/>
    <col min="19" max="19" width="9.26953125" style="56" customWidth="1"/>
    <col min="20" max="16384" width="8.81640625" style="56"/>
  </cols>
  <sheetData>
    <row r="6" spans="2:25" ht="14.5" customHeight="1" x14ac:dyDescent="0.35">
      <c r="B6" s="707" t="s">
        <v>435</v>
      </c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707"/>
      <c r="R6" s="707"/>
      <c r="S6" s="707"/>
      <c r="T6" s="707"/>
      <c r="U6" s="707"/>
      <c r="V6" s="707"/>
      <c r="W6" s="707"/>
      <c r="X6" s="707"/>
      <c r="Y6" s="707"/>
    </row>
    <row r="7" spans="2:25" ht="25" customHeight="1" x14ac:dyDescent="0.35"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</row>
    <row r="9" spans="2:25" x14ac:dyDescent="0.35">
      <c r="B9" s="62" t="s">
        <v>434</v>
      </c>
      <c r="D9" s="663">
        <v>1</v>
      </c>
    </row>
    <row r="10" spans="2:25" ht="18.5" x14ac:dyDescent="0.45">
      <c r="B10" s="703" t="s">
        <v>194</v>
      </c>
      <c r="C10" s="703"/>
      <c r="D10" s="704">
        <v>44494</v>
      </c>
      <c r="E10" s="66"/>
      <c r="I10" s="63"/>
      <c r="P10" s="519"/>
    </row>
    <row r="13" spans="2:25" ht="18.5" x14ac:dyDescent="0.45">
      <c r="B13" s="708" t="s">
        <v>196</v>
      </c>
      <c r="C13" s="708"/>
      <c r="D13" s="708"/>
      <c r="E13" s="708"/>
      <c r="F13" s="708"/>
      <c r="G13" s="708"/>
      <c r="H13" s="708"/>
      <c r="I13" s="708"/>
      <c r="J13" s="708"/>
      <c r="K13" s="708"/>
      <c r="L13" s="708"/>
      <c r="M13" s="708"/>
      <c r="N13" s="708"/>
      <c r="O13" s="708"/>
      <c r="P13" s="708"/>
      <c r="Q13" s="708"/>
      <c r="R13" s="708"/>
      <c r="S13" s="708"/>
      <c r="T13" s="708"/>
      <c r="U13" s="708"/>
      <c r="V13" s="708"/>
      <c r="W13" s="708"/>
      <c r="X13" s="708"/>
      <c r="Y13" s="708"/>
    </row>
    <row r="14" spans="2:25" x14ac:dyDescent="0.35">
      <c r="V14" s="64"/>
    </row>
    <row r="15" spans="2:25" x14ac:dyDescent="0.35">
      <c r="B15" s="62" t="s">
        <v>277</v>
      </c>
    </row>
    <row r="16" spans="2:25" x14ac:dyDescent="0.35">
      <c r="B16" s="639" t="s">
        <v>387</v>
      </c>
    </row>
    <row r="17" spans="2:25" x14ac:dyDescent="0.35">
      <c r="B17" s="639" t="s">
        <v>386</v>
      </c>
    </row>
    <row r="18" spans="2:25" x14ac:dyDescent="0.35">
      <c r="B18" s="705"/>
      <c r="C18" s="706"/>
      <c r="D18" s="706"/>
      <c r="E18" s="706"/>
      <c r="F18" s="706"/>
      <c r="G18" s="706"/>
    </row>
    <row r="20" spans="2:25" ht="18.5" x14ac:dyDescent="0.45">
      <c r="B20" s="708" t="s">
        <v>195</v>
      </c>
      <c r="C20" s="708"/>
      <c r="D20" s="708"/>
      <c r="E20" s="708"/>
      <c r="F20" s="708"/>
      <c r="G20" s="708"/>
      <c r="H20" s="708"/>
      <c r="I20" s="708"/>
      <c r="J20" s="708"/>
      <c r="K20" s="708"/>
      <c r="L20" s="708"/>
      <c r="M20" s="708"/>
      <c r="N20" s="708"/>
      <c r="O20" s="708"/>
      <c r="P20" s="708"/>
      <c r="Q20" s="708"/>
      <c r="R20" s="708"/>
      <c r="S20" s="708"/>
      <c r="T20" s="708"/>
      <c r="U20" s="708"/>
      <c r="V20" s="708"/>
      <c r="W20" s="708"/>
      <c r="X20" s="708"/>
      <c r="Y20" s="708"/>
    </row>
    <row r="22" spans="2:25" x14ac:dyDescent="0.35">
      <c r="B22" s="709" t="s">
        <v>194</v>
      </c>
      <c r="C22" s="709" t="s">
        <v>193</v>
      </c>
      <c r="D22" s="710" t="s">
        <v>192</v>
      </c>
      <c r="E22" s="709" t="s">
        <v>191</v>
      </c>
      <c r="F22" s="711"/>
      <c r="G22" s="711"/>
      <c r="H22" s="711"/>
    </row>
    <row r="23" spans="2:25" ht="13.15" customHeight="1" x14ac:dyDescent="0.35">
      <c r="B23" s="74"/>
      <c r="C23" s="65"/>
      <c r="D23" s="404"/>
      <c r="E23" s="406"/>
      <c r="H23" s="79" t="s">
        <v>219</v>
      </c>
    </row>
    <row r="24" spans="2:25" ht="13.15" customHeight="1" x14ac:dyDescent="0.35">
      <c r="B24" s="658">
        <v>44494</v>
      </c>
      <c r="C24" s="659">
        <v>1</v>
      </c>
      <c r="D24" s="664" t="s">
        <v>84</v>
      </c>
      <c r="E24" s="660"/>
      <c r="F24" s="661"/>
      <c r="G24" s="661"/>
      <c r="H24" s="662"/>
    </row>
    <row r="25" spans="2:25" ht="13.15" customHeight="1" x14ac:dyDescent="0.35">
      <c r="B25" s="74"/>
      <c r="C25" s="65"/>
      <c r="D25" s="649"/>
      <c r="E25" s="650"/>
      <c r="H25" s="79"/>
    </row>
    <row r="26" spans="2:25" ht="13.15" customHeight="1" x14ac:dyDescent="0.35">
      <c r="B26" s="87"/>
      <c r="C26" s="402"/>
      <c r="D26" s="403"/>
      <c r="E26" s="666"/>
      <c r="F26" s="666"/>
      <c r="G26" s="666"/>
      <c r="H26" s="666"/>
    </row>
    <row r="27" spans="2:25" ht="13.15" customHeight="1" x14ac:dyDescent="0.35">
      <c r="B27" s="87"/>
      <c r="C27" s="402"/>
      <c r="D27" s="403"/>
      <c r="E27" s="666"/>
      <c r="F27" s="666"/>
      <c r="G27" s="666"/>
      <c r="H27" s="666"/>
    </row>
    <row r="28" spans="2:25" x14ac:dyDescent="0.35">
      <c r="B28" s="87"/>
      <c r="C28" s="402"/>
      <c r="D28" s="403"/>
      <c r="E28" s="666"/>
      <c r="F28" s="666"/>
      <c r="G28" s="666"/>
      <c r="H28" s="666"/>
    </row>
    <row r="29" spans="2:25" x14ac:dyDescent="0.35">
      <c r="B29" s="87"/>
      <c r="C29" s="402"/>
      <c r="D29" s="403"/>
      <c r="E29" s="666"/>
      <c r="F29" s="666"/>
      <c r="G29" s="666"/>
      <c r="H29" s="666"/>
    </row>
    <row r="30" spans="2:25" x14ac:dyDescent="0.35">
      <c r="B30" s="74"/>
      <c r="D30" s="86"/>
      <c r="E30" s="665"/>
      <c r="F30" s="665"/>
      <c r="G30" s="665"/>
      <c r="H30" s="665"/>
    </row>
    <row r="31" spans="2:25" x14ac:dyDescent="0.35">
      <c r="B31" s="74"/>
      <c r="D31" s="86"/>
      <c r="E31" s="665"/>
      <c r="F31" s="665"/>
      <c r="G31" s="665"/>
      <c r="H31" s="665"/>
    </row>
    <row r="32" spans="2:25" x14ac:dyDescent="0.35">
      <c r="B32" s="74"/>
      <c r="C32" s="65"/>
    </row>
    <row r="35" spans="2:6" x14ac:dyDescent="0.35">
      <c r="F35" s="86"/>
    </row>
    <row r="36" spans="2:6" x14ac:dyDescent="0.35">
      <c r="B36" s="59"/>
      <c r="C36" s="60"/>
      <c r="E36" s="61"/>
    </row>
    <row r="37" spans="2:6" x14ac:dyDescent="0.35">
      <c r="B37" s="59"/>
      <c r="C37" s="60"/>
    </row>
    <row r="38" spans="2:6" x14ac:dyDescent="0.35">
      <c r="B38" s="59"/>
      <c r="C38" s="60"/>
    </row>
    <row r="39" spans="2:6" x14ac:dyDescent="0.35">
      <c r="B39" s="59"/>
      <c r="C39" s="60"/>
    </row>
    <row r="40" spans="2:6" x14ac:dyDescent="0.35">
      <c r="B40" s="59"/>
      <c r="C40" s="58"/>
      <c r="D40" s="57"/>
    </row>
    <row r="43" spans="2:6" x14ac:dyDescent="0.35">
      <c r="B43" s="86"/>
    </row>
  </sheetData>
  <mergeCells count="10">
    <mergeCell ref="B6:Y7"/>
    <mergeCell ref="E31:H31"/>
    <mergeCell ref="E29:H29"/>
    <mergeCell ref="E28:H28"/>
    <mergeCell ref="E27:H27"/>
    <mergeCell ref="E26:H26"/>
    <mergeCell ref="B20:Y20"/>
    <mergeCell ref="B10:C10"/>
    <mergeCell ref="B13:Y13"/>
    <mergeCell ref="E30:H3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06C06-28B1-4E41-BFA9-566C4D9A1293}">
  <sheetPr codeName="Sheet11">
    <tabColor theme="8" tint="0.59999389629810485"/>
  </sheetPr>
  <dimension ref="A1:AF47"/>
  <sheetViews>
    <sheetView showGridLines="0" zoomScaleNormal="100" workbookViewId="0">
      <selection activeCell="F3" sqref="F3"/>
    </sheetView>
  </sheetViews>
  <sheetFormatPr defaultColWidth="0" defaultRowHeight="11.25" customHeight="1" zeroHeight="1" x14ac:dyDescent="0.2"/>
  <cols>
    <col min="1" max="2" width="1.26953125" style="24" customWidth="1"/>
    <col min="3" max="3" width="3.453125" style="24" customWidth="1"/>
    <col min="4" max="4" width="6.26953125" style="24" customWidth="1"/>
    <col min="5" max="5" width="39.1796875" style="24" bestFit="1" customWidth="1"/>
    <col min="6" max="6" width="23.7265625" style="25" customWidth="1"/>
    <col min="7" max="8" width="11.81640625" style="25" customWidth="1"/>
    <col min="9" max="9" width="13.81640625" style="25" bestFit="1" customWidth="1"/>
    <col min="10" max="10" width="3" style="25" customWidth="1"/>
    <col min="11" max="11" width="10.81640625" style="25" customWidth="1"/>
    <col min="12" max="25" width="9.26953125" style="24" customWidth="1"/>
    <col min="26" max="16384" width="9" style="24" hidden="1"/>
  </cols>
  <sheetData>
    <row r="1" spans="1:32" s="11" customFormat="1" ht="18" x14ac:dyDescent="0.25">
      <c r="A1" s="67"/>
      <c r="B1" s="67" t="s">
        <v>433</v>
      </c>
      <c r="C1" s="67"/>
      <c r="D1" s="67"/>
      <c r="E1" s="67"/>
      <c r="F1" s="67"/>
      <c r="G1" s="67"/>
      <c r="H1" s="67"/>
      <c r="I1" s="6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32" s="14" customFormat="1" ht="18.5" thickBot="1" x14ac:dyDescent="0.3">
      <c r="A2" s="55"/>
      <c r="B2" s="667" t="s">
        <v>432</v>
      </c>
      <c r="C2" s="667"/>
      <c r="D2" s="656">
        <v>1</v>
      </c>
      <c r="E2" s="657"/>
      <c r="F2" s="55"/>
      <c r="G2" s="493" t="s">
        <v>0</v>
      </c>
      <c r="H2" s="494" t="s">
        <v>1</v>
      </c>
      <c r="I2" s="674" t="s">
        <v>2</v>
      </c>
      <c r="J2" s="675"/>
      <c r="K2" s="668" t="s">
        <v>3</v>
      </c>
      <c r="L2" s="669"/>
      <c r="M2" s="670" t="s">
        <v>341</v>
      </c>
      <c r="N2" s="671"/>
      <c r="O2" s="672" t="s">
        <v>342</v>
      </c>
      <c r="P2" s="673"/>
      <c r="Q2" s="3"/>
      <c r="R2" s="3"/>
      <c r="S2" s="3"/>
      <c r="T2" s="3"/>
      <c r="U2" s="3"/>
      <c r="V2" s="3"/>
      <c r="W2" s="3"/>
      <c r="X2" s="3"/>
      <c r="Y2" s="3"/>
    </row>
    <row r="3" spans="1:32" s="495" customFormat="1" ht="18" x14ac:dyDescent="0.25">
      <c r="A3" s="55"/>
      <c r="B3" s="68" t="str" cm="1">
        <f t="array" aca="1" ref="B3" ca="1">MID(CELL("filename",A1),FIND("]",CELL("filename",A1))+1,255)</f>
        <v>Input|General</v>
      </c>
      <c r="C3" s="55"/>
      <c r="D3" s="55"/>
      <c r="E3" s="55"/>
      <c r="F3" s="68"/>
      <c r="G3" s="68"/>
      <c r="H3" s="68"/>
      <c r="I3" s="68"/>
      <c r="J3" s="3"/>
      <c r="K3" s="3"/>
      <c r="L3" s="3"/>
      <c r="M3" s="3"/>
      <c r="N3" s="3"/>
      <c r="O3" s="68"/>
      <c r="P3" s="68"/>
      <c r="Q3" s="68"/>
      <c r="R3" s="68"/>
      <c r="S3" s="68"/>
      <c r="T3" s="68"/>
      <c r="U3" s="68"/>
      <c r="V3" s="68"/>
      <c r="W3" s="68"/>
      <c r="X3" s="3"/>
      <c r="Y3" s="3"/>
    </row>
    <row r="4" spans="1:32" s="15" customFormat="1" ht="12.75" customHeight="1" x14ac:dyDescent="0.2">
      <c r="F4" s="16"/>
      <c r="G4" s="16"/>
      <c r="H4" s="16"/>
      <c r="I4" s="16"/>
      <c r="J4" s="16"/>
      <c r="K4" s="16"/>
    </row>
    <row r="5" spans="1:32" s="4" customFormat="1" ht="13" x14ac:dyDescent="0.3">
      <c r="A5" s="496"/>
      <c r="B5" s="497" t="s">
        <v>61</v>
      </c>
      <c r="C5" s="497"/>
      <c r="D5" s="497"/>
      <c r="E5" s="496"/>
      <c r="F5" s="496"/>
      <c r="G5" s="496"/>
      <c r="H5" s="19"/>
      <c r="I5" s="19"/>
      <c r="J5" s="19"/>
      <c r="K5" s="19"/>
      <c r="L5" s="498"/>
      <c r="M5" s="21"/>
      <c r="N5" s="498"/>
      <c r="O5" s="21"/>
      <c r="P5" s="498"/>
      <c r="Q5" s="498"/>
      <c r="R5" s="498"/>
      <c r="S5" s="498"/>
      <c r="T5" s="498"/>
      <c r="U5" s="498"/>
      <c r="V5" s="498"/>
      <c r="W5" s="498"/>
      <c r="X5" s="21"/>
      <c r="Y5" s="21"/>
      <c r="Z5" s="22"/>
      <c r="AA5" s="22"/>
      <c r="AB5" s="22"/>
      <c r="AC5" s="22"/>
      <c r="AD5" s="22"/>
      <c r="AE5" s="23"/>
      <c r="AF5" s="23"/>
    </row>
    <row r="6" spans="1:32" ht="13" x14ac:dyDescent="0.3">
      <c r="A6" s="499"/>
      <c r="B6" s="499"/>
      <c r="C6" s="499"/>
      <c r="D6" s="499"/>
      <c r="E6" s="499"/>
      <c r="F6" s="500"/>
      <c r="G6" s="500"/>
      <c r="H6" s="500"/>
      <c r="I6" s="500"/>
      <c r="J6" s="500"/>
      <c r="K6" s="500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</row>
    <row r="7" spans="1:32" ht="13" x14ac:dyDescent="0.3">
      <c r="A7" s="499"/>
      <c r="B7" s="499"/>
      <c r="C7" s="499"/>
      <c r="D7" s="499"/>
      <c r="E7" s="501" t="s">
        <v>27</v>
      </c>
      <c r="F7" s="502" t="s">
        <v>62</v>
      </c>
      <c r="G7" s="502"/>
      <c r="H7" s="503"/>
      <c r="I7" s="503" t="s">
        <v>29</v>
      </c>
      <c r="J7" s="503"/>
      <c r="K7" s="499"/>
      <c r="L7" s="499"/>
      <c r="M7" s="516" t="s">
        <v>220</v>
      </c>
      <c r="N7" s="517"/>
      <c r="O7" s="517"/>
      <c r="P7" s="517"/>
      <c r="Q7" s="517"/>
      <c r="R7" s="517"/>
      <c r="S7" s="517"/>
      <c r="T7" s="499"/>
      <c r="U7" s="499"/>
      <c r="V7" s="499"/>
      <c r="W7" s="499"/>
    </row>
    <row r="8" spans="1:32" ht="13" x14ac:dyDescent="0.3">
      <c r="A8" s="499"/>
      <c r="B8" s="499"/>
      <c r="C8" s="499"/>
      <c r="D8" s="499"/>
      <c r="E8" s="499" t="s">
        <v>63</v>
      </c>
      <c r="F8" s="500" t="s">
        <v>64</v>
      </c>
      <c r="G8" s="499"/>
      <c r="H8" s="499"/>
      <c r="I8" s="504" t="s">
        <v>384</v>
      </c>
      <c r="J8" s="499"/>
      <c r="K8" s="499"/>
      <c r="L8" s="499"/>
      <c r="M8" s="517"/>
      <c r="N8" s="517"/>
      <c r="O8" s="517"/>
      <c r="P8" s="517"/>
      <c r="Q8" s="517"/>
      <c r="R8" s="517"/>
      <c r="S8" s="517"/>
      <c r="T8" s="499"/>
      <c r="U8" s="505" t="str">
        <f>IF(COUNTBLANK($I8),"Check","Ok")</f>
        <v>Ok</v>
      </c>
      <c r="V8" s="499"/>
      <c r="W8" s="499"/>
    </row>
    <row r="9" spans="1:32" ht="13" x14ac:dyDescent="0.3">
      <c r="A9" s="499"/>
      <c r="B9" s="499"/>
      <c r="C9" s="499"/>
      <c r="D9" s="499"/>
      <c r="E9" s="499" t="s">
        <v>65</v>
      </c>
      <c r="F9" s="500" t="s">
        <v>64</v>
      </c>
      <c r="G9" s="499"/>
      <c r="H9" s="499"/>
      <c r="I9" s="504" t="s">
        <v>200</v>
      </c>
      <c r="J9" s="499"/>
      <c r="K9" s="499"/>
      <c r="L9" s="499"/>
      <c r="M9" s="517"/>
      <c r="N9" s="517"/>
      <c r="O9" s="517"/>
      <c r="P9" s="517"/>
      <c r="Q9" s="517"/>
      <c r="R9" s="517"/>
      <c r="S9" s="517"/>
      <c r="T9" s="499"/>
      <c r="U9" s="505" t="str">
        <f>IF(COUNTBLANK($I9),"Check","Ok")</f>
        <v>Ok</v>
      </c>
      <c r="V9" s="499"/>
      <c r="W9" s="499"/>
    </row>
    <row r="10" spans="1:32" ht="13" x14ac:dyDescent="0.3">
      <c r="A10" s="499"/>
      <c r="B10" s="499"/>
      <c r="C10" s="499"/>
      <c r="D10" s="499"/>
      <c r="E10" s="89"/>
      <c r="F10" s="89"/>
      <c r="G10" s="89"/>
      <c r="H10" s="89"/>
      <c r="I10" s="89"/>
      <c r="J10" s="89"/>
      <c r="K10" s="89"/>
      <c r="L10" s="89"/>
      <c r="M10" s="518"/>
      <c r="N10" s="518"/>
      <c r="O10" s="518"/>
      <c r="P10" s="518"/>
      <c r="Q10" s="518"/>
      <c r="R10" s="518"/>
      <c r="S10" s="518"/>
      <c r="T10" s="89"/>
      <c r="U10" s="89"/>
      <c r="V10" s="89"/>
      <c r="W10" s="89"/>
    </row>
    <row r="11" spans="1:32" ht="13" x14ac:dyDescent="0.3">
      <c r="A11" s="499"/>
      <c r="B11" s="499"/>
      <c r="C11" s="313" t="s">
        <v>203</v>
      </c>
      <c r="D11" s="313"/>
      <c r="E11" s="89"/>
      <c r="F11" s="89"/>
      <c r="G11" s="89"/>
      <c r="H11" s="89"/>
      <c r="I11" s="89"/>
      <c r="J11" s="89"/>
      <c r="K11" s="89"/>
      <c r="L11" s="89"/>
      <c r="M11" s="518"/>
      <c r="N11" s="518"/>
      <c r="O11" s="518"/>
      <c r="P11" s="518"/>
      <c r="Q11" s="518"/>
      <c r="R11" s="518"/>
      <c r="S11" s="518"/>
      <c r="T11" s="89"/>
      <c r="U11" s="89"/>
      <c r="V11" s="89"/>
      <c r="W11" s="89"/>
    </row>
    <row r="12" spans="1:32" ht="13" x14ac:dyDescent="0.3">
      <c r="A12" s="499"/>
      <c r="B12" s="499"/>
      <c r="C12" s="499"/>
      <c r="D12" s="499"/>
      <c r="E12" s="499" t="s">
        <v>67</v>
      </c>
      <c r="F12" s="500" t="s">
        <v>64</v>
      </c>
      <c r="G12" s="499"/>
      <c r="H12" s="499"/>
      <c r="I12" s="506" t="s">
        <v>429</v>
      </c>
      <c r="J12" s="89"/>
      <c r="K12" s="89"/>
      <c r="L12" s="89"/>
      <c r="M12" s="518" t="s">
        <v>388</v>
      </c>
      <c r="N12" s="518"/>
      <c r="O12" s="518"/>
      <c r="P12" s="518"/>
      <c r="Q12" s="518"/>
      <c r="R12" s="518"/>
      <c r="S12" s="518"/>
      <c r="T12" s="89"/>
      <c r="U12" s="505" t="str">
        <f t="shared" ref="U12:U13" si="0">IF(COUNTBLANK($I12),"Check","Ok")</f>
        <v>Ok</v>
      </c>
      <c r="V12" s="89"/>
      <c r="W12" s="89"/>
    </row>
    <row r="13" spans="1:32" ht="13" x14ac:dyDescent="0.3">
      <c r="A13" s="499"/>
      <c r="B13" s="499"/>
      <c r="C13" s="499"/>
      <c r="D13" s="499"/>
      <c r="E13" s="499" t="s">
        <v>68</v>
      </c>
      <c r="F13" s="500" t="s">
        <v>64</v>
      </c>
      <c r="G13" s="499"/>
      <c r="H13" s="499"/>
      <c r="I13" s="507" t="str">
        <f>(LEFT(PPFirstYear,4)+4&amp;IF(MID(PPFirstYear,5,1)="","","-"&amp;TEXT(MOD(MID(PPFirstYear,6,2)+4,100),"00")))</f>
        <v>2019-20</v>
      </c>
      <c r="J13" s="89"/>
      <c r="K13" s="89"/>
      <c r="L13" s="89"/>
      <c r="M13" s="518"/>
      <c r="N13" s="518"/>
      <c r="O13" s="518"/>
      <c r="P13" s="518"/>
      <c r="Q13" s="518"/>
      <c r="R13" s="518"/>
      <c r="S13" s="518"/>
      <c r="T13" s="89"/>
      <c r="U13" s="505" t="str">
        <f t="shared" si="0"/>
        <v>Ok</v>
      </c>
      <c r="V13" s="89"/>
      <c r="W13" s="89"/>
    </row>
    <row r="14" spans="1:32" ht="13" x14ac:dyDescent="0.3">
      <c r="A14" s="499"/>
      <c r="B14" s="499"/>
      <c r="C14" s="499"/>
      <c r="D14" s="499"/>
      <c r="E14" s="499" t="s">
        <v>66</v>
      </c>
      <c r="F14" s="500" t="s">
        <v>64</v>
      </c>
      <c r="G14" s="499"/>
      <c r="H14" s="499"/>
      <c r="I14" s="508">
        <f>IF(MID(PPFirstYear,5,1)="",DATE(2000,12,1),DATE(2000,6,1))</f>
        <v>36678</v>
      </c>
      <c r="J14" s="89"/>
      <c r="K14" s="89"/>
      <c r="L14" s="509"/>
      <c r="M14" s="518"/>
      <c r="N14" s="518"/>
      <c r="O14" s="518"/>
      <c r="P14" s="518"/>
      <c r="Q14" s="518"/>
      <c r="R14" s="518"/>
      <c r="S14" s="518"/>
      <c r="T14" s="89"/>
      <c r="U14" s="505" t="str">
        <f>IF(COUNTBLANK($I14),"Check","Ok")</f>
        <v>Ok</v>
      </c>
      <c r="V14" s="89"/>
      <c r="W14" s="89"/>
    </row>
    <row r="15" spans="1:32" ht="13" x14ac:dyDescent="0.3">
      <c r="A15" s="499"/>
      <c r="B15" s="499"/>
      <c r="C15" s="499"/>
      <c r="D15" s="499"/>
      <c r="E15" s="499" t="s">
        <v>340</v>
      </c>
      <c r="F15" s="500"/>
      <c r="G15" s="499"/>
      <c r="H15" s="499"/>
      <c r="I15" s="507">
        <f>IF(MID(PPFirstYear,5,1)="",0,1)</f>
        <v>1</v>
      </c>
      <c r="J15" s="89"/>
      <c r="K15" s="89"/>
      <c r="L15" s="509"/>
      <c r="M15" s="518"/>
      <c r="N15" s="518"/>
      <c r="O15" s="518"/>
      <c r="P15" s="518"/>
      <c r="Q15" s="518"/>
      <c r="R15" s="518"/>
      <c r="S15" s="518"/>
      <c r="T15" s="89"/>
      <c r="U15" s="510"/>
      <c r="V15" s="89"/>
      <c r="W15" s="89"/>
    </row>
    <row r="16" spans="1:32" ht="13" x14ac:dyDescent="0.3">
      <c r="A16" s="499"/>
      <c r="B16" s="499"/>
      <c r="C16" s="499"/>
      <c r="D16" s="499"/>
      <c r="E16" s="89"/>
      <c r="F16" s="89"/>
      <c r="G16" s="89"/>
      <c r="H16" s="89"/>
      <c r="I16" s="89"/>
      <c r="J16" s="89"/>
      <c r="K16" s="89"/>
      <c r="L16" s="89"/>
      <c r="M16" s="518"/>
      <c r="N16" s="518"/>
      <c r="O16" s="518"/>
      <c r="P16" s="518"/>
      <c r="Q16" s="518"/>
      <c r="R16" s="518"/>
      <c r="S16" s="518"/>
      <c r="T16" s="89"/>
      <c r="U16" s="89"/>
      <c r="V16" s="89"/>
      <c r="W16" s="89"/>
    </row>
    <row r="17" spans="1:23" ht="13" x14ac:dyDescent="0.3">
      <c r="A17" s="499"/>
      <c r="B17" s="499"/>
      <c r="C17" s="313" t="s">
        <v>204</v>
      </c>
      <c r="D17" s="313"/>
      <c r="E17" s="89"/>
      <c r="F17" s="89"/>
      <c r="G17" s="89"/>
      <c r="H17" s="89"/>
      <c r="I17" s="558" t="s">
        <v>367</v>
      </c>
      <c r="J17" s="89"/>
      <c r="K17" s="558" t="s">
        <v>204</v>
      </c>
      <c r="L17" s="89"/>
      <c r="M17" s="201"/>
      <c r="N17" s="518"/>
      <c r="O17" s="518"/>
      <c r="P17" s="518"/>
      <c r="Q17" s="518"/>
      <c r="R17" s="518"/>
      <c r="S17" s="518"/>
      <c r="T17" s="89"/>
      <c r="U17" s="89"/>
      <c r="V17" s="89"/>
      <c r="W17" s="89"/>
    </row>
    <row r="18" spans="1:23" ht="13" x14ac:dyDescent="0.3">
      <c r="A18" s="499"/>
      <c r="B18" s="499"/>
      <c r="C18" s="499"/>
      <c r="D18" s="499"/>
      <c r="E18" s="499" t="s">
        <v>323</v>
      </c>
      <c r="F18" s="500" t="s">
        <v>64</v>
      </c>
      <c r="G18" s="499"/>
      <c r="H18" s="499"/>
      <c r="I18" s="506">
        <v>2019</v>
      </c>
      <c r="J18" s="89"/>
      <c r="K18" s="507" t="str">
        <f>IF(MONTH('Input|General'!$I$14)=6,I18-1&amp;"-"&amp;RIGHT(I18,2),$I18)</f>
        <v>2018-19</v>
      </c>
      <c r="L18" s="89"/>
      <c r="M18" s="201"/>
      <c r="N18" s="518"/>
      <c r="O18" s="518"/>
      <c r="P18" s="518"/>
      <c r="Q18" s="518"/>
      <c r="R18" s="518"/>
      <c r="S18" s="518"/>
      <c r="T18" s="89"/>
      <c r="U18" s="505" t="str">
        <f>IF(AND(NOT(COUNTBLANK($K18)),(IFERROR(SEARCH("-",PPFirstYear,1),-5)=IFERROR(SEARCH("-",$K18,1),-5)))/1,"Ok","Check")</f>
        <v>Ok</v>
      </c>
      <c r="V18" s="89"/>
      <c r="W18" s="89"/>
    </row>
    <row r="19" spans="1:23" ht="13" x14ac:dyDescent="0.3">
      <c r="A19" s="89"/>
      <c r="B19" s="89"/>
      <c r="C19" s="499"/>
      <c r="D19" s="499"/>
      <c r="E19" s="511" t="s">
        <v>324</v>
      </c>
      <c r="F19" s="512" t="s">
        <v>64</v>
      </c>
      <c r="G19" s="89"/>
      <c r="H19" s="89"/>
      <c r="I19" s="506">
        <v>2019</v>
      </c>
      <c r="J19" s="89"/>
      <c r="K19" s="507" t="str">
        <f>IF(MONTH('Input|General'!$I$14)=6,I19-1&amp;"-"&amp;RIGHT(I19,2),$I19)</f>
        <v>2018-19</v>
      </c>
      <c r="L19" s="89"/>
      <c r="M19" s="518"/>
      <c r="N19" s="518"/>
      <c r="O19" s="518"/>
      <c r="P19" s="518"/>
      <c r="Q19" s="518"/>
      <c r="R19" s="518"/>
      <c r="S19" s="518"/>
      <c r="T19" s="89"/>
      <c r="U19" s="505" t="str">
        <f>IF(AND(NOT(COUNTBLANK($K19)),(IFERROR(SEARCH("-",PPFirstYear,1),-5)=IFERROR(SEARCH("-",$K19,1),-5)))/1,"Ok","Check")</f>
        <v>Ok</v>
      </c>
      <c r="V19" s="89"/>
      <c r="W19" s="89"/>
    </row>
    <row r="20" spans="1:23" ht="13" x14ac:dyDescent="0.3">
      <c r="A20" s="499"/>
      <c r="B20" s="499"/>
      <c r="C20" s="499"/>
      <c r="D20" s="499"/>
      <c r="E20" s="89"/>
      <c r="F20" s="89"/>
      <c r="G20" s="89"/>
      <c r="H20" s="89"/>
      <c r="I20" s="89"/>
      <c r="J20" s="89"/>
      <c r="K20" s="89"/>
      <c r="L20" s="89"/>
      <c r="M20" s="518"/>
      <c r="N20" s="518"/>
      <c r="O20" s="518"/>
      <c r="P20" s="518"/>
      <c r="Q20" s="518"/>
      <c r="R20" s="518"/>
      <c r="S20" s="518"/>
      <c r="T20" s="89"/>
      <c r="U20" s="89"/>
      <c r="V20" s="89"/>
      <c r="W20" s="89"/>
    </row>
    <row r="21" spans="1:23" ht="13" x14ac:dyDescent="0.3">
      <c r="A21" s="499"/>
      <c r="B21" s="499"/>
      <c r="C21" s="499"/>
      <c r="D21" s="499"/>
      <c r="E21" s="89"/>
      <c r="F21" s="89"/>
      <c r="G21" s="89"/>
      <c r="H21" s="89"/>
      <c r="I21" s="89"/>
      <c r="J21" s="89"/>
      <c r="K21" s="89"/>
      <c r="L21"/>
      <c r="M21"/>
      <c r="N21" s="518"/>
      <c r="O21" s="518"/>
      <c r="P21" s="518"/>
      <c r="Q21" s="518"/>
      <c r="R21" s="518"/>
      <c r="S21" s="518"/>
      <c r="T21" s="89"/>
      <c r="U21" s="89"/>
      <c r="V21" s="89"/>
      <c r="W21" s="89"/>
    </row>
    <row r="22" spans="1:23" ht="13" x14ac:dyDescent="0.3">
      <c r="A22" s="499"/>
      <c r="B22" s="499"/>
      <c r="C22" s="313" t="s">
        <v>205</v>
      </c>
      <c r="D22" s="313"/>
      <c r="E22" s="89"/>
      <c r="F22" s="89"/>
      <c r="G22" s="89"/>
      <c r="H22" s="89"/>
      <c r="I22" s="89"/>
      <c r="J22" s="89"/>
      <c r="K22" s="89"/>
      <c r="L22"/>
      <c r="M22"/>
      <c r="N22" s="518"/>
      <c r="O22" s="518"/>
      <c r="P22" s="518"/>
      <c r="Q22" s="518"/>
      <c r="R22" s="518"/>
      <c r="S22" s="518"/>
      <c r="T22" s="89"/>
      <c r="U22" s="89"/>
      <c r="V22" s="89"/>
      <c r="W22" s="89"/>
    </row>
    <row r="23" spans="1:23" ht="13" x14ac:dyDescent="0.3">
      <c r="A23" s="499"/>
      <c r="B23" s="499"/>
      <c r="C23" s="499"/>
      <c r="D23" s="499"/>
      <c r="E23" s="499" t="s">
        <v>69</v>
      </c>
      <c r="F23" s="500" t="s">
        <v>64</v>
      </c>
      <c r="G23" s="499"/>
      <c r="H23" s="499"/>
      <c r="I23" s="507" t="str">
        <f>IF(MONTH('Input|General'!$I$14)=6,(LEFT(PPLastYear,4)+1&amp;IF(MID(PPLastYear,5,1)="","","-"&amp;TEXT(MOD(MID(PPLastYear,6,2)+1,100),"00"))),PPLastYear+1)</f>
        <v>2020-21</v>
      </c>
      <c r="J23" s="499"/>
      <c r="K23" s="499"/>
      <c r="L23"/>
      <c r="M23"/>
      <c r="N23" s="517"/>
      <c r="O23" s="517"/>
      <c r="P23" s="517"/>
      <c r="Q23" s="517"/>
      <c r="R23" s="517"/>
      <c r="S23" s="517"/>
      <c r="T23" s="499"/>
      <c r="U23" s="505" t="str">
        <f t="shared" ref="U23:U24" si="1">IF(COUNTBLANK($I23),"Check","Ok")</f>
        <v>Ok</v>
      </c>
      <c r="V23" s="499"/>
      <c r="W23" s="499"/>
    </row>
    <row r="24" spans="1:23" ht="13" x14ac:dyDescent="0.3">
      <c r="A24" s="499"/>
      <c r="B24" s="499"/>
      <c r="C24" s="499"/>
      <c r="D24" s="499"/>
      <c r="E24" s="499" t="s">
        <v>70</v>
      </c>
      <c r="F24" s="500" t="s">
        <v>64</v>
      </c>
      <c r="G24" s="499"/>
      <c r="H24" s="499"/>
      <c r="I24" s="507" t="str">
        <f>IF(MONTH('Input|General'!$I$14)=6,(LEFT(PPLastYear,4)+5&amp;IF(MID(PPLastYear,5,1)="","","-"&amp;TEXT(MOD(MID(PPLastYear,6,2)+5,100),"00"))),PPLastYear+5)</f>
        <v>2024-25</v>
      </c>
      <c r="J24" s="499"/>
      <c r="K24" s="499"/>
      <c r="L24"/>
      <c r="M24"/>
      <c r="N24" s="517"/>
      <c r="O24" s="517"/>
      <c r="P24" s="517"/>
      <c r="Q24" s="517"/>
      <c r="R24" s="517"/>
      <c r="S24" s="517"/>
      <c r="T24" s="499"/>
      <c r="U24" s="505" t="str">
        <f t="shared" si="1"/>
        <v>Ok</v>
      </c>
      <c r="V24" s="499"/>
      <c r="W24" s="499"/>
    </row>
    <row r="25" spans="1:23" ht="13" x14ac:dyDescent="0.3">
      <c r="A25" s="499"/>
      <c r="B25" s="499"/>
      <c r="C25" s="499"/>
      <c r="D25" s="499"/>
      <c r="E25" s="499"/>
      <c r="F25" s="500"/>
      <c r="G25" s="500"/>
      <c r="H25" s="500"/>
      <c r="I25" s="500"/>
      <c r="J25" s="499"/>
      <c r="K25" s="499"/>
      <c r="L25" s="499"/>
      <c r="M25" s="517"/>
      <c r="N25" s="517"/>
      <c r="O25" s="517"/>
      <c r="P25" s="517"/>
      <c r="Q25" s="517"/>
      <c r="R25" s="517"/>
      <c r="S25" s="517"/>
      <c r="T25" s="499"/>
      <c r="U25" s="89"/>
      <c r="V25" s="499"/>
      <c r="W25" s="499"/>
    </row>
    <row r="26" spans="1:23" ht="13" x14ac:dyDescent="0.3">
      <c r="A26" s="499"/>
      <c r="B26" s="499"/>
      <c r="C26" s="499"/>
      <c r="D26" s="499"/>
      <c r="E26" s="499"/>
      <c r="F26" s="500"/>
      <c r="G26" s="500"/>
      <c r="H26" s="500"/>
      <c r="I26" s="500"/>
      <c r="J26" s="499"/>
      <c r="K26" s="499"/>
      <c r="L26" s="499"/>
      <c r="M26" s="517"/>
      <c r="N26" s="517"/>
      <c r="O26" s="517"/>
      <c r="P26" s="517"/>
      <c r="Q26" s="517"/>
      <c r="R26" s="517"/>
      <c r="S26" s="517"/>
      <c r="T26" s="499"/>
      <c r="U26" s="89"/>
      <c r="V26" s="499"/>
      <c r="W26" s="499"/>
    </row>
    <row r="27" spans="1:23" ht="13" x14ac:dyDescent="0.3">
      <c r="A27" s="499"/>
      <c r="B27" s="499"/>
      <c r="C27" s="313" t="s">
        <v>319</v>
      </c>
      <c r="D27" s="313"/>
      <c r="E27" s="499"/>
      <c r="F27" s="500"/>
      <c r="G27" s="500"/>
      <c r="H27" s="500"/>
      <c r="I27" s="513" t="s">
        <v>368</v>
      </c>
      <c r="J27" s="499"/>
      <c r="K27" s="513" t="s">
        <v>377</v>
      </c>
      <c r="L27" s="499"/>
      <c r="M27" s="517"/>
      <c r="N27" s="517"/>
      <c r="O27" s="517"/>
      <c r="P27" s="517"/>
      <c r="Q27" s="517"/>
      <c r="R27" s="517"/>
      <c r="S27" s="517"/>
      <c r="T27" s="499"/>
      <c r="U27" s="89"/>
      <c r="V27" s="499"/>
      <c r="W27" s="499"/>
    </row>
    <row r="28" spans="1:23" ht="13" x14ac:dyDescent="0.3">
      <c r="A28" s="499"/>
      <c r="B28" s="499"/>
      <c r="C28" s="499"/>
      <c r="D28" s="499" t="s">
        <v>27</v>
      </c>
      <c r="E28" s="499"/>
      <c r="F28" s="500"/>
      <c r="G28" s="500"/>
      <c r="H28" s="500"/>
      <c r="I28" s="500"/>
      <c r="J28" s="499"/>
      <c r="K28" s="499"/>
      <c r="L28" s="499"/>
      <c r="M28" s="517"/>
      <c r="N28" s="517"/>
      <c r="O28" s="517"/>
      <c r="P28" s="517"/>
      <c r="Q28" s="517"/>
      <c r="R28" s="517"/>
      <c r="S28" s="517"/>
      <c r="T28" s="499"/>
      <c r="U28" s="89"/>
      <c r="V28" s="499"/>
      <c r="W28" s="499"/>
    </row>
    <row r="29" spans="1:23" ht="13" x14ac:dyDescent="0.3">
      <c r="A29" s="499"/>
      <c r="B29" s="499"/>
      <c r="C29" s="499"/>
      <c r="D29" s="499"/>
      <c r="E29" s="499" t="s">
        <v>211</v>
      </c>
      <c r="F29" s="500"/>
      <c r="G29" s="500"/>
      <c r="H29" s="500"/>
      <c r="I29" s="506" t="s">
        <v>32</v>
      </c>
      <c r="J29" s="499"/>
      <c r="K29" s="514" t="str">
        <f>IF(I29="nominal","nominal",DATE($I29,MONTH($I$14),1))</f>
        <v>nominal</v>
      </c>
      <c r="L29" s="499"/>
      <c r="M29" s="517"/>
      <c r="N29" s="517"/>
      <c r="O29" s="517"/>
      <c r="P29" s="517"/>
      <c r="Q29" s="517"/>
      <c r="R29" s="517"/>
      <c r="S29" s="517"/>
      <c r="T29" s="499"/>
      <c r="U29" s="505" t="str">
        <f>IF(COUNTBLANK($I29),"Check","Ok")</f>
        <v>Ok</v>
      </c>
      <c r="V29" s="499"/>
      <c r="W29" s="499"/>
    </row>
    <row r="30" spans="1:23" ht="13" x14ac:dyDescent="0.3">
      <c r="A30" s="499"/>
      <c r="B30" s="499"/>
      <c r="C30" s="499"/>
      <c r="D30" s="499"/>
      <c r="E30" s="499" t="s">
        <v>212</v>
      </c>
      <c r="F30" s="500"/>
      <c r="G30" s="500"/>
      <c r="H30" s="500"/>
      <c r="I30" s="506">
        <v>2020</v>
      </c>
      <c r="J30" s="499"/>
      <c r="K30" s="514">
        <f>DATE($I30,MONTH($I$14),1)</f>
        <v>43983</v>
      </c>
      <c r="L30" s="499"/>
      <c r="M30" s="517"/>
      <c r="N30" s="517"/>
      <c r="O30" s="517"/>
      <c r="P30" s="517"/>
      <c r="Q30" s="517"/>
      <c r="R30" s="517"/>
      <c r="S30" s="517"/>
      <c r="T30" s="499"/>
      <c r="U30" s="505" t="str">
        <f>IF(COUNTBLANK($I30),"Check","Ok")</f>
        <v>Ok</v>
      </c>
      <c r="V30" s="499"/>
      <c r="W30" s="499"/>
    </row>
    <row r="31" spans="1:23" ht="13" x14ac:dyDescent="0.3">
      <c r="A31" s="499"/>
      <c r="B31" s="499"/>
      <c r="C31" s="499"/>
      <c r="D31" s="499"/>
      <c r="E31" s="499" t="s">
        <v>198</v>
      </c>
      <c r="F31" s="500"/>
      <c r="G31" s="500"/>
      <c r="H31" s="500"/>
      <c r="I31" s="506">
        <v>2019</v>
      </c>
      <c r="J31" s="499"/>
      <c r="K31" s="514">
        <f>DATE($I31,MONTH($I$14),1)</f>
        <v>43617</v>
      </c>
      <c r="L31" s="499"/>
      <c r="M31" s="517"/>
      <c r="N31" s="517"/>
      <c r="O31" s="517"/>
      <c r="P31" s="517"/>
      <c r="Q31" s="517"/>
      <c r="R31" s="517"/>
      <c r="S31" s="517"/>
      <c r="T31" s="499"/>
      <c r="U31" s="505" t="str">
        <f>IF(COUNTBLANK($I31),"Check","Ok")</f>
        <v>Ok</v>
      </c>
      <c r="V31" s="499"/>
      <c r="W31" s="499"/>
    </row>
    <row r="32" spans="1:23" ht="13" x14ac:dyDescent="0.3">
      <c r="A32" s="499"/>
      <c r="B32" s="499"/>
      <c r="C32" s="499"/>
      <c r="D32" s="499" t="s">
        <v>217</v>
      </c>
      <c r="E32" s="499"/>
      <c r="F32" s="500"/>
      <c r="G32" s="500"/>
      <c r="H32" s="500"/>
      <c r="I32" s="500"/>
      <c r="J32" s="500"/>
      <c r="K32" s="500"/>
      <c r="L32" s="499"/>
      <c r="M32" s="517"/>
      <c r="N32" s="517"/>
      <c r="O32" s="517"/>
      <c r="P32" s="517"/>
      <c r="Q32" s="517"/>
      <c r="R32" s="517"/>
      <c r="S32" s="517"/>
      <c r="T32" s="499"/>
      <c r="U32" s="89"/>
      <c r="V32" s="499"/>
      <c r="W32" s="499"/>
    </row>
    <row r="33" spans="1:32" ht="13" x14ac:dyDescent="0.3">
      <c r="A33" s="499"/>
      <c r="B33" s="499"/>
      <c r="C33" s="499"/>
      <c r="D33" s="499"/>
      <c r="E33" s="499" t="s">
        <v>428</v>
      </c>
      <c r="F33" s="500"/>
      <c r="G33" s="500"/>
      <c r="H33" s="500"/>
      <c r="I33" s="506">
        <v>2021</v>
      </c>
      <c r="J33" s="499"/>
      <c r="K33" s="514">
        <f>DATE($I33,MONTH($I$14),1)</f>
        <v>44348</v>
      </c>
      <c r="L33" s="499"/>
      <c r="M33" s="651"/>
      <c r="N33" s="517"/>
      <c r="O33" s="517"/>
      <c r="P33" s="517"/>
      <c r="Q33" s="517"/>
      <c r="R33" s="517"/>
      <c r="S33" s="517"/>
      <c r="T33" s="499"/>
      <c r="U33" s="505" t="str">
        <f>IF(COUNTBLANK($I33),"Check","Ok")</f>
        <v>Ok</v>
      </c>
      <c r="V33" s="499"/>
      <c r="W33" s="499"/>
    </row>
    <row r="34" spans="1:32" ht="13" x14ac:dyDescent="0.3">
      <c r="A34" s="499"/>
      <c r="B34" s="499"/>
      <c r="C34" s="499"/>
      <c r="D34" s="499"/>
      <c r="E34" s="499" t="str">
        <f>"PTRM - Capex "&amp;IF('Input| Prices'!F33="Lagged","(Lagged)","")</f>
        <v>PTRM - Capex (Lagged)</v>
      </c>
      <c r="F34" s="500"/>
      <c r="G34" s="500"/>
      <c r="H34" s="500"/>
      <c r="I34"/>
      <c r="J34" s="499"/>
      <c r="K34" s="514">
        <f>EDATE(Basis_Ptrm,-6)</f>
        <v>44166</v>
      </c>
      <c r="L34" s="499"/>
      <c r="M34" s="517"/>
      <c r="N34" s="517"/>
      <c r="O34" s="517"/>
      <c r="P34" s="517"/>
      <c r="Q34" s="517"/>
      <c r="R34" s="517"/>
      <c r="S34" s="517"/>
      <c r="T34" s="499"/>
      <c r="U34" s="505"/>
      <c r="V34" s="499"/>
      <c r="W34" s="499"/>
    </row>
    <row r="35" spans="1:32" ht="13" x14ac:dyDescent="0.3">
      <c r="A35" s="499"/>
      <c r="B35" s="499"/>
      <c r="C35" s="499"/>
      <c r="D35" s="499"/>
      <c r="E35" s="499" t="s">
        <v>328</v>
      </c>
      <c r="F35" s="500"/>
      <c r="G35" s="500"/>
      <c r="H35" s="500"/>
      <c r="I35" s="506" t="s">
        <v>32</v>
      </c>
      <c r="J35" s="499"/>
      <c r="K35" s="514" t="str">
        <f>IF(I35="nominal","nominal",DATE($I35,MONTH($I$14),1))</f>
        <v>nominal</v>
      </c>
      <c r="L35" s="499"/>
      <c r="M35" s="517"/>
      <c r="N35" s="517"/>
      <c r="O35" s="517"/>
      <c r="P35" s="517"/>
      <c r="Q35" s="517"/>
      <c r="R35" s="517"/>
      <c r="S35" s="517"/>
      <c r="T35" s="499"/>
      <c r="U35" s="505" t="str">
        <f>IF(COUNTBLANK($I35),"Check","Ok")</f>
        <v>Ok</v>
      </c>
      <c r="V35" s="499"/>
      <c r="W35" s="499"/>
    </row>
    <row r="36" spans="1:32" ht="13" x14ac:dyDescent="0.3">
      <c r="A36" s="499"/>
      <c r="B36" s="499"/>
      <c r="C36" s="499"/>
      <c r="D36" s="499"/>
      <c r="E36" s="499"/>
      <c r="F36" s="500"/>
      <c r="G36" s="500"/>
      <c r="H36" s="500"/>
      <c r="I36" s="500"/>
      <c r="J36" s="499"/>
      <c r="K36" s="499"/>
      <c r="L36" s="499"/>
      <c r="M36" s="499"/>
      <c r="N36" s="499"/>
      <c r="O36" s="499"/>
      <c r="P36" s="499"/>
      <c r="Q36" s="499"/>
      <c r="R36" s="499"/>
      <c r="S36" s="499"/>
      <c r="T36" s="499"/>
      <c r="U36" s="89"/>
      <c r="V36" s="499"/>
      <c r="W36" s="499"/>
    </row>
    <row r="37" spans="1:32" s="4" customFormat="1" ht="13" x14ac:dyDescent="0.3">
      <c r="A37" s="496"/>
      <c r="B37" s="497" t="s">
        <v>71</v>
      </c>
      <c r="C37" s="497"/>
      <c r="D37" s="497"/>
      <c r="E37" s="496"/>
      <c r="F37" s="496"/>
      <c r="G37" s="496"/>
      <c r="H37" s="19"/>
      <c r="I37" s="19"/>
      <c r="J37" s="19"/>
      <c r="K37" s="19"/>
      <c r="L37" s="498"/>
      <c r="M37" s="21"/>
      <c r="N37" s="498"/>
      <c r="O37" s="21"/>
      <c r="P37" s="498"/>
      <c r="Q37" s="498"/>
      <c r="R37" s="498"/>
      <c r="S37" s="498"/>
      <c r="T37" s="498"/>
      <c r="U37" s="498"/>
      <c r="V37" s="498"/>
      <c r="W37" s="498"/>
      <c r="X37" s="21"/>
      <c r="Y37" s="21"/>
      <c r="Z37" s="22"/>
      <c r="AA37" s="22"/>
      <c r="AB37" s="22"/>
      <c r="AC37" s="22"/>
      <c r="AD37" s="22"/>
      <c r="AE37" s="23"/>
      <c r="AF37" s="23"/>
    </row>
    <row r="38" spans="1:32" ht="13" x14ac:dyDescent="0.3">
      <c r="A38" s="499"/>
      <c r="B38" s="499"/>
      <c r="C38" s="499"/>
      <c r="D38" s="499"/>
      <c r="E38" s="499"/>
      <c r="F38" s="500"/>
      <c r="G38" s="500"/>
      <c r="H38" s="500"/>
      <c r="I38" s="502"/>
      <c r="J38" s="502"/>
      <c r="K38" s="500"/>
      <c r="L38" s="499"/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</row>
    <row r="39" spans="1:32" ht="13" x14ac:dyDescent="0.3">
      <c r="A39" s="499"/>
      <c r="B39" s="499"/>
      <c r="C39" s="499"/>
      <c r="D39" s="499"/>
      <c r="E39" s="499"/>
      <c r="F39" s="500"/>
      <c r="G39" s="500"/>
      <c r="H39" s="500"/>
      <c r="I39" s="502"/>
      <c r="J39" s="502"/>
      <c r="K39" s="500"/>
      <c r="L39" s="499"/>
      <c r="M39" s="499"/>
      <c r="N39" s="499"/>
      <c r="O39" s="499"/>
      <c r="P39" s="499"/>
      <c r="Q39" s="499"/>
      <c r="R39" s="499"/>
      <c r="S39" s="499"/>
      <c r="T39" s="499"/>
      <c r="U39" s="499"/>
      <c r="V39" s="499"/>
      <c r="W39" s="499"/>
    </row>
    <row r="40" spans="1:32" ht="13" hidden="1" x14ac:dyDescent="0.3">
      <c r="A40" s="499"/>
      <c r="B40" s="499"/>
      <c r="C40" s="499"/>
      <c r="D40" s="499"/>
      <c r="E40" s="499"/>
      <c r="F40" s="500"/>
      <c r="G40" s="500"/>
      <c r="H40" s="500"/>
      <c r="I40" s="502"/>
      <c r="J40" s="502"/>
      <c r="K40" s="500"/>
      <c r="L40" s="499"/>
      <c r="M40" s="499"/>
      <c r="N40" s="499"/>
      <c r="O40" s="499"/>
      <c r="P40" s="499"/>
      <c r="Q40" s="499"/>
      <c r="R40" s="499"/>
      <c r="S40" s="499"/>
      <c r="T40" s="499"/>
      <c r="U40" s="499"/>
      <c r="V40" s="499"/>
      <c r="W40" s="499"/>
    </row>
    <row r="41" spans="1:32" ht="13" hidden="1" x14ac:dyDescent="0.3">
      <c r="A41" s="499"/>
      <c r="B41" s="499"/>
      <c r="C41" s="499"/>
      <c r="D41" s="499"/>
      <c r="E41" s="499"/>
      <c r="F41" s="500"/>
      <c r="G41" s="500"/>
      <c r="H41" s="500"/>
      <c r="I41" s="502"/>
      <c r="J41" s="502"/>
      <c r="K41" s="500"/>
      <c r="L41" s="499"/>
      <c r="M41" s="499"/>
      <c r="N41" s="499"/>
      <c r="O41" s="499"/>
      <c r="P41" s="499"/>
      <c r="Q41" s="499"/>
      <c r="R41" s="499"/>
      <c r="S41" s="499"/>
      <c r="T41" s="499"/>
      <c r="U41" s="499"/>
      <c r="V41" s="499"/>
      <c r="W41" s="499"/>
    </row>
    <row r="42" spans="1:32" ht="13" hidden="1" x14ac:dyDescent="0.3">
      <c r="A42" s="499"/>
      <c r="B42" s="499"/>
      <c r="C42" s="499"/>
      <c r="D42" s="499"/>
      <c r="E42" s="499"/>
      <c r="F42" s="500"/>
      <c r="G42" s="500"/>
      <c r="H42" s="500"/>
      <c r="I42" s="502"/>
      <c r="J42" s="502"/>
      <c r="K42" s="500"/>
      <c r="L42" s="499"/>
      <c r="M42" s="499"/>
      <c r="N42" s="499"/>
      <c r="O42" s="499"/>
      <c r="P42" s="499"/>
      <c r="Q42" s="499"/>
      <c r="R42" s="499"/>
      <c r="S42" s="499"/>
      <c r="T42" s="499"/>
      <c r="U42" s="499"/>
      <c r="V42" s="499"/>
      <c r="W42" s="499"/>
    </row>
    <row r="43" spans="1:32" ht="13" hidden="1" x14ac:dyDescent="0.3">
      <c r="A43" s="499"/>
      <c r="B43" s="499"/>
      <c r="C43" s="499"/>
      <c r="D43" s="499"/>
      <c r="E43" s="499"/>
      <c r="F43" s="500"/>
      <c r="G43" s="500"/>
      <c r="H43" s="500"/>
      <c r="I43" s="502"/>
      <c r="J43" s="502"/>
      <c r="K43" s="500"/>
      <c r="L43" s="499"/>
      <c r="M43" s="499"/>
      <c r="N43" s="499"/>
      <c r="O43" s="499"/>
      <c r="P43" s="499"/>
      <c r="Q43" s="499"/>
      <c r="R43" s="499"/>
      <c r="S43" s="499"/>
      <c r="T43" s="499"/>
      <c r="U43" s="499"/>
      <c r="V43" s="499"/>
      <c r="W43" s="499"/>
    </row>
    <row r="44" spans="1:32" ht="13" hidden="1" x14ac:dyDescent="0.3">
      <c r="A44" s="499"/>
      <c r="B44" s="499"/>
      <c r="C44" s="499"/>
      <c r="D44" s="499"/>
      <c r="E44" s="499"/>
      <c r="F44" s="500"/>
      <c r="G44" s="500"/>
      <c r="H44" s="500"/>
      <c r="I44" s="502"/>
      <c r="J44" s="502"/>
      <c r="K44" s="500"/>
      <c r="L44" s="499"/>
      <c r="M44" s="499"/>
      <c r="N44" s="499"/>
      <c r="O44" s="499"/>
      <c r="P44" s="499"/>
      <c r="Q44" s="499"/>
      <c r="R44" s="499"/>
      <c r="S44" s="499"/>
      <c r="T44" s="499"/>
      <c r="U44" s="499"/>
      <c r="V44" s="499"/>
      <c r="W44" s="499"/>
    </row>
    <row r="45" spans="1:32" ht="10" hidden="1" x14ac:dyDescent="0.2">
      <c r="I45" s="27"/>
      <c r="J45" s="27"/>
    </row>
    <row r="46" spans="1:32" ht="10" hidden="1" x14ac:dyDescent="0.2">
      <c r="I46" s="27"/>
      <c r="J46" s="27"/>
    </row>
    <row r="47" spans="1:32" ht="10" hidden="1" x14ac:dyDescent="0.2">
      <c r="I47" s="27"/>
      <c r="J47" s="27"/>
    </row>
  </sheetData>
  <dataConsolidate/>
  <mergeCells count="5">
    <mergeCell ref="B2:C2"/>
    <mergeCell ref="K2:L2"/>
    <mergeCell ref="M2:N2"/>
    <mergeCell ref="O2:P2"/>
    <mergeCell ref="I2:J2"/>
  </mergeCells>
  <conditionalFormatting sqref="U8:U9 U12:U15">
    <cfRule type="cellIs" dxfId="90" priority="39" operator="equal">
      <formula>"Check"</formula>
    </cfRule>
    <cfRule type="cellIs" dxfId="89" priority="40" operator="equal">
      <formula>"Ok"</formula>
    </cfRule>
  </conditionalFormatting>
  <conditionalFormatting sqref="U18:U19">
    <cfRule type="cellIs" dxfId="88" priority="31" operator="equal">
      <formula>"Check"</formula>
    </cfRule>
    <cfRule type="cellIs" dxfId="87" priority="32" operator="equal">
      <formula>"Ok"</formula>
    </cfRule>
  </conditionalFormatting>
  <conditionalFormatting sqref="U23:U24">
    <cfRule type="cellIs" dxfId="86" priority="27" operator="equal">
      <formula>"Check"</formula>
    </cfRule>
    <cfRule type="cellIs" dxfId="85" priority="28" operator="equal">
      <formula>"Ok"</formula>
    </cfRule>
  </conditionalFormatting>
  <conditionalFormatting sqref="U29">
    <cfRule type="cellIs" dxfId="84" priority="25" operator="equal">
      <formula>"Check"</formula>
    </cfRule>
    <cfRule type="cellIs" dxfId="83" priority="26" operator="equal">
      <formula>"Ok"</formula>
    </cfRule>
  </conditionalFormatting>
  <conditionalFormatting sqref="U35">
    <cfRule type="cellIs" dxfId="82" priority="7" operator="equal">
      <formula>"Check"</formula>
    </cfRule>
    <cfRule type="cellIs" dxfId="81" priority="8" operator="equal">
      <formula>"Ok"</formula>
    </cfRule>
  </conditionalFormatting>
  <conditionalFormatting sqref="U30">
    <cfRule type="cellIs" dxfId="80" priority="5" operator="equal">
      <formula>"Check"</formula>
    </cfRule>
    <cfRule type="cellIs" dxfId="79" priority="6" operator="equal">
      <formula>"Ok"</formula>
    </cfRule>
  </conditionalFormatting>
  <conditionalFormatting sqref="U31">
    <cfRule type="cellIs" dxfId="78" priority="3" operator="equal">
      <formula>"Check"</formula>
    </cfRule>
    <cfRule type="cellIs" dxfId="77" priority="4" operator="equal">
      <formula>"Ok"</formula>
    </cfRule>
  </conditionalFormatting>
  <conditionalFormatting sqref="U33:U34">
    <cfRule type="cellIs" dxfId="76" priority="1" operator="equal">
      <formula>"Check"</formula>
    </cfRule>
    <cfRule type="cellIs" dxfId="75" priority="2" operator="equal">
      <formula>"Ok"</formula>
    </cfRule>
  </conditionalFormatting>
  <dataValidations count="3">
    <dataValidation type="list" allowBlank="1" showInputMessage="1" showErrorMessage="1" sqref="I9" xr:uid="{AA97110A-50A0-470F-9557-7BACE97F6C4B}">
      <formula1>"draft,final,initial proposal, revised proposal"</formula1>
    </dataValidation>
    <dataValidation type="list" allowBlank="1" showInputMessage="1" showErrorMessage="1" sqref="K35 K29" xr:uid="{A949C1E1-41F1-4861-B2AA-23E9BF7C773A}">
      <formula1>LUT_Basis</formula1>
    </dataValidation>
    <dataValidation type="custom" allowBlank="1" showInputMessage="1" showErrorMessage="1" sqref="N29" xr:uid="{4DC0D568-2E7C-4D3B-84D5-9430A8EC9F20}">
      <formula1>FPFirstYear-5</formula1>
    </dataValidation>
  </dataValidations>
  <pageMargins left="0.7" right="0.7" top="0.75" bottom="0.75" header="0.3" footer="0.3"/>
  <pageSetup paperSize="9" orientation="portrait" verticalDpi="4" r:id="rId1"/>
  <ignoredErrors>
    <ignoredError sqref="I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00B2F8D-2AB1-4580-8C98-F0D0C37C22A7}">
          <x14:formula1>
            <xm:f>'Lookup|Tables'!$G$25:$G$36</xm:f>
          </x14:formula1>
          <xm:sqref>I14:I15</xm:sqref>
        </x14:dataValidation>
        <x14:dataValidation type="list" allowBlank="1" showInputMessage="1" showErrorMessage="1" xr:uid="{954A3DC0-B3D8-4C1C-AA57-76CADCA1131E}">
          <x14:formula1>
            <xm:f>'Lookup|Tables'!$D$78:$D$82</xm:f>
          </x14:formula1>
          <xm:sqref>I29 I35</xm:sqref>
        </x14:dataValidation>
        <x14:dataValidation type="list" allowBlank="1" showInputMessage="1" showErrorMessage="1" xr:uid="{20CFA6DE-BD72-44F3-8155-560E9E650982}">
          <x14:formula1>
            <xm:f>'Lookup|Tables'!$H$41:$H$60</xm:f>
          </x14:formula1>
          <xm:sqref>K30:K31 K33</xm:sqref>
        </x14:dataValidation>
        <x14:dataValidation type="list" allowBlank="1" showInputMessage="1" showErrorMessage="1" xr:uid="{893CBFA7-3B30-4B4A-B08C-C27CBE42F8E6}">
          <x14:formula1>
            <xm:f>'Lookup|Tables'!$D$78:$D$81</xm:f>
          </x14:formula1>
          <xm:sqref>I30:I31 I33</xm:sqref>
        </x14:dataValidation>
        <x14:dataValidation type="list" allowBlank="1" showInputMessage="1" showErrorMessage="1" xr:uid="{B79707B7-BCF9-4FD9-9F70-2E9A1CA7A934}">
          <x14:formula1>
            <xm:f>'Lookup|Tables'!$G$66:$G$68</xm:f>
          </x14:formula1>
          <xm:sqref>I18:I19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B7CE-EE68-4C79-9D55-9733E71DA215}">
  <sheetPr codeName="Sheet2">
    <tabColor theme="8" tint="0.59999389629810485"/>
  </sheetPr>
  <dimension ref="A1:AV77"/>
  <sheetViews>
    <sheetView showGridLines="0" zoomScale="115" zoomScaleNormal="115" workbookViewId="0">
      <selection activeCell="J32" sqref="F32:J32"/>
    </sheetView>
  </sheetViews>
  <sheetFormatPr defaultColWidth="0" defaultRowHeight="11.25" customHeight="1" zeroHeight="1" x14ac:dyDescent="0.2"/>
  <cols>
    <col min="1" max="2" width="1.26953125" style="24" customWidth="1"/>
    <col min="3" max="3" width="4.81640625" style="24" customWidth="1"/>
    <col min="4" max="4" width="7" style="24" customWidth="1"/>
    <col min="5" max="5" width="8.1796875" style="24" customWidth="1"/>
    <col min="6" max="6" width="10" style="24" bestFit="1" customWidth="1"/>
    <col min="7" max="7" width="18.453125" style="25" bestFit="1" customWidth="1"/>
    <col min="8" max="8" width="18.453125" style="25" customWidth="1"/>
    <col min="9" max="12" width="12.81640625" style="25" customWidth="1"/>
    <col min="13" max="13" width="2.81640625" style="25" customWidth="1"/>
    <col min="14" max="24" width="9.26953125" style="24" customWidth="1"/>
    <col min="25" max="39" width="9" style="24" hidden="1" customWidth="1"/>
    <col min="40" max="16384" width="9" style="24" hidden="1"/>
  </cols>
  <sheetData>
    <row r="1" spans="1:31" s="11" customFormat="1" ht="18" x14ac:dyDescent="0.25">
      <c r="A1" s="67"/>
      <c r="B1" s="67" t="str">
        <f>'Input|General'!B1&amp;" v"&amp;'Input|General'!$D$2</f>
        <v>AER Metering Opex &amp; Capex Forecasting Model DRAFT v1</v>
      </c>
      <c r="C1" s="67"/>
      <c r="D1" s="67"/>
      <c r="E1" s="67"/>
      <c r="F1" s="6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31" s="14" customFormat="1" ht="18.5" thickBot="1" x14ac:dyDescent="0.3">
      <c r="A2" s="55"/>
      <c r="B2" s="68" t="str" cm="1">
        <f t="array" aca="1" ref="B2" ca="1">MID(CELL("filename",B2),FIND("]",CELL("filename",B2))+1,255)</f>
        <v>Input| Historical Inflation</v>
      </c>
      <c r="C2" s="55"/>
      <c r="D2" s="55"/>
      <c r="E2" s="55"/>
      <c r="F2" s="55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3"/>
      <c r="S2" s="3"/>
      <c r="T2" s="3"/>
      <c r="U2" s="3"/>
      <c r="V2" s="3"/>
      <c r="W2" s="3"/>
      <c r="X2" s="3"/>
    </row>
    <row r="3" spans="1:31" s="495" customFormat="1" ht="18" x14ac:dyDescent="0.25">
      <c r="A3" s="55"/>
      <c r="B3" s="68"/>
      <c r="C3" s="55"/>
      <c r="D3" s="55"/>
      <c r="E3" s="55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3"/>
    </row>
    <row r="4" spans="1:31" s="15" customFormat="1" ht="16.5" customHeight="1" x14ac:dyDescent="0.2">
      <c r="G4" s="16"/>
      <c r="H4" s="16"/>
      <c r="I4" s="16"/>
      <c r="J4" s="16"/>
      <c r="K4" s="16"/>
      <c r="L4" s="16"/>
      <c r="M4" s="16"/>
    </row>
    <row r="5" spans="1:31" s="4" customFormat="1" ht="13" x14ac:dyDescent="0.3">
      <c r="A5" s="17"/>
      <c r="B5" s="18" t="s">
        <v>61</v>
      </c>
      <c r="C5" s="18"/>
      <c r="D5" s="18"/>
      <c r="E5" s="18"/>
      <c r="F5" s="17"/>
      <c r="G5" s="17"/>
      <c r="H5" s="17"/>
      <c r="I5" s="17"/>
      <c r="J5" s="19"/>
      <c r="K5" s="19"/>
      <c r="L5" s="19"/>
      <c r="M5" s="19"/>
      <c r="N5" s="20"/>
      <c r="O5" s="21"/>
      <c r="P5" s="20"/>
      <c r="Q5" s="21"/>
      <c r="R5" s="20"/>
      <c r="S5" s="20"/>
      <c r="T5" s="20"/>
      <c r="U5" s="20"/>
      <c r="V5" s="20"/>
      <c r="W5" s="20"/>
      <c r="X5" s="20"/>
      <c r="Y5" s="22"/>
      <c r="Z5" s="22"/>
      <c r="AA5" s="22"/>
      <c r="AB5" s="22"/>
      <c r="AC5" s="22"/>
      <c r="AD5" s="23"/>
      <c r="AE5" s="23"/>
    </row>
    <row r="6" spans="1:31" ht="11.25" customHeight="1" x14ac:dyDescent="0.2"/>
    <row r="7" spans="1:31" ht="50" x14ac:dyDescent="0.2">
      <c r="D7" s="676" t="s">
        <v>221</v>
      </c>
      <c r="E7" s="676"/>
      <c r="G7" s="32" t="s">
        <v>72</v>
      </c>
      <c r="H7" s="32" t="s">
        <v>73</v>
      </c>
      <c r="I7" s="32" t="s">
        <v>72</v>
      </c>
      <c r="J7" s="32" t="s">
        <v>73</v>
      </c>
      <c r="K7" s="32"/>
      <c r="L7" s="24"/>
      <c r="M7" s="24"/>
    </row>
    <row r="8" spans="1:31" ht="10.5" x14ac:dyDescent="0.25">
      <c r="D8" s="676"/>
      <c r="E8" s="676"/>
      <c r="F8" s="280" t="s">
        <v>62</v>
      </c>
      <c r="G8" s="33" t="s">
        <v>74</v>
      </c>
      <c r="H8" s="33" t="s">
        <v>75</v>
      </c>
      <c r="I8" s="33" t="s">
        <v>74</v>
      </c>
      <c r="J8" s="33" t="s">
        <v>75</v>
      </c>
      <c r="K8" s="33"/>
      <c r="L8" s="24"/>
      <c r="M8" s="24"/>
    </row>
    <row r="9" spans="1:31" ht="10.5" x14ac:dyDescent="0.25">
      <c r="D9" s="5" t="s">
        <v>57</v>
      </c>
      <c r="E9" s="5" t="s">
        <v>58</v>
      </c>
      <c r="F9" s="280" t="s">
        <v>76</v>
      </c>
      <c r="G9" s="33" t="s">
        <v>77</v>
      </c>
      <c r="H9" s="33" t="s">
        <v>78</v>
      </c>
      <c r="I9" s="33" t="s">
        <v>325</v>
      </c>
      <c r="J9" s="33" t="s">
        <v>326</v>
      </c>
      <c r="K9" s="33"/>
      <c r="L9" s="24"/>
      <c r="M9" s="24"/>
    </row>
    <row r="10" spans="1:31" ht="12.5" x14ac:dyDescent="0.25">
      <c r="D10" s="278">
        <f t="shared" ref="D10:D32" si="0">YEAR(F10)</f>
        <v>2014</v>
      </c>
      <c r="E10" s="279">
        <f t="shared" ref="E10:E32" si="1">MONTH(F10)</f>
        <v>6</v>
      </c>
      <c r="F10" s="281">
        <v>41820</v>
      </c>
      <c r="G10" s="24"/>
      <c r="H10" s="24"/>
      <c r="I10" s="34">
        <v>105.9</v>
      </c>
      <c r="J10"/>
      <c r="K10" s="35"/>
      <c r="L10" s="24"/>
      <c r="M10" s="24"/>
      <c r="W10"/>
    </row>
    <row r="11" spans="1:31" ht="12.5" x14ac:dyDescent="0.25">
      <c r="D11" s="278">
        <f t="shared" si="0"/>
        <v>2014</v>
      </c>
      <c r="E11" s="279">
        <f t="shared" si="1"/>
        <v>9</v>
      </c>
      <c r="F11" s="281">
        <v>41912</v>
      </c>
      <c r="G11" s="24"/>
      <c r="H11" s="24"/>
      <c r="I11" s="34">
        <v>106.4</v>
      </c>
      <c r="J11"/>
      <c r="K11" s="35"/>
      <c r="L11" s="24"/>
      <c r="M11" s="24"/>
      <c r="W11"/>
    </row>
    <row r="12" spans="1:31" ht="12.5" x14ac:dyDescent="0.25">
      <c r="D12" s="278">
        <f t="shared" si="0"/>
        <v>2014</v>
      </c>
      <c r="E12" s="279">
        <f t="shared" si="1"/>
        <v>12</v>
      </c>
      <c r="F12" s="281">
        <v>42004</v>
      </c>
      <c r="G12" s="24"/>
      <c r="H12" s="24"/>
      <c r="I12" s="34">
        <v>106.6</v>
      </c>
      <c r="J12"/>
      <c r="K12" s="35"/>
      <c r="L12" s="24"/>
      <c r="M12" s="24"/>
      <c r="W12"/>
    </row>
    <row r="13" spans="1:31" ht="12.5" x14ac:dyDescent="0.25">
      <c r="D13" s="278">
        <f t="shared" si="0"/>
        <v>2015</v>
      </c>
      <c r="E13" s="279">
        <f t="shared" si="1"/>
        <v>3</v>
      </c>
      <c r="F13" s="281">
        <v>42094</v>
      </c>
      <c r="G13" s="24"/>
      <c r="H13" s="24"/>
      <c r="I13" s="34">
        <v>106.8</v>
      </c>
      <c r="J13"/>
      <c r="K13" s="35"/>
      <c r="L13" s="24"/>
      <c r="M13" s="24"/>
      <c r="W13"/>
    </row>
    <row r="14" spans="1:31" ht="12.5" x14ac:dyDescent="0.25">
      <c r="D14" s="278">
        <f t="shared" si="0"/>
        <v>2015</v>
      </c>
      <c r="E14" s="279">
        <f t="shared" si="1"/>
        <v>6</v>
      </c>
      <c r="F14" s="281">
        <v>42185</v>
      </c>
      <c r="G14" s="24"/>
      <c r="H14" s="24"/>
      <c r="I14" s="34">
        <v>107.5</v>
      </c>
      <c r="J14" s="515">
        <f>IF(ISBLANK(I14),0,I14/I10-1)</f>
        <v>1.5108593012275628E-2</v>
      </c>
      <c r="K14" s="35"/>
      <c r="L14" s="24"/>
      <c r="M14" s="24"/>
      <c r="W14"/>
    </row>
    <row r="15" spans="1:31" ht="12.5" x14ac:dyDescent="0.25">
      <c r="D15" s="278">
        <f t="shared" si="0"/>
        <v>2015</v>
      </c>
      <c r="E15" s="279">
        <f t="shared" si="1"/>
        <v>9</v>
      </c>
      <c r="F15" s="281">
        <v>42277</v>
      </c>
      <c r="G15" s="24"/>
      <c r="H15" s="24"/>
      <c r="I15" s="34">
        <v>108</v>
      </c>
      <c r="J15" s="515">
        <f t="shared" ref="J15:J73" si="2">IF(ISBLANK(I15),0,I15/I11-1)</f>
        <v>1.5037593984962294E-2</v>
      </c>
      <c r="K15" s="35"/>
      <c r="L15" s="24"/>
      <c r="M15" s="24"/>
      <c r="W15"/>
    </row>
    <row r="16" spans="1:31" ht="12.5" x14ac:dyDescent="0.25">
      <c r="D16" s="278">
        <f t="shared" si="0"/>
        <v>2015</v>
      </c>
      <c r="E16" s="279">
        <f t="shared" si="1"/>
        <v>12</v>
      </c>
      <c r="F16" s="281">
        <v>42369</v>
      </c>
      <c r="G16" s="24"/>
      <c r="H16" s="24"/>
      <c r="I16" s="34">
        <v>108.4</v>
      </c>
      <c r="J16" s="515">
        <f t="shared" si="2"/>
        <v>1.6885553470919357E-2</v>
      </c>
      <c r="K16" s="35"/>
      <c r="L16" s="24"/>
      <c r="M16" s="24"/>
      <c r="W16"/>
    </row>
    <row r="17" spans="4:23" ht="12.5" x14ac:dyDescent="0.25">
      <c r="D17" s="278">
        <f t="shared" si="0"/>
        <v>2016</v>
      </c>
      <c r="E17" s="279">
        <f t="shared" si="1"/>
        <v>3</v>
      </c>
      <c r="F17" s="281">
        <v>42460</v>
      </c>
      <c r="G17" s="24"/>
      <c r="H17" s="24"/>
      <c r="I17" s="34">
        <v>108.2</v>
      </c>
      <c r="J17" s="515">
        <f t="shared" si="2"/>
        <v>1.3108614232209881E-2</v>
      </c>
      <c r="K17" s="35"/>
      <c r="L17" s="24"/>
      <c r="M17" s="24"/>
      <c r="W17"/>
    </row>
    <row r="18" spans="4:23" ht="12.5" x14ac:dyDescent="0.25">
      <c r="D18" s="278">
        <f t="shared" si="0"/>
        <v>2016</v>
      </c>
      <c r="E18" s="279">
        <f t="shared" si="1"/>
        <v>6</v>
      </c>
      <c r="F18" s="281">
        <v>42551</v>
      </c>
      <c r="G18" s="24"/>
      <c r="H18" s="24"/>
      <c r="I18" s="34">
        <v>108.6</v>
      </c>
      <c r="J18" s="515">
        <f t="shared" si="2"/>
        <v>1.0232558139534831E-2</v>
      </c>
      <c r="K18" s="35"/>
      <c r="L18" s="24"/>
      <c r="M18" s="24"/>
      <c r="W18"/>
    </row>
    <row r="19" spans="4:23" ht="12.5" x14ac:dyDescent="0.25">
      <c r="D19" s="278">
        <f t="shared" si="0"/>
        <v>2016</v>
      </c>
      <c r="E19" s="279">
        <f t="shared" si="1"/>
        <v>9</v>
      </c>
      <c r="F19" s="281">
        <v>42643</v>
      </c>
      <c r="G19" s="24"/>
      <c r="H19" s="24"/>
      <c r="I19" s="34">
        <v>109.4</v>
      </c>
      <c r="J19" s="515">
        <f t="shared" si="2"/>
        <v>1.2962962962963065E-2</v>
      </c>
      <c r="K19" s="35"/>
      <c r="L19" s="24"/>
      <c r="M19" s="24"/>
      <c r="W19"/>
    </row>
    <row r="20" spans="4:23" ht="12.5" x14ac:dyDescent="0.25">
      <c r="D20" s="278">
        <f t="shared" si="0"/>
        <v>2016</v>
      </c>
      <c r="E20" s="279">
        <f t="shared" si="1"/>
        <v>12</v>
      </c>
      <c r="F20" s="281">
        <v>42735</v>
      </c>
      <c r="G20" s="24"/>
      <c r="H20" s="24"/>
      <c r="I20" s="34">
        <v>110</v>
      </c>
      <c r="J20" s="515">
        <f t="shared" si="2"/>
        <v>1.4760147601476037E-2</v>
      </c>
      <c r="K20" s="35"/>
      <c r="L20" s="24"/>
      <c r="M20" s="24"/>
      <c r="W20"/>
    </row>
    <row r="21" spans="4:23" ht="12.5" x14ac:dyDescent="0.25">
      <c r="D21" s="278">
        <f t="shared" si="0"/>
        <v>2017</v>
      </c>
      <c r="E21" s="279">
        <f t="shared" si="1"/>
        <v>3</v>
      </c>
      <c r="F21" s="281">
        <v>42825</v>
      </c>
      <c r="G21" s="24"/>
      <c r="H21" s="24"/>
      <c r="I21" s="34">
        <v>110.5</v>
      </c>
      <c r="J21" s="515">
        <f t="shared" si="2"/>
        <v>2.1256931608133023E-2</v>
      </c>
      <c r="K21" s="35"/>
      <c r="L21" s="24"/>
      <c r="M21" s="24"/>
      <c r="W21"/>
    </row>
    <row r="22" spans="4:23" ht="12.5" x14ac:dyDescent="0.25">
      <c r="D22" s="278">
        <f t="shared" si="0"/>
        <v>2017</v>
      </c>
      <c r="E22" s="279">
        <f t="shared" si="1"/>
        <v>6</v>
      </c>
      <c r="F22" s="281">
        <v>42916</v>
      </c>
      <c r="G22" s="24"/>
      <c r="H22" s="24"/>
      <c r="I22" s="34">
        <v>110.7</v>
      </c>
      <c r="J22" s="515">
        <f t="shared" si="2"/>
        <v>1.9337016574585641E-2</v>
      </c>
      <c r="K22" s="36"/>
      <c r="L22" s="24"/>
      <c r="M22" s="24"/>
      <c r="W22"/>
    </row>
    <row r="23" spans="4:23" ht="12.5" x14ac:dyDescent="0.25">
      <c r="D23" s="278">
        <f t="shared" si="0"/>
        <v>2017</v>
      </c>
      <c r="E23" s="279">
        <f t="shared" si="1"/>
        <v>9</v>
      </c>
      <c r="F23" s="281">
        <v>43008</v>
      </c>
      <c r="G23" s="24"/>
      <c r="H23" s="24"/>
      <c r="I23" s="34">
        <v>111.4</v>
      </c>
      <c r="J23" s="515">
        <f t="shared" si="2"/>
        <v>1.8281535648994485E-2</v>
      </c>
      <c r="K23" s="35"/>
      <c r="L23" s="24"/>
      <c r="M23" s="24"/>
      <c r="W23"/>
    </row>
    <row r="24" spans="4:23" ht="12.5" x14ac:dyDescent="0.25">
      <c r="D24" s="278">
        <f t="shared" si="0"/>
        <v>2017</v>
      </c>
      <c r="E24" s="279">
        <f t="shared" si="1"/>
        <v>12</v>
      </c>
      <c r="F24" s="281">
        <v>43100</v>
      </c>
      <c r="G24" s="24"/>
      <c r="H24" s="24"/>
      <c r="I24" s="34">
        <v>112.1</v>
      </c>
      <c r="J24" s="515">
        <f t="shared" si="2"/>
        <v>1.9090909090909047E-2</v>
      </c>
      <c r="K24" s="35"/>
      <c r="L24" s="24"/>
      <c r="M24" s="24"/>
      <c r="W24"/>
    </row>
    <row r="25" spans="4:23" ht="12.5" x14ac:dyDescent="0.25">
      <c r="D25" s="278">
        <f t="shared" si="0"/>
        <v>2018</v>
      </c>
      <c r="E25" s="279">
        <f t="shared" si="1"/>
        <v>3</v>
      </c>
      <c r="F25" s="281">
        <v>43190</v>
      </c>
      <c r="G25" s="24"/>
      <c r="H25" s="24"/>
      <c r="I25" s="34">
        <v>112.6</v>
      </c>
      <c r="J25" s="515">
        <f t="shared" si="2"/>
        <v>1.9004524886877761E-2</v>
      </c>
      <c r="K25" s="35"/>
      <c r="L25" s="24"/>
      <c r="M25" s="24"/>
      <c r="W25"/>
    </row>
    <row r="26" spans="4:23" ht="12.5" x14ac:dyDescent="0.25">
      <c r="D26" s="278">
        <f t="shared" si="0"/>
        <v>2018</v>
      </c>
      <c r="E26" s="279">
        <f t="shared" si="1"/>
        <v>6</v>
      </c>
      <c r="F26" s="281">
        <v>43281</v>
      </c>
      <c r="G26" s="24"/>
      <c r="H26" s="24"/>
      <c r="I26" s="34">
        <v>113</v>
      </c>
      <c r="J26" s="515">
        <f t="shared" si="2"/>
        <v>2.0776874435411097E-2</v>
      </c>
      <c r="K26" s="35"/>
      <c r="L26" s="24"/>
      <c r="M26" s="24"/>
      <c r="W26"/>
    </row>
    <row r="27" spans="4:23" ht="12.5" x14ac:dyDescent="0.25">
      <c r="D27" s="278">
        <f t="shared" si="0"/>
        <v>2018</v>
      </c>
      <c r="E27" s="279">
        <f t="shared" si="1"/>
        <v>9</v>
      </c>
      <c r="F27" s="281">
        <v>43373</v>
      </c>
      <c r="G27" s="24"/>
      <c r="H27" s="24"/>
      <c r="I27" s="34">
        <v>113.5</v>
      </c>
      <c r="J27" s="515">
        <f t="shared" si="2"/>
        <v>1.8850987432674993E-2</v>
      </c>
      <c r="K27" s="35"/>
      <c r="L27" s="37"/>
      <c r="M27" s="24"/>
      <c r="W27"/>
    </row>
    <row r="28" spans="4:23" ht="12.5" x14ac:dyDescent="0.25">
      <c r="D28" s="278">
        <f t="shared" si="0"/>
        <v>2018</v>
      </c>
      <c r="E28" s="279">
        <f t="shared" si="1"/>
        <v>12</v>
      </c>
      <c r="F28" s="281">
        <v>43465</v>
      </c>
      <c r="G28" s="24"/>
      <c r="H28" s="24"/>
      <c r="I28" s="34">
        <v>114.1</v>
      </c>
      <c r="J28" s="515">
        <f t="shared" si="2"/>
        <v>1.7841213202497874E-2</v>
      </c>
      <c r="K28" s="35"/>
      <c r="M28" s="24"/>
      <c r="W28"/>
    </row>
    <row r="29" spans="4:23" ht="12.5" x14ac:dyDescent="0.25">
      <c r="D29" s="278">
        <f t="shared" si="0"/>
        <v>2019</v>
      </c>
      <c r="E29" s="279">
        <f t="shared" si="1"/>
        <v>3</v>
      </c>
      <c r="F29" s="281">
        <v>43555</v>
      </c>
      <c r="G29" s="24"/>
      <c r="H29" s="24"/>
      <c r="I29" s="34">
        <v>114.1</v>
      </c>
      <c r="J29" s="515">
        <f t="shared" si="2"/>
        <v>1.3321492007104752E-2</v>
      </c>
      <c r="K29" s="35"/>
      <c r="L29" s="24"/>
      <c r="M29" s="24"/>
      <c r="W29"/>
    </row>
    <row r="30" spans="4:23" ht="12.5" x14ac:dyDescent="0.25">
      <c r="D30" s="278">
        <f t="shared" si="0"/>
        <v>2019</v>
      </c>
      <c r="E30" s="279">
        <f t="shared" si="1"/>
        <v>6</v>
      </c>
      <c r="F30" s="281">
        <v>43646</v>
      </c>
      <c r="G30" s="24"/>
      <c r="H30" s="24"/>
      <c r="I30" s="34">
        <v>114.8</v>
      </c>
      <c r="J30" s="515">
        <f t="shared" si="2"/>
        <v>1.5929203539823078E-2</v>
      </c>
      <c r="L30" s="24"/>
      <c r="M30" s="24"/>
      <c r="W30"/>
    </row>
    <row r="31" spans="4:23" ht="12.5" x14ac:dyDescent="0.25">
      <c r="D31" s="278">
        <f t="shared" si="0"/>
        <v>2019</v>
      </c>
      <c r="E31" s="279">
        <f t="shared" si="1"/>
        <v>9</v>
      </c>
      <c r="F31" s="281">
        <v>43738</v>
      </c>
      <c r="G31" s="24"/>
      <c r="H31" s="24"/>
      <c r="I31" s="34">
        <v>115.4</v>
      </c>
      <c r="J31" s="515">
        <f t="shared" si="2"/>
        <v>1.6740088105726914E-2</v>
      </c>
      <c r="K31" s="35"/>
      <c r="L31" s="24"/>
      <c r="M31" s="24"/>
      <c r="W31"/>
    </row>
    <row r="32" spans="4:23" ht="12.5" x14ac:dyDescent="0.25">
      <c r="D32" s="278">
        <f t="shared" si="0"/>
        <v>2019</v>
      </c>
      <c r="E32" s="279">
        <f t="shared" si="1"/>
        <v>12</v>
      </c>
      <c r="F32" s="281">
        <v>43830</v>
      </c>
      <c r="G32" s="24"/>
      <c r="H32" s="24"/>
      <c r="I32" s="34">
        <v>116.2</v>
      </c>
      <c r="J32" s="515">
        <f t="shared" si="2"/>
        <v>1.8404907975460238E-2</v>
      </c>
      <c r="K32" s="35"/>
      <c r="L32" s="24"/>
      <c r="M32" s="24"/>
      <c r="W32"/>
    </row>
    <row r="33" spans="1:48" ht="12.5" x14ac:dyDescent="0.25">
      <c r="D33" s="278">
        <f t="shared" ref="D33:D73" si="3">YEAR(F33)</f>
        <v>2020</v>
      </c>
      <c r="E33" s="279">
        <f t="shared" ref="E33:E73" si="4">MONTH(F33)</f>
        <v>3</v>
      </c>
      <c r="F33" s="281">
        <v>43921</v>
      </c>
      <c r="G33" s="24"/>
      <c r="H33" s="24"/>
      <c r="I33" s="34">
        <v>116.6</v>
      </c>
      <c r="J33" s="515">
        <f t="shared" si="2"/>
        <v>2.1910604732690686E-2</v>
      </c>
      <c r="K33" s="35"/>
      <c r="L33" s="24"/>
      <c r="M33" s="24"/>
      <c r="W33"/>
    </row>
    <row r="34" spans="1:48" ht="12.5" x14ac:dyDescent="0.25">
      <c r="D34" s="278">
        <f t="shared" si="3"/>
        <v>2020</v>
      </c>
      <c r="E34" s="279">
        <f t="shared" si="4"/>
        <v>6</v>
      </c>
      <c r="F34" s="281">
        <v>44012</v>
      </c>
      <c r="G34" s="24"/>
      <c r="H34" s="24"/>
      <c r="I34" s="34"/>
      <c r="J34" s="515">
        <f t="shared" si="2"/>
        <v>0</v>
      </c>
      <c r="K34"/>
      <c r="L34" s="24"/>
      <c r="M34" s="24"/>
      <c r="W34"/>
    </row>
    <row r="35" spans="1:48" ht="12.5" x14ac:dyDescent="0.25">
      <c r="D35" s="278">
        <f t="shared" si="3"/>
        <v>2020</v>
      </c>
      <c r="E35" s="279">
        <f t="shared" si="4"/>
        <v>9</v>
      </c>
      <c r="F35" s="281">
        <v>44104</v>
      </c>
      <c r="G35" s="24"/>
      <c r="H35" s="24"/>
      <c r="I35" s="34"/>
      <c r="J35" s="515">
        <f t="shared" si="2"/>
        <v>0</v>
      </c>
      <c r="K35"/>
      <c r="L35" s="24"/>
      <c r="M35" s="24"/>
      <c r="W35"/>
    </row>
    <row r="36" spans="1:48" ht="12.5" x14ac:dyDescent="0.25">
      <c r="D36" s="278">
        <f t="shared" si="3"/>
        <v>2020</v>
      </c>
      <c r="E36" s="279">
        <f t="shared" si="4"/>
        <v>12</v>
      </c>
      <c r="F36" s="281">
        <v>44196</v>
      </c>
      <c r="G36" s="24"/>
      <c r="H36" s="24"/>
      <c r="I36" s="34"/>
      <c r="J36" s="515">
        <f t="shared" si="2"/>
        <v>0</v>
      </c>
      <c r="K36"/>
      <c r="L36" s="24"/>
      <c r="M36" s="24"/>
      <c r="W36"/>
    </row>
    <row r="37" spans="1:48" ht="12.5" x14ac:dyDescent="0.25">
      <c r="D37" s="278">
        <f t="shared" si="3"/>
        <v>2021</v>
      </c>
      <c r="E37" s="279">
        <f t="shared" si="4"/>
        <v>3</v>
      </c>
      <c r="F37" s="281">
        <v>44286</v>
      </c>
      <c r="G37" s="24"/>
      <c r="H37" s="24"/>
      <c r="I37" s="34"/>
      <c r="J37" s="515">
        <f t="shared" si="2"/>
        <v>0</v>
      </c>
      <c r="K37"/>
      <c r="L37"/>
      <c r="M37"/>
      <c r="N37"/>
      <c r="O37"/>
      <c r="P37"/>
      <c r="Q37"/>
      <c r="R37"/>
      <c r="S37"/>
      <c r="T37"/>
      <c r="W37"/>
    </row>
    <row r="38" spans="1:48" ht="12.5" x14ac:dyDescent="0.25">
      <c r="D38" s="278">
        <f t="shared" si="3"/>
        <v>2021</v>
      </c>
      <c r="E38" s="279">
        <f t="shared" si="4"/>
        <v>6</v>
      </c>
      <c r="F38" s="281">
        <v>44377</v>
      </c>
      <c r="G38" s="24"/>
      <c r="H38" s="24"/>
      <c r="I38" s="34"/>
      <c r="J38" s="515">
        <f t="shared" si="2"/>
        <v>0</v>
      </c>
      <c r="K38"/>
      <c r="L38"/>
      <c r="M38"/>
      <c r="N38"/>
      <c r="O38"/>
      <c r="P38"/>
      <c r="Q38"/>
      <c r="R38"/>
      <c r="S38"/>
      <c r="T38"/>
      <c r="W38"/>
    </row>
    <row r="39" spans="1:48" ht="12.5" x14ac:dyDescent="0.25">
      <c r="D39" s="278">
        <f t="shared" si="3"/>
        <v>2021</v>
      </c>
      <c r="E39" s="279">
        <f t="shared" si="4"/>
        <v>9</v>
      </c>
      <c r="F39" s="281">
        <v>44469</v>
      </c>
      <c r="G39" s="24"/>
      <c r="H39" s="24"/>
      <c r="I39" s="34"/>
      <c r="J39" s="515">
        <f t="shared" si="2"/>
        <v>0</v>
      </c>
      <c r="K39"/>
      <c r="L39"/>
      <c r="M39"/>
      <c r="N39"/>
      <c r="O39"/>
      <c r="P39"/>
      <c r="Q39"/>
      <c r="R39"/>
      <c r="S39"/>
      <c r="T39"/>
      <c r="W39"/>
    </row>
    <row r="40" spans="1:48" ht="12.5" x14ac:dyDescent="0.25">
      <c r="D40" s="278">
        <f t="shared" si="3"/>
        <v>2021</v>
      </c>
      <c r="E40" s="279">
        <f t="shared" si="4"/>
        <v>12</v>
      </c>
      <c r="F40" s="281">
        <v>44561</v>
      </c>
      <c r="G40" s="24"/>
      <c r="H40" s="24"/>
      <c r="I40" s="34"/>
      <c r="J40" s="515">
        <f t="shared" si="2"/>
        <v>0</v>
      </c>
      <c r="K40"/>
      <c r="L40"/>
      <c r="M40"/>
      <c r="N40"/>
      <c r="O40"/>
      <c r="P40"/>
      <c r="Q40"/>
      <c r="R40"/>
      <c r="S40"/>
      <c r="T40"/>
      <c r="W40"/>
    </row>
    <row r="41" spans="1:48" ht="12.5" x14ac:dyDescent="0.25">
      <c r="D41" s="278">
        <f t="shared" si="3"/>
        <v>2022</v>
      </c>
      <c r="E41" s="279">
        <f t="shared" si="4"/>
        <v>3</v>
      </c>
      <c r="F41" s="281">
        <v>44651</v>
      </c>
      <c r="I41" s="34"/>
      <c r="J41" s="515">
        <f t="shared" si="2"/>
        <v>0</v>
      </c>
      <c r="K41"/>
      <c r="L41"/>
      <c r="M41"/>
      <c r="N41"/>
      <c r="O41"/>
      <c r="P41"/>
      <c r="Q41"/>
      <c r="R41"/>
      <c r="S41"/>
      <c r="T41"/>
    </row>
    <row r="42" spans="1:48" s="4" customFormat="1" ht="12.5" x14ac:dyDescent="0.25">
      <c r="D42" s="278">
        <f t="shared" si="3"/>
        <v>2022</v>
      </c>
      <c r="E42" s="279">
        <f t="shared" si="4"/>
        <v>6</v>
      </c>
      <c r="F42" s="281">
        <v>44742</v>
      </c>
      <c r="I42" s="34"/>
      <c r="J42" s="515">
        <f t="shared" si="2"/>
        <v>0</v>
      </c>
      <c r="L42"/>
      <c r="M42"/>
      <c r="N42"/>
      <c r="O42"/>
      <c r="P42"/>
      <c r="Q42"/>
      <c r="R42"/>
      <c r="S42"/>
      <c r="T42"/>
      <c r="Y42" s="22"/>
      <c r="Z42" s="22"/>
      <c r="AA42" s="22"/>
      <c r="AB42" s="22"/>
      <c r="AC42" s="22"/>
      <c r="AD42" s="23"/>
      <c r="AE42" s="23"/>
    </row>
    <row r="43" spans="1:48" ht="12.5" x14ac:dyDescent="0.25">
      <c r="D43" s="278">
        <f t="shared" si="3"/>
        <v>2022</v>
      </c>
      <c r="E43" s="279">
        <f t="shared" si="4"/>
        <v>9</v>
      </c>
      <c r="F43" s="281">
        <v>44834</v>
      </c>
      <c r="I43" s="34"/>
      <c r="J43" s="515">
        <f t="shared" si="2"/>
        <v>0</v>
      </c>
      <c r="K43" s="27"/>
      <c r="L43"/>
      <c r="M43"/>
      <c r="N43"/>
      <c r="O43"/>
      <c r="P43"/>
      <c r="Q43"/>
      <c r="R43"/>
      <c r="S43"/>
      <c r="T43"/>
    </row>
    <row r="44" spans="1:48" ht="10" x14ac:dyDescent="0.2">
      <c r="D44" s="278">
        <f t="shared" si="3"/>
        <v>2022</v>
      </c>
      <c r="E44" s="279">
        <f t="shared" si="4"/>
        <v>12</v>
      </c>
      <c r="F44" s="281">
        <v>44926</v>
      </c>
      <c r="I44" s="34"/>
      <c r="J44" s="515">
        <f t="shared" si="2"/>
        <v>0</v>
      </c>
      <c r="K44" s="27"/>
      <c r="L44" s="27"/>
    </row>
    <row r="45" spans="1:48" s="25" customFormat="1" ht="10" x14ac:dyDescent="0.2">
      <c r="A45" s="24"/>
      <c r="B45" s="24"/>
      <c r="C45" s="24"/>
      <c r="D45" s="278">
        <f t="shared" si="3"/>
        <v>2023</v>
      </c>
      <c r="E45" s="279">
        <f t="shared" si="4"/>
        <v>3</v>
      </c>
      <c r="F45" s="281">
        <v>45016</v>
      </c>
      <c r="I45" s="34"/>
      <c r="J45" s="515">
        <f t="shared" si="2"/>
        <v>0</v>
      </c>
      <c r="K45" s="27"/>
      <c r="L45" s="27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</row>
    <row r="46" spans="1:48" s="25" customFormat="1" ht="10" x14ac:dyDescent="0.2">
      <c r="A46" s="24"/>
      <c r="B46" s="24"/>
      <c r="C46" s="24"/>
      <c r="D46" s="278">
        <f t="shared" si="3"/>
        <v>2023</v>
      </c>
      <c r="E46" s="279">
        <f t="shared" si="4"/>
        <v>6</v>
      </c>
      <c r="F46" s="281">
        <v>45107</v>
      </c>
      <c r="I46" s="34"/>
      <c r="J46" s="515">
        <f t="shared" si="2"/>
        <v>0</v>
      </c>
      <c r="K46" s="27"/>
      <c r="L46" s="27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</row>
    <row r="47" spans="1:48" s="25" customFormat="1" ht="10" x14ac:dyDescent="0.2">
      <c r="A47" s="24"/>
      <c r="B47" s="24"/>
      <c r="C47" s="24"/>
      <c r="D47" s="278">
        <f t="shared" si="3"/>
        <v>2023</v>
      </c>
      <c r="E47" s="279">
        <f t="shared" si="4"/>
        <v>9</v>
      </c>
      <c r="F47" s="281">
        <v>45199</v>
      </c>
      <c r="I47" s="34"/>
      <c r="J47" s="515">
        <f t="shared" si="2"/>
        <v>0</v>
      </c>
      <c r="K47" s="27"/>
      <c r="L47" s="27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s="25" customFormat="1" ht="10" x14ac:dyDescent="0.2">
      <c r="A48" s="24"/>
      <c r="B48" s="24"/>
      <c r="C48" s="24"/>
      <c r="D48" s="278">
        <f t="shared" si="3"/>
        <v>2023</v>
      </c>
      <c r="E48" s="279">
        <f t="shared" si="4"/>
        <v>12</v>
      </c>
      <c r="F48" s="281">
        <v>45291</v>
      </c>
      <c r="I48" s="34"/>
      <c r="J48" s="515">
        <f t="shared" si="2"/>
        <v>0</v>
      </c>
      <c r="K48" s="27"/>
      <c r="L48" s="27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s="25" customFormat="1" ht="10" x14ac:dyDescent="0.2">
      <c r="A49" s="24"/>
      <c r="B49" s="24"/>
      <c r="C49" s="24"/>
      <c r="D49" s="278">
        <f t="shared" si="3"/>
        <v>2024</v>
      </c>
      <c r="E49" s="279">
        <f t="shared" si="4"/>
        <v>3</v>
      </c>
      <c r="F49" s="281">
        <v>45382</v>
      </c>
      <c r="I49" s="34"/>
      <c r="J49" s="515">
        <f t="shared" si="2"/>
        <v>0</v>
      </c>
      <c r="K49" s="27"/>
      <c r="L49" s="27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s="25" customFormat="1" ht="10" x14ac:dyDescent="0.2">
      <c r="A50" s="24"/>
      <c r="B50" s="24"/>
      <c r="C50" s="24"/>
      <c r="D50" s="278">
        <f t="shared" si="3"/>
        <v>2024</v>
      </c>
      <c r="E50" s="279">
        <f t="shared" si="4"/>
        <v>6</v>
      </c>
      <c r="F50" s="281">
        <v>45473</v>
      </c>
      <c r="I50" s="34"/>
      <c r="J50" s="515">
        <f t="shared" si="2"/>
        <v>0</v>
      </c>
      <c r="K50" s="27"/>
      <c r="L50" s="27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s="25" customFormat="1" ht="10" x14ac:dyDescent="0.2">
      <c r="A51" s="24"/>
      <c r="B51" s="24"/>
      <c r="C51" s="24"/>
      <c r="D51" s="278">
        <f t="shared" si="3"/>
        <v>2024</v>
      </c>
      <c r="E51" s="279">
        <f t="shared" si="4"/>
        <v>9</v>
      </c>
      <c r="F51" s="281">
        <v>45565</v>
      </c>
      <c r="I51" s="34"/>
      <c r="J51" s="515">
        <f t="shared" si="2"/>
        <v>0</v>
      </c>
      <c r="K51" s="27"/>
      <c r="L51" s="27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s="25" customFormat="1" ht="10" x14ac:dyDescent="0.2">
      <c r="A52" s="24"/>
      <c r="B52" s="24"/>
      <c r="C52" s="24"/>
      <c r="D52" s="278">
        <f t="shared" si="3"/>
        <v>2024</v>
      </c>
      <c r="E52" s="279">
        <f t="shared" si="4"/>
        <v>12</v>
      </c>
      <c r="F52" s="281">
        <v>45657</v>
      </c>
      <c r="I52" s="34"/>
      <c r="J52" s="515">
        <f t="shared" si="2"/>
        <v>0</v>
      </c>
      <c r="K52" s="27"/>
      <c r="L52" s="27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ht="11.25" customHeight="1" x14ac:dyDescent="0.2">
      <c r="D53" s="278">
        <f t="shared" si="3"/>
        <v>2025</v>
      </c>
      <c r="E53" s="279">
        <f t="shared" si="4"/>
        <v>3</v>
      </c>
      <c r="F53" s="281">
        <v>45747</v>
      </c>
      <c r="I53" s="34"/>
      <c r="J53" s="515">
        <f t="shared" si="2"/>
        <v>0</v>
      </c>
    </row>
    <row r="54" spans="1:48" ht="11.25" customHeight="1" x14ac:dyDescent="0.2">
      <c r="D54" s="278">
        <f t="shared" si="3"/>
        <v>2025</v>
      </c>
      <c r="E54" s="279">
        <f t="shared" si="4"/>
        <v>6</v>
      </c>
      <c r="F54" s="281">
        <v>45838</v>
      </c>
      <c r="I54" s="34"/>
      <c r="J54" s="515">
        <f t="shared" si="2"/>
        <v>0</v>
      </c>
    </row>
    <row r="55" spans="1:48" ht="11.25" customHeight="1" x14ac:dyDescent="0.2">
      <c r="D55" s="278">
        <f t="shared" si="3"/>
        <v>2025</v>
      </c>
      <c r="E55" s="279">
        <f t="shared" si="4"/>
        <v>9</v>
      </c>
      <c r="F55" s="281">
        <v>45930</v>
      </c>
      <c r="I55" s="34"/>
      <c r="J55" s="515">
        <f t="shared" si="2"/>
        <v>0</v>
      </c>
    </row>
    <row r="56" spans="1:48" ht="11.25" customHeight="1" x14ac:dyDescent="0.2">
      <c r="D56" s="278">
        <f t="shared" si="3"/>
        <v>2025</v>
      </c>
      <c r="E56" s="279">
        <f t="shared" si="4"/>
        <v>12</v>
      </c>
      <c r="F56" s="281">
        <v>46022</v>
      </c>
      <c r="I56" s="34"/>
      <c r="J56" s="515">
        <f t="shared" si="2"/>
        <v>0</v>
      </c>
    </row>
    <row r="57" spans="1:48" ht="11.25" customHeight="1" x14ac:dyDescent="0.2">
      <c r="D57" s="278">
        <f t="shared" si="3"/>
        <v>2026</v>
      </c>
      <c r="E57" s="279">
        <f t="shared" si="4"/>
        <v>3</v>
      </c>
      <c r="F57" s="281">
        <v>46112</v>
      </c>
      <c r="I57" s="34"/>
      <c r="J57" s="515">
        <f t="shared" si="2"/>
        <v>0</v>
      </c>
    </row>
    <row r="58" spans="1:48" ht="11.25" customHeight="1" x14ac:dyDescent="0.2">
      <c r="D58" s="278">
        <f t="shared" si="3"/>
        <v>2026</v>
      </c>
      <c r="E58" s="279">
        <f t="shared" si="4"/>
        <v>6</v>
      </c>
      <c r="F58" s="281">
        <v>46203</v>
      </c>
      <c r="I58" s="34"/>
      <c r="J58" s="515">
        <f t="shared" si="2"/>
        <v>0</v>
      </c>
    </row>
    <row r="59" spans="1:48" ht="11.25" customHeight="1" x14ac:dyDescent="0.2">
      <c r="D59" s="278">
        <f t="shared" si="3"/>
        <v>2026</v>
      </c>
      <c r="E59" s="279">
        <f t="shared" si="4"/>
        <v>9</v>
      </c>
      <c r="F59" s="281">
        <v>46295</v>
      </c>
      <c r="I59" s="34"/>
      <c r="J59" s="515">
        <f t="shared" si="2"/>
        <v>0</v>
      </c>
    </row>
    <row r="60" spans="1:48" ht="11.25" customHeight="1" x14ac:dyDescent="0.2">
      <c r="D60" s="278">
        <f t="shared" si="3"/>
        <v>2026</v>
      </c>
      <c r="E60" s="279">
        <f t="shared" si="4"/>
        <v>12</v>
      </c>
      <c r="F60" s="281">
        <v>46387</v>
      </c>
      <c r="I60" s="34"/>
      <c r="J60" s="515">
        <f t="shared" si="2"/>
        <v>0</v>
      </c>
    </row>
    <row r="61" spans="1:48" ht="11.25" customHeight="1" x14ac:dyDescent="0.2">
      <c r="D61" s="278">
        <f t="shared" si="3"/>
        <v>2027</v>
      </c>
      <c r="E61" s="279">
        <f t="shared" si="4"/>
        <v>3</v>
      </c>
      <c r="F61" s="281">
        <v>46477</v>
      </c>
      <c r="I61" s="34"/>
      <c r="J61" s="515">
        <f t="shared" si="2"/>
        <v>0</v>
      </c>
    </row>
    <row r="62" spans="1:48" ht="11.25" customHeight="1" x14ac:dyDescent="0.2">
      <c r="D62" s="278">
        <f t="shared" si="3"/>
        <v>2027</v>
      </c>
      <c r="E62" s="279">
        <f t="shared" si="4"/>
        <v>6</v>
      </c>
      <c r="F62" s="281">
        <v>46568</v>
      </c>
      <c r="I62" s="34"/>
      <c r="J62" s="515">
        <f t="shared" si="2"/>
        <v>0</v>
      </c>
    </row>
    <row r="63" spans="1:48" ht="11.25" customHeight="1" x14ac:dyDescent="0.2">
      <c r="D63" s="278">
        <f t="shared" si="3"/>
        <v>2027</v>
      </c>
      <c r="E63" s="279">
        <f t="shared" si="4"/>
        <v>9</v>
      </c>
      <c r="F63" s="281">
        <v>46660</v>
      </c>
      <c r="I63" s="34"/>
      <c r="J63" s="515">
        <f t="shared" si="2"/>
        <v>0</v>
      </c>
    </row>
    <row r="64" spans="1:48" ht="11.25" customHeight="1" x14ac:dyDescent="0.2">
      <c r="D64" s="278">
        <f t="shared" si="3"/>
        <v>2027</v>
      </c>
      <c r="E64" s="279">
        <f t="shared" si="4"/>
        <v>12</v>
      </c>
      <c r="F64" s="281">
        <v>46752</v>
      </c>
      <c r="I64" s="34"/>
      <c r="J64" s="515">
        <f t="shared" si="2"/>
        <v>0</v>
      </c>
    </row>
    <row r="65" spans="1:24" ht="11.25" customHeight="1" x14ac:dyDescent="0.2">
      <c r="D65" s="278">
        <f t="shared" si="3"/>
        <v>2028</v>
      </c>
      <c r="E65" s="279">
        <f t="shared" si="4"/>
        <v>3</v>
      </c>
      <c r="F65" s="281">
        <v>46843</v>
      </c>
      <c r="I65" s="34"/>
      <c r="J65" s="515">
        <f t="shared" si="2"/>
        <v>0</v>
      </c>
    </row>
    <row r="66" spans="1:24" ht="11.25" customHeight="1" x14ac:dyDescent="0.2">
      <c r="D66" s="278">
        <f t="shared" si="3"/>
        <v>2028</v>
      </c>
      <c r="E66" s="279">
        <f t="shared" si="4"/>
        <v>6</v>
      </c>
      <c r="F66" s="281">
        <v>46934</v>
      </c>
      <c r="I66" s="34"/>
      <c r="J66" s="515">
        <f t="shared" si="2"/>
        <v>0</v>
      </c>
    </row>
    <row r="67" spans="1:24" ht="11.25" customHeight="1" x14ac:dyDescent="0.2">
      <c r="D67" s="278">
        <f t="shared" si="3"/>
        <v>2028</v>
      </c>
      <c r="E67" s="279">
        <f t="shared" si="4"/>
        <v>9</v>
      </c>
      <c r="F67" s="281">
        <v>47026</v>
      </c>
      <c r="I67" s="34"/>
      <c r="J67" s="515">
        <f t="shared" si="2"/>
        <v>0</v>
      </c>
    </row>
    <row r="68" spans="1:24" ht="11.25" customHeight="1" x14ac:dyDescent="0.2">
      <c r="D68" s="278">
        <f t="shared" si="3"/>
        <v>2028</v>
      </c>
      <c r="E68" s="279">
        <f t="shared" si="4"/>
        <v>12</v>
      </c>
      <c r="F68" s="281">
        <v>47118</v>
      </c>
      <c r="I68" s="34"/>
      <c r="J68" s="515">
        <f t="shared" si="2"/>
        <v>0</v>
      </c>
    </row>
    <row r="69" spans="1:24" ht="11.25" customHeight="1" x14ac:dyDescent="0.2">
      <c r="D69" s="278">
        <f t="shared" si="3"/>
        <v>2029</v>
      </c>
      <c r="E69" s="279">
        <f t="shared" si="4"/>
        <v>3</v>
      </c>
      <c r="F69" s="281">
        <v>47208</v>
      </c>
      <c r="I69" s="34"/>
      <c r="J69" s="515">
        <f t="shared" si="2"/>
        <v>0</v>
      </c>
    </row>
    <row r="70" spans="1:24" ht="11.25" customHeight="1" x14ac:dyDescent="0.2">
      <c r="D70" s="278">
        <f t="shared" si="3"/>
        <v>2029</v>
      </c>
      <c r="E70" s="279">
        <f t="shared" si="4"/>
        <v>6</v>
      </c>
      <c r="F70" s="281">
        <v>47299</v>
      </c>
      <c r="I70" s="34"/>
      <c r="J70" s="515">
        <f t="shared" si="2"/>
        <v>0</v>
      </c>
    </row>
    <row r="71" spans="1:24" ht="11.25" customHeight="1" x14ac:dyDescent="0.2">
      <c r="D71" s="278">
        <f t="shared" si="3"/>
        <v>2029</v>
      </c>
      <c r="E71" s="279">
        <f t="shared" si="4"/>
        <v>9</v>
      </c>
      <c r="F71" s="281">
        <v>47391</v>
      </c>
      <c r="I71" s="34"/>
      <c r="J71" s="515">
        <f t="shared" si="2"/>
        <v>0</v>
      </c>
    </row>
    <row r="72" spans="1:24" ht="11.25" customHeight="1" x14ac:dyDescent="0.2">
      <c r="D72" s="278">
        <f t="shared" si="3"/>
        <v>2029</v>
      </c>
      <c r="E72" s="279">
        <f t="shared" si="4"/>
        <v>12</v>
      </c>
      <c r="F72" s="281">
        <v>47483</v>
      </c>
      <c r="I72" s="34"/>
      <c r="J72" s="515">
        <f t="shared" si="2"/>
        <v>0</v>
      </c>
    </row>
    <row r="73" spans="1:24" ht="11.25" customHeight="1" x14ac:dyDescent="0.2">
      <c r="D73" s="278">
        <f t="shared" si="3"/>
        <v>2030</v>
      </c>
      <c r="E73" s="279">
        <f t="shared" si="4"/>
        <v>3</v>
      </c>
      <c r="F73" s="281">
        <v>47573</v>
      </c>
      <c r="I73" s="34"/>
      <c r="J73" s="515">
        <f t="shared" si="2"/>
        <v>0</v>
      </c>
    </row>
    <row r="74" spans="1:24" ht="11.25" customHeight="1" x14ac:dyDescent="0.2"/>
    <row r="75" spans="1:24" ht="11.25" customHeight="1" x14ac:dyDescent="0.3">
      <c r="A75" s="17"/>
      <c r="B75" s="18" t="s">
        <v>71</v>
      </c>
      <c r="C75" s="18"/>
      <c r="D75" s="18"/>
      <c r="E75" s="18"/>
      <c r="F75" s="17"/>
      <c r="G75" s="17"/>
      <c r="H75" s="17"/>
      <c r="I75" s="17"/>
      <c r="J75" s="19"/>
      <c r="K75" s="19"/>
      <c r="L75" s="19"/>
      <c r="M75" s="19"/>
      <c r="N75" s="20"/>
      <c r="O75" s="21"/>
      <c r="P75" s="20"/>
      <c r="Q75" s="21"/>
      <c r="R75" s="20"/>
      <c r="S75" s="20"/>
      <c r="T75" s="20"/>
      <c r="U75" s="20"/>
      <c r="V75" s="20"/>
      <c r="W75" s="20"/>
      <c r="X75" s="20"/>
    </row>
    <row r="76" spans="1:24" ht="11.25" customHeight="1" x14ac:dyDescent="0.2"/>
    <row r="77" spans="1:24" ht="11.25" customHeight="1" x14ac:dyDescent="0.2"/>
  </sheetData>
  <mergeCells count="1">
    <mergeCell ref="D7:E8"/>
  </mergeCells>
  <pageMargins left="0.7" right="0.7" top="0.75" bottom="0.75" header="0.3" footer="0.3"/>
  <pageSetup paperSize="9" orientation="portrait" verticalDpi="4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141E7-4087-47C1-8165-75E6324285D1}">
  <sheetPr codeName="Sheet4">
    <tabColor theme="8" tint="0.59999389629810485"/>
  </sheetPr>
  <dimension ref="A1:Z53"/>
  <sheetViews>
    <sheetView showGridLines="0" zoomScaleNormal="100" workbookViewId="0">
      <selection activeCell="C8" sqref="C8"/>
    </sheetView>
  </sheetViews>
  <sheetFormatPr defaultColWidth="0" defaultRowHeight="12.5" zeroHeight="1" x14ac:dyDescent="0.25"/>
  <cols>
    <col min="1" max="1" width="2.54296875" customWidth="1"/>
    <col min="2" max="2" width="3.81640625" customWidth="1"/>
    <col min="3" max="3" width="35.7265625" customWidth="1"/>
    <col min="4" max="5" width="13.26953125" customWidth="1"/>
    <col min="6" max="6" width="9.7265625" customWidth="1"/>
    <col min="7" max="9" width="17.81640625" customWidth="1"/>
    <col min="10" max="10" width="18.54296875" customWidth="1"/>
    <col min="11" max="18" width="17.7265625" customWidth="1"/>
    <col min="19" max="26" width="0" hidden="1" customWidth="1"/>
    <col min="27" max="16384" width="8.7265625" hidden="1"/>
  </cols>
  <sheetData>
    <row r="1" spans="1:18" ht="18" x14ac:dyDescent="0.25">
      <c r="A1" s="67"/>
      <c r="B1" s="67" t="str">
        <f>'Input|General'!B1&amp;" v"&amp;'Input|General'!$D$2</f>
        <v>AER Metering Opex &amp; Capex Forecasting Model DRAFT v1</v>
      </c>
      <c r="C1" s="67"/>
      <c r="D1" s="67"/>
      <c r="E1" s="67"/>
      <c r="F1" s="67"/>
      <c r="G1" s="67"/>
      <c r="H1" s="67"/>
      <c r="I1" s="67"/>
      <c r="J1" s="3"/>
      <c r="K1" s="3"/>
      <c r="L1" s="3"/>
      <c r="M1" s="3"/>
      <c r="N1" s="3"/>
      <c r="O1" s="3"/>
      <c r="P1" s="3"/>
      <c r="Q1" s="3"/>
      <c r="R1" s="3"/>
    </row>
    <row r="2" spans="1:18" ht="18" x14ac:dyDescent="0.25">
      <c r="A2" s="55"/>
      <c r="B2" s="68" t="str" cm="1">
        <f t="array" aca="1" ref="B2" ca="1">MID(CELL("filename",A1),FIND("]",CELL("filename",A1))+1,255)</f>
        <v>Input| Prices</v>
      </c>
      <c r="C2" s="55"/>
      <c r="D2" s="55"/>
      <c r="E2" s="55"/>
      <c r="F2" s="55"/>
      <c r="G2" s="68"/>
      <c r="H2" s="68"/>
      <c r="I2" s="68"/>
      <c r="J2" s="68"/>
      <c r="K2" s="68"/>
      <c r="L2" s="68"/>
      <c r="M2" s="3"/>
      <c r="N2" s="3"/>
      <c r="O2" s="3"/>
      <c r="P2" s="3"/>
      <c r="Q2" s="3"/>
      <c r="R2" s="3"/>
    </row>
    <row r="3" spans="1:18" ht="18" x14ac:dyDescent="0.25">
      <c r="A3" s="55"/>
      <c r="B3" s="68"/>
      <c r="C3" s="55"/>
      <c r="D3" s="55"/>
      <c r="E3" s="55"/>
      <c r="F3" s="55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x14ac:dyDescent="0.25">
      <c r="A4" s="7"/>
      <c r="B4" s="7"/>
      <c r="C4" s="8"/>
      <c r="D4" s="8"/>
      <c r="E4" s="8"/>
      <c r="F4" s="8"/>
      <c r="G4" s="8"/>
      <c r="H4" s="8"/>
      <c r="I4" s="8"/>
      <c r="J4" s="7"/>
      <c r="K4" s="7"/>
      <c r="L4" s="7"/>
      <c r="M4" s="7"/>
      <c r="N4" s="7"/>
      <c r="O4" s="7"/>
      <c r="P4" s="7"/>
      <c r="Q4" s="7"/>
      <c r="R4" s="7"/>
    </row>
    <row r="5" spans="1:1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15" customHeight="1" x14ac:dyDescent="0.3">
      <c r="A6" s="9"/>
      <c r="B6" s="9"/>
      <c r="C6" s="682" t="s">
        <v>231</v>
      </c>
      <c r="D6" s="682"/>
      <c r="E6" s="682"/>
      <c r="F6" s="682"/>
      <c r="G6" s="682"/>
      <c r="H6" s="682"/>
      <c r="I6" s="682"/>
      <c r="J6" s="682"/>
      <c r="K6" s="682"/>
      <c r="L6" s="9"/>
      <c r="M6" s="9"/>
      <c r="N6" s="9"/>
      <c r="O6" s="9"/>
      <c r="P6" s="9"/>
      <c r="Q6" s="9"/>
      <c r="R6" s="9"/>
    </row>
    <row r="7" spans="1:18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5">
      <c r="A8" s="7"/>
      <c r="B8" s="7"/>
      <c r="C8" s="10" t="s">
        <v>59</v>
      </c>
      <c r="D8" s="10"/>
      <c r="E8" s="10"/>
      <c r="F8" s="10"/>
      <c r="G8" s="10"/>
      <c r="H8" s="10"/>
      <c r="I8" s="76" t="str">
        <f>FPFirstYear</f>
        <v>2020-21</v>
      </c>
      <c r="K8" s="7"/>
      <c r="L8" s="7"/>
      <c r="M8" s="7"/>
      <c r="N8" s="7"/>
      <c r="O8" s="7"/>
      <c r="P8" s="7"/>
      <c r="Q8" s="7"/>
      <c r="R8" s="7"/>
    </row>
    <row r="9" spans="1:18" x14ac:dyDescent="0.25">
      <c r="A9" s="7"/>
      <c r="B9" s="7"/>
      <c r="C9" s="10" t="s">
        <v>338</v>
      </c>
      <c r="D9" s="10"/>
      <c r="E9" s="10"/>
      <c r="F9" s="10"/>
      <c r="G9" s="10"/>
      <c r="H9" s="10"/>
      <c r="I9" s="283">
        <f>'Input|General'!I14</f>
        <v>36678</v>
      </c>
      <c r="L9" s="7"/>
      <c r="M9" s="7"/>
      <c r="N9" s="7"/>
      <c r="O9" s="7"/>
      <c r="P9" s="7"/>
      <c r="Q9" s="7"/>
      <c r="R9" s="7"/>
    </row>
    <row r="10" spans="1:18" x14ac:dyDescent="0.25">
      <c r="A10" s="7"/>
      <c r="B10" s="7"/>
      <c r="C10" s="10" t="s">
        <v>339</v>
      </c>
      <c r="D10" s="10"/>
      <c r="E10" s="10"/>
      <c r="F10" s="10"/>
      <c r="G10" s="10"/>
      <c r="H10" s="10"/>
      <c r="I10" s="492">
        <f>IF(MID(PPFirstYear,5,1)="",0,1)</f>
        <v>1</v>
      </c>
      <c r="L10" s="7"/>
      <c r="M10" s="7"/>
      <c r="N10" s="7"/>
      <c r="O10" s="7"/>
      <c r="P10" s="7"/>
      <c r="Q10" s="7"/>
      <c r="R10" s="7"/>
    </row>
    <row r="11" spans="1:18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14" x14ac:dyDescent="0.3">
      <c r="A12" s="9"/>
      <c r="B12" s="9"/>
      <c r="C12" s="682" t="str">
        <f>LEFT(C6,1)+1&amp;". Forecast CPI, Real Labour/Non-Labour Price Growth"</f>
        <v>7. Forecast CPI, Real Labour/Non-Labour Price Growth</v>
      </c>
      <c r="D12" s="682"/>
      <c r="E12" s="682"/>
      <c r="F12" s="682"/>
      <c r="G12" s="682"/>
      <c r="H12" s="682"/>
      <c r="I12" s="682"/>
      <c r="J12" s="682"/>
      <c r="K12" s="682"/>
      <c r="L12" s="682"/>
      <c r="M12" s="682"/>
      <c r="N12" s="682"/>
      <c r="O12" s="682"/>
      <c r="P12" s="682"/>
      <c r="Q12" s="682"/>
      <c r="R12" s="682"/>
    </row>
    <row r="13" spans="1:18" ht="13.9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3.9" customHeight="1" x14ac:dyDescent="0.3">
      <c r="A14" s="7"/>
      <c r="B14" s="69" t="s">
        <v>366</v>
      </c>
      <c r="C14" s="7"/>
      <c r="D14" s="7"/>
      <c r="E14" s="7"/>
      <c r="F14" s="7"/>
      <c r="G14" s="7"/>
      <c r="H14" s="7"/>
      <c r="I14" s="7"/>
      <c r="J14" s="7"/>
      <c r="K14" s="7"/>
      <c r="L14" s="683" t="s">
        <v>232</v>
      </c>
      <c r="M14" s="683"/>
      <c r="N14" s="683"/>
      <c r="O14" s="683"/>
      <c r="P14" s="684"/>
      <c r="Q14" s="7"/>
      <c r="R14" s="7"/>
    </row>
    <row r="15" spans="1:18" ht="13.9" customHeight="1" x14ac:dyDescent="0.3">
      <c r="A15" s="7"/>
      <c r="B15" s="69"/>
      <c r="C15" s="7" t="s">
        <v>369</v>
      </c>
      <c r="D15" s="7"/>
      <c r="E15" s="7"/>
      <c r="F15" s="7"/>
      <c r="G15" s="7"/>
      <c r="H15" s="2" t="str">
        <f t="shared" ref="H15" si="0">(LEFT(I15,4)-1&amp;IF(MID(I15,5,1)="","","-"&amp;TEXT(MOD(MID(I15,6,2)-1,100),"00")))</f>
        <v>2016-17</v>
      </c>
      <c r="I15" s="2" t="str">
        <f>(LEFT(J15,4)-1&amp;IF(MID(J15,5,1)="","","-"&amp;TEXT(MOD(MID(J15,6,2)-1,100),"00")))</f>
        <v>2017-18</v>
      </c>
      <c r="J15" s="2" t="str">
        <f>(LEFT(K15,4)-1&amp;IF(MID(K15,5,1)="","","-"&amp;TEXT(MOD(MID(K15,6,2)-1,100),"00")))</f>
        <v>2018-19</v>
      </c>
      <c r="K15" s="408" t="str">
        <f>(LEFT(L15,4)-1&amp;IF(MID(L15,5,1)="","","-"&amp;TEXT(MOD(MID(L15,6,2)-1,100),"00")))</f>
        <v>2019-20</v>
      </c>
      <c r="L15" s="2" t="str">
        <f>FPFirstYear</f>
        <v>2020-21</v>
      </c>
      <c r="M15" s="2" t="str">
        <f>(LEFT(L15,4)+1&amp;IF(MID(L15,5,1)="","","-"&amp;TEXT(MOD(MID(L15,6,2)+1,100),"00")))</f>
        <v>2021-22</v>
      </c>
      <c r="N15" s="2" t="str">
        <f t="shared" ref="N15:P15" si="1">(LEFT(M15,4)+1&amp;IF(MID(M15,5,1)="","","-"&amp;TEXT(MOD(MID(M15,6,2)+1,100),"00")))</f>
        <v>2022-23</v>
      </c>
      <c r="O15" s="2" t="str">
        <f t="shared" si="1"/>
        <v>2023-24</v>
      </c>
      <c r="P15" s="2" t="str">
        <f t="shared" si="1"/>
        <v>2024-25</v>
      </c>
      <c r="Q15" s="7"/>
      <c r="R15" s="7"/>
    </row>
    <row r="16" spans="1:18" ht="13.9" customHeight="1" x14ac:dyDescent="0.3">
      <c r="A16" s="7"/>
      <c r="B16" s="69"/>
      <c r="C16" s="7" t="s">
        <v>370</v>
      </c>
      <c r="D16" s="7"/>
      <c r="E16" s="7"/>
      <c r="F16" s="7"/>
      <c r="G16" s="7"/>
      <c r="H16" s="559">
        <f t="shared" ref="H16:P16" si="2">(LEFT(H$15,4)+$I$10)/1</f>
        <v>2017</v>
      </c>
      <c r="I16" s="559">
        <f t="shared" si="2"/>
        <v>2018</v>
      </c>
      <c r="J16" s="559">
        <f t="shared" si="2"/>
        <v>2019</v>
      </c>
      <c r="K16" s="560">
        <f t="shared" si="2"/>
        <v>2020</v>
      </c>
      <c r="L16" s="559">
        <f t="shared" si="2"/>
        <v>2021</v>
      </c>
      <c r="M16" s="559">
        <f t="shared" si="2"/>
        <v>2022</v>
      </c>
      <c r="N16" s="559">
        <f t="shared" si="2"/>
        <v>2023</v>
      </c>
      <c r="O16" s="559">
        <f t="shared" si="2"/>
        <v>2024</v>
      </c>
      <c r="P16" s="561">
        <f t="shared" si="2"/>
        <v>2025</v>
      </c>
      <c r="Q16" s="7"/>
      <c r="R16" s="7"/>
    </row>
    <row r="17" spans="1:18" ht="13.9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13.9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13" x14ac:dyDescent="0.3">
      <c r="A19" s="7"/>
      <c r="B19" s="69" t="s">
        <v>354</v>
      </c>
      <c r="C19" s="7"/>
      <c r="D19" s="7"/>
      <c r="E19" s="7"/>
      <c r="F19" s="7"/>
      <c r="G19" s="7"/>
      <c r="H19" s="7"/>
      <c r="I19" s="7"/>
      <c r="J19" s="7"/>
      <c r="K19" s="407"/>
      <c r="L19" s="683" t="s">
        <v>232</v>
      </c>
      <c r="M19" s="683"/>
      <c r="N19" s="683"/>
      <c r="O19" s="683"/>
      <c r="P19" s="684"/>
      <c r="R19" s="7"/>
    </row>
    <row r="20" spans="1:18" x14ac:dyDescent="0.25">
      <c r="A20" s="7"/>
      <c r="B20" s="7"/>
      <c r="C20" s="1" t="s">
        <v>425</v>
      </c>
      <c r="D20" s="1"/>
      <c r="E20" s="1"/>
      <c r="F20" s="491" t="s">
        <v>426</v>
      </c>
      <c r="G20" s="491" t="s">
        <v>62</v>
      </c>
      <c r="H20" s="2" t="str">
        <f>H$15</f>
        <v>2016-17</v>
      </c>
      <c r="I20" s="2" t="str">
        <f t="shared" ref="I20:P20" si="3">I$15</f>
        <v>2017-18</v>
      </c>
      <c r="J20" s="2" t="str">
        <f t="shared" si="3"/>
        <v>2018-19</v>
      </c>
      <c r="K20" s="408" t="str">
        <f t="shared" si="3"/>
        <v>2019-20</v>
      </c>
      <c r="L20" s="2" t="str">
        <f t="shared" si="3"/>
        <v>2020-21</v>
      </c>
      <c r="M20" s="2" t="str">
        <f t="shared" si="3"/>
        <v>2021-22</v>
      </c>
      <c r="N20" s="2" t="str">
        <f t="shared" si="3"/>
        <v>2022-23</v>
      </c>
      <c r="O20" s="2" t="str">
        <f t="shared" si="3"/>
        <v>2023-24</v>
      </c>
      <c r="P20" s="2" t="str">
        <f t="shared" si="3"/>
        <v>2024-25</v>
      </c>
      <c r="Q20" s="568"/>
      <c r="R20" s="7"/>
    </row>
    <row r="21" spans="1:18" ht="13" x14ac:dyDescent="0.3">
      <c r="A21" s="7"/>
      <c r="B21" s="7"/>
      <c r="C21" s="562" t="s">
        <v>329</v>
      </c>
      <c r="D21" s="542"/>
      <c r="E21" s="542"/>
      <c r="F21" s="648">
        <f>'Input|General'!$I$14</f>
        <v>36678</v>
      </c>
      <c r="G21" s="541"/>
      <c r="H21" s="573"/>
      <c r="I21" s="574"/>
      <c r="J21" s="574"/>
      <c r="K21" s="569">
        <v>1.4999999999999999E-2</v>
      </c>
      <c r="L21" s="570">
        <v>0.02</v>
      </c>
      <c r="M21" s="571"/>
      <c r="N21" s="571"/>
      <c r="O21" s="571"/>
      <c r="P21" s="572"/>
      <c r="R21" s="7"/>
    </row>
    <row r="22" spans="1:18" ht="13" x14ac:dyDescent="0.3">
      <c r="A22" s="7"/>
      <c r="B22" s="7"/>
      <c r="C22" s="576" t="s">
        <v>375</v>
      </c>
      <c r="D22" s="577"/>
      <c r="E22" s="577"/>
      <c r="F22" s="648">
        <f>'Input|General'!$I$14</f>
        <v>36678</v>
      </c>
      <c r="G22" s="578"/>
      <c r="H22" s="169" cm="1">
        <f t="array" ref="H22">INDEX('Input| Historical Inflation'!$J$10:$J$72,
MATCH(1,('Input| Historical Inflation'!$E$10:$E$72=MONTH($I$9))*
('Input| Historical Inflation'!$D$10:$D$72=H$16),0))</f>
        <v>1.9337016574585641E-2</v>
      </c>
      <c r="I22" s="169" cm="1">
        <f t="array" ref="I22">INDEX('Input| Historical Inflation'!$J$10:$J$72,
MATCH(1,('Input| Historical Inflation'!$E$10:$E$72=MONTH($I$9))*
('Input| Historical Inflation'!$D$10:$D$72=I$16),0))</f>
        <v>2.0776874435411097E-2</v>
      </c>
      <c r="J22" s="169" cm="1">
        <f t="array" ref="J22">INDEX('Input| Historical Inflation'!$J$10:$J$72,
MATCH(1,('Input| Historical Inflation'!$E$10:$E$72=MONTH($I$9))*
('Input| Historical Inflation'!$D$10:$D$72=J$16),0))</f>
        <v>1.5929203539823078E-2</v>
      </c>
      <c r="K22" s="566" cm="1">
        <f t="array" ref="K22">INDEX('Input| Historical Inflation'!$J$10:$J$72,
MATCH(1,('Input| Historical Inflation'!$E$10:$E$72=MONTH($I$9))*
('Input| Historical Inflation'!$D$10:$D$72=K$16),0))</f>
        <v>0</v>
      </c>
      <c r="L22" s="567" cm="1">
        <f t="array" ref="L22">INDEX('Input| Historical Inflation'!$J$10:$J$72,
MATCH(1,('Input| Historical Inflation'!$E$10:$E$72=MONTH($I$9))*
('Input| Historical Inflation'!$D$10:$D$72=L$16),0))</f>
        <v>0</v>
      </c>
      <c r="M22" s="169" cm="1">
        <f t="array" ref="M22">INDEX('Input| Historical Inflation'!$J$10:$J$72,
MATCH(1,('Input| Historical Inflation'!$E$10:$E$72=MONTH($I$9))*
('Input| Historical Inflation'!$D$10:$D$72=M$16),0))</f>
        <v>0</v>
      </c>
      <c r="N22" s="169" cm="1">
        <f t="array" ref="N22">INDEX('Input| Historical Inflation'!$J$10:$J$72,
MATCH(1,('Input| Historical Inflation'!$E$10:$E$72=MONTH($I$9))*
('Input| Historical Inflation'!$D$10:$D$72=N$16),0))</f>
        <v>0</v>
      </c>
      <c r="O22" s="564" cm="1">
        <f t="array" ref="O22">INDEX('Input| Historical Inflation'!$J$10:$J$72,
MATCH(1,('Input| Historical Inflation'!$E$10:$E$72=MONTH($I$9))*
('Input| Historical Inflation'!$D$10:$D$72=O$16),0))</f>
        <v>0</v>
      </c>
      <c r="P22" s="565" cm="1">
        <f t="array" ref="P22">INDEX('Input| Historical Inflation'!$J$10:$J$72,
MATCH(1,('Input| Historical Inflation'!$E$10:$E$72=MONTH($I$9))*
('Input| Historical Inflation'!$D$10:$D$72=P$16),0))</f>
        <v>0</v>
      </c>
      <c r="R22" s="7"/>
    </row>
    <row r="23" spans="1:18" ht="13" x14ac:dyDescent="0.3">
      <c r="A23" s="7"/>
      <c r="B23" s="7"/>
      <c r="C23" s="582" t="s">
        <v>330</v>
      </c>
      <c r="D23" s="583"/>
      <c r="E23" s="583"/>
      <c r="F23" s="584"/>
      <c r="G23" s="585" t="s">
        <v>75</v>
      </c>
      <c r="H23" s="579">
        <f>IF(H$22&gt;0,H$22,H$21)</f>
        <v>1.9337016574585641E-2</v>
      </c>
      <c r="I23" s="579">
        <f>IF(I$22&gt;0,I$22,I$21)</f>
        <v>2.0776874435411097E-2</v>
      </c>
      <c r="J23" s="580">
        <f t="shared" ref="J23:L23" si="4">IF(J$22&gt;0,J$22,J$21)</f>
        <v>1.5929203539823078E-2</v>
      </c>
      <c r="K23" s="581">
        <f t="shared" si="4"/>
        <v>1.4999999999999999E-2</v>
      </c>
      <c r="L23" s="580">
        <f t="shared" si="4"/>
        <v>0.02</v>
      </c>
      <c r="M23" s="580">
        <f>L23</f>
        <v>0.02</v>
      </c>
      <c r="N23" s="580">
        <f t="shared" ref="N23:P23" si="5">M23</f>
        <v>0.02</v>
      </c>
      <c r="O23" s="580">
        <f t="shared" si="5"/>
        <v>0.02</v>
      </c>
      <c r="P23" s="580">
        <f t="shared" si="5"/>
        <v>0.02</v>
      </c>
      <c r="R23" s="7"/>
    </row>
    <row r="24" spans="1:18" x14ac:dyDescent="0.25"/>
    <row r="25" spans="1:18" x14ac:dyDescent="0.25"/>
    <row r="26" spans="1:18" x14ac:dyDescent="0.25">
      <c r="C26" s="1" t="s">
        <v>233</v>
      </c>
      <c r="D26" s="1"/>
      <c r="E26" s="1"/>
      <c r="F26" s="491" t="s">
        <v>426</v>
      </c>
      <c r="G26" s="491" t="s">
        <v>62</v>
      </c>
      <c r="H26" s="2" t="str">
        <f>H$15</f>
        <v>2016-17</v>
      </c>
      <c r="I26" s="2" t="str">
        <f t="shared" ref="I26:P26" si="6">I$15</f>
        <v>2017-18</v>
      </c>
      <c r="J26" s="2" t="str">
        <f t="shared" si="6"/>
        <v>2018-19</v>
      </c>
      <c r="K26" s="408" t="str">
        <f t="shared" si="6"/>
        <v>2019-20</v>
      </c>
      <c r="L26" s="2" t="str">
        <f t="shared" si="6"/>
        <v>2020-21</v>
      </c>
      <c r="M26" s="2" t="str">
        <f t="shared" si="6"/>
        <v>2021-22</v>
      </c>
      <c r="N26" s="2" t="str">
        <f t="shared" si="6"/>
        <v>2022-23</v>
      </c>
      <c r="O26" s="2" t="str">
        <f t="shared" si="6"/>
        <v>2023-24</v>
      </c>
      <c r="P26" s="2" t="str">
        <f t="shared" si="6"/>
        <v>2024-25</v>
      </c>
    </row>
    <row r="27" spans="1:18" ht="13" x14ac:dyDescent="0.3">
      <c r="C27" s="562" t="s">
        <v>329</v>
      </c>
      <c r="D27" s="542"/>
      <c r="E27" s="542"/>
      <c r="F27" s="648" t="s">
        <v>427</v>
      </c>
      <c r="G27" s="541"/>
      <c r="H27" s="573"/>
      <c r="I27" s="574"/>
      <c r="J27" s="574"/>
      <c r="K27" s="569">
        <v>1.84E-2</v>
      </c>
      <c r="L27" s="570">
        <v>1.9E-2</v>
      </c>
      <c r="M27" s="571"/>
      <c r="N27" s="571"/>
      <c r="O27" s="571"/>
      <c r="P27" s="572"/>
    </row>
    <row r="28" spans="1:18" ht="13" x14ac:dyDescent="0.3">
      <c r="C28" s="576" t="s">
        <v>375</v>
      </c>
      <c r="D28" s="577"/>
      <c r="E28" s="577"/>
      <c r="F28" s="648" t="s">
        <v>427</v>
      </c>
      <c r="G28" s="578"/>
      <c r="H28" s="169" cm="1">
        <f t="array" ref="H28">INDEX('Input| Historical Inflation'!$J$10:$J$72,
MATCH(1,('Input| Historical Inflation'!$E$10:$E$72=(IF(MONTH($I$9)=6,12,6)))*
('Input| Historical Inflation'!$D$10:$D$72=H$16+IF(MONTH($I$9)=6,-1,0)),0))</f>
        <v>1.4760147601476037E-2</v>
      </c>
      <c r="I28" s="169" cm="1">
        <f t="array" ref="I28">INDEX('Input| Historical Inflation'!$J$10:$J$72,
MATCH(1,('Input| Historical Inflation'!$E$10:$E$72=(IF(MONTH($I$9)=6,12,6)))*
('Input| Historical Inflation'!$D$10:$D$72=I$16+IF(MONTH($I$9)=6,-1,0)),0))</f>
        <v>1.9090909090909047E-2</v>
      </c>
      <c r="J28" s="169" cm="1">
        <f t="array" ref="J28">INDEX('Input| Historical Inflation'!$J$10:$J$72,
MATCH(1,('Input| Historical Inflation'!$E$10:$E$72=(IF(MONTH($I$9)=6,12,6)))*
('Input| Historical Inflation'!$D$10:$D$72=J$16+IF(MONTH($I$9)=6,-1,0)),0))</f>
        <v>1.7841213202497874E-2</v>
      </c>
      <c r="K28" s="566" cm="1">
        <f t="array" ref="K28">INDEX('Input| Historical Inflation'!$J$10:$J$72,
MATCH(1,('Input| Historical Inflation'!$E$10:$E$72=(IF(MONTH($I$9)=6,12,6)))*
('Input| Historical Inflation'!$D$10:$D$72=K$16+IF(MONTH($I$9)=6,-1,0)),0))</f>
        <v>1.8404907975460238E-2</v>
      </c>
      <c r="L28" s="567" cm="1">
        <f t="array" ref="L28">INDEX('Input| Historical Inflation'!$J$10:$J$72,
MATCH(1,('Input| Historical Inflation'!$E$10:$E$72=(IF(MONTH($I$9)=6,12,6)))*
('Input| Historical Inflation'!$D$10:$D$72=L$16+IF(MONTH($I$9)=6,-1,0)),0))</f>
        <v>0</v>
      </c>
      <c r="M28" s="169" cm="1">
        <f t="array" ref="M28">INDEX('Input| Historical Inflation'!$J$10:$J$72,
MATCH(1,('Input| Historical Inflation'!$E$10:$E$72=(IF(MONTH($I$9)=6,12,6)))*
('Input| Historical Inflation'!$D$10:$D$72=M$16+IF(MONTH($I$9)=6,-1,0)),0))</f>
        <v>0</v>
      </c>
      <c r="N28" s="169" cm="1">
        <f t="array" ref="N28">INDEX('Input| Historical Inflation'!$J$10:$J$72,
MATCH(1,('Input| Historical Inflation'!$E$10:$E$72=(IF(MONTH($I$9)=6,12,6)))*
('Input| Historical Inflation'!$D$10:$D$72=N$16+IF(MONTH($I$9)=6,-1,0)),0))</f>
        <v>0</v>
      </c>
      <c r="O28" s="564" cm="1">
        <f t="array" ref="O28">INDEX('Input| Historical Inflation'!$J$10:$J$72,
MATCH(1,('Input| Historical Inflation'!$E$10:$E$72=(IF(MONTH($I$9)=6,12,6)))*
('Input| Historical Inflation'!$D$10:$D$72=O$16+IF(MONTH($I$9)=6,-1,0)),0))</f>
        <v>0</v>
      </c>
      <c r="P28" s="565" cm="1">
        <f t="array" ref="P28">INDEX('Input| Historical Inflation'!$J$10:$J$72,
MATCH(1,('Input| Historical Inflation'!$E$10:$E$72=(IF(MONTH($I$9)=6,12,6)))*
('Input| Historical Inflation'!$D$10:$D$72=P$16+IF(MONTH($I$9)=6,-1,0)),0))</f>
        <v>0</v>
      </c>
    </row>
    <row r="29" spans="1:18" ht="13" x14ac:dyDescent="0.3">
      <c r="C29" s="582" t="s">
        <v>330</v>
      </c>
      <c r="D29" s="583"/>
      <c r="E29" s="583"/>
      <c r="F29" s="584"/>
      <c r="G29" s="585" t="s">
        <v>75</v>
      </c>
      <c r="H29" s="579">
        <f>IF(H$28&gt;0,H$28,H$27)</f>
        <v>1.4760147601476037E-2</v>
      </c>
      <c r="I29" s="579">
        <f t="shared" ref="I29:L29" si="7">IF(I$28&gt;0,I$28,I$27)</f>
        <v>1.9090909090909047E-2</v>
      </c>
      <c r="J29" s="580">
        <f t="shared" si="7"/>
        <v>1.7841213202497874E-2</v>
      </c>
      <c r="K29" s="581">
        <f t="shared" si="7"/>
        <v>1.8404907975460238E-2</v>
      </c>
      <c r="L29" s="580">
        <f t="shared" si="7"/>
        <v>1.9E-2</v>
      </c>
      <c r="M29" s="580">
        <f>L29</f>
        <v>1.9E-2</v>
      </c>
      <c r="N29" s="580">
        <f t="shared" ref="N29" si="8">M29</f>
        <v>1.9E-2</v>
      </c>
      <c r="O29" s="580">
        <f t="shared" ref="O29" si="9">N29</f>
        <v>1.9E-2</v>
      </c>
      <c r="P29" s="580">
        <f t="shared" ref="P29" si="10">O29</f>
        <v>1.9E-2</v>
      </c>
    </row>
    <row r="30" spans="1:18" x14ac:dyDescent="0.25"/>
    <row r="31" spans="1:18" x14ac:dyDescent="0.25"/>
    <row r="32" spans="1:18" ht="13" x14ac:dyDescent="0.3">
      <c r="A32" s="7"/>
      <c r="B32" s="7"/>
      <c r="C32" s="562" t="s">
        <v>356</v>
      </c>
      <c r="D32" s="542"/>
      <c r="E32" s="542"/>
      <c r="F32" s="543" t="s">
        <v>357</v>
      </c>
      <c r="G32" s="543" t="s">
        <v>75</v>
      </c>
      <c r="H32" s="81">
        <v>1</v>
      </c>
      <c r="I32" s="600">
        <f>1+I23</f>
        <v>1.0207768744354111</v>
      </c>
      <c r="J32" s="601">
        <f>IFERROR(I32*(1+J23),"")</f>
        <v>1.0370370370370372</v>
      </c>
      <c r="K32" s="602">
        <f t="shared" ref="K32:P32" si="11">IFERROR(J32*(1+K23),"")</f>
        <v>1.0525925925925927</v>
      </c>
      <c r="L32" s="600">
        <f t="shared" si="11"/>
        <v>1.0736444444444446</v>
      </c>
      <c r="M32" s="600">
        <f t="shared" si="11"/>
        <v>1.0951173333333335</v>
      </c>
      <c r="N32" s="600">
        <f t="shared" si="11"/>
        <v>1.1170196800000003</v>
      </c>
      <c r="O32" s="600">
        <f t="shared" si="11"/>
        <v>1.1393600736000002</v>
      </c>
      <c r="P32" s="601">
        <f t="shared" si="11"/>
        <v>1.1621472750720003</v>
      </c>
      <c r="R32" s="7"/>
    </row>
    <row r="33" spans="1:18" ht="13" x14ac:dyDescent="0.3">
      <c r="A33" s="7"/>
      <c r="B33" s="7"/>
      <c r="C33" s="562" t="s">
        <v>355</v>
      </c>
      <c r="D33" s="542"/>
      <c r="E33" s="542"/>
      <c r="F33" s="543" t="s">
        <v>358</v>
      </c>
      <c r="G33" s="543" t="s">
        <v>75</v>
      </c>
      <c r="H33" s="81">
        <v>1</v>
      </c>
      <c r="I33" s="600">
        <f>IF(F33="Unlagged",I32,1+I29)</f>
        <v>1.019090909090909</v>
      </c>
      <c r="J33" s="601">
        <f>IF(F33="Unlagged",J32,I33*(1+I23))</f>
        <v>1.0402644329473598</v>
      </c>
      <c r="K33" s="602">
        <f t="shared" ref="K33:P33" si="12">IF(G33="Unlagged",K32,J33*(1+J23))</f>
        <v>1.0568350168350169</v>
      </c>
      <c r="L33" s="600">
        <f t="shared" si="12"/>
        <v>1.0726875420875421</v>
      </c>
      <c r="M33" s="600">
        <f t="shared" si="12"/>
        <v>1.0941412929292931</v>
      </c>
      <c r="N33" s="600">
        <f t="shared" si="12"/>
        <v>1.116024118787879</v>
      </c>
      <c r="O33" s="600">
        <f t="shared" si="12"/>
        <v>1.1383446011636367</v>
      </c>
      <c r="P33" s="601">
        <f t="shared" si="12"/>
        <v>1.1611114931869093</v>
      </c>
      <c r="R33" s="7"/>
    </row>
    <row r="34" spans="1:18" ht="13" x14ac:dyDescent="0.3">
      <c r="A34" s="7"/>
      <c r="B34" s="7"/>
      <c r="C34" s="7"/>
      <c r="D34" s="7"/>
      <c r="E34" s="7"/>
      <c r="F34" s="398"/>
      <c r="G34" s="282"/>
      <c r="H34" s="282"/>
      <c r="I34" s="81"/>
      <c r="J34" s="81"/>
      <c r="K34" s="81"/>
      <c r="L34" s="81"/>
      <c r="M34" s="81"/>
      <c r="N34" s="81"/>
      <c r="P34" s="425"/>
      <c r="R34" s="7"/>
    </row>
    <row r="35" spans="1:18" ht="13" x14ac:dyDescent="0.3">
      <c r="A35" s="7"/>
      <c r="B35" s="7"/>
      <c r="C35" s="7"/>
      <c r="D35" s="7"/>
      <c r="E35" s="7"/>
      <c r="F35" s="398"/>
      <c r="G35" s="282"/>
      <c r="H35" s="282"/>
      <c r="I35" s="81"/>
      <c r="J35" s="81"/>
      <c r="K35" s="81"/>
      <c r="L35" s="81"/>
      <c r="M35" s="81"/>
      <c r="N35" s="81"/>
      <c r="P35" s="425"/>
      <c r="R35" s="7"/>
    </row>
    <row r="36" spans="1:18" x14ac:dyDescent="0.25">
      <c r="A36" s="7"/>
      <c r="B36" s="7"/>
      <c r="C36" s="1" t="s">
        <v>376</v>
      </c>
      <c r="D36" s="2" t="s">
        <v>431</v>
      </c>
      <c r="E36" s="2" t="s">
        <v>430</v>
      </c>
      <c r="F36" s="491" t="s">
        <v>220</v>
      </c>
      <c r="G36" s="491" t="s">
        <v>62</v>
      </c>
      <c r="H36" s="2" t="str">
        <f>H$15</f>
        <v>2016-17</v>
      </c>
      <c r="I36" s="2" t="str">
        <f t="shared" ref="I36:P36" si="13">I$15</f>
        <v>2017-18</v>
      </c>
      <c r="J36" s="2" t="str">
        <f t="shared" si="13"/>
        <v>2018-19</v>
      </c>
      <c r="K36" s="408" t="str">
        <f t="shared" si="13"/>
        <v>2019-20</v>
      </c>
      <c r="L36" s="2" t="str">
        <f t="shared" si="13"/>
        <v>2020-21</v>
      </c>
      <c r="M36" s="2" t="str">
        <f t="shared" si="13"/>
        <v>2021-22</v>
      </c>
      <c r="N36" s="2" t="str">
        <f t="shared" si="13"/>
        <v>2022-23</v>
      </c>
      <c r="O36" s="2" t="str">
        <f t="shared" si="13"/>
        <v>2023-24</v>
      </c>
      <c r="P36" s="2" t="str">
        <f t="shared" si="13"/>
        <v>2024-25</v>
      </c>
      <c r="R36" s="7"/>
    </row>
    <row r="37" spans="1:18" ht="13" x14ac:dyDescent="0.3">
      <c r="A37" s="7"/>
      <c r="B37" s="7"/>
      <c r="C37" s="575" t="s">
        <v>371</v>
      </c>
      <c r="D37" s="586" t="str">
        <f>Basis_OpexHistEY</f>
        <v>nominal</v>
      </c>
      <c r="E37" s="652">
        <f>Basis_OpexForecastEY</f>
        <v>2020</v>
      </c>
      <c r="F37" s="654" t="s">
        <v>357</v>
      </c>
      <c r="G37" s="543" t="s">
        <v>75</v>
      </c>
      <c r="H37" s="282"/>
      <c r="I37" s="553">
        <f>IF($D37="nominal",
(1+I$23)^0.5*INDEX($I$32:$P$32,MATCH($E37,$I$16:$P$16))/I$32,
INDEX($I$32:$P$32,MATCH($E37,$I$16:$P$16))/INDEX($I$32:$P$32,MATCH($D37,$I$16:$P$16)))</f>
        <v>1.0418252960828784</v>
      </c>
      <c r="J37" s="553">
        <f t="shared" ref="J37:P37" si="14">IF($D37="nominal",
(1+J$23)^0.5*INDEX($I$32:$P$32,MATCH($E37,$I$16:$P$16))/J$32,
INDEX($I$32:$P$32,MATCH($E37,$I$16:$P$16))/INDEX($I$32:$P$32,MATCH($D37,$I$16:$P$16)))</f>
        <v>1.0230521314756225</v>
      </c>
      <c r="K37" s="563">
        <f t="shared" si="14"/>
        <v>1.0074720839804943</v>
      </c>
      <c r="L37" s="551">
        <f t="shared" si="14"/>
        <v>0.9901475429766744</v>
      </c>
      <c r="M37" s="544">
        <f t="shared" si="14"/>
        <v>0.97073288527124946</v>
      </c>
      <c r="N37" s="544">
        <f t="shared" si="14"/>
        <v>0.95169890712867578</v>
      </c>
      <c r="O37" s="544">
        <f t="shared" si="14"/>
        <v>0.93303814424379983</v>
      </c>
      <c r="P37" s="544">
        <f t="shared" si="14"/>
        <v>0.91474327867039196</v>
      </c>
      <c r="R37" s="7"/>
    </row>
    <row r="38" spans="1:18" ht="13" x14ac:dyDescent="0.3">
      <c r="A38" s="7"/>
      <c r="B38" s="7"/>
      <c r="C38" s="575" t="s">
        <v>372</v>
      </c>
      <c r="D38" s="586">
        <f>Basis_OpexForecastEY</f>
        <v>2020</v>
      </c>
      <c r="E38" s="652">
        <f>Basis_PtrmEY</f>
        <v>2021</v>
      </c>
      <c r="F38" s="654" t="s">
        <v>357</v>
      </c>
      <c r="G38" s="543" t="s">
        <v>75</v>
      </c>
      <c r="H38" s="282"/>
      <c r="I38" s="546">
        <f>IF($D38="nominal",
(1+I23)^0.5*INDEX($I$32:$P$32,MATCH($E38,$I$16:$P$16))/I$32,
INDEX($I$32:$P$32,MATCH($E38,$I$16:$P$16))/INDEX($I$32:$P$32,MATCH($D38,$I$16:$P$16)))</f>
        <v>1.02</v>
      </c>
      <c r="J38" s="546">
        <f t="shared" ref="J38:P38" si="15">IF($D38="nominal",
(1+J23)^0.5*INDEX($I$32:$P$32,MATCH($E38,$I$16:$P$16))/J$32,
INDEX($I$32:$P$32,MATCH($E38,$I$16:$P$16))/INDEX($I$32:$P$32,MATCH($D38,$I$16:$P$16)))</f>
        <v>1.02</v>
      </c>
      <c r="K38" s="547">
        <f t="shared" si="15"/>
        <v>1.02</v>
      </c>
      <c r="L38" s="549">
        <f t="shared" si="15"/>
        <v>1.02</v>
      </c>
      <c r="M38" s="546">
        <f t="shared" si="15"/>
        <v>1.02</v>
      </c>
      <c r="N38" s="546">
        <f t="shared" si="15"/>
        <v>1.02</v>
      </c>
      <c r="O38" s="546">
        <f t="shared" si="15"/>
        <v>1.02</v>
      </c>
      <c r="P38" s="546">
        <f t="shared" si="15"/>
        <v>1.02</v>
      </c>
      <c r="R38" s="7"/>
    </row>
    <row r="39" spans="1:18" ht="13" x14ac:dyDescent="0.3">
      <c r="A39" s="7"/>
      <c r="B39" s="7"/>
      <c r="C39" s="575" t="s">
        <v>373</v>
      </c>
      <c r="D39" s="586">
        <f>Basis_CapexEY</f>
        <v>2019</v>
      </c>
      <c r="E39" s="652">
        <f>Basis_PtrmEY</f>
        <v>2021</v>
      </c>
      <c r="F39" s="541" t="str">
        <f>F33</f>
        <v>Lagged</v>
      </c>
      <c r="G39" s="543" t="s">
        <v>75</v>
      </c>
      <c r="H39" s="282"/>
      <c r="I39" s="546">
        <f>IF($D39="nominal",
(1+H$23)^0.5*INDEX($I$33:$P$33,MATCH($E39,$I$16:$P$16))/I$33,
INDEX($I$33:$P$33,MATCH($E39,$I$16:$P$16))/INDEX($I$33:$P$33,MATCH($D39,$I$16:$P$16)))</f>
        <v>1.0311681415929204</v>
      </c>
      <c r="J39" s="546">
        <f t="shared" ref="J39:P39" si="16">IF($D39="nominal",
(1+I$23)^0.5*INDEX($I$33:$P$33,MATCH($E39,$I$16:$P$16))/J$33,
INDEX($I$33:$P$33,MATCH($E39,$I$16:$P$16))/INDEX($I$33:$P$33,MATCH($D39,$I$16:$P$16)))</f>
        <v>1.0311681415929204</v>
      </c>
      <c r="K39" s="548">
        <f t="shared" si="16"/>
        <v>1.0311681415929204</v>
      </c>
      <c r="L39" s="550">
        <f t="shared" si="16"/>
        <v>1.0311681415929204</v>
      </c>
      <c r="M39" s="546">
        <f t="shared" si="16"/>
        <v>1.0311681415929204</v>
      </c>
      <c r="N39" s="546">
        <f t="shared" si="16"/>
        <v>1.0311681415929204</v>
      </c>
      <c r="O39" s="546">
        <f t="shared" si="16"/>
        <v>1.0311681415929204</v>
      </c>
      <c r="P39" s="546">
        <f t="shared" si="16"/>
        <v>1.0311681415929204</v>
      </c>
      <c r="R39" s="7"/>
    </row>
    <row r="40" spans="1:18" ht="13" x14ac:dyDescent="0.3">
      <c r="A40" s="7"/>
      <c r="B40" s="7"/>
      <c r="C40" s="575" t="s">
        <v>374</v>
      </c>
      <c r="D40" s="586">
        <f>Basis_PtrmEY</f>
        <v>2021</v>
      </c>
      <c r="E40" s="652" t="str">
        <f>Basis_RfmEY</f>
        <v>nominal</v>
      </c>
      <c r="F40" s="655" t="str">
        <f>F39</f>
        <v>Lagged</v>
      </c>
      <c r="G40" s="543" t="s">
        <v>75</v>
      </c>
      <c r="H40" s="282"/>
      <c r="I40" s="544">
        <f t="shared" ref="I40:P40" si="17">I33/(INDEX($I$33:$P$33,MATCH(YEAR(Basis_Ptrm),$I$16:$P$16,0)))</f>
        <v>0.95003518648838836</v>
      </c>
      <c r="J40" s="544">
        <f t="shared" si="17"/>
        <v>0.96977394826728003</v>
      </c>
      <c r="K40" s="545">
        <f t="shared" si="17"/>
        <v>0.98522167487684731</v>
      </c>
      <c r="L40" s="550">
        <f t="shared" si="17"/>
        <v>1</v>
      </c>
      <c r="M40" s="546">
        <f t="shared" si="17"/>
        <v>1.02</v>
      </c>
      <c r="N40" s="546">
        <f t="shared" si="17"/>
        <v>1.0404000000000002</v>
      </c>
      <c r="O40" s="546">
        <f t="shared" si="17"/>
        <v>1.0612080000000002</v>
      </c>
      <c r="P40" s="546">
        <f t="shared" si="17"/>
        <v>1.0824321600000002</v>
      </c>
      <c r="R40" s="7"/>
    </row>
    <row r="41" spans="1:18" x14ac:dyDescent="0.25">
      <c r="A41" s="7"/>
      <c r="B41" s="7"/>
      <c r="C41" s="7"/>
      <c r="D41" s="7"/>
      <c r="E41" s="7"/>
      <c r="F41" s="653"/>
      <c r="G41" s="7"/>
      <c r="H41" s="7"/>
      <c r="I41" s="7"/>
      <c r="J41" s="7"/>
      <c r="K41" s="7"/>
      <c r="L41" s="7"/>
      <c r="M41" s="7"/>
      <c r="N41" s="7"/>
      <c r="O41" s="7"/>
      <c r="P41" s="7"/>
      <c r="R41" s="7"/>
    </row>
    <row r="42" spans="1:18" ht="13" x14ac:dyDescent="0.3">
      <c r="A42" s="7"/>
      <c r="B42" s="69" t="s">
        <v>364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x14ac:dyDescent="0.25">
      <c r="A43" s="7"/>
      <c r="B43" s="7"/>
      <c r="C43" s="1" t="s">
        <v>365</v>
      </c>
      <c r="D43" s="1"/>
      <c r="E43" s="1"/>
      <c r="F43" s="1"/>
      <c r="G43" s="2" t="s">
        <v>62</v>
      </c>
      <c r="H43" s="2" t="s">
        <v>48</v>
      </c>
      <c r="I43" s="2" t="str">
        <f t="shared" ref="I43:P43" si="18">I$15</f>
        <v>2017-18</v>
      </c>
      <c r="J43" s="2" t="str">
        <f t="shared" si="18"/>
        <v>2018-19</v>
      </c>
      <c r="K43" s="408" t="str">
        <f t="shared" si="18"/>
        <v>2019-20</v>
      </c>
      <c r="L43" s="2" t="str">
        <f t="shared" si="18"/>
        <v>2020-21</v>
      </c>
      <c r="M43" s="2" t="str">
        <f t="shared" si="18"/>
        <v>2021-22</v>
      </c>
      <c r="N43" s="2" t="str">
        <f t="shared" si="18"/>
        <v>2022-23</v>
      </c>
      <c r="O43" s="2" t="str">
        <f t="shared" si="18"/>
        <v>2023-24</v>
      </c>
      <c r="P43" s="2" t="str">
        <f t="shared" si="18"/>
        <v>2024-25</v>
      </c>
      <c r="Q43" s="7"/>
      <c r="R43" s="7"/>
    </row>
    <row r="44" spans="1:18" x14ac:dyDescent="0.25">
      <c r="A44" s="7"/>
      <c r="B44" s="7"/>
      <c r="C44" s="677" t="s">
        <v>389</v>
      </c>
      <c r="D44" s="685"/>
      <c r="E44" s="685"/>
      <c r="F44" s="685"/>
      <c r="G44" s="7"/>
      <c r="H44" s="444">
        <v>0.5</v>
      </c>
      <c r="I44" s="7"/>
      <c r="J44" s="441">
        <v>1.3397651928156229E-2</v>
      </c>
      <c r="K44" s="467">
        <v>3.75251169816304E-3</v>
      </c>
      <c r="L44" s="466">
        <v>1.3137498473678212E-2</v>
      </c>
      <c r="M44" s="441">
        <v>1.2419523308236181E-2</v>
      </c>
      <c r="N44" s="441">
        <v>1.3751461961990695E-2</v>
      </c>
      <c r="O44" s="441">
        <v>1.6196532715190247E-2</v>
      </c>
      <c r="P44" s="441">
        <v>1.6184913955027823E-2</v>
      </c>
      <c r="Q44" s="7"/>
      <c r="R44" s="7"/>
    </row>
    <row r="45" spans="1:18" x14ac:dyDescent="0.25">
      <c r="A45" s="7"/>
      <c r="B45" s="7"/>
      <c r="C45" s="677" t="s">
        <v>390</v>
      </c>
      <c r="D45" s="678"/>
      <c r="E45" s="678"/>
      <c r="F45" s="678"/>
      <c r="G45" s="7"/>
      <c r="H45" s="444">
        <v>0.5</v>
      </c>
      <c r="I45" s="7"/>
      <c r="J45" s="441">
        <v>1.3668257980977039E-2</v>
      </c>
      <c r="K45" s="467">
        <v>6.0960996854400994E-3</v>
      </c>
      <c r="L45" s="466">
        <v>6.9330263234795809E-3</v>
      </c>
      <c r="M45" s="441">
        <v>8.3420163328395535E-4</v>
      </c>
      <c r="N45" s="441">
        <v>-1.568922575407865E-3</v>
      </c>
      <c r="O45" s="441">
        <v>-1.5410768712433897E-3</v>
      </c>
      <c r="P45" s="441">
        <v>2.8340225190333036E-3</v>
      </c>
      <c r="Q45" s="7"/>
      <c r="R45" s="7"/>
    </row>
    <row r="46" spans="1:18" ht="13" x14ac:dyDescent="0.3">
      <c r="A46" s="7"/>
      <c r="B46" s="7"/>
      <c r="C46" s="679" t="s">
        <v>359</v>
      </c>
      <c r="D46" s="678"/>
      <c r="E46" s="678"/>
      <c r="F46" s="678"/>
      <c r="G46" s="405"/>
      <c r="H46" s="444"/>
      <c r="I46" s="405"/>
      <c r="J46" s="441"/>
      <c r="K46" s="467"/>
      <c r="L46" s="466"/>
      <c r="M46" s="441"/>
      <c r="N46" s="441"/>
      <c r="O46" s="441"/>
      <c r="P46" s="441"/>
      <c r="Q46" s="7"/>
      <c r="R46" s="7"/>
    </row>
    <row r="47" spans="1:18" x14ac:dyDescent="0.25">
      <c r="A47" s="7"/>
      <c r="B47" s="7"/>
      <c r="C47" s="680" t="s">
        <v>202</v>
      </c>
      <c r="D47" s="681"/>
      <c r="E47" s="681"/>
      <c r="F47" s="681"/>
      <c r="G47" s="7"/>
      <c r="H47" s="468"/>
      <c r="I47" s="7"/>
      <c r="J47" s="469"/>
      <c r="K47" s="470"/>
      <c r="L47" s="471"/>
      <c r="M47" s="469"/>
      <c r="N47" s="469"/>
      <c r="O47" s="469"/>
      <c r="P47" s="469"/>
      <c r="Q47" s="7"/>
      <c r="R47" s="7"/>
    </row>
    <row r="48" spans="1:18" ht="13" x14ac:dyDescent="0.3">
      <c r="A48" s="7"/>
      <c r="B48" s="7"/>
      <c r="C48" s="472" t="s">
        <v>333</v>
      </c>
      <c r="D48" s="472"/>
      <c r="E48" s="472"/>
      <c r="F48" s="472"/>
      <c r="G48" s="473" t="s">
        <v>75</v>
      </c>
      <c r="H48" s="474"/>
      <c r="I48" s="474"/>
      <c r="J48" s="475">
        <f>SUMPRODUCT(J$44:J$47,$H$44:$H$47)</f>
        <v>1.3532954954566634E-2</v>
      </c>
      <c r="K48" s="476">
        <f t="shared" ref="K48:P48" si="19">SUMPRODUCT(K$44:K$47,$H$44:$H$47)</f>
        <v>4.9243056918015695E-3</v>
      </c>
      <c r="L48" s="477">
        <f t="shared" si="19"/>
        <v>1.0035262398578897E-2</v>
      </c>
      <c r="M48" s="475">
        <f t="shared" si="19"/>
        <v>6.6268624707600688E-3</v>
      </c>
      <c r="N48" s="475">
        <f t="shared" si="19"/>
        <v>6.0912696932914154E-3</v>
      </c>
      <c r="O48" s="475">
        <f t="shared" si="19"/>
        <v>7.3277279219734291E-3</v>
      </c>
      <c r="P48" s="475">
        <f t="shared" si="19"/>
        <v>9.5094682370305637E-3</v>
      </c>
      <c r="Q48" s="7"/>
      <c r="R48" s="7"/>
    </row>
    <row r="49" spans="1:18" ht="13" x14ac:dyDescent="0.25">
      <c r="A49" s="7"/>
      <c r="B49" s="7"/>
      <c r="C49" s="7"/>
      <c r="D49" s="7"/>
      <c r="E49" s="7"/>
      <c r="F49" s="7"/>
      <c r="G49" s="7"/>
      <c r="H49" s="200">
        <f>(SUM(H44:H47)=1)/1</f>
        <v>1</v>
      </c>
      <c r="I49" s="7"/>
      <c r="J49" s="7"/>
      <c r="K49" s="7"/>
      <c r="L49" s="7"/>
      <c r="M49" s="7"/>
      <c r="N49" s="7"/>
      <c r="O49" s="7"/>
      <c r="P49" s="7"/>
      <c r="Q49" s="7"/>
      <c r="R49" s="7"/>
    </row>
    <row r="50" spans="1:18" x14ac:dyDescent="0.25">
      <c r="A50" s="7"/>
      <c r="B50" s="7"/>
      <c r="C50" s="7" t="s">
        <v>60</v>
      </c>
      <c r="D50" s="7"/>
      <c r="E50" s="7"/>
      <c r="F50" s="7"/>
      <c r="G50" s="7"/>
      <c r="H50" s="7"/>
      <c r="I50" s="603">
        <f>1</f>
        <v>1</v>
      </c>
      <c r="J50" s="604">
        <f t="shared" ref="J50:P50" si="20">IFERROR(I50*(1+J48),"")</f>
        <v>1.0135329549545666</v>
      </c>
      <c r="K50" s="605">
        <f t="shared" si="20"/>
        <v>1.0185239010534779</v>
      </c>
      <c r="L50" s="604">
        <f t="shared" si="20"/>
        <v>1.0287450556597737</v>
      </c>
      <c r="M50" s="604">
        <f t="shared" si="20"/>
        <v>1.0355624076611056</v>
      </c>
      <c r="N50" s="604">
        <f t="shared" si="20"/>
        <v>1.0418702975704035</v>
      </c>
      <c r="O50" s="604">
        <f t="shared" si="20"/>
        <v>1.049504839640985</v>
      </c>
      <c r="P50" s="604">
        <f t="shared" si="20"/>
        <v>1.0594850725781606</v>
      </c>
      <c r="Q50" s="7"/>
      <c r="R50" s="7"/>
    </row>
    <row r="51" spans="1:18" ht="13" x14ac:dyDescent="0.3">
      <c r="A51" s="7"/>
      <c r="B51" s="7"/>
      <c r="C51" s="69" t="s">
        <v>218</v>
      </c>
      <c r="D51" s="69"/>
      <c r="E51" s="69"/>
      <c r="F51" s="69"/>
      <c r="G51" s="7"/>
      <c r="H51" s="7"/>
      <c r="I51" s="606">
        <f t="shared" ref="I51:P51" si="21">I$50/INDEX($I$50:$P$50,MATCH(Basis_CapexEY,$I$16:$P$16))</f>
        <v>0.98664774057083005</v>
      </c>
      <c r="J51" s="606">
        <f t="shared" si="21"/>
        <v>1</v>
      </c>
      <c r="K51" s="607">
        <f t="shared" si="21"/>
        <v>1.0049243056918016</v>
      </c>
      <c r="L51" s="608">
        <f t="shared" si="21"/>
        <v>1.0150089847901285</v>
      </c>
      <c r="M51" s="606">
        <f t="shared" si="21"/>
        <v>1.0217353097389186</v>
      </c>
      <c r="N51" s="606">
        <f t="shared" si="21"/>
        <v>1.027958975065697</v>
      </c>
      <c r="O51" s="606">
        <f t="shared" si="21"/>
        <v>1.035491578749929</v>
      </c>
      <c r="P51" s="606">
        <f t="shared" si="21"/>
        <v>1.0453385530277639</v>
      </c>
      <c r="Q51" s="7"/>
      <c r="R51" s="7"/>
    </row>
    <row r="52" spans="1:18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</row>
    <row r="53" spans="1:18" x14ac:dyDescent="0.25">
      <c r="A53" s="7"/>
      <c r="B53" s="7"/>
      <c r="C53" s="7"/>
      <c r="D53" s="7"/>
      <c r="E53" s="7"/>
      <c r="F53" s="7"/>
      <c r="G53" s="7"/>
      <c r="H53" s="7"/>
      <c r="Q53" s="7"/>
      <c r="R53" s="7"/>
    </row>
  </sheetData>
  <mergeCells count="8">
    <mergeCell ref="C45:F45"/>
    <mergeCell ref="C46:F46"/>
    <mergeCell ref="C47:F47"/>
    <mergeCell ref="C6:K6"/>
    <mergeCell ref="C12:R12"/>
    <mergeCell ref="L14:P14"/>
    <mergeCell ref="C44:F44"/>
    <mergeCell ref="L19:P19"/>
  </mergeCells>
  <phoneticPr fontId="28" type="noConversion"/>
  <conditionalFormatting sqref="H22:P22">
    <cfRule type="cellIs" dxfId="74" priority="2" operator="equal">
      <formula>0</formula>
    </cfRule>
  </conditionalFormatting>
  <conditionalFormatting sqref="H28:P28">
    <cfRule type="cellIs" dxfId="73" priority="1" operator="equal">
      <formula>0</formula>
    </cfRule>
  </conditionalFormatting>
  <dataValidations disablePrompts="1" count="1">
    <dataValidation type="list" allowBlank="1" showInputMessage="1" showErrorMessage="1" sqref="I8" xr:uid="{BC3B30F5-281C-48E6-9C89-4E44CDD3D17B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95A0-AA0B-43A6-A580-0188EA75A567}">
  <sheetPr codeName="Sheet5">
    <tabColor theme="1"/>
  </sheetPr>
  <dimension ref="A1"/>
  <sheetViews>
    <sheetView workbookViewId="0">
      <selection sqref="A1:XFD1048576"/>
    </sheetView>
  </sheetViews>
  <sheetFormatPr defaultRowHeight="12.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C5DA-02D0-46CA-AC78-502A8CDA2DCA}">
  <sheetPr codeName="Sheet6">
    <tabColor theme="8" tint="0.39997558519241921"/>
  </sheetPr>
  <dimension ref="A1:W52"/>
  <sheetViews>
    <sheetView showGridLines="0" topLeftCell="G1" zoomScaleNormal="100" workbookViewId="0">
      <pane ySplit="5" topLeftCell="A19" activePane="bottomLeft" state="frozen"/>
      <selection activeCell="O80" sqref="O80"/>
      <selection pane="bottomLeft" activeCell="J44" sqref="J44"/>
    </sheetView>
  </sheetViews>
  <sheetFormatPr defaultColWidth="0" defaultRowHeight="12.5" zeroHeight="1" x14ac:dyDescent="0.25"/>
  <cols>
    <col min="1" max="1" width="3.81640625" style="293" customWidth="1"/>
    <col min="2" max="2" width="2.26953125" style="293" customWidth="1"/>
    <col min="3" max="3" width="3.54296875" style="293" customWidth="1"/>
    <col min="4" max="4" width="7.453125" style="293" customWidth="1"/>
    <col min="5" max="5" width="24.81640625" style="293" customWidth="1"/>
    <col min="6" max="6" width="43.7265625" style="293" customWidth="1"/>
    <col min="7" max="7" width="9.1796875" style="293" customWidth="1"/>
    <col min="8" max="8" width="11" style="293" bestFit="1" customWidth="1"/>
    <col min="9" max="9" width="2.81640625" style="293" customWidth="1"/>
    <col min="10" max="10" width="9.453125" style="293" bestFit="1" customWidth="1"/>
    <col min="11" max="11" width="3.26953125" style="293" customWidth="1"/>
    <col min="12" max="15" width="9.26953125" style="293" customWidth="1"/>
    <col min="16" max="16" width="10" style="293" customWidth="1"/>
    <col min="17" max="22" width="10.453125" style="293" bestFit="1" customWidth="1"/>
    <col min="23" max="23" width="8.81640625" style="293" customWidth="1"/>
    <col min="24" max="16384" width="9.1796875" style="293" hidden="1"/>
  </cols>
  <sheetData>
    <row r="1" spans="1:23" s="4" customFormat="1" ht="25.15" customHeight="1" x14ac:dyDescent="0.25">
      <c r="A1" s="67"/>
      <c r="B1" s="67" t="str">
        <f>'Input|General'!B1&amp;" v"&amp;'Input|General'!$D$2</f>
        <v>AER Metering Opex &amp; Capex Forecasting Model DRAFT v1</v>
      </c>
      <c r="C1" s="67"/>
      <c r="D1" s="67"/>
      <c r="E1" s="67"/>
      <c r="F1" s="6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4" customFormat="1" ht="15.75" customHeight="1" x14ac:dyDescent="0.25">
      <c r="A2" s="55"/>
      <c r="B2" s="68" t="str" cm="1">
        <f t="array" aca="1" ref="B2" ca="1">MID(CELL("filename",A1),FIND("]",CELL("filename",A1))+1,255)</f>
        <v>Input | Meter-Opex BST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3"/>
      <c r="S2" s="3"/>
      <c r="T2" s="3"/>
      <c r="U2" s="3"/>
      <c r="V2" s="3"/>
      <c r="W2" s="3"/>
    </row>
    <row r="3" spans="1:23" s="4" customFormat="1" ht="8.25" customHeight="1" x14ac:dyDescent="0.2">
      <c r="A3" s="55"/>
      <c r="B3" s="68"/>
      <c r="C3" s="55"/>
      <c r="D3" s="55"/>
      <c r="E3" s="55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s="201" customFormat="1" ht="13" x14ac:dyDescent="0.3">
      <c r="N4" s="291" t="str">
        <f>IF(N5=Opex_BaseYear,"Base Year","")</f>
        <v/>
      </c>
      <c r="O4" s="291" t="str">
        <f>IF(O5=Opex_BaseYear,"Base Year","")</f>
        <v/>
      </c>
      <c r="P4" s="291" t="str">
        <f>IF(P5=Opex_BaseYear,"Base Year","")</f>
        <v>Base Year</v>
      </c>
      <c r="Q4" s="291" t="str">
        <f>IF(Q5=Opex_BaseYear,"Base Year","")</f>
        <v/>
      </c>
      <c r="R4" s="686" t="s">
        <v>232</v>
      </c>
      <c r="S4" s="687"/>
      <c r="T4" s="687"/>
      <c r="U4" s="687"/>
      <c r="V4" s="687"/>
    </row>
    <row r="5" spans="1:23" s="201" customFormat="1" ht="17.25" customHeight="1" x14ac:dyDescent="0.25">
      <c r="J5" s="274" t="s">
        <v>29</v>
      </c>
      <c r="K5" s="292"/>
      <c r="L5" s="274" t="str">
        <f>IF(MONTH('Input|General'!$I$14)=6,LEFT(M5,4)-1&amp;"-"&amp;TEXT(MOD(MID(M5,6,2)-1,100),"00"),M5-1)</f>
        <v>2014-15</v>
      </c>
      <c r="M5" s="274" t="str">
        <f>IF(MONTH('Input|General'!$I$14)=6,LEFT(N5,4)-1&amp;"-"&amp;TEXT(MOD(MID(N5,6,2)-1,100),"00"),N5-1)</f>
        <v>2015-16</v>
      </c>
      <c r="N5" s="274" t="str">
        <f>IF(MONTH('Input|General'!$I$14)=6,LEFT(O5,4)-1&amp;"-"&amp;TEXT(MOD(MID(O5,6,2)-1,100),"00"),O5-1)</f>
        <v>2016-17</v>
      </c>
      <c r="O5" s="274" t="str">
        <f>IF(MONTH('Input|General'!$I$14)=6,LEFT(P5,4)-1&amp;"-"&amp;TEXT(MOD(MID(P5,6,2)-1,100),"00"),P5-1)</f>
        <v>2017-18</v>
      </c>
      <c r="P5" s="124" t="str">
        <f>IF(MONTH('Input|General'!$I$14)=6,LEFT(Q5,4)-1&amp;"-"&amp;TEXT(MOD(MID(Q5,6,2)-1,100),"00"),Q5-1)</f>
        <v>2018-19</v>
      </c>
      <c r="Q5" s="124" t="str">
        <f>IF(MONTH('Input|General'!$I$14)=6,LEFT(R5,4)-1&amp;"-"&amp;TEXT(MOD(MID(R5,6,2)-1,100),"00"),R5-1)</f>
        <v>2019-20</v>
      </c>
      <c r="R5" s="272" t="str">
        <f>FPFirstYear</f>
        <v>2020-21</v>
      </c>
      <c r="S5" s="274" t="str">
        <f>IF(MONTH('Input|General'!$I$14)=6,LEFT(R5,4)+1&amp;"-"&amp;TEXT(MOD(MID(R5,6,2)+1,100),"00"),R5+1)</f>
        <v>2021-22</v>
      </c>
      <c r="T5" s="274" t="str">
        <f>IF(MONTH('Input|General'!$I$14)=6,LEFT(S5,4)+1&amp;"-"&amp;TEXT(MOD(MID(S5,6,2)+1,100),"00"),S5+1)</f>
        <v>2022-23</v>
      </c>
      <c r="U5" s="274" t="str">
        <f>IF(MONTH('Input|General'!$I$14)=6,LEFT(T5,4)+1&amp;"-"&amp;TEXT(MOD(MID(T5,6,2)+1,100),"00"),T5+1)</f>
        <v>2023-24</v>
      </c>
      <c r="V5" s="274" t="str">
        <f>IF(MONTH('Input|General'!$I$14)=6,LEFT(U5,4)+1&amp;"-"&amp;TEXT(MOD(MID(U5,6,2)+1,100),"00"),U5+1)</f>
        <v>2024-25</v>
      </c>
    </row>
    <row r="6" spans="1:23" x14ac:dyDescent="0.25">
      <c r="B6" s="349"/>
      <c r="H6" s="292"/>
      <c r="I6" s="292"/>
      <c r="J6" s="292"/>
      <c r="K6" s="292"/>
      <c r="L6" s="292"/>
      <c r="N6" s="292"/>
      <c r="O6" s="292"/>
      <c r="Q6" s="292"/>
      <c r="R6" s="372"/>
      <c r="S6" s="292"/>
      <c r="T6" s="292"/>
      <c r="U6" s="292"/>
      <c r="V6" s="292"/>
    </row>
    <row r="7" spans="1:23" ht="13" x14ac:dyDescent="0.3">
      <c r="B7" s="349"/>
      <c r="C7" s="297" t="s">
        <v>16</v>
      </c>
      <c r="D7" s="298"/>
      <c r="E7" s="298"/>
      <c r="F7" s="298"/>
      <c r="G7" s="298"/>
      <c r="H7" s="299"/>
      <c r="I7" s="299"/>
      <c r="J7" s="299"/>
      <c r="K7" s="299"/>
      <c r="L7" s="299"/>
      <c r="M7" s="299"/>
      <c r="N7" s="299"/>
      <c r="O7" s="299"/>
      <c r="P7" s="298"/>
      <c r="Q7" s="299"/>
      <c r="R7" s="373"/>
      <c r="S7" s="299"/>
      <c r="T7" s="299"/>
      <c r="U7" s="299"/>
      <c r="V7" s="299"/>
      <c r="W7" s="298"/>
    </row>
    <row r="8" spans="1:23" ht="13" x14ac:dyDescent="0.3">
      <c r="B8" s="349"/>
      <c r="C8" s="300"/>
      <c r="D8" s="300" t="s">
        <v>201</v>
      </c>
      <c r="L8" s="301"/>
      <c r="M8" s="301"/>
      <c r="N8" s="301"/>
      <c r="O8" s="301"/>
      <c r="P8" s="301"/>
      <c r="Q8" s="301"/>
      <c r="R8" s="372"/>
      <c r="S8" s="292"/>
      <c r="T8" s="292"/>
      <c r="U8" s="292"/>
      <c r="V8" s="292"/>
    </row>
    <row r="9" spans="1:23" ht="13" x14ac:dyDescent="0.3">
      <c r="B9" s="349"/>
      <c r="C9" s="300"/>
      <c r="F9" s="629" t="s">
        <v>30</v>
      </c>
      <c r="G9" s="634" t="s">
        <v>31</v>
      </c>
      <c r="H9" s="302" t="str">
        <f>Basis_OpexHist</f>
        <v>nominal</v>
      </c>
      <c r="L9" s="621">
        <v>11</v>
      </c>
      <c r="M9" s="621">
        <v>11.5</v>
      </c>
      <c r="N9" s="621">
        <v>11.75</v>
      </c>
      <c r="O9" s="621">
        <v>12</v>
      </c>
      <c r="P9" s="621">
        <v>12.5</v>
      </c>
      <c r="Q9" s="621"/>
      <c r="R9" s="372"/>
      <c r="S9" s="292"/>
      <c r="T9" s="292"/>
      <c r="U9" s="292"/>
      <c r="V9" s="292"/>
    </row>
    <row r="10" spans="1:23" ht="13" x14ac:dyDescent="0.3">
      <c r="B10" s="349"/>
      <c r="C10" s="300"/>
      <c r="R10" s="372"/>
      <c r="S10" s="292"/>
      <c r="T10" s="292"/>
      <c r="U10" s="292"/>
      <c r="V10" s="292"/>
    </row>
    <row r="11" spans="1:23" ht="13" x14ac:dyDescent="0.3">
      <c r="B11" s="349"/>
      <c r="C11" s="300"/>
      <c r="D11" s="300" t="s">
        <v>33</v>
      </c>
      <c r="L11" s="301"/>
      <c r="M11" s="301"/>
      <c r="N11" s="301"/>
      <c r="O11" s="301"/>
      <c r="P11" s="301"/>
      <c r="Q11" s="301"/>
      <c r="R11" s="372"/>
      <c r="S11" s="292"/>
      <c r="T11" s="292"/>
      <c r="U11" s="292"/>
      <c r="V11" s="292"/>
    </row>
    <row r="12" spans="1:23" ht="13" x14ac:dyDescent="0.3">
      <c r="B12" s="349"/>
      <c r="C12" s="300"/>
      <c r="D12" s="300"/>
      <c r="F12" s="633" t="s">
        <v>391</v>
      </c>
      <c r="G12" s="303" t="str">
        <f>$G$9</f>
        <v>$millions</v>
      </c>
      <c r="H12" s="302" t="str">
        <f>Basis_OpexHist</f>
        <v>nominal</v>
      </c>
      <c r="L12" s="620">
        <v>0</v>
      </c>
      <c r="M12" s="620">
        <v>0</v>
      </c>
      <c r="N12" s="620">
        <v>0</v>
      </c>
      <c r="O12" s="620">
        <v>0</v>
      </c>
      <c r="P12" s="620">
        <v>0.25</v>
      </c>
      <c r="Q12" s="620"/>
      <c r="R12" s="372"/>
      <c r="S12" s="292"/>
      <c r="T12" s="292"/>
      <c r="U12" s="292"/>
      <c r="V12" s="292"/>
    </row>
    <row r="13" spans="1:23" ht="13" x14ac:dyDescent="0.3">
      <c r="B13" s="349"/>
      <c r="C13" s="300"/>
      <c r="D13" s="300"/>
      <c r="F13" s="633" t="s">
        <v>34</v>
      </c>
      <c r="G13" s="303" t="str">
        <f>$G$9</f>
        <v>$millions</v>
      </c>
      <c r="H13" s="302" t="str">
        <f>Basis_OpexHist</f>
        <v>nominal</v>
      </c>
      <c r="L13" s="620">
        <v>0</v>
      </c>
      <c r="M13" s="620">
        <v>0</v>
      </c>
      <c r="N13" s="620">
        <v>0</v>
      </c>
      <c r="O13" s="620">
        <v>0</v>
      </c>
      <c r="P13" s="620"/>
      <c r="Q13" s="620">
        <v>0</v>
      </c>
      <c r="R13" s="372"/>
      <c r="S13" s="292"/>
      <c r="T13" s="292"/>
      <c r="U13" s="292"/>
      <c r="V13" s="292"/>
    </row>
    <row r="14" spans="1:23" ht="13" x14ac:dyDescent="0.3">
      <c r="B14" s="349"/>
      <c r="C14" s="300"/>
      <c r="D14" s="300"/>
      <c r="F14" s="633" t="s">
        <v>35</v>
      </c>
      <c r="G14" s="303" t="str">
        <f>$G$9</f>
        <v>$millions</v>
      </c>
      <c r="H14" s="302" t="str">
        <f>Basis_OpexHist</f>
        <v>nominal</v>
      </c>
      <c r="L14" s="620">
        <v>0</v>
      </c>
      <c r="M14" s="620">
        <v>0</v>
      </c>
      <c r="N14" s="620">
        <v>0</v>
      </c>
      <c r="O14" s="620">
        <v>0</v>
      </c>
      <c r="P14" s="620"/>
      <c r="Q14" s="620">
        <v>0</v>
      </c>
      <c r="R14" s="372"/>
      <c r="S14" s="292"/>
      <c r="T14" s="292"/>
      <c r="U14" s="292"/>
      <c r="V14" s="292"/>
    </row>
    <row r="15" spans="1:23" ht="13" x14ac:dyDescent="0.3">
      <c r="B15" s="349"/>
      <c r="C15" s="300"/>
      <c r="F15" s="633" t="s">
        <v>36</v>
      </c>
      <c r="G15" s="303" t="str">
        <f>$G$9</f>
        <v>$millions</v>
      </c>
      <c r="H15" s="302" t="str">
        <f>Basis_OpexHist</f>
        <v>nominal</v>
      </c>
      <c r="L15" s="620">
        <v>0</v>
      </c>
      <c r="M15" s="620">
        <v>0</v>
      </c>
      <c r="N15" s="620">
        <v>0</v>
      </c>
      <c r="O15" s="620">
        <v>0</v>
      </c>
      <c r="P15" s="620">
        <v>0</v>
      </c>
      <c r="Q15" s="620">
        <v>0</v>
      </c>
      <c r="R15" s="372"/>
      <c r="S15" s="292"/>
      <c r="T15" s="292"/>
      <c r="U15" s="292"/>
      <c r="V15" s="292"/>
    </row>
    <row r="16" spans="1:23" ht="13" x14ac:dyDescent="0.3">
      <c r="B16" s="349"/>
      <c r="C16" s="300"/>
      <c r="N16" s="304"/>
      <c r="O16" s="304"/>
      <c r="Q16" s="292"/>
      <c r="R16" s="372"/>
      <c r="S16" s="292"/>
      <c r="T16" s="292"/>
      <c r="U16" s="292"/>
      <c r="V16" s="292"/>
    </row>
    <row r="17" spans="2:23" ht="13" x14ac:dyDescent="0.3">
      <c r="B17" s="349"/>
      <c r="C17" s="300"/>
      <c r="F17" s="305" t="s">
        <v>223</v>
      </c>
      <c r="G17" s="303" t="str">
        <f>$G$9</f>
        <v>$millions</v>
      </c>
      <c r="H17" s="302" t="str">
        <f>Basis_OpexHist</f>
        <v>nominal</v>
      </c>
      <c r="N17" s="292"/>
      <c r="O17" s="552" t="str">
        <f>IF(O$5=Opex_BaseYear,(SUM(O12:O15,O9)),"")</f>
        <v/>
      </c>
      <c r="P17" s="552">
        <f>IF(P$5=Opex_BaseYear,(SUM(P12:P15,P9)),"")</f>
        <v>12.75</v>
      </c>
      <c r="Q17" s="552" t="str">
        <f>IF(Q$5=Opex_BaseYear,(SUM(Q12:Q15,Q9)),"")</f>
        <v/>
      </c>
      <c r="R17" s="372"/>
      <c r="S17" s="292"/>
      <c r="T17" s="292"/>
      <c r="U17" s="292"/>
      <c r="V17" s="292"/>
    </row>
    <row r="18" spans="2:23" ht="13" x14ac:dyDescent="0.3">
      <c r="B18" s="349"/>
      <c r="C18" s="300"/>
      <c r="F18" s="305" t="s">
        <v>223</v>
      </c>
      <c r="G18" s="306" t="str">
        <f>$G$9</f>
        <v>$millions</v>
      </c>
      <c r="H18" s="307">
        <f>Basis_OpexForecast</f>
        <v>43983</v>
      </c>
      <c r="N18" s="292"/>
      <c r="O18" s="308" t="str">
        <f>IF(O$5=Opex_BaseYear,O17*'Input| Prices'!I$37,"")</f>
        <v/>
      </c>
      <c r="P18" s="308">
        <f>IF(P$5=Opex_BaseYear,P17*'Input| Prices'!J$37,"")</f>
        <v>13.043914676314186</v>
      </c>
      <c r="Q18" s="308" t="str">
        <f>IF(Q$5=Opex_BaseYear,Q17*'Input| Prices'!K$37,"")</f>
        <v/>
      </c>
      <c r="R18" s="372"/>
      <c r="S18" s="292"/>
      <c r="T18" s="292"/>
      <c r="U18" s="292"/>
      <c r="V18" s="292"/>
    </row>
    <row r="19" spans="2:23" ht="13" x14ac:dyDescent="0.3">
      <c r="B19" s="349"/>
      <c r="C19" s="309"/>
      <c r="D19" s="301"/>
      <c r="E19" s="301"/>
      <c r="F19" s="301"/>
      <c r="G19" s="301"/>
      <c r="H19" s="301"/>
      <c r="I19" s="301"/>
      <c r="J19" s="301"/>
      <c r="K19" s="301"/>
      <c r="L19" s="310"/>
      <c r="M19" s="310"/>
      <c r="N19" s="310"/>
      <c r="O19" s="310"/>
      <c r="P19" s="301"/>
      <c r="Q19" s="301"/>
      <c r="R19" s="374"/>
      <c r="S19" s="301"/>
      <c r="T19" s="301"/>
      <c r="U19" s="301"/>
      <c r="V19" s="301"/>
      <c r="W19" s="301"/>
    </row>
    <row r="20" spans="2:23" ht="13" x14ac:dyDescent="0.3">
      <c r="B20" s="349"/>
      <c r="C20" s="297" t="s">
        <v>37</v>
      </c>
      <c r="D20" s="298"/>
      <c r="E20" s="298"/>
      <c r="F20" s="298"/>
      <c r="G20" s="298"/>
      <c r="H20" s="299"/>
      <c r="I20" s="299"/>
      <c r="J20" s="299"/>
      <c r="K20" s="299"/>
      <c r="L20" s="299"/>
      <c r="M20" s="299"/>
      <c r="N20" s="299"/>
      <c r="O20" s="299"/>
      <c r="P20" s="298"/>
      <c r="Q20" s="299"/>
      <c r="R20" s="373"/>
      <c r="S20" s="299"/>
      <c r="T20" s="299"/>
      <c r="U20" s="299"/>
      <c r="V20" s="299"/>
      <c r="W20" s="298"/>
    </row>
    <row r="21" spans="2:23" ht="10.5" customHeight="1" x14ac:dyDescent="0.3">
      <c r="B21" s="349"/>
      <c r="C21" s="300"/>
      <c r="N21" s="292"/>
      <c r="O21" s="292"/>
      <c r="Q21" s="292"/>
      <c r="R21" s="372"/>
      <c r="S21" s="292"/>
      <c r="T21" s="292"/>
      <c r="U21" s="292"/>
      <c r="V21" s="292"/>
    </row>
    <row r="22" spans="2:23" ht="13" x14ac:dyDescent="0.3">
      <c r="B22" s="349"/>
      <c r="C22" s="300"/>
      <c r="D22" s="300" t="s">
        <v>52</v>
      </c>
      <c r="N22" s="292"/>
      <c r="O22" s="292"/>
      <c r="P22" s="301"/>
      <c r="Q22" s="399"/>
      <c r="R22" s="374"/>
      <c r="S22" s="301"/>
      <c r="T22" s="301"/>
      <c r="U22" s="301"/>
      <c r="V22" s="301"/>
    </row>
    <row r="23" spans="2:23" ht="13" x14ac:dyDescent="0.3">
      <c r="B23" s="349"/>
      <c r="C23" s="300"/>
      <c r="E23" s="311"/>
      <c r="F23" s="633" t="s">
        <v>392</v>
      </c>
      <c r="G23" s="303" t="str">
        <f>$G$9</f>
        <v>$millions</v>
      </c>
      <c r="H23" s="302">
        <f>Basis_OpexForecast</f>
        <v>43983</v>
      </c>
      <c r="N23" s="292"/>
      <c r="O23" s="292"/>
      <c r="P23" s="622"/>
      <c r="Q23" s="622">
        <v>0.4</v>
      </c>
      <c r="R23" s="622">
        <v>0.4</v>
      </c>
      <c r="S23" s="622">
        <v>0.4</v>
      </c>
      <c r="T23" s="622">
        <v>0.4</v>
      </c>
      <c r="U23" s="622">
        <v>0.4</v>
      </c>
      <c r="V23" s="622">
        <v>0.4</v>
      </c>
    </row>
    <row r="24" spans="2:23" ht="13" x14ac:dyDescent="0.3">
      <c r="B24" s="349"/>
      <c r="C24" s="300"/>
      <c r="E24" s="311"/>
      <c r="F24" s="633" t="s">
        <v>393</v>
      </c>
      <c r="G24" s="303" t="str">
        <f>$G$9</f>
        <v>$millions</v>
      </c>
      <c r="H24" s="302">
        <f>Basis_OpexForecast</f>
        <v>43983</v>
      </c>
      <c r="N24" s="292"/>
      <c r="O24" s="292"/>
      <c r="P24" s="622"/>
      <c r="Q24" s="622"/>
      <c r="R24" s="623"/>
      <c r="S24" s="622">
        <v>0.1</v>
      </c>
      <c r="T24" s="622">
        <v>0.1</v>
      </c>
      <c r="U24" s="622">
        <v>0.1</v>
      </c>
      <c r="V24" s="622">
        <v>0.1</v>
      </c>
    </row>
    <row r="25" spans="2:23" ht="13" x14ac:dyDescent="0.3">
      <c r="B25" s="349"/>
      <c r="C25" s="300"/>
      <c r="E25" s="311"/>
      <c r="F25" s="633" t="s">
        <v>38</v>
      </c>
      <c r="G25" s="303" t="str">
        <f>$G$9</f>
        <v>$millions</v>
      </c>
      <c r="H25" s="302">
        <f>Basis_OpexForecast</f>
        <v>43983</v>
      </c>
      <c r="N25" s="292"/>
      <c r="O25" s="292"/>
      <c r="P25" s="622"/>
      <c r="Q25" s="622"/>
      <c r="R25" s="623"/>
      <c r="S25" s="622"/>
      <c r="T25" s="622"/>
      <c r="U25" s="622"/>
      <c r="V25" s="622"/>
    </row>
    <row r="26" spans="2:23" ht="13" x14ac:dyDescent="0.3">
      <c r="B26" s="349"/>
      <c r="C26" s="300"/>
      <c r="E26" s="311"/>
      <c r="F26" s="633" t="s">
        <v>39</v>
      </c>
      <c r="G26" s="303" t="str">
        <f>$G$9</f>
        <v>$millions</v>
      </c>
      <c r="H26" s="302">
        <f>Basis_OpexForecast</f>
        <v>43983</v>
      </c>
      <c r="N26" s="292"/>
      <c r="O26" s="292"/>
      <c r="P26" s="622"/>
      <c r="Q26" s="622"/>
      <c r="R26" s="623"/>
      <c r="S26" s="622"/>
      <c r="T26" s="622"/>
      <c r="U26" s="622"/>
      <c r="V26" s="622"/>
    </row>
    <row r="27" spans="2:23" ht="13" x14ac:dyDescent="0.3">
      <c r="B27" s="349"/>
      <c r="C27" s="300"/>
      <c r="N27" s="292"/>
      <c r="O27" s="292"/>
      <c r="Q27" s="292"/>
      <c r="R27" s="372"/>
      <c r="S27" s="292"/>
      <c r="T27" s="292"/>
      <c r="U27" s="292"/>
      <c r="V27" s="292"/>
    </row>
    <row r="28" spans="2:23" ht="13" x14ac:dyDescent="0.3">
      <c r="B28" s="349"/>
      <c r="C28" s="297" t="s">
        <v>41</v>
      </c>
      <c r="D28" s="298"/>
      <c r="E28" s="298"/>
      <c r="F28" s="298"/>
      <c r="G28" s="298"/>
      <c r="H28" s="299"/>
      <c r="I28" s="299"/>
      <c r="J28" s="299"/>
      <c r="K28" s="299"/>
      <c r="L28" s="299"/>
      <c r="M28" s="299"/>
      <c r="N28" s="299"/>
      <c r="O28" s="299"/>
      <c r="P28" s="298"/>
      <c r="Q28" s="299"/>
      <c r="R28" s="373"/>
      <c r="S28" s="299"/>
      <c r="T28" s="299"/>
      <c r="U28" s="299"/>
      <c r="V28" s="299"/>
      <c r="W28" s="298"/>
    </row>
    <row r="29" spans="2:23" ht="13" x14ac:dyDescent="0.3">
      <c r="B29" s="349"/>
      <c r="C29" s="300"/>
      <c r="N29" s="292"/>
      <c r="O29" s="292"/>
      <c r="Q29" s="292"/>
      <c r="R29" s="372"/>
      <c r="S29" s="292"/>
      <c r="T29" s="292"/>
      <c r="U29" s="292"/>
      <c r="V29" s="292"/>
    </row>
    <row r="30" spans="2:23" ht="13" x14ac:dyDescent="0.3">
      <c r="B30" s="349"/>
      <c r="C30" s="300"/>
      <c r="D30" s="300" t="s">
        <v>42</v>
      </c>
      <c r="G30" s="312"/>
      <c r="N30" s="292"/>
      <c r="O30" s="301"/>
      <c r="P30" s="301"/>
      <c r="Q30" s="301"/>
      <c r="R30" s="374"/>
      <c r="S30" s="301"/>
      <c r="T30" s="301"/>
      <c r="U30" s="301"/>
      <c r="V30" s="301"/>
    </row>
    <row r="31" spans="2:23" ht="13" x14ac:dyDescent="0.3">
      <c r="B31" s="349"/>
      <c r="C31" s="300"/>
      <c r="E31" s="313" t="s">
        <v>43</v>
      </c>
      <c r="F31" s="629" t="s">
        <v>44</v>
      </c>
      <c r="G31" s="634" t="s">
        <v>18</v>
      </c>
      <c r="N31" s="292"/>
      <c r="O31" s="624"/>
      <c r="P31" s="624">
        <v>400000</v>
      </c>
      <c r="Q31" s="626">
        <f>P31*0.95</f>
        <v>380000</v>
      </c>
      <c r="R31" s="626">
        <f>Q31*0.95</f>
        <v>361000</v>
      </c>
      <c r="S31" s="626">
        <f t="shared" ref="S31:V31" si="0">R31*0.95</f>
        <v>342950</v>
      </c>
      <c r="T31" s="626">
        <f t="shared" si="0"/>
        <v>325802.5</v>
      </c>
      <c r="U31" s="626">
        <f t="shared" si="0"/>
        <v>309512.375</v>
      </c>
      <c r="V31" s="626">
        <f t="shared" si="0"/>
        <v>294036.75624999998</v>
      </c>
    </row>
    <row r="32" spans="2:23" ht="13" x14ac:dyDescent="0.3">
      <c r="B32" s="349"/>
      <c r="C32" s="300"/>
      <c r="E32" s="313" t="s">
        <v>43</v>
      </c>
      <c r="F32" s="629" t="s">
        <v>45</v>
      </c>
      <c r="G32" s="634" t="s">
        <v>18</v>
      </c>
      <c r="N32" s="292"/>
      <c r="O32" s="624"/>
      <c r="P32" s="624">
        <v>0</v>
      </c>
      <c r="Q32" s="625">
        <v>0</v>
      </c>
      <c r="R32" s="626">
        <v>0</v>
      </c>
      <c r="S32" s="624">
        <v>0</v>
      </c>
      <c r="T32" s="624">
        <v>0</v>
      </c>
      <c r="U32" s="624">
        <v>0</v>
      </c>
      <c r="V32" s="624">
        <v>0</v>
      </c>
    </row>
    <row r="33" spans="2:22" ht="13" x14ac:dyDescent="0.3">
      <c r="B33" s="349"/>
      <c r="C33" s="300"/>
      <c r="E33" s="313" t="s">
        <v>43</v>
      </c>
      <c r="F33" s="629" t="s">
        <v>46</v>
      </c>
      <c r="G33" s="634" t="s">
        <v>18</v>
      </c>
      <c r="N33" s="292"/>
      <c r="O33" s="624"/>
      <c r="P33" s="624">
        <v>0</v>
      </c>
      <c r="Q33" s="625">
        <v>0</v>
      </c>
      <c r="R33" s="626">
        <v>0</v>
      </c>
      <c r="S33" s="624">
        <v>0</v>
      </c>
      <c r="T33" s="624">
        <v>0</v>
      </c>
      <c r="U33" s="624">
        <v>0</v>
      </c>
      <c r="V33" s="624">
        <v>0</v>
      </c>
    </row>
    <row r="34" spans="2:22" ht="13" x14ac:dyDescent="0.3">
      <c r="B34" s="349"/>
      <c r="C34" s="300"/>
      <c r="E34" s="313" t="s">
        <v>43</v>
      </c>
      <c r="F34" s="629" t="s">
        <v>47</v>
      </c>
      <c r="G34" s="634" t="s">
        <v>18</v>
      </c>
      <c r="N34" s="292"/>
      <c r="O34" s="624"/>
      <c r="P34" s="624">
        <v>0</v>
      </c>
      <c r="Q34" s="625">
        <v>0</v>
      </c>
      <c r="R34" s="626">
        <v>0</v>
      </c>
      <c r="S34" s="624">
        <v>0</v>
      </c>
      <c r="T34" s="624">
        <v>0</v>
      </c>
      <c r="U34" s="624">
        <v>0</v>
      </c>
      <c r="V34" s="624">
        <v>0</v>
      </c>
    </row>
    <row r="35" spans="2:22" ht="13" x14ac:dyDescent="0.3">
      <c r="B35" s="349"/>
      <c r="C35" s="300"/>
      <c r="N35" s="292"/>
      <c r="O35" s="292"/>
      <c r="Q35" s="292"/>
      <c r="R35" s="640"/>
      <c r="S35" s="292"/>
      <c r="T35" s="292"/>
      <c r="U35" s="292"/>
      <c r="V35" s="292"/>
    </row>
    <row r="36" spans="2:22" ht="13" x14ac:dyDescent="0.3">
      <c r="B36" s="349"/>
      <c r="C36" s="300"/>
      <c r="E36" s="313" t="s">
        <v>48</v>
      </c>
      <c r="F36" s="314" t="str">
        <f>F31</f>
        <v>Customer numbers (#)</v>
      </c>
      <c r="G36" s="315" t="s">
        <v>49</v>
      </c>
      <c r="J36" s="627">
        <v>1</v>
      </c>
      <c r="N36" s="292"/>
      <c r="O36" s="292"/>
      <c r="P36" s="554"/>
      <c r="Q36" s="554"/>
      <c r="R36" s="555"/>
      <c r="S36" s="556"/>
      <c r="T36" s="556"/>
      <c r="U36" s="556"/>
      <c r="V36" s="556"/>
    </row>
    <row r="37" spans="2:22" ht="13" x14ac:dyDescent="0.3">
      <c r="B37" s="349"/>
      <c r="C37" s="300"/>
      <c r="E37" s="313" t="s">
        <v>48</v>
      </c>
      <c r="F37" s="314" t="str">
        <f>F32</f>
        <v>Output 2</v>
      </c>
      <c r="G37" s="315" t="s">
        <v>49</v>
      </c>
      <c r="J37" s="628"/>
      <c r="N37" s="292"/>
      <c r="O37" s="292"/>
      <c r="P37" s="554"/>
      <c r="Q37" s="554"/>
      <c r="R37" s="555"/>
      <c r="S37" s="556"/>
      <c r="T37" s="556"/>
      <c r="U37" s="556"/>
      <c r="V37" s="556"/>
    </row>
    <row r="38" spans="2:22" ht="13" x14ac:dyDescent="0.3">
      <c r="B38" s="349"/>
      <c r="C38" s="300"/>
      <c r="E38" s="313" t="s">
        <v>48</v>
      </c>
      <c r="F38" s="314" t="str">
        <f>F33</f>
        <v>Output 3</v>
      </c>
      <c r="G38" s="315" t="s">
        <v>49</v>
      </c>
      <c r="J38" s="627">
        <v>0</v>
      </c>
      <c r="N38" s="292"/>
      <c r="O38" s="292"/>
      <c r="P38" s="554"/>
      <c r="Q38" s="554"/>
      <c r="R38" s="555"/>
      <c r="S38" s="556"/>
      <c r="T38" s="556"/>
      <c r="U38" s="556"/>
      <c r="V38" s="556"/>
    </row>
    <row r="39" spans="2:22" ht="13" x14ac:dyDescent="0.3">
      <c r="B39" s="349"/>
      <c r="C39" s="300"/>
      <c r="E39" s="313" t="s">
        <v>48</v>
      </c>
      <c r="F39" s="314" t="str">
        <f>F34</f>
        <v>Output 4</v>
      </c>
      <c r="G39" s="315" t="s">
        <v>49</v>
      </c>
      <c r="J39" s="627">
        <v>0</v>
      </c>
      <c r="N39" s="292"/>
      <c r="O39" s="292"/>
      <c r="P39" s="554"/>
      <c r="Q39" s="554"/>
      <c r="R39" s="555"/>
      <c r="S39" s="556"/>
      <c r="T39" s="556"/>
      <c r="U39" s="556"/>
      <c r="V39" s="556"/>
    </row>
    <row r="40" spans="2:22" ht="13" x14ac:dyDescent="0.3">
      <c r="B40" s="349"/>
      <c r="C40" s="300"/>
      <c r="G40" s="312"/>
      <c r="N40" s="292"/>
      <c r="O40" s="292"/>
      <c r="R40" s="372"/>
      <c r="S40" s="292"/>
      <c r="T40" s="292"/>
      <c r="U40" s="292"/>
      <c r="V40" s="292"/>
    </row>
    <row r="41" spans="2:22" ht="13" x14ac:dyDescent="0.3">
      <c r="B41" s="349"/>
      <c r="C41" s="300"/>
      <c r="D41" s="313" t="s">
        <v>305</v>
      </c>
      <c r="N41" s="292"/>
      <c r="O41" s="292"/>
      <c r="P41" s="301"/>
      <c r="Q41" s="301"/>
      <c r="R41" s="374"/>
      <c r="S41" s="301"/>
      <c r="T41" s="301"/>
      <c r="U41" s="301"/>
      <c r="V41" s="301"/>
    </row>
    <row r="42" spans="2:22" ht="13" x14ac:dyDescent="0.3">
      <c r="B42" s="349"/>
      <c r="D42" s="313"/>
      <c r="E42" s="313" t="s">
        <v>363</v>
      </c>
      <c r="F42" s="638" t="s">
        <v>383</v>
      </c>
      <c r="G42" s="315" t="s">
        <v>49</v>
      </c>
      <c r="N42" s="292"/>
      <c r="O42" s="292"/>
      <c r="P42" s="440">
        <f>'Input| Prices'!J48</f>
        <v>1.3532954954566634E-2</v>
      </c>
      <c r="Q42" s="440">
        <f>'Input| Prices'!K48</f>
        <v>4.9243056918015695E-3</v>
      </c>
      <c r="R42" s="440">
        <f>'Input| Prices'!L48</f>
        <v>1.0035262398578897E-2</v>
      </c>
      <c r="S42" s="440">
        <f>'Input| Prices'!M48</f>
        <v>6.6268624707600688E-3</v>
      </c>
      <c r="T42" s="440">
        <f>'Input| Prices'!N48</f>
        <v>6.0912696932914154E-3</v>
      </c>
      <c r="U42" s="440">
        <f>'Input| Prices'!O48</f>
        <v>7.3277279219734291E-3</v>
      </c>
      <c r="V42" s="440">
        <f>'Input| Prices'!P48</f>
        <v>9.5094682370305637E-3</v>
      </c>
    </row>
    <row r="43" spans="2:22" x14ac:dyDescent="0.25">
      <c r="B43" s="349"/>
      <c r="N43" s="292"/>
      <c r="O43" s="292"/>
      <c r="R43" s="372"/>
      <c r="S43" s="292"/>
      <c r="T43" s="292"/>
      <c r="U43" s="292"/>
      <c r="V43" s="292"/>
    </row>
    <row r="44" spans="2:22" ht="13" x14ac:dyDescent="0.3">
      <c r="B44" s="349"/>
      <c r="E44" s="313" t="s">
        <v>48</v>
      </c>
      <c r="F44" s="478" t="s">
        <v>334</v>
      </c>
      <c r="G44" s="315" t="s">
        <v>49</v>
      </c>
      <c r="J44" s="627">
        <v>0.6</v>
      </c>
      <c r="N44" s="292"/>
      <c r="O44" s="292"/>
      <c r="P44" s="301"/>
      <c r="Q44" s="301"/>
      <c r="R44" s="374"/>
      <c r="S44" s="301"/>
      <c r="T44" s="301"/>
      <c r="U44" s="301"/>
      <c r="V44" s="301"/>
    </row>
    <row r="45" spans="2:22" ht="13" x14ac:dyDescent="0.3">
      <c r="B45" s="349"/>
      <c r="E45" s="313"/>
      <c r="F45" s="478" t="s">
        <v>362</v>
      </c>
      <c r="G45" s="315"/>
      <c r="J45"/>
      <c r="N45" s="292"/>
      <c r="O45" s="292"/>
      <c r="P45" s="440">
        <f>P42*$J$44</f>
        <v>8.1197729727399796E-3</v>
      </c>
      <c r="Q45" s="440">
        <f t="shared" ref="Q45:V45" si="1">Q42*$J$44</f>
        <v>2.9545834150809416E-3</v>
      </c>
      <c r="R45" s="440">
        <f t="shared" si="1"/>
        <v>6.0211574391473384E-3</v>
      </c>
      <c r="S45" s="440">
        <f t="shared" si="1"/>
        <v>3.9761174824560408E-3</v>
      </c>
      <c r="T45" s="440">
        <f t="shared" si="1"/>
        <v>3.6547618159748492E-3</v>
      </c>
      <c r="U45" s="440">
        <f t="shared" si="1"/>
        <v>4.3966367531840574E-3</v>
      </c>
      <c r="V45" s="440">
        <f t="shared" si="1"/>
        <v>5.7056809422183384E-3</v>
      </c>
    </row>
    <row r="46" spans="2:22" x14ac:dyDescent="0.25">
      <c r="B46" s="349"/>
      <c r="N46" s="292"/>
      <c r="O46" s="292"/>
      <c r="R46" s="372"/>
      <c r="S46" s="292"/>
      <c r="T46" s="292"/>
      <c r="U46" s="292"/>
      <c r="V46" s="292"/>
    </row>
    <row r="47" spans="2:22" ht="13" x14ac:dyDescent="0.3">
      <c r="B47" s="349"/>
      <c r="D47" s="300" t="s">
        <v>54</v>
      </c>
      <c r="N47" s="292"/>
      <c r="O47" s="292"/>
      <c r="R47" s="372"/>
      <c r="S47" s="292"/>
      <c r="T47" s="292"/>
      <c r="U47" s="292"/>
      <c r="V47" s="292"/>
    </row>
    <row r="48" spans="2:22" ht="13" x14ac:dyDescent="0.3">
      <c r="B48" s="349"/>
      <c r="D48" s="300"/>
      <c r="E48" s="300" t="s">
        <v>304</v>
      </c>
      <c r="F48" s="316" t="s">
        <v>79</v>
      </c>
      <c r="G48" s="315" t="s">
        <v>49</v>
      </c>
      <c r="J48" s="627">
        <v>1</v>
      </c>
      <c r="N48" s="292"/>
      <c r="O48" s="292"/>
      <c r="R48" s="372"/>
      <c r="S48" s="292"/>
      <c r="T48" s="292"/>
      <c r="U48" s="292"/>
      <c r="V48" s="292"/>
    </row>
    <row r="49" spans="2:22" ht="13" x14ac:dyDescent="0.3">
      <c r="B49" s="349"/>
      <c r="E49" s="313" t="s">
        <v>56</v>
      </c>
      <c r="F49" s="629" t="s">
        <v>394</v>
      </c>
      <c r="G49" s="315" t="s">
        <v>49</v>
      </c>
      <c r="N49" s="292"/>
      <c r="O49" s="292"/>
      <c r="P49" s="630"/>
      <c r="Q49" s="631"/>
      <c r="R49" s="632">
        <v>5.0000000000000001E-3</v>
      </c>
      <c r="S49" s="630">
        <v>5.0000000000000001E-3</v>
      </c>
      <c r="T49" s="630">
        <v>5.0000000000000001E-3</v>
      </c>
      <c r="U49" s="630">
        <v>5.0000000000000001E-3</v>
      </c>
      <c r="V49" s="630">
        <v>5.0000000000000001E-3</v>
      </c>
    </row>
    <row r="50" spans="2:22" x14ac:dyDescent="0.25">
      <c r="B50" s="349"/>
      <c r="N50" s="292"/>
      <c r="O50" s="292"/>
      <c r="Q50" s="292"/>
      <c r="R50" s="372"/>
      <c r="S50" s="292"/>
      <c r="T50" s="292"/>
      <c r="U50" s="292"/>
      <c r="V50" s="292"/>
    </row>
    <row r="51" spans="2:22" x14ac:dyDescent="0.25"/>
    <row r="52" spans="2:22" x14ac:dyDescent="0.25"/>
  </sheetData>
  <mergeCells count="1">
    <mergeCell ref="R4:V4"/>
  </mergeCells>
  <conditionalFormatting sqref="J38">
    <cfRule type="expression" dxfId="72" priority="82">
      <formula>#REF!=#REF!</formula>
    </cfRule>
  </conditionalFormatting>
  <conditionalFormatting sqref="J39">
    <cfRule type="expression" dxfId="71" priority="81">
      <formula>#REF!=#REF!</formula>
    </cfRule>
  </conditionalFormatting>
  <conditionalFormatting sqref="J36:J37">
    <cfRule type="expression" dxfId="70" priority="80">
      <formula>#REF!=#REF!</formula>
    </cfRule>
  </conditionalFormatting>
  <conditionalFormatting sqref="J44">
    <cfRule type="expression" dxfId="69" priority="79">
      <formula>#REF!=#REF!</formula>
    </cfRule>
  </conditionalFormatting>
  <conditionalFormatting sqref="R6:R18 V6:V18 V20 V28">
    <cfRule type="expression" dxfId="68" priority="71">
      <formula>#REF!=Opex_BaseYear</formula>
    </cfRule>
  </conditionalFormatting>
  <conditionalFormatting sqref="R20">
    <cfRule type="expression" dxfId="67" priority="54">
      <formula>#REF!=Opex_BaseYear</formula>
    </cfRule>
  </conditionalFormatting>
  <conditionalFormatting sqref="L20:V20">
    <cfRule type="expression" dxfId="66" priority="55">
      <formula>#REF!=Opex_BaseYear</formula>
    </cfRule>
  </conditionalFormatting>
  <conditionalFormatting sqref="W7">
    <cfRule type="expression" dxfId="65" priority="52">
      <formula>#REF!=Opex_BaseYear</formula>
    </cfRule>
  </conditionalFormatting>
  <conditionalFormatting sqref="W7">
    <cfRule type="expression" dxfId="64" priority="53">
      <formula>#REF!=Opex_BaseYear</formula>
    </cfRule>
  </conditionalFormatting>
  <conditionalFormatting sqref="W20">
    <cfRule type="expression" dxfId="63" priority="50">
      <formula>#REF!=Opex_BaseYear</formula>
    </cfRule>
  </conditionalFormatting>
  <conditionalFormatting sqref="W20">
    <cfRule type="expression" dxfId="62" priority="51">
      <formula>#REF!=Opex_BaseYear</formula>
    </cfRule>
  </conditionalFormatting>
  <conditionalFormatting sqref="R28">
    <cfRule type="expression" dxfId="61" priority="48">
      <formula>#REF!=Opex_BaseYear</formula>
    </cfRule>
  </conditionalFormatting>
  <conditionalFormatting sqref="L28:V28">
    <cfRule type="expression" dxfId="60" priority="49">
      <formula>#REF!=Opex_BaseYear</formula>
    </cfRule>
  </conditionalFormatting>
  <conditionalFormatting sqref="W28">
    <cfRule type="expression" dxfId="59" priority="46">
      <formula>#REF!=Opex_BaseYear</formula>
    </cfRule>
  </conditionalFormatting>
  <conditionalFormatting sqref="W28">
    <cfRule type="expression" dxfId="58" priority="47">
      <formula>#REF!=Opex_BaseYear</formula>
    </cfRule>
  </conditionalFormatting>
  <conditionalFormatting sqref="L9:M9 L19:O19">
    <cfRule type="expression" dxfId="57" priority="110">
      <formula>#REF!=L$5</formula>
    </cfRule>
  </conditionalFormatting>
  <conditionalFormatting sqref="L12:M15">
    <cfRule type="expression" dxfId="56" priority="111">
      <formula>#REF!=L$5</formula>
    </cfRule>
  </conditionalFormatting>
  <conditionalFormatting sqref="N9">
    <cfRule type="expression" dxfId="55" priority="115">
      <formula>#REF!=N$5</formula>
    </cfRule>
  </conditionalFormatting>
  <conditionalFormatting sqref="N12:N15">
    <cfRule type="expression" dxfId="54" priority="116">
      <formula>#REF!=N$5</formula>
    </cfRule>
  </conditionalFormatting>
  <conditionalFormatting sqref="L47:N47 L48:V50 L44:O44 L45:V46 L36:O39 L40:V42 L6:V35">
    <cfRule type="expression" dxfId="53" priority="24">
      <formula>L$5=Opex_BaseYear</formula>
    </cfRule>
  </conditionalFormatting>
  <conditionalFormatting sqref="O31:V34">
    <cfRule type="expression" dxfId="52" priority="118">
      <formula>#REF!=O$4</formula>
    </cfRule>
  </conditionalFormatting>
  <conditionalFormatting sqref="P49:V49 P42:V42 P45:V45 P23:V26">
    <cfRule type="expression" dxfId="51" priority="119">
      <formula>#REF!=P$4</formula>
    </cfRule>
  </conditionalFormatting>
  <conditionalFormatting sqref="O18:Q18">
    <cfRule type="expression" dxfId="50" priority="22">
      <formula>O$5&lt;&gt;Opex_BaseYear</formula>
    </cfRule>
  </conditionalFormatting>
  <conditionalFormatting sqref="O47:V47">
    <cfRule type="expression" dxfId="49" priority="15">
      <formula>O$5=Opex_BaseYear</formula>
    </cfRule>
  </conditionalFormatting>
  <conditionalFormatting sqref="J48">
    <cfRule type="expression" dxfId="48" priority="14">
      <formula>#REF!=#REF!</formula>
    </cfRule>
  </conditionalFormatting>
  <conditionalFormatting sqref="P9:P15">
    <cfRule type="expression" dxfId="47" priority="13">
      <formula>P$5&gt;Opex_BaseYear</formula>
    </cfRule>
  </conditionalFormatting>
  <conditionalFormatting sqref="Q9:Q15">
    <cfRule type="expression" dxfId="46" priority="12">
      <formula>Q$5&gt;Opex_BaseYear</formula>
    </cfRule>
  </conditionalFormatting>
  <conditionalFormatting sqref="P12:Q15">
    <cfRule type="expression" dxfId="45" priority="11">
      <formula>Opex_BaseYear=P$5</formula>
    </cfRule>
  </conditionalFormatting>
  <conditionalFormatting sqref="O17:Q17">
    <cfRule type="expression" dxfId="44" priority="9">
      <formula>O$5&lt;&gt;Opex_BaseYear</formula>
    </cfRule>
  </conditionalFormatting>
  <conditionalFormatting sqref="L43:V43">
    <cfRule type="expression" dxfId="43" priority="7">
      <formula>L$5=Opex_BaseYear</formula>
    </cfRule>
  </conditionalFormatting>
  <conditionalFormatting sqref="P36:V39">
    <cfRule type="expression" dxfId="42" priority="6">
      <formula>P$5=Opex_BaseYear</formula>
    </cfRule>
  </conditionalFormatting>
  <conditionalFormatting sqref="P44:V44">
    <cfRule type="expression" dxfId="41" priority="1">
      <formula>P$5=Opex_BaseYear</formula>
    </cfRule>
  </conditionalFormatting>
  <dataValidations count="1">
    <dataValidation type="list" allowBlank="1" showInputMessage="1" showErrorMessage="1" sqref="G9 G23:G26 G12:G15 G17" xr:uid="{81ED2D5E-8365-4C30-A798-B406D78367F8}">
      <formula1>LUT_Dollars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F1EE-0B00-45E4-8F12-EB2891C8C3DD}">
  <sheetPr codeName="Sheet15">
    <tabColor rgb="FFFFC000"/>
  </sheetPr>
  <dimension ref="A1:AJ63"/>
  <sheetViews>
    <sheetView showGridLines="0" topLeftCell="H1" zoomScale="110" zoomScaleNormal="110" workbookViewId="0">
      <pane ySplit="4" topLeftCell="A5" activePane="bottomLeft" state="frozen"/>
      <selection pane="bottomLeft" activeCell="P49" sqref="P49"/>
    </sheetView>
  </sheetViews>
  <sheetFormatPr defaultColWidth="0" defaultRowHeight="12.5" zeroHeight="1" x14ac:dyDescent="0.25"/>
  <cols>
    <col min="1" max="1" width="2.7265625" customWidth="1"/>
    <col min="2" max="2" width="2.26953125" customWidth="1"/>
    <col min="3" max="3" width="3.54296875" customWidth="1"/>
    <col min="4" max="4" width="7.453125" customWidth="1"/>
    <col min="5" max="5" width="24.81640625" customWidth="1"/>
    <col min="6" max="6" width="43.7265625" customWidth="1"/>
    <col min="7" max="7" width="9.1796875" customWidth="1"/>
    <col min="8" max="8" width="11" bestFit="1" customWidth="1"/>
    <col min="9" max="9" width="2.81640625" customWidth="1"/>
    <col min="10" max="10" width="9.453125" bestFit="1" customWidth="1"/>
    <col min="11" max="11" width="3.26953125" customWidth="1"/>
    <col min="12" max="22" width="9.26953125" customWidth="1"/>
    <col min="23" max="24" width="9.1796875" customWidth="1"/>
    <col min="25" max="27" width="9.1796875" hidden="1" customWidth="1"/>
    <col min="28" max="36" width="0" hidden="1" customWidth="1"/>
    <col min="37" max="16384" width="9.1796875" hidden="1"/>
  </cols>
  <sheetData>
    <row r="1" spans="1:24" ht="18" x14ac:dyDescent="0.25">
      <c r="A1" s="67"/>
      <c r="B1" s="67" t="str">
        <f>'Input|General'!B1&amp;" v"&amp;'Input|General'!$D$2</f>
        <v>AER Metering Opex &amp; Capex Forecasting Model DRAFT v1</v>
      </c>
      <c r="C1" s="67"/>
      <c r="D1" s="67"/>
      <c r="E1" s="67"/>
      <c r="F1" s="6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" x14ac:dyDescent="0.25">
      <c r="A2" s="55"/>
      <c r="B2" s="68" t="str" cm="1">
        <f t="array" aca="1" ref="B2" ca="1">MID(CELL("filename",A1),FIND("]",CELL("filename",A1))+1,255)</f>
        <v>Calc | Opex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3"/>
      <c r="S2" s="3"/>
      <c r="T2" s="3"/>
      <c r="U2" s="3"/>
      <c r="V2" s="3"/>
      <c r="W2" s="3"/>
      <c r="X2" s="3"/>
    </row>
    <row r="3" spans="1:24" ht="15" customHeight="1" x14ac:dyDescent="0.25">
      <c r="A3" s="55"/>
      <c r="B3" s="68"/>
      <c r="C3" s="55"/>
      <c r="D3" s="55"/>
      <c r="E3" s="55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3"/>
    </row>
    <row r="4" spans="1:24" ht="13" x14ac:dyDescent="0.25">
      <c r="A4" s="201"/>
      <c r="B4" s="201"/>
      <c r="C4" s="201"/>
      <c r="D4" s="201"/>
      <c r="E4" s="201"/>
      <c r="F4" s="201"/>
      <c r="G4" s="201"/>
      <c r="H4" s="201"/>
      <c r="I4" s="201"/>
      <c r="J4" s="274" t="s">
        <v>29</v>
      </c>
      <c r="K4" s="292"/>
      <c r="L4" s="274" t="str">
        <f>IF(MONTH('Input|General'!$I$14)=6,LEFT(M4,4)-1&amp;"-"&amp;TEXT(MOD(MID(M4,6,2)-1,100),"00"),M4-1)</f>
        <v>2014-15</v>
      </c>
      <c r="M4" s="274" t="str">
        <f>IF(MONTH('Input|General'!$I$14)=6,LEFT(N4,4)-1&amp;"-"&amp;TEXT(MOD(MID(N4,6,2)-1,100),"00"),N4-1)</f>
        <v>2015-16</v>
      </c>
      <c r="N4" s="274" t="str">
        <f>IF(MONTH('Input|General'!$I$14)=6,LEFT(O4,4)-1&amp;"-"&amp;TEXT(MOD(MID(O4,6,2)-1,100),"00"),O4-1)</f>
        <v>2016-17</v>
      </c>
      <c r="O4" s="274" t="str">
        <f>IF(MONTH('Input|General'!$I$14)=6,LEFT(P4,4)-1&amp;"-"&amp;TEXT(MOD(MID(P4,6,2)-1,100),"00"),P4-1)</f>
        <v>2017-18</v>
      </c>
      <c r="P4" s="124" t="str">
        <f>IF(MONTH('Input|General'!$I$14)=6,LEFT(Q4,4)-1&amp;"-"&amp;TEXT(MOD(MID(Q4,6,2)-1,100),"00"),Q4-1)</f>
        <v>2018-19</v>
      </c>
      <c r="Q4" s="124" t="str">
        <f>IF(MONTH('Input|General'!$I$14)=6,LEFT(R4,4)-1&amp;"-"&amp;TEXT(MOD(MID(R4,6,2)-1,100),"00"),R4-1)</f>
        <v>2019-20</v>
      </c>
      <c r="R4" s="272" t="str">
        <f>FPFirstYear</f>
        <v>2020-21</v>
      </c>
      <c r="S4" s="274" t="str">
        <f>IF(MONTH('Input|General'!$I$14)=6,LEFT(R4,4)+1&amp;"-"&amp;TEXT(MOD(MID(R4,6,2)+1,100),"00"),R4+1)</f>
        <v>2021-22</v>
      </c>
      <c r="T4" s="274" t="str">
        <f>IF(MONTH('Input|General'!$I$14)=6,LEFT(S4,4)+1&amp;"-"&amp;TEXT(MOD(MID(S4,6,2)+1,100),"00"),S4+1)</f>
        <v>2022-23</v>
      </c>
      <c r="U4" s="274" t="str">
        <f>IF(MONTH('Input|General'!$I$14)=6,LEFT(T4,4)+1&amp;"-"&amp;TEXT(MOD(MID(T4,6,2)+1,100),"00"),T4+1)</f>
        <v>2023-24</v>
      </c>
      <c r="V4" s="274" t="str">
        <f>IF(MONTH('Input|General'!$I$14)=6,LEFT(U4,4)+1&amp;"-"&amp;TEXT(MOD(MID(U4,6,2)+1,100),"00"),U4+1)</f>
        <v>2024-25</v>
      </c>
    </row>
    <row r="5" spans="1:24" x14ac:dyDescent="0.25"/>
    <row r="6" spans="1:24" s="293" customFormat="1" ht="13" x14ac:dyDescent="0.3">
      <c r="B6" s="294" t="s">
        <v>50</v>
      </c>
      <c r="C6" s="294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6"/>
      <c r="O6" s="296"/>
      <c r="P6" s="295"/>
      <c r="Q6" s="296"/>
      <c r="R6" s="371"/>
      <c r="S6" s="296"/>
      <c r="T6" s="296"/>
      <c r="U6" s="296"/>
      <c r="V6" s="296"/>
    </row>
    <row r="7" spans="1:24" s="201" customFormat="1" x14ac:dyDescent="0.25">
      <c r="B7" s="317"/>
      <c r="N7" s="292"/>
      <c r="O7" s="292"/>
      <c r="P7" s="293"/>
      <c r="R7" s="375"/>
      <c r="S7" s="228"/>
      <c r="T7" s="228"/>
      <c r="U7" s="228"/>
      <c r="V7" s="228"/>
    </row>
    <row r="8" spans="1:24" s="293" customFormat="1" ht="11.25" customHeight="1" x14ac:dyDescent="0.25">
      <c r="B8" s="317"/>
      <c r="J8" s="274" t="s">
        <v>29</v>
      </c>
      <c r="K8" s="292"/>
      <c r="L8" s="274" t="str">
        <f>L4</f>
        <v>2014-15</v>
      </c>
      <c r="M8" s="274" t="str">
        <f t="shared" ref="M8:V8" si="0">M4</f>
        <v>2015-16</v>
      </c>
      <c r="N8" s="274" t="str">
        <f t="shared" si="0"/>
        <v>2016-17</v>
      </c>
      <c r="O8" s="274" t="str">
        <f t="shared" si="0"/>
        <v>2017-18</v>
      </c>
      <c r="P8" s="124" t="str">
        <f t="shared" si="0"/>
        <v>2018-19</v>
      </c>
      <c r="Q8" s="124" t="str">
        <f t="shared" si="0"/>
        <v>2019-20</v>
      </c>
      <c r="R8" s="272" t="str">
        <f t="shared" si="0"/>
        <v>2020-21</v>
      </c>
      <c r="S8" s="274" t="str">
        <f t="shared" si="0"/>
        <v>2021-22</v>
      </c>
      <c r="T8" s="274" t="str">
        <f t="shared" si="0"/>
        <v>2022-23</v>
      </c>
      <c r="U8" s="274" t="str">
        <f t="shared" si="0"/>
        <v>2023-24</v>
      </c>
      <c r="V8" s="274" t="str">
        <f t="shared" si="0"/>
        <v>2024-25</v>
      </c>
    </row>
    <row r="9" spans="1:24" s="293" customFormat="1" ht="11.25" customHeight="1" x14ac:dyDescent="0.3">
      <c r="B9" s="317"/>
      <c r="C9" s="309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74"/>
      <c r="S9" s="301"/>
      <c r="T9" s="301"/>
      <c r="U9" s="301"/>
      <c r="V9" s="301"/>
      <c r="W9" s="301"/>
    </row>
    <row r="10" spans="1:24" s="293" customFormat="1" ht="11.25" customHeight="1" x14ac:dyDescent="0.3">
      <c r="B10" s="317"/>
      <c r="C10" s="297" t="s">
        <v>16</v>
      </c>
      <c r="D10" s="298"/>
      <c r="E10" s="298"/>
      <c r="F10" s="298"/>
      <c r="G10" s="298"/>
      <c r="H10" s="299"/>
      <c r="I10" s="299"/>
      <c r="J10" s="299"/>
      <c r="K10" s="299"/>
      <c r="L10" s="299"/>
      <c r="M10" s="299"/>
      <c r="N10" s="299"/>
      <c r="O10" s="299"/>
      <c r="P10" s="298"/>
      <c r="Q10" s="299"/>
      <c r="R10" s="373"/>
      <c r="S10" s="299"/>
      <c r="T10" s="299"/>
      <c r="U10" s="299"/>
      <c r="V10" s="299"/>
      <c r="W10" s="298"/>
    </row>
    <row r="11" spans="1:24" s="293" customFormat="1" ht="13" x14ac:dyDescent="0.3">
      <c r="B11" s="317"/>
      <c r="C11" s="318"/>
      <c r="D11" s="319"/>
      <c r="E11" s="319"/>
      <c r="F11" s="319"/>
      <c r="G11" s="319"/>
      <c r="H11" s="320"/>
      <c r="I11" s="320"/>
      <c r="J11" s="320"/>
      <c r="K11" s="320"/>
      <c r="L11" s="320"/>
      <c r="M11" s="320"/>
      <c r="N11" s="201"/>
      <c r="O11" s="320"/>
      <c r="P11" s="319"/>
      <c r="Q11" s="320"/>
      <c r="R11" s="376"/>
      <c r="S11" s="320"/>
      <c r="T11" s="320"/>
      <c r="U11" s="320"/>
      <c r="V11" s="320"/>
      <c r="W11" s="319"/>
    </row>
    <row r="12" spans="1:24" s="293" customFormat="1" ht="13" x14ac:dyDescent="0.3">
      <c r="B12" s="317"/>
      <c r="D12" s="300" t="s">
        <v>51</v>
      </c>
      <c r="E12" s="300"/>
      <c r="F12" s="321" t="s">
        <v>30</v>
      </c>
      <c r="G12" s="306" t="str">
        <f>'Input | Meter-Opex BST'!$G$9</f>
        <v>$millions</v>
      </c>
      <c r="H12" s="307">
        <f>Basis_OpexForecast</f>
        <v>43983</v>
      </c>
      <c r="M12" s="201"/>
      <c r="N12" s="201"/>
      <c r="O12" s="308" t="str">
        <f>'Input | Meter-Opex BST'!O18</f>
        <v/>
      </c>
      <c r="P12" s="308">
        <f>'Input | Meter-Opex BST'!P18</f>
        <v>13.043914676314186</v>
      </c>
      <c r="Q12" s="308" t="str">
        <f>'Input | Meter-Opex BST'!Q18</f>
        <v/>
      </c>
      <c r="R12" s="372"/>
      <c r="S12" s="292"/>
      <c r="T12" s="292"/>
      <c r="U12" s="292"/>
      <c r="V12" s="292"/>
    </row>
    <row r="13" spans="1:24" s="293" customFormat="1" ht="12.75" customHeight="1" x14ac:dyDescent="0.3">
      <c r="B13" s="317"/>
      <c r="C13" s="309"/>
      <c r="D13" s="301"/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74"/>
      <c r="S13" s="301"/>
      <c r="T13" s="301"/>
      <c r="U13" s="301"/>
      <c r="V13" s="301"/>
      <c r="W13" s="301"/>
    </row>
    <row r="14" spans="1:24" s="293" customFormat="1" ht="12.75" customHeight="1" x14ac:dyDescent="0.3">
      <c r="B14" s="317"/>
      <c r="C14" s="297" t="s">
        <v>52</v>
      </c>
      <c r="D14" s="298"/>
      <c r="E14" s="298"/>
      <c r="F14" s="298"/>
      <c r="G14" s="298"/>
      <c r="H14" s="299"/>
      <c r="I14" s="299"/>
      <c r="J14" s="299"/>
      <c r="K14" s="299"/>
      <c r="L14" s="299"/>
      <c r="M14" s="299"/>
      <c r="N14" s="299"/>
      <c r="O14" s="299"/>
      <c r="P14" s="298"/>
      <c r="Q14" s="299"/>
      <c r="R14" s="373"/>
      <c r="S14" s="299"/>
      <c r="T14" s="299"/>
      <c r="U14" s="299"/>
      <c r="V14" s="299"/>
      <c r="W14" s="298"/>
    </row>
    <row r="15" spans="1:24" s="293" customFormat="1" ht="12.75" customHeight="1" x14ac:dyDescent="0.25">
      <c r="B15" s="317"/>
      <c r="N15" s="292"/>
      <c r="O15" s="292"/>
      <c r="P15" s="292"/>
      <c r="Q15" s="292"/>
      <c r="R15" s="372"/>
      <c r="S15" s="292"/>
      <c r="T15" s="292"/>
      <c r="U15" s="292"/>
      <c r="V15" s="292"/>
    </row>
    <row r="16" spans="1:24" s="293" customFormat="1" ht="12.75" customHeight="1" x14ac:dyDescent="0.25">
      <c r="B16" s="317"/>
      <c r="N16" s="292"/>
      <c r="O16" s="292"/>
      <c r="P16" s="292"/>
      <c r="Q16" s="292"/>
      <c r="R16" s="374"/>
      <c r="S16" s="301"/>
      <c r="T16" s="301"/>
      <c r="U16" s="301"/>
      <c r="V16" s="301"/>
    </row>
    <row r="17" spans="2:24" s="293" customFormat="1" ht="12.75" customHeight="1" x14ac:dyDescent="0.3">
      <c r="B17" s="317"/>
      <c r="D17" s="300" t="s">
        <v>309</v>
      </c>
      <c r="F17" s="321" t="s">
        <v>228</v>
      </c>
      <c r="G17" s="306" t="str">
        <f>'Input | Meter-Opex BST'!$G$9</f>
        <v>$millions</v>
      </c>
      <c r="H17" s="307">
        <f>Basis_OpexForecast</f>
        <v>43983</v>
      </c>
      <c r="N17" s="292"/>
      <c r="O17" s="292"/>
      <c r="P17" s="400">
        <f>SUM('Input | Meter-Opex BST'!P$23:P$26)</f>
        <v>0</v>
      </c>
      <c r="Q17" s="401">
        <f>SUM('Input | Meter-Opex BST'!Q$23:Q$26)</f>
        <v>0.4</v>
      </c>
      <c r="R17" s="377">
        <f>SUM('Input | Meter-Opex BST'!R$23:R$26)</f>
        <v>0.4</v>
      </c>
      <c r="S17" s="322">
        <f>SUM('Input | Meter-Opex BST'!S$23:S$26)</f>
        <v>0.5</v>
      </c>
      <c r="T17" s="322">
        <f>SUM('Input | Meter-Opex BST'!T$23:T$26)</f>
        <v>0.5</v>
      </c>
      <c r="U17" s="322">
        <f>SUM('Input | Meter-Opex BST'!U$23:U$26)</f>
        <v>0.5</v>
      </c>
      <c r="V17" s="322">
        <f>SUM('Input | Meter-Opex BST'!V$23:V$26)</f>
        <v>0.5</v>
      </c>
    </row>
    <row r="18" spans="2:24" s="293" customFormat="1" ht="12.75" customHeight="1" x14ac:dyDescent="0.25">
      <c r="B18" s="317"/>
      <c r="N18" s="292"/>
      <c r="O18" s="292"/>
      <c r="Q18" s="292"/>
      <c r="R18" s="378"/>
      <c r="S18" s="323"/>
      <c r="T18" s="323"/>
      <c r="U18" s="323"/>
      <c r="V18" s="323"/>
    </row>
    <row r="19" spans="2:24" s="293" customFormat="1" ht="12.75" customHeight="1" x14ac:dyDescent="0.3">
      <c r="B19" s="317"/>
      <c r="C19" s="309"/>
      <c r="D19" s="301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74"/>
      <c r="S19" s="301"/>
      <c r="T19" s="301"/>
      <c r="U19" s="301"/>
      <c r="V19" s="301"/>
      <c r="W19" s="301"/>
    </row>
    <row r="20" spans="2:24" s="293" customFormat="1" ht="12.75" customHeight="1" x14ac:dyDescent="0.3">
      <c r="B20" s="317"/>
      <c r="C20" s="297" t="s">
        <v>41</v>
      </c>
      <c r="D20" s="298"/>
      <c r="E20" s="298"/>
      <c r="F20" s="298"/>
      <c r="G20" s="298"/>
      <c r="H20" s="299"/>
      <c r="I20" s="299"/>
      <c r="J20" s="299"/>
      <c r="K20" s="299"/>
      <c r="L20" s="299"/>
      <c r="M20" s="299"/>
      <c r="N20" s="299"/>
      <c r="O20" s="299"/>
      <c r="P20" s="298"/>
      <c r="Q20" s="299"/>
      <c r="R20" s="373"/>
      <c r="S20" s="299"/>
      <c r="T20" s="299"/>
      <c r="U20" s="299"/>
      <c r="V20" s="299"/>
      <c r="W20" s="298"/>
    </row>
    <row r="21" spans="2:24" s="293" customFormat="1" ht="12.75" customHeight="1" x14ac:dyDescent="0.25">
      <c r="B21" s="317"/>
      <c r="N21" s="292"/>
      <c r="O21" s="292"/>
      <c r="Q21" s="292"/>
      <c r="R21" s="372"/>
      <c r="S21" s="292"/>
      <c r="T21" s="292"/>
      <c r="U21" s="292"/>
      <c r="V21" s="292"/>
    </row>
    <row r="22" spans="2:24" s="293" customFormat="1" ht="12.75" customHeight="1" x14ac:dyDescent="0.25">
      <c r="B22" s="317"/>
      <c r="N22" s="292"/>
      <c r="O22" s="292"/>
      <c r="Q22" s="292"/>
      <c r="R22" s="372"/>
      <c r="S22" s="292"/>
      <c r="T22" s="292"/>
      <c r="U22" s="292"/>
      <c r="V22" s="292"/>
    </row>
    <row r="23" spans="2:24" s="293" customFormat="1" ht="11.25" customHeight="1" x14ac:dyDescent="0.3">
      <c r="B23" s="317"/>
      <c r="D23" s="300" t="s">
        <v>42</v>
      </c>
      <c r="N23" s="292"/>
      <c r="O23" s="292"/>
      <c r="Q23" s="292"/>
      <c r="R23" s="372"/>
      <c r="S23" s="292"/>
      <c r="T23" s="292"/>
      <c r="U23" s="292"/>
      <c r="V23" s="292"/>
    </row>
    <row r="24" spans="2:24" s="293" customFormat="1" ht="13" x14ac:dyDescent="0.3">
      <c r="B24" s="317"/>
      <c r="E24" s="557" t="s">
        <v>360</v>
      </c>
      <c r="F24" s="324" t="s">
        <v>44</v>
      </c>
      <c r="G24" s="325" t="s">
        <v>49</v>
      </c>
      <c r="N24" s="292"/>
      <c r="O24" s="292"/>
      <c r="P24" s="326" t="str">
        <f>IFERROR(LN('Input | Meter-Opex BST'!P31/'Input | Meter-Opex BST'!O31)*'Input | Meter-Opex BST'!$J36,"")</f>
        <v/>
      </c>
      <c r="Q24" s="365">
        <f>IFERROR(LN('Input | Meter-Opex BST'!Q31/'Input | Meter-Opex BST'!P31)*'Input | Meter-Opex BST'!$J36,"")</f>
        <v>-5.1293294387550578E-2</v>
      </c>
      <c r="R24" s="379">
        <f>IFERROR(LN('Input | Meter-Opex BST'!R31/'Input | Meter-Opex BST'!Q31)*'Input | Meter-Opex BST'!$J36,"")</f>
        <v>-5.1293294387550578E-2</v>
      </c>
      <c r="S24" s="326">
        <f>IFERROR(LN('Input | Meter-Opex BST'!S31/'Input | Meter-Opex BST'!R31)*'Input | Meter-Opex BST'!$J36,"")</f>
        <v>-5.1293294387550578E-2</v>
      </c>
      <c r="T24" s="326">
        <f>IFERROR(LN('Input | Meter-Opex BST'!T31/'Input | Meter-Opex BST'!S31)*'Input | Meter-Opex BST'!$J36,"")</f>
        <v>-5.1293294387550578E-2</v>
      </c>
      <c r="U24" s="326">
        <f>IFERROR(LN('Input | Meter-Opex BST'!U31/'Input | Meter-Opex BST'!T31)*'Input | Meter-Opex BST'!$J36,"")</f>
        <v>-5.1293294387550578E-2</v>
      </c>
      <c r="V24" s="326">
        <f>IFERROR(LN('Input | Meter-Opex BST'!V31/'Input | Meter-Opex BST'!U31)*'Input | Meter-Opex BST'!$J36,"")</f>
        <v>-5.1293294387550578E-2</v>
      </c>
    </row>
    <row r="25" spans="2:24" s="293" customFormat="1" ht="11.25" customHeight="1" x14ac:dyDescent="0.3">
      <c r="B25" s="317"/>
      <c r="E25" s="557" t="s">
        <v>360</v>
      </c>
      <c r="F25" s="324" t="s">
        <v>45</v>
      </c>
      <c r="G25" s="325" t="s">
        <v>49</v>
      </c>
      <c r="N25" s="292"/>
      <c r="O25" s="292"/>
      <c r="P25" s="326" t="str">
        <f>IFERROR(LN('Input | Meter-Opex BST'!P32/'Input | Meter-Opex BST'!O32)*'Input | Meter-Opex BST'!$J37,"")</f>
        <v/>
      </c>
      <c r="Q25" s="365" t="str">
        <f>IFERROR(LN('Input | Meter-Opex BST'!Q32/'Input | Meter-Opex BST'!P32)*'Input | Meter-Opex BST'!$J37,"")</f>
        <v/>
      </c>
      <c r="R25" s="379" t="str">
        <f>IFERROR(LN('Input | Meter-Opex BST'!R32/'Input | Meter-Opex BST'!Q32)*'Input | Meter-Opex BST'!$J37,"")</f>
        <v/>
      </c>
      <c r="S25" s="326" t="str">
        <f>IFERROR(LN('Input | Meter-Opex BST'!S32/'Input | Meter-Opex BST'!R32)*'Input | Meter-Opex BST'!$J37,"")</f>
        <v/>
      </c>
      <c r="T25" s="326" t="str">
        <f>IFERROR(LN('Input | Meter-Opex BST'!T32/'Input | Meter-Opex BST'!S32)*'Input | Meter-Opex BST'!$J37,"")</f>
        <v/>
      </c>
      <c r="U25" s="326" t="str">
        <f>IFERROR(LN('Input | Meter-Opex BST'!U32/'Input | Meter-Opex BST'!T32)*'Input | Meter-Opex BST'!$J37,"")</f>
        <v/>
      </c>
      <c r="V25" s="326" t="str">
        <f>IFERROR(LN('Input | Meter-Opex BST'!V32/'Input | Meter-Opex BST'!U32)*'Input | Meter-Opex BST'!$J37,"")</f>
        <v/>
      </c>
      <c r="X25"/>
    </row>
    <row r="26" spans="2:24" s="293" customFormat="1" ht="11.25" customHeight="1" x14ac:dyDescent="0.3">
      <c r="B26" s="317"/>
      <c r="E26" s="557" t="s">
        <v>360</v>
      </c>
      <c r="F26" s="324" t="s">
        <v>46</v>
      </c>
      <c r="G26" s="325" t="s">
        <v>49</v>
      </c>
      <c r="N26" s="292"/>
      <c r="O26" s="292"/>
      <c r="P26" s="326" t="str">
        <f>IFERROR(LN('Input | Meter-Opex BST'!P33/'Input | Meter-Opex BST'!O33)*'Input | Meter-Opex BST'!$J38,"")</f>
        <v/>
      </c>
      <c r="Q26" s="365" t="str">
        <f>IFERROR(LN('Input | Meter-Opex BST'!Q33/'Input | Meter-Opex BST'!P33)*'Input | Meter-Opex BST'!$J38,"")</f>
        <v/>
      </c>
      <c r="R26" s="379" t="str">
        <f>IFERROR(LN('Input | Meter-Opex BST'!R33/'Input | Meter-Opex BST'!Q33)*'Input | Meter-Opex BST'!$J38,"")</f>
        <v/>
      </c>
      <c r="S26" s="326" t="str">
        <f>IFERROR(LN('Input | Meter-Opex BST'!S33/'Input | Meter-Opex BST'!R33)*'Input | Meter-Opex BST'!$J38,"")</f>
        <v/>
      </c>
      <c r="T26" s="326" t="str">
        <f>IFERROR(LN('Input | Meter-Opex BST'!T33/'Input | Meter-Opex BST'!S33)*'Input | Meter-Opex BST'!$J38,"")</f>
        <v/>
      </c>
      <c r="U26" s="326" t="str">
        <f>IFERROR(LN('Input | Meter-Opex BST'!U33/'Input | Meter-Opex BST'!T33)*'Input | Meter-Opex BST'!$J38,"")</f>
        <v/>
      </c>
      <c r="V26" s="326" t="str">
        <f>IFERROR(LN('Input | Meter-Opex BST'!V33/'Input | Meter-Opex BST'!U33)*'Input | Meter-Opex BST'!$J38,"")</f>
        <v/>
      </c>
      <c r="X26"/>
    </row>
    <row r="27" spans="2:24" s="293" customFormat="1" ht="11.25" customHeight="1" x14ac:dyDescent="0.3">
      <c r="B27" s="317"/>
      <c r="E27" s="557" t="s">
        <v>360</v>
      </c>
      <c r="F27" s="327" t="s">
        <v>47</v>
      </c>
      <c r="G27" s="328" t="s">
        <v>49</v>
      </c>
      <c r="N27" s="292"/>
      <c r="O27" s="292"/>
      <c r="P27" s="329" t="str">
        <f>IFERROR(LN('Input | Meter-Opex BST'!P34/'Input | Meter-Opex BST'!O34)*'Input | Meter-Opex BST'!$J39,"")</f>
        <v/>
      </c>
      <c r="Q27" s="366" t="str">
        <f>IFERROR(LN('Input | Meter-Opex BST'!Q34/'Input | Meter-Opex BST'!P34)*'Input | Meter-Opex BST'!$J39,"")</f>
        <v/>
      </c>
      <c r="R27" s="380" t="str">
        <f>IFERROR(LN('Input | Meter-Opex BST'!R34/'Input | Meter-Opex BST'!Q34)*'Input | Meter-Opex BST'!$J39,"")</f>
        <v/>
      </c>
      <c r="S27" s="329" t="str">
        <f>IFERROR(LN('Input | Meter-Opex BST'!S34/'Input | Meter-Opex BST'!R34)*'Input | Meter-Opex BST'!$J39,"")</f>
        <v/>
      </c>
      <c r="T27" s="329" t="str">
        <f>IFERROR(LN('Input | Meter-Opex BST'!T34/'Input | Meter-Opex BST'!S34)*'Input | Meter-Opex BST'!$J39,"")</f>
        <v/>
      </c>
      <c r="U27" s="329" t="str">
        <f>IFERROR(LN('Input | Meter-Opex BST'!U34/'Input | Meter-Opex BST'!T34)*'Input | Meter-Opex BST'!$J39,"")</f>
        <v/>
      </c>
      <c r="V27" s="329" t="str">
        <f>IFERROR(LN('Input | Meter-Opex BST'!V34/'Input | Meter-Opex BST'!U34)*'Input | Meter-Opex BST'!$J39,"")</f>
        <v/>
      </c>
      <c r="X27"/>
    </row>
    <row r="28" spans="2:24" s="293" customFormat="1" ht="11.25" customHeight="1" x14ac:dyDescent="0.3">
      <c r="B28" s="317"/>
      <c r="E28" s="557" t="s">
        <v>360</v>
      </c>
      <c r="F28" s="330" t="s">
        <v>361</v>
      </c>
      <c r="G28" s="331" t="s">
        <v>49</v>
      </c>
      <c r="N28" s="292"/>
      <c r="O28" s="292"/>
      <c r="P28" s="332">
        <f t="shared" ref="P28:V28" si="1">SUM(P24:P27)</f>
        <v>0</v>
      </c>
      <c r="Q28" s="367">
        <f t="shared" si="1"/>
        <v>-5.1293294387550578E-2</v>
      </c>
      <c r="R28" s="381">
        <f t="shared" si="1"/>
        <v>-5.1293294387550578E-2</v>
      </c>
      <c r="S28" s="332">
        <f t="shared" si="1"/>
        <v>-5.1293294387550578E-2</v>
      </c>
      <c r="T28" s="332">
        <f t="shared" si="1"/>
        <v>-5.1293294387550578E-2</v>
      </c>
      <c r="U28" s="332">
        <f t="shared" si="1"/>
        <v>-5.1293294387550578E-2</v>
      </c>
      <c r="V28" s="332">
        <f t="shared" si="1"/>
        <v>-5.1293294387550578E-2</v>
      </c>
      <c r="X28"/>
    </row>
    <row r="29" spans="2:24" s="293" customFormat="1" ht="11.25" customHeight="1" x14ac:dyDescent="0.3">
      <c r="B29" s="317"/>
      <c r="E29" s="319"/>
      <c r="F29" s="333"/>
      <c r="G29" s="334"/>
      <c r="H29" s="319"/>
      <c r="I29" s="319"/>
      <c r="J29" s="319"/>
      <c r="K29" s="319"/>
      <c r="L29" s="319"/>
      <c r="M29" s="319"/>
      <c r="N29" s="320"/>
      <c r="O29" s="320"/>
      <c r="P29" s="335"/>
      <c r="Q29" s="335"/>
      <c r="R29" s="382"/>
      <c r="S29" s="335"/>
      <c r="T29" s="335"/>
      <c r="U29" s="335"/>
      <c r="V29" s="335"/>
      <c r="W29" s="319"/>
      <c r="X29"/>
    </row>
    <row r="30" spans="2:24" s="293" customFormat="1" ht="11.25" customHeight="1" x14ac:dyDescent="0.25">
      <c r="B30" s="317"/>
      <c r="N30" s="292"/>
      <c r="O30" s="292"/>
      <c r="R30" s="372"/>
      <c r="S30" s="292"/>
      <c r="T30" s="292"/>
      <c r="U30" s="292"/>
      <c r="V30" s="292"/>
      <c r="X30"/>
    </row>
    <row r="31" spans="2:24" s="293" customFormat="1" ht="11.25" customHeight="1" x14ac:dyDescent="0.3">
      <c r="B31" s="317"/>
      <c r="D31" s="313" t="s">
        <v>305</v>
      </c>
      <c r="N31" s="292"/>
      <c r="O31" s="292"/>
      <c r="R31" s="372"/>
      <c r="S31" s="292"/>
      <c r="T31" s="292"/>
      <c r="U31" s="292"/>
      <c r="V31" s="292"/>
      <c r="X31"/>
    </row>
    <row r="32" spans="2:24" s="293" customFormat="1" ht="13" x14ac:dyDescent="0.3">
      <c r="B32" s="317"/>
      <c r="F32" s="337" t="str">
        <f>'Input | Meter-Opex BST'!F45</f>
        <v>Labour Weighted Forecast Price Change</v>
      </c>
      <c r="G32" s="338" t="s">
        <v>49</v>
      </c>
      <c r="N32" s="292"/>
      <c r="O32" s="292"/>
      <c r="P32" s="339">
        <f>'Input | Meter-Opex BST'!P45</f>
        <v>8.1197729727399796E-3</v>
      </c>
      <c r="Q32" s="339">
        <f>'Input | Meter-Opex BST'!Q45</f>
        <v>2.9545834150809416E-3</v>
      </c>
      <c r="R32" s="339">
        <f>'Input | Meter-Opex BST'!R45</f>
        <v>6.0211574391473384E-3</v>
      </c>
      <c r="S32" s="339">
        <f>'Input | Meter-Opex BST'!S45</f>
        <v>3.9761174824560408E-3</v>
      </c>
      <c r="T32" s="339">
        <f>'Input | Meter-Opex BST'!T45</f>
        <v>3.6547618159748492E-3</v>
      </c>
      <c r="U32" s="339">
        <f>'Input | Meter-Opex BST'!U45</f>
        <v>4.3966367531840574E-3</v>
      </c>
      <c r="V32" s="339">
        <f>'Input | Meter-Opex BST'!V45</f>
        <v>5.7056809422183384E-3</v>
      </c>
      <c r="X32"/>
    </row>
    <row r="33" spans="2:24" s="293" customFormat="1" ht="11.25" customHeight="1" x14ac:dyDescent="0.25">
      <c r="B33" s="317"/>
      <c r="N33" s="292"/>
      <c r="O33" s="292"/>
      <c r="R33" s="372"/>
      <c r="S33" s="292"/>
      <c r="T33" s="292"/>
      <c r="U33" s="292"/>
      <c r="V33" s="292"/>
      <c r="X33"/>
    </row>
    <row r="34" spans="2:24" s="293" customFormat="1" ht="13" x14ac:dyDescent="0.3">
      <c r="B34" s="317"/>
      <c r="D34" s="300" t="s">
        <v>54</v>
      </c>
      <c r="N34" s="292"/>
      <c r="O34" s="292"/>
      <c r="R34" s="372"/>
      <c r="S34" s="292"/>
      <c r="T34" s="292"/>
      <c r="U34" s="292"/>
      <c r="V34" s="292"/>
      <c r="X34"/>
    </row>
    <row r="35" spans="2:24" s="293" customFormat="1" ht="11.25" customHeight="1" x14ac:dyDescent="0.3">
      <c r="B35" s="317"/>
      <c r="E35" s="319"/>
      <c r="F35" s="316" t="s">
        <v>79</v>
      </c>
      <c r="G35" s="315" t="s">
        <v>49</v>
      </c>
      <c r="J35" s="336">
        <f>'Input | Meter-Opex BST'!J48</f>
        <v>1</v>
      </c>
      <c r="K35" s="319"/>
      <c r="L35" s="319"/>
      <c r="M35" s="319"/>
      <c r="N35" s="320"/>
      <c r="O35" s="320"/>
      <c r="P35" s="335"/>
      <c r="Q35" s="335"/>
      <c r="R35" s="382"/>
      <c r="S35" s="335"/>
      <c r="T35" s="335"/>
      <c r="U35" s="335"/>
      <c r="V35" s="335"/>
      <c r="W35" s="319"/>
      <c r="X35"/>
    </row>
    <row r="36" spans="2:24" s="293" customFormat="1" ht="11.25" customHeight="1" x14ac:dyDescent="0.3">
      <c r="B36" s="317"/>
      <c r="E36" s="319"/>
      <c r="F36" s="428" t="s">
        <v>80</v>
      </c>
      <c r="G36" s="429" t="s">
        <v>49</v>
      </c>
      <c r="K36" s="319"/>
      <c r="L36" s="319"/>
      <c r="M36" s="319"/>
      <c r="N36" s="320"/>
      <c r="O36" s="320"/>
      <c r="P36" s="326">
        <f t="shared" ref="P36:V36" si="2">P28*(1-$J$35)/(1+P28)</f>
        <v>0</v>
      </c>
      <c r="Q36" s="326">
        <f t="shared" si="2"/>
        <v>0</v>
      </c>
      <c r="R36" s="326">
        <f t="shared" si="2"/>
        <v>0</v>
      </c>
      <c r="S36" s="326">
        <f t="shared" si="2"/>
        <v>0</v>
      </c>
      <c r="T36" s="326">
        <f t="shared" si="2"/>
        <v>0</v>
      </c>
      <c r="U36" s="326">
        <f t="shared" si="2"/>
        <v>0</v>
      </c>
      <c r="V36" s="326">
        <f t="shared" si="2"/>
        <v>0</v>
      </c>
      <c r="W36" s="319"/>
      <c r="X36"/>
    </row>
    <row r="37" spans="2:24" s="293" customFormat="1" ht="13" x14ac:dyDescent="0.3">
      <c r="B37" s="317"/>
      <c r="F37" s="426" t="str">
        <f>'Input | Meter-Opex BST'!F49</f>
        <v>Partial Factor Productivity - Annual improvement</v>
      </c>
      <c r="G37" s="427" t="s">
        <v>49</v>
      </c>
      <c r="N37" s="292"/>
      <c r="O37" s="292"/>
      <c r="P37" s="340">
        <f>'Input | Meter-Opex BST'!P49</f>
        <v>0</v>
      </c>
      <c r="Q37" s="369">
        <f>'Input | Meter-Opex BST'!Q49</f>
        <v>0</v>
      </c>
      <c r="R37" s="384">
        <f>'Input | Meter-Opex BST'!R49</f>
        <v>5.0000000000000001E-3</v>
      </c>
      <c r="S37" s="340">
        <f>'Input | Meter-Opex BST'!S49</f>
        <v>5.0000000000000001E-3</v>
      </c>
      <c r="T37" s="340">
        <f>'Input | Meter-Opex BST'!T49</f>
        <v>5.0000000000000001E-3</v>
      </c>
      <c r="U37" s="340">
        <f>'Input | Meter-Opex BST'!U49</f>
        <v>5.0000000000000001E-3</v>
      </c>
      <c r="V37" s="340">
        <f>'Input | Meter-Opex BST'!V49</f>
        <v>5.0000000000000001E-3</v>
      </c>
      <c r="X37"/>
    </row>
    <row r="38" spans="2:24" s="293" customFormat="1" ht="13" x14ac:dyDescent="0.3">
      <c r="B38" s="317"/>
      <c r="F38" s="337" t="s">
        <v>53</v>
      </c>
      <c r="G38" s="338" t="s">
        <v>49</v>
      </c>
      <c r="N38" s="292"/>
      <c r="O38" s="292"/>
      <c r="P38" s="339">
        <f>SUM(P36:P37)</f>
        <v>0</v>
      </c>
      <c r="Q38" s="339">
        <f t="shared" ref="Q38:V38" si="3">SUM(Q36:Q37)</f>
        <v>0</v>
      </c>
      <c r="R38" s="339">
        <f t="shared" si="3"/>
        <v>5.0000000000000001E-3</v>
      </c>
      <c r="S38" s="339">
        <f t="shared" si="3"/>
        <v>5.0000000000000001E-3</v>
      </c>
      <c r="T38" s="339">
        <f t="shared" si="3"/>
        <v>5.0000000000000001E-3</v>
      </c>
      <c r="U38" s="339">
        <f t="shared" si="3"/>
        <v>5.0000000000000001E-3</v>
      </c>
      <c r="V38" s="339">
        <f t="shared" si="3"/>
        <v>5.0000000000000001E-3</v>
      </c>
      <c r="X38"/>
    </row>
    <row r="39" spans="2:24" s="293" customFormat="1" x14ac:dyDescent="0.25">
      <c r="B39" s="317"/>
      <c r="N39" s="292"/>
      <c r="O39" s="292"/>
      <c r="R39" s="372"/>
      <c r="S39" s="292"/>
      <c r="T39" s="292"/>
      <c r="U39" s="292"/>
      <c r="V39" s="292"/>
      <c r="X39"/>
    </row>
    <row r="40" spans="2:24" s="293" customFormat="1" x14ac:dyDescent="0.25">
      <c r="B40" s="317"/>
      <c r="N40" s="292"/>
      <c r="O40" s="292"/>
      <c r="R40" s="372"/>
      <c r="S40" s="292"/>
      <c r="T40" s="292"/>
      <c r="U40" s="292"/>
      <c r="V40" s="292"/>
      <c r="X40"/>
    </row>
    <row r="41" spans="2:24" s="293" customFormat="1" ht="13" x14ac:dyDescent="0.3">
      <c r="B41" s="317"/>
      <c r="D41" s="313" t="s">
        <v>55</v>
      </c>
      <c r="G41" s="341" t="s">
        <v>49</v>
      </c>
      <c r="N41" s="292"/>
      <c r="O41" s="292"/>
      <c r="P41" s="326">
        <f t="shared" ref="P41:V41" si="4">(1+P28)*(1+P32)*(1-P38)-1</f>
        <v>8.1197729727400247E-3</v>
      </c>
      <c r="Q41" s="326">
        <f t="shared" si="4"/>
        <v>-4.8490261289371839E-2</v>
      </c>
      <c r="R41" s="326">
        <f t="shared" si="4"/>
        <v>-5.0353077039735794E-2</v>
      </c>
      <c r="S41" s="326">
        <f t="shared" si="4"/>
        <v>-5.2283519444293436E-2</v>
      </c>
      <c r="T41" s="326">
        <f t="shared" si="4"/>
        <v>-5.2586867358592415E-2</v>
      </c>
      <c r="U41" s="326">
        <f t="shared" si="4"/>
        <v>-5.1886564739574426E-2</v>
      </c>
      <c r="V41" s="326">
        <f t="shared" si="4"/>
        <v>-5.0650875234495074E-2</v>
      </c>
      <c r="X41"/>
    </row>
    <row r="42" spans="2:24" s="293" customFormat="1" ht="13" x14ac:dyDescent="0.3">
      <c r="B42" s="317"/>
      <c r="D42" s="313" t="s">
        <v>224</v>
      </c>
      <c r="G42" s="341" t="s">
        <v>225</v>
      </c>
      <c r="N42" s="292"/>
      <c r="O42" s="342">
        <f>1</f>
        <v>1</v>
      </c>
      <c r="P42" s="370" cm="1">
        <f t="array" ref="P42">PRODUCT(1+$P41:P41)</f>
        <v>1.00811977297274</v>
      </c>
      <c r="Q42" s="370" cm="1">
        <f t="array" ref="Q42">PRODUCT(1+$P41:Q41)</f>
        <v>0.95923578177030966</v>
      </c>
      <c r="R42" s="385" cm="1">
        <f t="array" ref="R42">PRODUCT(1+$P41:R41)</f>
        <v>0.91093530855155802</v>
      </c>
      <c r="S42" s="343" cm="1">
        <f t="array" ref="S42">PRODUCT(1+$P41:S41)</f>
        <v>0.86330840463440917</v>
      </c>
      <c r="T42" s="343" cm="1">
        <f t="array" ref="T42">PRODUCT(1+$P41:T41)</f>
        <v>0.81790972007034146</v>
      </c>
      <c r="U42" s="343" cm="1">
        <f t="array" ref="U42">PRODUCT(1+$P41:U41)</f>
        <v>0.77547119442878454</v>
      </c>
      <c r="V42" s="343" cm="1">
        <f t="array" ref="V42">PRODUCT(1+$P41:V41)</f>
        <v>0.73619289971182733</v>
      </c>
      <c r="X42"/>
    </row>
    <row r="43" spans="2:24" s="293" customFormat="1" ht="11.25" customHeight="1" x14ac:dyDescent="0.3">
      <c r="B43" s="317"/>
      <c r="D43" s="313" t="s">
        <v>226</v>
      </c>
      <c r="G43" s="341" t="s">
        <v>225</v>
      </c>
      <c r="N43" s="292"/>
      <c r="O43" s="342" t="str">
        <f>IF('Input | Meter-Opex BST'!$O$5=Opex_BaseYear,1,"")</f>
        <v/>
      </c>
      <c r="P43" s="343">
        <f t="shared" ref="P43:V43" si="5">P$42/INDEX($O$42:$V$42,MATCH(Opex_BaseYear,$O$4:$V$4,0))</f>
        <v>1</v>
      </c>
      <c r="Q43" s="343">
        <f t="shared" si="5"/>
        <v>0.95150973871062816</v>
      </c>
      <c r="R43" s="343">
        <f t="shared" si="5"/>
        <v>0.90359829553327298</v>
      </c>
      <c r="S43" s="343">
        <f t="shared" si="5"/>
        <v>0.85635499647892865</v>
      </c>
      <c r="T43" s="343">
        <f t="shared" si="5"/>
        <v>0.81132196986722338</v>
      </c>
      <c r="U43" s="343">
        <f t="shared" si="5"/>
        <v>0.76922525995306867</v>
      </c>
      <c r="V43" s="343">
        <f t="shared" si="5"/>
        <v>0.73026332728396381</v>
      </c>
      <c r="X43"/>
    </row>
    <row r="44" spans="2:24" s="293" customFormat="1" ht="11.25" customHeight="1" x14ac:dyDescent="0.3">
      <c r="B44" s="317"/>
      <c r="D44" s="313" t="s">
        <v>227</v>
      </c>
      <c r="G44" s="344" t="s">
        <v>49</v>
      </c>
      <c r="N44" s="292"/>
      <c r="O44" s="292"/>
      <c r="P44" s="339">
        <f t="shared" ref="P44:V44" si="6">P43-1</f>
        <v>0</v>
      </c>
      <c r="Q44" s="368">
        <f t="shared" si="6"/>
        <v>-4.8490261289371839E-2</v>
      </c>
      <c r="R44" s="383">
        <f t="shared" si="6"/>
        <v>-9.6401704466727023E-2</v>
      </c>
      <c r="S44" s="339">
        <f t="shared" si="6"/>
        <v>-0.14364500352107135</v>
      </c>
      <c r="T44" s="339">
        <f t="shared" si="6"/>
        <v>-0.18867803013277662</v>
      </c>
      <c r="U44" s="339">
        <f t="shared" si="6"/>
        <v>-0.23077474004693133</v>
      </c>
      <c r="V44" s="339">
        <f t="shared" si="6"/>
        <v>-0.26973667271603619</v>
      </c>
      <c r="X44"/>
    </row>
    <row r="45" spans="2:24" s="293" customFormat="1" ht="11.25" customHeight="1" x14ac:dyDescent="0.25">
      <c r="B45" s="317"/>
      <c r="N45" s="292"/>
      <c r="O45" s="292"/>
      <c r="Q45" s="292"/>
      <c r="R45" s="555"/>
      <c r="S45" s="556"/>
      <c r="T45" s="556"/>
      <c r="U45" s="556"/>
      <c r="V45" s="556"/>
      <c r="X45"/>
    </row>
    <row r="46" spans="2:24" s="293" customFormat="1" ht="13" x14ac:dyDescent="0.3">
      <c r="B46" s="294" t="s">
        <v>236</v>
      </c>
      <c r="C46" s="294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6"/>
      <c r="O46" s="296"/>
      <c r="P46" s="295"/>
      <c r="Q46" s="296"/>
      <c r="R46" s="371"/>
      <c r="S46" s="296"/>
      <c r="T46" s="296"/>
      <c r="U46" s="296"/>
      <c r="V46" s="296"/>
      <c r="X46"/>
    </row>
    <row r="47" spans="2:24" s="293" customFormat="1" ht="13" x14ac:dyDescent="0.3">
      <c r="B47" s="688"/>
      <c r="C47" s="318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20"/>
      <c r="O47" s="320"/>
      <c r="P47" s="319"/>
      <c r="Q47" s="320"/>
      <c r="R47" s="376"/>
      <c r="S47" s="320"/>
      <c r="T47" s="320"/>
      <c r="U47" s="320"/>
      <c r="V47" s="320"/>
      <c r="W47"/>
      <c r="X47"/>
    </row>
    <row r="48" spans="2:24" s="293" customFormat="1" ht="13" x14ac:dyDescent="0.3">
      <c r="B48" s="688"/>
      <c r="D48" s="300" t="s">
        <v>235</v>
      </c>
      <c r="L48"/>
      <c r="M48"/>
      <c r="N48"/>
      <c r="O48" s="291" t="str">
        <f>IF(O49=Opex_BaseYear,"Base Year","")</f>
        <v/>
      </c>
      <c r="P48" s="291" t="str">
        <f>IF(P49=Opex_BaseYear,"Base Year","")</f>
        <v>Base Year</v>
      </c>
      <c r="Q48" s="291" t="str">
        <f>IF(Q49=Opex_BaseYear,"Base Year","")</f>
        <v/>
      </c>
      <c r="R48" s="372"/>
      <c r="S48" s="292"/>
      <c r="T48" s="292"/>
      <c r="U48" s="292"/>
      <c r="V48" s="292"/>
      <c r="W48"/>
      <c r="X48"/>
    </row>
    <row r="49" spans="2:24" s="293" customFormat="1" ht="13" x14ac:dyDescent="0.25">
      <c r="B49" s="688"/>
      <c r="F49" s="179"/>
      <c r="G49" s="179"/>
      <c r="H49" s="179"/>
      <c r="L49"/>
      <c r="M49"/>
      <c r="N49"/>
      <c r="O49" s="274" t="str">
        <f t="shared" ref="O49:Q49" si="7">O8</f>
        <v>2017-18</v>
      </c>
      <c r="P49" s="642" t="str">
        <f t="shared" si="7"/>
        <v>2018-19</v>
      </c>
      <c r="Q49" s="643" t="str">
        <f t="shared" si="7"/>
        <v>2019-20</v>
      </c>
      <c r="R49" s="386" t="str">
        <f>R$8</f>
        <v>2020-21</v>
      </c>
      <c r="S49" s="350" t="str">
        <f>S$8</f>
        <v>2021-22</v>
      </c>
      <c r="T49" s="350" t="str">
        <f>T$8</f>
        <v>2022-23</v>
      </c>
      <c r="U49" s="350" t="str">
        <f>U$8</f>
        <v>2023-24</v>
      </c>
      <c r="V49" s="350" t="str">
        <f>V$8</f>
        <v>2024-25</v>
      </c>
      <c r="W49"/>
      <c r="X49"/>
    </row>
    <row r="50" spans="2:24" s="293" customFormat="1" ht="13" x14ac:dyDescent="0.3">
      <c r="B50" s="688"/>
      <c r="F50" s="182" t="s">
        <v>16</v>
      </c>
      <c r="G50" s="346" t="str">
        <f>'Input | Meter-Opex BST'!$G$9</f>
        <v>$millions</v>
      </c>
      <c r="H50" s="345">
        <f>Basis_OpexForecast</f>
        <v>43983</v>
      </c>
      <c r="K50" s="292"/>
      <c r="L50"/>
      <c r="M50"/>
      <c r="N50" s="170"/>
      <c r="R50" s="387">
        <f>INDEX($O$12:$Q$12,MATCH(Opex_BaseYear,$O$4:$Q$4,0))</f>
        <v>13.043914676314186</v>
      </c>
      <c r="S50" s="356">
        <f>INDEX($O$12:$Q$12,MATCH(Opex_BaseYear,'Input | Meter-Opex BST'!$O$5:$Q$5,0))</f>
        <v>13.043914676314186</v>
      </c>
      <c r="T50" s="356">
        <f>INDEX($O$12:$Q$12,MATCH(Opex_BaseYear,'Input | Meter-Opex BST'!$O$5:$Q$5,0))</f>
        <v>13.043914676314186</v>
      </c>
      <c r="U50" s="356">
        <f>INDEX($O$12:$Q$12,MATCH(Opex_BaseYear,'Input | Meter-Opex BST'!$O$5:$Q$5,0))</f>
        <v>13.043914676314186</v>
      </c>
      <c r="V50" s="356">
        <f>INDEX($O$12:$Q$12,MATCH(Opex_BaseYear,'Input | Meter-Opex BST'!$O$5:$Q$5,0))</f>
        <v>13.043914676314186</v>
      </c>
      <c r="W50"/>
      <c r="X50"/>
    </row>
    <row r="51" spans="2:24" s="293" customFormat="1" ht="13" x14ac:dyDescent="0.3">
      <c r="B51" s="688"/>
      <c r="F51" s="182" t="s">
        <v>41</v>
      </c>
      <c r="G51" s="346" t="str">
        <f>'Input | Meter-Opex BST'!$G$9</f>
        <v>$millions</v>
      </c>
      <c r="H51" s="345">
        <f>Basis_OpexForecast</f>
        <v>43983</v>
      </c>
      <c r="N51"/>
      <c r="O51" s="292"/>
      <c r="P51"/>
      <c r="Q51"/>
      <c r="R51" s="388">
        <f>R50*R44</f>
        <v>-1.2574556077152435</v>
      </c>
      <c r="S51" s="388">
        <f>S50*S44</f>
        <v>-1.8736931696077055</v>
      </c>
      <c r="T51" s="388">
        <f>T50*T44</f>
        <v>-2.4611001263469752</v>
      </c>
      <c r="U51" s="388">
        <f>U50*U44</f>
        <v>-3.0102060186207584</v>
      </c>
      <c r="V51" s="388">
        <f>V50*V44</f>
        <v>-3.5184221439808607</v>
      </c>
      <c r="W51"/>
      <c r="X51"/>
    </row>
    <row r="52" spans="2:24" s="293" customFormat="1" ht="13" x14ac:dyDescent="0.3">
      <c r="B52" s="688"/>
      <c r="F52" s="182" t="s">
        <v>52</v>
      </c>
      <c r="G52" s="346" t="str">
        <f>'Input | Meter-Opex BST'!$G$9</f>
        <v>$millions</v>
      </c>
      <c r="H52" s="351">
        <f>Basis_OpexForecast</f>
        <v>43983</v>
      </c>
      <c r="N52"/>
      <c r="O52" s="348"/>
      <c r="P52"/>
      <c r="Q52"/>
      <c r="R52" s="387">
        <f>R17</f>
        <v>0.4</v>
      </c>
      <c r="S52" s="356">
        <f>S17</f>
        <v>0.5</v>
      </c>
      <c r="T52" s="356">
        <f>T17</f>
        <v>0.5</v>
      </c>
      <c r="U52" s="356">
        <f>U17</f>
        <v>0.5</v>
      </c>
      <c r="V52" s="356">
        <f>V17</f>
        <v>0.5</v>
      </c>
      <c r="W52"/>
      <c r="X52"/>
    </row>
    <row r="53" spans="2:24" s="293" customFormat="1" ht="13" x14ac:dyDescent="0.3">
      <c r="B53" s="688"/>
      <c r="F53" s="337" t="s">
        <v>234</v>
      </c>
      <c r="G53" s="347" t="str">
        <f>'Input | Meter-Opex BST'!$G$9</f>
        <v>$millions</v>
      </c>
      <c r="H53" s="352">
        <f>Basis_OpexForecast</f>
        <v>43983</v>
      </c>
      <c r="N53" s="292"/>
      <c r="O53" s="389">
        <f>SUM('Input | Meter-Opex BST'!O9,'Input | Meter-Opex BST'!O12:O15)*'Input| Prices'!I$37</f>
        <v>12.501903552994541</v>
      </c>
      <c r="P53" s="389">
        <f>SUM('Input | Meter-Opex BST'!P9,'Input | Meter-Opex BST'!P12:P15)*'Input| Prices'!J$37</f>
        <v>13.043914676314186</v>
      </c>
      <c r="Q53" s="389">
        <f>SUM('Input | Meter-Opex BST'!Q9,'Input | Meter-Opex BST'!Q12:Q15)*'Input| Prices'!K$37</f>
        <v>0</v>
      </c>
      <c r="R53" s="389">
        <f>SUM(R50:R52)</f>
        <v>12.186459068598943</v>
      </c>
      <c r="S53" s="389">
        <f t="shared" ref="S53:U53" si="8">SUM(S50:S52)</f>
        <v>11.670221506706481</v>
      </c>
      <c r="T53" s="389">
        <f t="shared" si="8"/>
        <v>11.08281454996721</v>
      </c>
      <c r="U53" s="389">
        <f t="shared" si="8"/>
        <v>10.533708657693428</v>
      </c>
      <c r="V53" s="389">
        <f>SUM(V50:V52)</f>
        <v>10.025492532333326</v>
      </c>
      <c r="W53"/>
      <c r="X53"/>
    </row>
    <row r="54" spans="2:24" s="293" customFormat="1" ht="11.25" customHeight="1" x14ac:dyDescent="0.25">
      <c r="B54" s="688"/>
      <c r="E54" s="201"/>
      <c r="I54" s="201"/>
      <c r="J54" s="201"/>
      <c r="K54" s="201"/>
      <c r="L54" s="201"/>
      <c r="M54" s="201"/>
      <c r="N54" s="201"/>
      <c r="O54" s="201"/>
      <c r="P54" s="201"/>
      <c r="Q54" s="201"/>
      <c r="R54" s="375"/>
      <c r="S54" s="228"/>
      <c r="T54" s="228"/>
      <c r="U54" s="228"/>
      <c r="V54" s="228"/>
      <c r="W54"/>
      <c r="X54"/>
    </row>
    <row r="55" spans="2:24" s="293" customFormat="1" x14ac:dyDescent="0.25">
      <c r="B55" s="688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375"/>
      <c r="S55" s="228"/>
      <c r="T55" s="228"/>
      <c r="U55" s="228"/>
      <c r="V55" s="228"/>
      <c r="W55"/>
      <c r="X55"/>
    </row>
    <row r="56" spans="2:24" s="293" customFormat="1" x14ac:dyDescent="0.25">
      <c r="B56" s="349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375"/>
      <c r="S56" s="228"/>
      <c r="T56" s="228"/>
      <c r="U56" s="228"/>
      <c r="V56" s="228"/>
      <c r="W56" s="201"/>
      <c r="X56"/>
    </row>
    <row r="57" spans="2:24" s="293" customFormat="1" x14ac:dyDescent="0.25">
      <c r="B57" s="349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375"/>
      <c r="S57" s="228"/>
      <c r="T57" s="228"/>
      <c r="U57" s="228"/>
      <c r="V57" s="228"/>
      <c r="W57" s="201"/>
      <c r="X57"/>
    </row>
    <row r="58" spans="2:24" s="293" customFormat="1" hidden="1" x14ac:dyDescent="0.25">
      <c r="B58" s="349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375"/>
      <c r="S58" s="228"/>
      <c r="T58" s="228"/>
      <c r="U58" s="228"/>
      <c r="V58" s="228"/>
      <c r="W58" s="201"/>
      <c r="X58"/>
    </row>
    <row r="63" spans="2:24" ht="28.9" hidden="1" customHeight="1" x14ac:dyDescent="0.25"/>
  </sheetData>
  <mergeCells count="1">
    <mergeCell ref="B47:B55"/>
  </mergeCells>
  <conditionalFormatting sqref="V10:V11 V14 V20">
    <cfRule type="expression" dxfId="40" priority="27">
      <formula>#REF!=Opex_BaseYear</formula>
    </cfRule>
  </conditionalFormatting>
  <conditionalFormatting sqref="W20">
    <cfRule type="expression" dxfId="39" priority="12">
      <formula>#REF!=Opex_BaseYear</formula>
    </cfRule>
  </conditionalFormatting>
  <conditionalFormatting sqref="L9:V9">
    <cfRule type="expression" dxfId="38" priority="26">
      <formula>#REF!=Opex_BaseYear</formula>
    </cfRule>
  </conditionalFormatting>
  <conditionalFormatting sqref="R10:R11">
    <cfRule type="expression" dxfId="37" priority="24">
      <formula>#REF!=Opex_BaseYear</formula>
    </cfRule>
  </conditionalFormatting>
  <conditionalFormatting sqref="L6:V18 L20:V31 O19:V19 L33:V47 R48:V48">
    <cfRule type="expression" dxfId="36" priority="25">
      <formula>#REF!=Opex_BaseYear</formula>
    </cfRule>
  </conditionalFormatting>
  <conditionalFormatting sqref="W10:W11">
    <cfRule type="expression" dxfId="35" priority="22">
      <formula>#REF!=Opex_BaseYear</formula>
    </cfRule>
  </conditionalFormatting>
  <conditionalFormatting sqref="W10:W11">
    <cfRule type="expression" dxfId="34" priority="23">
      <formula>#REF!=Opex_BaseYear</formula>
    </cfRule>
  </conditionalFormatting>
  <conditionalFormatting sqref="L13:V13">
    <cfRule type="expression" dxfId="33" priority="21">
      <formula>#REF!=Opex_BaseYear</formula>
    </cfRule>
  </conditionalFormatting>
  <conditionalFormatting sqref="R14">
    <cfRule type="expression" dxfId="32" priority="19">
      <formula>#REF!=Opex_BaseYear</formula>
    </cfRule>
  </conditionalFormatting>
  <conditionalFormatting sqref="L14:V14">
    <cfRule type="expression" dxfId="31" priority="20">
      <formula>#REF!=Opex_BaseYear</formula>
    </cfRule>
  </conditionalFormatting>
  <conditionalFormatting sqref="W14">
    <cfRule type="expression" dxfId="30" priority="17">
      <formula>#REF!=Opex_BaseYear</formula>
    </cfRule>
  </conditionalFormatting>
  <conditionalFormatting sqref="W14">
    <cfRule type="expression" dxfId="29" priority="18">
      <formula>#REF!=Opex_BaseYear</formula>
    </cfRule>
  </conditionalFormatting>
  <conditionalFormatting sqref="O19:V19">
    <cfRule type="expression" dxfId="28" priority="16">
      <formula>#REF!=Opex_BaseYear</formula>
    </cfRule>
  </conditionalFormatting>
  <conditionalFormatting sqref="R20">
    <cfRule type="expression" dxfId="27" priority="14">
      <formula>#REF!=Opex_BaseYear</formula>
    </cfRule>
  </conditionalFormatting>
  <conditionalFormatting sqref="L20:V20">
    <cfRule type="expression" dxfId="26" priority="15">
      <formula>#REF!=Opex_BaseYear</formula>
    </cfRule>
  </conditionalFormatting>
  <conditionalFormatting sqref="W20">
    <cfRule type="expression" dxfId="25" priority="13">
      <formula>#REF!=Opex_BaseYear</formula>
    </cfRule>
  </conditionalFormatting>
  <conditionalFormatting sqref="L17:V17">
    <cfRule type="expression" dxfId="24" priority="11">
      <formula>#REF!=Opex_BaseYear</formula>
    </cfRule>
  </conditionalFormatting>
  <conditionalFormatting sqref="L54:V58 L53:N53 R53:V53">
    <cfRule type="expression" dxfId="23" priority="10">
      <formula>#REF!=Opex_BaseYear</formula>
    </cfRule>
  </conditionalFormatting>
  <conditionalFormatting sqref="N7:P7">
    <cfRule type="expression" dxfId="22" priority="9">
      <formula>#REF!=Opex_BaseYear</formula>
    </cfRule>
  </conditionalFormatting>
  <conditionalFormatting sqref="R17:V17">
    <cfRule type="expression" dxfId="21" priority="29">
      <formula>#REF!=#REF!</formula>
    </cfRule>
  </conditionalFormatting>
  <conditionalFormatting sqref="L51:M52 O51:O52">
    <cfRule type="expression" dxfId="20" priority="28">
      <formula>#REF!=Opex_BaseYear</formula>
    </cfRule>
  </conditionalFormatting>
  <conditionalFormatting sqref="J35">
    <cfRule type="expression" dxfId="19" priority="7">
      <formula>#REF!=#REF!</formula>
    </cfRule>
  </conditionalFormatting>
  <conditionalFormatting sqref="O12:Q12">
    <cfRule type="expression" dxfId="18" priority="6">
      <formula>#REF!&lt;&gt;Opex_BaseYear</formula>
    </cfRule>
  </conditionalFormatting>
  <conditionalFormatting sqref="L54:Q58 L51:M52 O51:O52 L53:N53">
    <cfRule type="expression" dxfId="17" priority="8">
      <formula>#REF!=FPFirstYear</formula>
    </cfRule>
  </conditionalFormatting>
  <conditionalFormatting sqref="P17:Q17">
    <cfRule type="expression" dxfId="16" priority="4">
      <formula>#REF!=#REF!</formula>
    </cfRule>
  </conditionalFormatting>
  <conditionalFormatting sqref="L32:V32">
    <cfRule type="expression" dxfId="15" priority="3">
      <formula>#REF!=Opex_BaseYear</formula>
    </cfRule>
  </conditionalFormatting>
  <conditionalFormatting sqref="O49:Q49">
    <cfRule type="expression" dxfId="14" priority="2">
      <formula>#REF!=Opex_BaseYear</formula>
    </cfRule>
  </conditionalFormatting>
  <conditionalFormatting sqref="O53:Q53">
    <cfRule type="expression" dxfId="13" priority="1">
      <formula>#REF!=Opex_BaseYear</formula>
    </cfRule>
  </conditionalFormatting>
  <dataValidations disablePrompts="1" count="2">
    <dataValidation type="list" allowBlank="1" showInputMessage="1" showErrorMessage="1" sqref="H17" xr:uid="{E3967013-B5D8-401D-B636-E629033AEF79}">
      <formula1>LUT_Basis</formula1>
    </dataValidation>
    <dataValidation type="list" allowBlank="1" showInputMessage="1" showErrorMessage="1" sqref="G17" xr:uid="{81ED2D5E-8365-4C30-A798-B406D78367F8}">
      <formula1>LUT_Dollars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A2F5B-40FC-4D78-AAFB-061A062BBD71}">
  <sheetPr codeName="Sheet7">
    <tabColor theme="1"/>
  </sheetPr>
  <dimension ref="A1"/>
  <sheetViews>
    <sheetView workbookViewId="0">
      <selection activeCell="C53" sqref="C53"/>
    </sheetView>
  </sheetViews>
  <sheetFormatPr defaultRowHeight="12.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ECC8A-3F7C-4B18-8138-CC5EF11246E9}">
  <sheetPr codeName="Sheet8">
    <tabColor theme="8" tint="0.39997558519241921"/>
  </sheetPr>
  <dimension ref="A1:AI448"/>
  <sheetViews>
    <sheetView showGridLines="0" topLeftCell="R1" zoomScaleNormal="100" workbookViewId="0">
      <pane ySplit="3" topLeftCell="A4" activePane="bottomLeft" state="frozen"/>
      <selection pane="bottomLeft" activeCell="G30" sqref="G30"/>
    </sheetView>
  </sheetViews>
  <sheetFormatPr defaultColWidth="0" defaultRowHeight="13" zeroHeight="1" outlineLevelRow="3" outlineLevelCol="1" x14ac:dyDescent="0.3"/>
  <cols>
    <col min="1" max="1" width="1.26953125" style="201" customWidth="1"/>
    <col min="2" max="2" width="1.81640625" style="201" customWidth="1"/>
    <col min="3" max="3" width="3.453125" style="201" customWidth="1"/>
    <col min="4" max="4" width="3.7265625" style="201" customWidth="1"/>
    <col min="5" max="5" width="10.7265625" style="201" customWidth="1"/>
    <col min="6" max="6" width="25.54296875" style="201" customWidth="1"/>
    <col min="7" max="7" width="19.81640625" style="201" customWidth="1" outlineLevel="1"/>
    <col min="8" max="8" width="19" style="201" customWidth="1" outlineLevel="1"/>
    <col min="9" max="9" width="14.7265625" style="201" customWidth="1" outlineLevel="1"/>
    <col min="10" max="10" width="20.1796875" style="201" customWidth="1" outlineLevel="1"/>
    <col min="11" max="11" width="27.7265625" style="201" customWidth="1"/>
    <col min="12" max="12" width="19" style="202" customWidth="1"/>
    <col min="13" max="13" width="17.453125" style="202" customWidth="1"/>
    <col min="14" max="14" width="13.7265625" style="201" customWidth="1"/>
    <col min="15" max="15" width="14.81640625" style="201" customWidth="1"/>
    <col min="16" max="23" width="15" style="201" customWidth="1"/>
    <col min="24" max="24" width="20.54296875" style="201" customWidth="1"/>
    <col min="25" max="25" width="15" style="201" customWidth="1"/>
    <col min="26" max="27" width="10.7265625" style="201" bestFit="1" customWidth="1"/>
    <col min="28" max="29" width="9.1796875" style="201" hidden="1" customWidth="1"/>
    <col min="30" max="35" width="0" style="201" hidden="1" customWidth="1"/>
    <col min="36" max="16384" width="9.1796875" style="201" hidden="1"/>
  </cols>
  <sheetData>
    <row r="1" spans="1:27" ht="18" x14ac:dyDescent="0.25">
      <c r="A1" s="67"/>
      <c r="B1" s="67" t="str">
        <f>'Input|General'!B1&amp;" v"&amp;'Input|General'!$D$2</f>
        <v>AER Metering Opex &amp; Capex Forecasting Model DRAFT v1</v>
      </c>
      <c r="C1" s="67"/>
      <c r="D1" s="67"/>
      <c r="E1" s="67"/>
      <c r="F1" s="6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8" x14ac:dyDescent="0.25">
      <c r="A2" s="55"/>
      <c r="B2" s="68" t="str" cm="1">
        <f t="array" aca="1" ref="B2" ca="1">MID(CELL("filename",A1),FIND("]",CELL("filename",A1))+1,255)</f>
        <v>Input | Meters Vols &amp; Costs</v>
      </c>
      <c r="C2" s="55"/>
      <c r="D2" s="55"/>
      <c r="E2" s="55"/>
      <c r="F2" s="55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1.25" customHeight="1" x14ac:dyDescent="0.25">
      <c r="A3" s="55"/>
      <c r="B3" s="68"/>
      <c r="C3" s="55"/>
      <c r="D3" s="55"/>
      <c r="E3" s="55"/>
      <c r="F3" s="68"/>
      <c r="G3" s="68"/>
      <c r="H3" s="68"/>
      <c r="I3" s="68"/>
      <c r="J3" s="68"/>
      <c r="K3" s="68"/>
      <c r="L3" s="520"/>
      <c r="M3" s="520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27" x14ac:dyDescent="0.3">
      <c r="M4" s="521"/>
    </row>
    <row r="5" spans="1:27" x14ac:dyDescent="0.3">
      <c r="A5" s="690" t="s">
        <v>424</v>
      </c>
      <c r="B5" s="690"/>
      <c r="C5" s="690"/>
      <c r="D5" s="690"/>
      <c r="E5" s="690"/>
      <c r="F5" s="690"/>
      <c r="G5" s="690"/>
      <c r="H5" s="690"/>
      <c r="I5" s="690"/>
      <c r="J5" s="690"/>
      <c r="K5" s="690"/>
      <c r="L5" s="490"/>
      <c r="M5" s="490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7" x14ac:dyDescent="0.3">
      <c r="D6" s="202"/>
      <c r="E6" s="202"/>
      <c r="F6" s="202"/>
      <c r="G6" s="202"/>
      <c r="H6" s="202"/>
      <c r="I6" s="202"/>
    </row>
    <row r="7" spans="1:27" x14ac:dyDescent="0.3">
      <c r="D7" s="202"/>
      <c r="E7" s="202"/>
      <c r="F7" s="202"/>
      <c r="G7" s="202"/>
      <c r="H7" s="202"/>
      <c r="I7" s="202"/>
    </row>
    <row r="8" spans="1:27" x14ac:dyDescent="0.3">
      <c r="D8" s="202"/>
      <c r="E8" s="202"/>
      <c r="F8" s="121" t="s">
        <v>4</v>
      </c>
      <c r="G8" s="121" t="s">
        <v>131</v>
      </c>
      <c r="H8" s="121" t="s">
        <v>132</v>
      </c>
      <c r="I8" s="121" t="s">
        <v>133</v>
      </c>
      <c r="J8" s="121" t="s">
        <v>134</v>
      </c>
      <c r="K8" s="121" t="s">
        <v>5</v>
      </c>
    </row>
    <row r="9" spans="1:27" ht="25" x14ac:dyDescent="0.3">
      <c r="D9" s="202"/>
      <c r="E9" s="202"/>
      <c r="F9" s="395" t="s">
        <v>238</v>
      </c>
      <c r="G9" s="395" t="s">
        <v>260</v>
      </c>
      <c r="H9" s="395" t="s">
        <v>11</v>
      </c>
      <c r="I9" s="395" t="s">
        <v>262</v>
      </c>
      <c r="J9" s="395" t="s">
        <v>263</v>
      </c>
      <c r="K9" s="395" t="s">
        <v>399</v>
      </c>
    </row>
    <row r="10" spans="1:27" ht="37.5" x14ac:dyDescent="0.3">
      <c r="D10" s="202"/>
      <c r="E10" s="202"/>
      <c r="F10" s="395" t="s">
        <v>395</v>
      </c>
      <c r="G10" s="395" t="s">
        <v>260</v>
      </c>
      <c r="H10" s="395" t="s">
        <v>11</v>
      </c>
      <c r="I10" s="395" t="s">
        <v>262</v>
      </c>
      <c r="J10" s="395" t="s">
        <v>264</v>
      </c>
      <c r="K10" s="395" t="s">
        <v>400</v>
      </c>
      <c r="M10" s="225"/>
    </row>
    <row r="11" spans="1:27" ht="25" x14ac:dyDescent="0.3">
      <c r="D11" s="202"/>
      <c r="E11" s="202"/>
      <c r="F11" s="395" t="s">
        <v>396</v>
      </c>
      <c r="G11" s="395" t="s">
        <v>265</v>
      </c>
      <c r="H11" s="395" t="s">
        <v>261</v>
      </c>
      <c r="I11" s="395" t="s">
        <v>262</v>
      </c>
      <c r="J11" s="395" t="s">
        <v>266</v>
      </c>
      <c r="K11" s="395" t="s">
        <v>401</v>
      </c>
    </row>
    <row r="12" spans="1:27" ht="37.5" x14ac:dyDescent="0.3">
      <c r="D12" s="202"/>
      <c r="E12" s="202"/>
      <c r="F12" s="395" t="s">
        <v>397</v>
      </c>
      <c r="G12" s="395" t="s">
        <v>265</v>
      </c>
      <c r="H12" s="395" t="s">
        <v>269</v>
      </c>
      <c r="I12" s="395" t="s">
        <v>262</v>
      </c>
      <c r="J12" s="395"/>
      <c r="K12" s="395" t="s">
        <v>402</v>
      </c>
      <c r="P12" s="204"/>
      <c r="Q12" s="204"/>
      <c r="R12" s="204"/>
      <c r="S12" s="204"/>
      <c r="V12" s="205"/>
    </row>
    <row r="13" spans="1:27" ht="25" x14ac:dyDescent="0.3">
      <c r="D13" s="202"/>
      <c r="E13" s="202"/>
      <c r="F13" s="395" t="s">
        <v>252</v>
      </c>
      <c r="G13" s="395" t="s">
        <v>260</v>
      </c>
      <c r="H13" s="395" t="s">
        <v>261</v>
      </c>
      <c r="I13" s="395" t="s">
        <v>271</v>
      </c>
      <c r="J13" s="395"/>
      <c r="K13" s="395" t="s">
        <v>403</v>
      </c>
    </row>
    <row r="14" spans="1:27" ht="25" x14ac:dyDescent="0.3">
      <c r="D14" s="202"/>
      <c r="E14" s="202"/>
      <c r="F14" s="395" t="s">
        <v>256</v>
      </c>
      <c r="G14" s="395" t="s">
        <v>260</v>
      </c>
      <c r="H14" s="395" t="s">
        <v>261</v>
      </c>
      <c r="I14" s="395" t="s">
        <v>271</v>
      </c>
      <c r="J14" s="395"/>
      <c r="K14" s="395" t="s">
        <v>404</v>
      </c>
    </row>
    <row r="15" spans="1:27" ht="37.5" x14ac:dyDescent="0.3">
      <c r="D15" s="202"/>
      <c r="E15" s="202"/>
      <c r="F15" s="395" t="s">
        <v>398</v>
      </c>
      <c r="G15" s="395" t="s">
        <v>265</v>
      </c>
      <c r="H15" s="395" t="s">
        <v>269</v>
      </c>
      <c r="I15" s="395" t="s">
        <v>271</v>
      </c>
      <c r="J15" s="395"/>
      <c r="K15" s="395" t="s">
        <v>405</v>
      </c>
    </row>
    <row r="16" spans="1:27" ht="37.5" x14ac:dyDescent="0.3">
      <c r="D16" s="202"/>
      <c r="E16" s="202"/>
      <c r="F16" s="395" t="s">
        <v>254</v>
      </c>
      <c r="G16" s="395" t="s">
        <v>265</v>
      </c>
      <c r="H16" s="395" t="s">
        <v>261</v>
      </c>
      <c r="I16" s="395" t="s">
        <v>273</v>
      </c>
      <c r="J16" s="395"/>
      <c r="K16" s="395" t="s">
        <v>406</v>
      </c>
    </row>
    <row r="17" spans="1:25" ht="25" x14ac:dyDescent="0.3">
      <c r="D17" s="202"/>
      <c r="E17" s="202"/>
      <c r="F17" s="395" t="s">
        <v>258</v>
      </c>
      <c r="G17" s="395"/>
      <c r="H17" s="395" t="s">
        <v>261</v>
      </c>
      <c r="I17" s="395" t="s">
        <v>273</v>
      </c>
      <c r="J17" s="395"/>
      <c r="K17" s="395" t="s">
        <v>407</v>
      </c>
    </row>
    <row r="18" spans="1:25" x14ac:dyDescent="0.3">
      <c r="D18" s="202"/>
      <c r="E18" s="202"/>
      <c r="F18" s="395"/>
      <c r="G18" s="395"/>
      <c r="H18" s="395"/>
      <c r="I18" s="395"/>
      <c r="J18" s="395"/>
      <c r="K18" s="395"/>
    </row>
    <row r="19" spans="1:25" x14ac:dyDescent="0.3">
      <c r="D19" s="202"/>
      <c r="E19" s="202"/>
      <c r="F19" s="394"/>
      <c r="G19" s="395"/>
      <c r="H19" s="395"/>
      <c r="I19" s="395"/>
      <c r="J19" s="395"/>
      <c r="K19" s="395"/>
    </row>
    <row r="20" spans="1:25" x14ac:dyDescent="0.3">
      <c r="D20" s="202"/>
      <c r="E20" s="202"/>
      <c r="F20" s="395"/>
      <c r="G20" s="395"/>
      <c r="H20" s="395"/>
      <c r="I20" s="395"/>
      <c r="J20" s="395"/>
      <c r="K20" s="395"/>
    </row>
    <row r="21" spans="1:25" x14ac:dyDescent="0.3">
      <c r="D21" s="202"/>
      <c r="E21" s="202"/>
      <c r="F21" s="394"/>
      <c r="G21" s="394"/>
      <c r="H21" s="394"/>
      <c r="I21" s="394"/>
      <c r="J21" s="394"/>
      <c r="K21" s="395"/>
    </row>
    <row r="22" spans="1:25" x14ac:dyDescent="0.3">
      <c r="D22" s="202"/>
      <c r="E22" s="202"/>
      <c r="F22" s="394"/>
      <c r="G22" s="394"/>
      <c r="H22" s="394"/>
      <c r="I22" s="394"/>
      <c r="J22" s="394"/>
      <c r="K22" s="395"/>
    </row>
    <row r="23" spans="1:25" x14ac:dyDescent="0.3">
      <c r="D23" s="202"/>
      <c r="E23" s="202"/>
      <c r="F23" s="394"/>
      <c r="G23" s="394"/>
      <c r="H23" s="394"/>
      <c r="I23" s="394"/>
      <c r="J23" s="394"/>
      <c r="K23" s="395"/>
    </row>
    <row r="24" spans="1:25" x14ac:dyDescent="0.3">
      <c r="D24" s="202"/>
      <c r="E24" s="202"/>
      <c r="F24" s="202"/>
      <c r="G24" s="202"/>
      <c r="H24" s="202"/>
      <c r="I24" s="202"/>
    </row>
    <row r="25" spans="1:25" x14ac:dyDescent="0.3">
      <c r="A25" s="690" t="str">
        <f>LEFT(A5,1)+1&amp;". Meter Actions"</f>
        <v>2. Meter Actions</v>
      </c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490"/>
      <c r="M25" s="490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</row>
    <row r="26" spans="1:25" x14ac:dyDescent="0.3">
      <c r="D26" s="202"/>
      <c r="E26" s="202"/>
      <c r="F26" s="202"/>
      <c r="G26" s="202"/>
      <c r="H26" s="202"/>
      <c r="I26" s="202"/>
    </row>
    <row r="27" spans="1:25" x14ac:dyDescent="0.3">
      <c r="D27" s="202"/>
      <c r="E27" s="202"/>
      <c r="F27" s="202"/>
      <c r="G27" s="202"/>
      <c r="H27" s="202"/>
      <c r="I27" s="202"/>
    </row>
    <row r="28" spans="1:25" ht="39" x14ac:dyDescent="0.3">
      <c r="D28" s="202"/>
      <c r="E28" s="121" t="s">
        <v>15</v>
      </c>
      <c r="F28" s="121" t="s">
        <v>126</v>
      </c>
      <c r="G28" s="121" t="s">
        <v>127</v>
      </c>
      <c r="H28" s="102" t="s">
        <v>136</v>
      </c>
      <c r="I28" s="102" t="s">
        <v>343</v>
      </c>
      <c r="J28" s="122" t="s">
        <v>139</v>
      </c>
      <c r="P28" s="102" t="s">
        <v>145</v>
      </c>
      <c r="Q28" s="102" t="s">
        <v>351</v>
      </c>
      <c r="R28" s="102" t="s">
        <v>152</v>
      </c>
      <c r="S28" s="102" t="s">
        <v>151</v>
      </c>
      <c r="T28" s="102" t="s">
        <v>153</v>
      </c>
    </row>
    <row r="29" spans="1:25" ht="25" x14ac:dyDescent="0.3">
      <c r="D29" s="202"/>
      <c r="E29" s="206">
        <v>1</v>
      </c>
      <c r="F29" s="207" t="s">
        <v>124</v>
      </c>
      <c r="G29" s="596" t="s">
        <v>408</v>
      </c>
      <c r="H29" s="597" t="s">
        <v>137</v>
      </c>
      <c r="I29" s="598" t="s">
        <v>352</v>
      </c>
      <c r="J29" s="599">
        <v>0</v>
      </c>
      <c r="K29" s="208"/>
      <c r="P29" s="103" cm="1">
        <f t="array" ref="P29">_xlfn.IFS(H29="Add",1,H29="No Effect",0,H29="Subtract",-1,ISBLANK(H29),0)</f>
        <v>1</v>
      </c>
      <c r="Q29" s="103" cm="1">
        <f t="array" ref="Q29">_xlfn.IFS(I29="Include",1,I29="Exclude",0,I29="Subtract",-1,ISBLANK(I29),0)</f>
        <v>1</v>
      </c>
      <c r="R29" s="103">
        <f t="shared" ref="R29:R38" si="0">(P29=1)/1</f>
        <v>1</v>
      </c>
      <c r="S29" s="103">
        <f t="shared" ref="S29:S38" si="1">ISNUMBER(SEARCH("Replacement",G29,1))/1</f>
        <v>0</v>
      </c>
      <c r="T29" s="103">
        <f t="shared" ref="T29:T38" si="2">NOT(R29+S29)/1</f>
        <v>0</v>
      </c>
    </row>
    <row r="30" spans="1:25" x14ac:dyDescent="0.3">
      <c r="D30" s="202"/>
      <c r="E30" s="206">
        <v>2</v>
      </c>
      <c r="F30" s="207" t="s">
        <v>283</v>
      </c>
      <c r="G30" s="209" t="s">
        <v>411</v>
      </c>
      <c r="H30" s="598" t="s">
        <v>141</v>
      </c>
      <c r="I30" s="598" t="s">
        <v>138</v>
      </c>
      <c r="J30" s="599">
        <v>0</v>
      </c>
      <c r="K30" s="208"/>
      <c r="P30" s="103" cm="1">
        <f t="array" ref="P30">_xlfn.IFS(H30="Add",1,H30="No Effect",0,H30="Subtract",-1,ISBLANK(H30),0)</f>
        <v>0</v>
      </c>
      <c r="Q30" s="103" cm="1">
        <f t="array" ref="Q30">_xlfn.IFS(I30="Include",1,I30="Exclude",0,I30="Subtract",-1,ISBLANK(I30),0)</f>
        <v>-1</v>
      </c>
      <c r="R30" s="103">
        <f t="shared" si="0"/>
        <v>0</v>
      </c>
      <c r="S30" s="103">
        <f t="shared" si="1"/>
        <v>0</v>
      </c>
      <c r="T30" s="103">
        <f t="shared" si="2"/>
        <v>1</v>
      </c>
    </row>
    <row r="31" spans="1:25" ht="25" x14ac:dyDescent="0.3">
      <c r="D31" s="202"/>
      <c r="E31" s="206">
        <v>3</v>
      </c>
      <c r="F31" s="207" t="s">
        <v>284</v>
      </c>
      <c r="G31" s="209" t="s">
        <v>410</v>
      </c>
      <c r="H31" s="598" t="s">
        <v>141</v>
      </c>
      <c r="I31" s="598" t="s">
        <v>352</v>
      </c>
      <c r="J31" s="599">
        <v>0</v>
      </c>
      <c r="K31" s="208"/>
      <c r="P31" s="103" cm="1">
        <f t="array" ref="P31">_xlfn.IFS(H31="Add",1,H31="No Effect",0,H31="Subtract",-1,ISBLANK(H31),0)</f>
        <v>0</v>
      </c>
      <c r="Q31" s="103" cm="1">
        <f t="array" ref="Q31">_xlfn.IFS(I31="Include",1,I31="Exclude",0,I31="Subtract",-1,ISBLANK(I31),0)</f>
        <v>1</v>
      </c>
      <c r="R31" s="103">
        <f t="shared" si="0"/>
        <v>0</v>
      </c>
      <c r="S31" s="103">
        <f t="shared" si="1"/>
        <v>1</v>
      </c>
      <c r="T31" s="103">
        <f t="shared" si="2"/>
        <v>0</v>
      </c>
    </row>
    <row r="32" spans="1:25" ht="25" x14ac:dyDescent="0.3">
      <c r="D32" s="202"/>
      <c r="E32" s="206">
        <v>4</v>
      </c>
      <c r="F32" s="207" t="s">
        <v>285</v>
      </c>
      <c r="G32" s="209" t="s">
        <v>409</v>
      </c>
      <c r="H32" s="598" t="s">
        <v>141</v>
      </c>
      <c r="I32" s="598" t="s">
        <v>352</v>
      </c>
      <c r="J32" s="599">
        <v>0</v>
      </c>
      <c r="K32" s="208"/>
      <c r="P32" s="103" cm="1">
        <f t="array" ref="P32">_xlfn.IFS(H32="Add",1,H32="No Effect",0,H32="Subtract",-1,ISBLANK(H32),0)</f>
        <v>0</v>
      </c>
      <c r="Q32" s="103" cm="1">
        <f t="array" ref="Q32">_xlfn.IFS(I32="Include",1,I32="Exclude",0,I32="Subtract",-1,ISBLANK(I32),0)</f>
        <v>1</v>
      </c>
      <c r="R32" s="103">
        <f t="shared" si="0"/>
        <v>0</v>
      </c>
      <c r="S32" s="103">
        <f t="shared" si="1"/>
        <v>1</v>
      </c>
      <c r="T32" s="103">
        <f t="shared" si="2"/>
        <v>0</v>
      </c>
    </row>
    <row r="33" spans="1:25" x14ac:dyDescent="0.3">
      <c r="D33" s="202"/>
      <c r="E33" s="206">
        <v>5</v>
      </c>
      <c r="F33" s="207" t="s">
        <v>286</v>
      </c>
      <c r="G33" s="209"/>
      <c r="H33" s="598"/>
      <c r="I33" s="598"/>
      <c r="J33" s="599">
        <v>0</v>
      </c>
      <c r="K33" s="208"/>
      <c r="P33" s="103" cm="1">
        <f t="array" ref="P33">_xlfn.IFS(H33="Add",1,H33="No Effect",0,H33="Subtract",-1,ISBLANK(H33),0)</f>
        <v>0</v>
      </c>
      <c r="Q33" s="103" cm="1">
        <f t="array" ref="Q33">_xlfn.IFS(I33="Include",1,I33="Exclude",0,I33="Subtract",-1,ISBLANK(I33),0)</f>
        <v>0</v>
      </c>
      <c r="R33" s="103">
        <f t="shared" si="0"/>
        <v>0</v>
      </c>
      <c r="S33" s="103">
        <f t="shared" si="1"/>
        <v>0</v>
      </c>
      <c r="T33" s="103">
        <f t="shared" si="2"/>
        <v>1</v>
      </c>
    </row>
    <row r="34" spans="1:25" x14ac:dyDescent="0.3">
      <c r="D34" s="202"/>
      <c r="E34" s="206">
        <v>6</v>
      </c>
      <c r="F34" s="207" t="s">
        <v>287</v>
      </c>
      <c r="G34" s="209"/>
      <c r="H34" s="598"/>
      <c r="I34" s="598"/>
      <c r="J34" s="599">
        <v>0</v>
      </c>
      <c r="K34" s="208"/>
      <c r="P34" s="103" cm="1">
        <f t="array" ref="P34">_xlfn.IFS(H34="Add",1,H34="No Effect",0,H34="Subtract",-1,ISBLANK(H34),0)</f>
        <v>0</v>
      </c>
      <c r="Q34" s="103" cm="1">
        <f t="array" ref="Q34">_xlfn.IFS(I34="Include",1,I34="Exclude",0,I34="Subtract",-1,ISBLANK(I34),0)</f>
        <v>0</v>
      </c>
      <c r="R34" s="103">
        <f t="shared" si="0"/>
        <v>0</v>
      </c>
      <c r="S34" s="103">
        <f t="shared" si="1"/>
        <v>0</v>
      </c>
      <c r="T34" s="103">
        <f t="shared" si="2"/>
        <v>1</v>
      </c>
    </row>
    <row r="35" spans="1:25" x14ac:dyDescent="0.3">
      <c r="D35" s="202"/>
      <c r="E35" s="206">
        <v>7</v>
      </c>
      <c r="F35" s="207" t="s">
        <v>288</v>
      </c>
      <c r="G35" s="209"/>
      <c r="H35" s="598"/>
      <c r="I35" s="598"/>
      <c r="J35" s="599">
        <v>0</v>
      </c>
      <c r="K35" s="208"/>
      <c r="P35" s="103" cm="1">
        <f t="array" ref="P35">_xlfn.IFS(H35="Add",1,H35="No Effect",0,H35="Subtract",-1,ISBLANK(H35),0)</f>
        <v>0</v>
      </c>
      <c r="Q35" s="103" cm="1">
        <f t="array" ref="Q35">_xlfn.IFS(I35="Include",1,I35="Exclude",0,I35="Subtract",-1,ISBLANK(I35),0)</f>
        <v>0</v>
      </c>
      <c r="R35" s="103">
        <f t="shared" si="0"/>
        <v>0</v>
      </c>
      <c r="S35" s="103">
        <f t="shared" si="1"/>
        <v>0</v>
      </c>
      <c r="T35" s="103">
        <f t="shared" si="2"/>
        <v>1</v>
      </c>
    </row>
    <row r="36" spans="1:25" x14ac:dyDescent="0.3">
      <c r="D36" s="202"/>
      <c r="E36" s="206">
        <v>8</v>
      </c>
      <c r="F36" s="207" t="s">
        <v>289</v>
      </c>
      <c r="G36" s="209"/>
      <c r="H36" s="598"/>
      <c r="I36" s="598"/>
      <c r="J36" s="599">
        <v>0</v>
      </c>
      <c r="K36" s="208"/>
      <c r="P36" s="103" cm="1">
        <f t="array" ref="P36">_xlfn.IFS(H36="Add",1,H36="No Effect",0,H36="Subtract",-1,ISBLANK(H36),0)</f>
        <v>0</v>
      </c>
      <c r="Q36" s="103" cm="1">
        <f t="array" ref="Q36">_xlfn.IFS(I36="Include",1,I36="Exclude",0,I36="Subtract",-1,ISBLANK(I36),0)</f>
        <v>0</v>
      </c>
      <c r="R36" s="103">
        <f t="shared" si="0"/>
        <v>0</v>
      </c>
      <c r="S36" s="103">
        <f t="shared" si="1"/>
        <v>0</v>
      </c>
      <c r="T36" s="103">
        <f t="shared" si="2"/>
        <v>1</v>
      </c>
    </row>
    <row r="37" spans="1:25" x14ac:dyDescent="0.3">
      <c r="D37" s="202"/>
      <c r="E37" s="206">
        <v>9</v>
      </c>
      <c r="F37" s="207" t="s">
        <v>290</v>
      </c>
      <c r="G37" s="209"/>
      <c r="H37" s="598"/>
      <c r="I37" s="598"/>
      <c r="J37" s="599">
        <v>0</v>
      </c>
      <c r="K37" s="208"/>
      <c r="P37" s="103" cm="1">
        <f t="array" ref="P37">_xlfn.IFS(H37="Add",1,H37="No Effect",0,H37="Subtract",-1,ISBLANK(H37),0)</f>
        <v>0</v>
      </c>
      <c r="Q37" s="103" cm="1">
        <f t="array" ref="Q37">_xlfn.IFS(I37="Include",1,I37="Exclude",0,I37="Subtract",-1,ISBLANK(I37),0)</f>
        <v>0</v>
      </c>
      <c r="R37" s="103">
        <f t="shared" si="0"/>
        <v>0</v>
      </c>
      <c r="S37" s="103">
        <f t="shared" si="1"/>
        <v>0</v>
      </c>
      <c r="T37" s="103">
        <f t="shared" si="2"/>
        <v>1</v>
      </c>
    </row>
    <row r="38" spans="1:25" x14ac:dyDescent="0.3">
      <c r="D38" s="202"/>
      <c r="E38" s="206">
        <v>10</v>
      </c>
      <c r="F38" s="207" t="s">
        <v>125</v>
      </c>
      <c r="G38" s="596" t="s">
        <v>24</v>
      </c>
      <c r="H38" s="597" t="s">
        <v>138</v>
      </c>
      <c r="I38" s="598" t="s">
        <v>353</v>
      </c>
      <c r="J38" s="599">
        <v>0</v>
      </c>
      <c r="K38" s="208"/>
      <c r="P38" s="103" cm="1">
        <f t="array" ref="P38">_xlfn.IFS(H38="Add",1,H38="No Effect",0,H38="Subtract",-1,ISBLANK(H38),0)</f>
        <v>-1</v>
      </c>
      <c r="Q38" s="103" cm="1">
        <f t="array" ref="Q38">_xlfn.IFS(I38="Include",1,I38="Exclude",0,I38="Subtract",-1,ISBLANK(I38),0)</f>
        <v>0</v>
      </c>
      <c r="R38" s="103">
        <f t="shared" si="0"/>
        <v>0</v>
      </c>
      <c r="S38" s="103">
        <f t="shared" si="1"/>
        <v>0</v>
      </c>
      <c r="T38" s="103">
        <f t="shared" si="2"/>
        <v>1</v>
      </c>
    </row>
    <row r="39" spans="1:25" x14ac:dyDescent="0.3">
      <c r="D39" s="202"/>
      <c r="E39" s="202"/>
    </row>
    <row r="40" spans="1:25" x14ac:dyDescent="0.3">
      <c r="D40" s="202"/>
      <c r="E40" s="202"/>
      <c r="F40" s="202"/>
      <c r="G40" s="202"/>
      <c r="H40" s="202"/>
      <c r="I40" s="202"/>
    </row>
    <row r="41" spans="1:25" x14ac:dyDescent="0.3">
      <c r="A41" s="690" t="str">
        <f>LEFT(A25,1)+1&amp;". Overheads and additional meter-related costs"</f>
        <v>3. Overheads and additional meter-related costs</v>
      </c>
      <c r="B41" s="690"/>
      <c r="C41" s="690"/>
      <c r="D41" s="690"/>
      <c r="E41" s="690"/>
      <c r="F41" s="690"/>
      <c r="G41" s="690"/>
      <c r="H41" s="690"/>
      <c r="I41" s="690"/>
      <c r="J41" s="690"/>
      <c r="K41" s="690"/>
      <c r="L41" s="490"/>
      <c r="M41" s="490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</row>
    <row r="42" spans="1:25" ht="23.25" customHeight="1" x14ac:dyDescent="0.3">
      <c r="D42" s="202"/>
      <c r="E42" s="202"/>
      <c r="F42" s="202"/>
      <c r="G42" s="202"/>
      <c r="H42" s="202"/>
      <c r="I42" s="202"/>
    </row>
    <row r="43" spans="1:25" x14ac:dyDescent="0.3">
      <c r="D43" s="202"/>
      <c r="E43" s="202"/>
      <c r="F43" s="202"/>
      <c r="G43" s="202"/>
      <c r="H43" s="268"/>
      <c r="I43" s="202"/>
    </row>
    <row r="44" spans="1:25" x14ac:dyDescent="0.3">
      <c r="C44" s="201" t="s">
        <v>8</v>
      </c>
      <c r="D44" s="202" t="s">
        <v>297</v>
      </c>
      <c r="E44" s="202"/>
      <c r="G44" s="202"/>
      <c r="H44" s="269"/>
      <c r="I44" s="202"/>
    </row>
    <row r="45" spans="1:25" x14ac:dyDescent="0.3">
      <c r="D45" s="202"/>
      <c r="E45" s="202"/>
      <c r="K45" s="397" t="s">
        <v>298</v>
      </c>
      <c r="L45" s="487" t="s">
        <v>6</v>
      </c>
      <c r="M45" s="286" t="s">
        <v>118</v>
      </c>
      <c r="N45" s="230" t="str">
        <f t="shared" ref="N45:U45" si="3">N$168</f>
        <v>2017-18</v>
      </c>
      <c r="O45" s="422" t="str">
        <f t="shared" si="3"/>
        <v>2018-19</v>
      </c>
      <c r="P45" s="539" t="str">
        <f t="shared" si="3"/>
        <v>2019-20</v>
      </c>
      <c r="Q45" s="267" t="str">
        <f t="shared" si="3"/>
        <v>2020-21</v>
      </c>
      <c r="R45" s="230" t="str">
        <f t="shared" si="3"/>
        <v>2021-22</v>
      </c>
      <c r="S45" s="230" t="str">
        <f t="shared" si="3"/>
        <v>2022-23</v>
      </c>
      <c r="T45" s="230" t="str">
        <f t="shared" si="3"/>
        <v>2023-24</v>
      </c>
      <c r="U45" s="230" t="str">
        <f t="shared" si="3"/>
        <v>2024-25</v>
      </c>
      <c r="V45" s="230" t="s">
        <v>17</v>
      </c>
    </row>
    <row r="46" spans="1:25" ht="12.75" customHeight="1" x14ac:dyDescent="0.3">
      <c r="D46" s="202"/>
      <c r="E46" s="202"/>
      <c r="K46" s="535" t="s">
        <v>412</v>
      </c>
      <c r="L46" s="522" t="s">
        <v>85</v>
      </c>
      <c r="M46" s="523">
        <f>Basis_Capex</f>
        <v>43617</v>
      </c>
      <c r="N46" s="271"/>
      <c r="O46" s="271"/>
      <c r="P46" s="271"/>
      <c r="Q46" s="262">
        <v>50000</v>
      </c>
      <c r="R46" s="263">
        <v>50000</v>
      </c>
      <c r="S46" s="263"/>
      <c r="T46" s="263"/>
      <c r="U46" s="263"/>
      <c r="V46" s="231">
        <f>SUM(P46:U46)</f>
        <v>100000</v>
      </c>
    </row>
    <row r="47" spans="1:25" x14ac:dyDescent="0.3">
      <c r="D47" s="202"/>
      <c r="E47" s="202"/>
      <c r="K47" s="535" t="s">
        <v>162</v>
      </c>
      <c r="L47" s="524" t="str">
        <f>$L$46</f>
        <v>$dollars</v>
      </c>
      <c r="M47" s="523">
        <f>Basis_Capex</f>
        <v>43617</v>
      </c>
      <c r="N47" s="271"/>
      <c r="O47" s="263"/>
      <c r="P47" s="271"/>
      <c r="Q47" s="262"/>
      <c r="R47" s="263"/>
      <c r="S47" s="263"/>
      <c r="T47" s="263"/>
      <c r="U47" s="263"/>
      <c r="V47" s="231">
        <f>SUM(P47:U47)</f>
        <v>0</v>
      </c>
    </row>
    <row r="48" spans="1:25" x14ac:dyDescent="0.3">
      <c r="D48" s="202"/>
      <c r="E48" s="202"/>
      <c r="K48" s="535" t="s">
        <v>178</v>
      </c>
      <c r="L48" s="524" t="str">
        <f>$L$46</f>
        <v>$dollars</v>
      </c>
      <c r="M48" s="523">
        <f>Basis_Capex</f>
        <v>43617</v>
      </c>
      <c r="N48" s="271"/>
      <c r="O48" s="271"/>
      <c r="P48" s="271"/>
      <c r="Q48" s="262"/>
      <c r="R48" s="263"/>
      <c r="S48" s="263"/>
      <c r="T48" s="263"/>
      <c r="U48" s="263"/>
      <c r="V48" s="231">
        <f>SUM(P48:U48)</f>
        <v>0</v>
      </c>
    </row>
    <row r="49" spans="3:22" x14ac:dyDescent="0.3">
      <c r="D49" s="202"/>
      <c r="E49" s="202"/>
      <c r="J49"/>
      <c r="K49" s="535" t="s">
        <v>179</v>
      </c>
      <c r="L49" s="524" t="str">
        <f>$L$46</f>
        <v>$dollars</v>
      </c>
      <c r="M49" s="523">
        <f>Basis_Capex</f>
        <v>43617</v>
      </c>
      <c r="N49" s="271"/>
      <c r="O49" s="271"/>
      <c r="P49" s="271"/>
      <c r="Q49" s="262"/>
      <c r="R49" s="263"/>
      <c r="S49" s="263"/>
      <c r="T49" s="263"/>
      <c r="U49" s="263"/>
      <c r="V49" s="231">
        <f>SUM(P49:U49)</f>
        <v>0</v>
      </c>
    </row>
    <row r="50" spans="3:22" x14ac:dyDescent="0.3">
      <c r="D50" s="202"/>
      <c r="E50" s="202"/>
      <c r="J50"/>
      <c r="K50" s="275" t="s">
        <v>17</v>
      </c>
      <c r="L50" s="525" t="str">
        <f>$L$46</f>
        <v>$dollars</v>
      </c>
      <c r="M50" s="526">
        <f>Basis_Capex</f>
        <v>43617</v>
      </c>
      <c r="N50" s="232">
        <f t="shared" ref="N50:U50" si="4">SUM(N46:N49)</f>
        <v>0</v>
      </c>
      <c r="O50" s="232">
        <f t="shared" si="4"/>
        <v>0</v>
      </c>
      <c r="P50" s="289">
        <f t="shared" si="4"/>
        <v>0</v>
      </c>
      <c r="Q50" s="290">
        <f t="shared" si="4"/>
        <v>50000</v>
      </c>
      <c r="R50" s="232">
        <f t="shared" si="4"/>
        <v>50000</v>
      </c>
      <c r="S50" s="232">
        <f t="shared" si="4"/>
        <v>0</v>
      </c>
      <c r="T50" s="232">
        <f t="shared" si="4"/>
        <v>0</v>
      </c>
      <c r="U50" s="232">
        <f t="shared" si="4"/>
        <v>0</v>
      </c>
      <c r="V50" s="233">
        <f>SUM(Q50:U50)</f>
        <v>100000</v>
      </c>
    </row>
    <row r="51" spans="3:22" customFormat="1" x14ac:dyDescent="0.3">
      <c r="L51" s="202"/>
      <c r="M51" s="202"/>
    </row>
    <row r="52" spans="3:22" x14ac:dyDescent="0.3">
      <c r="C52" s="201" t="s">
        <v>7</v>
      </c>
      <c r="D52" s="202" t="s">
        <v>291</v>
      </c>
      <c r="E52" s="202"/>
      <c r="G52" s="202"/>
      <c r="H52" s="202"/>
      <c r="I52" s="202"/>
    </row>
    <row r="53" spans="3:22" ht="25.5" customHeight="1" x14ac:dyDescent="0.3">
      <c r="D53" s="202"/>
      <c r="E53" s="202"/>
      <c r="F53"/>
      <c r="G53" s="692"/>
      <c r="H53" s="692"/>
      <c r="I53" s="692"/>
      <c r="K53" s="396" t="s">
        <v>296</v>
      </c>
      <c r="L53" s="122" t="s">
        <v>6</v>
      </c>
      <c r="M53" s="121" t="s">
        <v>118</v>
      </c>
      <c r="N53" s="486"/>
      <c r="O53" s="485" t="s">
        <v>29</v>
      </c>
      <c r="Q53" s="267" t="str">
        <f>Q$168</f>
        <v>2020-21</v>
      </c>
      <c r="R53" s="230" t="str">
        <f>R$168</f>
        <v>2021-22</v>
      </c>
      <c r="S53" s="230" t="str">
        <f>S$168</f>
        <v>2022-23</v>
      </c>
      <c r="T53" s="230" t="str">
        <f>T$168</f>
        <v>2023-24</v>
      </c>
      <c r="U53" s="230" t="str">
        <f>U$168</f>
        <v>2024-25</v>
      </c>
      <c r="V53" s="230" t="s">
        <v>17</v>
      </c>
    </row>
    <row r="54" spans="3:22" x14ac:dyDescent="0.3">
      <c r="D54" s="202"/>
      <c r="E54" s="202"/>
      <c r="F54"/>
      <c r="G54" s="692"/>
      <c r="H54" s="692"/>
      <c r="I54" s="692"/>
      <c r="K54" s="390" t="s">
        <v>294</v>
      </c>
      <c r="L54" s="527" t="str">
        <f>IF(K54="Fixed proportion","%","$dollars")</f>
        <v>%</v>
      </c>
      <c r="M54" s="528" t="str">
        <f>IF(L54="%","",Basis_Capex)</f>
        <v/>
      </c>
      <c r="N54" s="486"/>
      <c r="O54" s="488">
        <v>0.05</v>
      </c>
      <c r="Q54" s="220">
        <v>15</v>
      </c>
      <c r="R54" s="219">
        <v>15</v>
      </c>
      <c r="S54" s="219">
        <v>15</v>
      </c>
      <c r="T54" s="219">
        <v>15</v>
      </c>
      <c r="U54" s="219">
        <v>15</v>
      </c>
      <c r="V54" s="231"/>
    </row>
    <row r="55" spans="3:22" x14ac:dyDescent="0.3">
      <c r="D55" s="202"/>
      <c r="E55" s="202"/>
      <c r="F55"/>
      <c r="G55"/>
      <c r="H55"/>
      <c r="I55"/>
      <c r="J55"/>
      <c r="K55" s="275" t="s">
        <v>17</v>
      </c>
      <c r="L55" s="525" t="str">
        <f>$L$46</f>
        <v>$dollars</v>
      </c>
      <c r="M55" s="526">
        <f>Basis_Capex</f>
        <v>43617</v>
      </c>
      <c r="N55"/>
      <c r="O55" s="489"/>
      <c r="P55"/>
      <c r="Q55" s="290">
        <f>IF('Input | Meters Vols &amp; Costs'!$K54="Fixed proportion",SUM('Calc | Capex Meters'!Q$140:Q$141)*$O54,
IF('Input | Meters Vols &amp; Costs'!$K54="Fixed number",$O54,Q54
))</f>
        <v>246088.60063679074</v>
      </c>
      <c r="R55" s="290">
        <f>IF('Input | Meters Vols &amp; Costs'!$K54="Fixed proportion",SUM('Calc | Capex Meters'!R$140:R$141)*$O54,
IF('Input | Meters Vols &amp; Costs'!$K54="Fixed number",$O54,R54
))</f>
        <v>246912.57544301753</v>
      </c>
      <c r="S55" s="290">
        <f>IF('Input | Meters Vols &amp; Costs'!$K54="Fixed proportion",SUM('Calc | Capex Meters'!S$140:S$141)*$O54,
IF('Input | Meters Vols &amp; Costs'!$K54="Fixed number",$O54,S54
))</f>
        <v>245174.97444554788</v>
      </c>
      <c r="T55" s="290">
        <f>IF('Input | Meters Vols &amp; Costs'!$K54="Fixed proportion",SUM('Calc | Capex Meters'!T$140:T$141)*$O54,
IF('Input | Meters Vols &amp; Costs'!$K54="Fixed number",$O54,T54
))</f>
        <v>246097.71839686629</v>
      </c>
      <c r="U55" s="290">
        <f>IF('Input | Meters Vols &amp; Costs'!$K54="Fixed proportion",SUM('Calc | Capex Meters'!U$140:U$141)*$O54,
IF('Input | Meters Vols &amp; Costs'!$K54="Fixed number",$O54,U54
))</f>
        <v>247303.97274590109</v>
      </c>
      <c r="V55" s="290">
        <f>SUM(Q55:U55)</f>
        <v>1231577.8416681234</v>
      </c>
    </row>
    <row r="56" spans="3:22" x14ac:dyDescent="0.3">
      <c r="D56" s="202"/>
      <c r="E56" s="202"/>
      <c r="F56"/>
      <c r="G56"/>
      <c r="H56"/>
      <c r="I56"/>
      <c r="J56"/>
    </row>
    <row r="57" spans="3:22" x14ac:dyDescent="0.3">
      <c r="C57" s="201" t="s">
        <v>9</v>
      </c>
      <c r="D57" s="202" t="s">
        <v>335</v>
      </c>
      <c r="E57" s="202"/>
      <c r="F57" s="202"/>
      <c r="G57" s="202"/>
      <c r="H57" s="269"/>
      <c r="I57" s="202"/>
      <c r="L57" s="529"/>
      <c r="N57"/>
      <c r="O57"/>
    </row>
    <row r="58" spans="3:22" x14ac:dyDescent="0.3">
      <c r="E58" s="202"/>
      <c r="F58" s="202"/>
      <c r="G58" s="202"/>
      <c r="H58" s="269"/>
      <c r="I58" s="202"/>
      <c r="K58" s="397" t="str">
        <f>D57</f>
        <v>Asset Disposal</v>
      </c>
      <c r="L58" s="487" t="s">
        <v>6</v>
      </c>
      <c r="M58" s="286" t="s">
        <v>118</v>
      </c>
      <c r="N58" s="445" t="str">
        <f t="shared" ref="N58:U58" si="5">N$168</f>
        <v>2017-18</v>
      </c>
      <c r="O58" s="446" t="str">
        <f t="shared" si="5"/>
        <v>2018-19</v>
      </c>
      <c r="P58" s="540" t="str">
        <f t="shared" si="5"/>
        <v>2019-20</v>
      </c>
      <c r="Q58" s="267" t="str">
        <f t="shared" si="5"/>
        <v>2020-21</v>
      </c>
      <c r="R58" s="230" t="str">
        <f t="shared" si="5"/>
        <v>2021-22</v>
      </c>
      <c r="S58" s="230" t="str">
        <f t="shared" si="5"/>
        <v>2022-23</v>
      </c>
      <c r="T58" s="230" t="str">
        <f t="shared" si="5"/>
        <v>2023-24</v>
      </c>
      <c r="U58" s="230" t="str">
        <f t="shared" si="5"/>
        <v>2024-25</v>
      </c>
      <c r="V58" s="230" t="s">
        <v>17</v>
      </c>
    </row>
    <row r="59" spans="3:22" x14ac:dyDescent="0.3">
      <c r="D59" s="202"/>
      <c r="E59" s="202"/>
      <c r="F59" s="202"/>
      <c r="G59" s="202"/>
      <c r="H59" s="269"/>
      <c r="I59" s="202"/>
      <c r="K59" s="535" t="s">
        <v>413</v>
      </c>
      <c r="L59" s="522" t="s">
        <v>85</v>
      </c>
      <c r="M59" s="523">
        <f>Basis_Capex</f>
        <v>43617</v>
      </c>
      <c r="N59" s="447"/>
      <c r="O59" s="447"/>
      <c r="P59" s="448"/>
      <c r="Q59" s="262">
        <v>10000</v>
      </c>
      <c r="R59" s="262">
        <v>10000</v>
      </c>
      <c r="S59" s="262">
        <v>10000</v>
      </c>
      <c r="T59" s="262">
        <v>10000</v>
      </c>
      <c r="U59" s="262">
        <v>10000</v>
      </c>
      <c r="V59" s="231">
        <f>SUM(P59:U59)</f>
        <v>50000</v>
      </c>
    </row>
    <row r="60" spans="3:22" x14ac:dyDescent="0.3">
      <c r="D60" s="202"/>
      <c r="E60" s="202"/>
      <c r="F60" s="202"/>
      <c r="G60" s="202"/>
      <c r="H60" s="269"/>
      <c r="I60" s="202"/>
      <c r="K60" s="535" t="s">
        <v>346</v>
      </c>
      <c r="L60" s="524" t="str">
        <f>$L$59</f>
        <v>$dollars</v>
      </c>
      <c r="M60" s="523">
        <f>Basis_Capex</f>
        <v>43617</v>
      </c>
      <c r="N60" s="447"/>
      <c r="O60" s="447"/>
      <c r="P60" s="448"/>
      <c r="Q60" s="262"/>
      <c r="R60" s="263"/>
      <c r="S60" s="263"/>
      <c r="T60" s="263"/>
      <c r="U60" s="263"/>
      <c r="V60" s="231">
        <f>SUM(P60:U60)</f>
        <v>0</v>
      </c>
    </row>
    <row r="61" spans="3:22" x14ac:dyDescent="0.3">
      <c r="D61" s="202"/>
      <c r="E61" s="202"/>
      <c r="F61" s="202"/>
      <c r="G61" s="202"/>
      <c r="H61" s="269"/>
      <c r="I61" s="202"/>
      <c r="K61" s="535" t="s">
        <v>347</v>
      </c>
      <c r="L61" s="524" t="str">
        <f t="shared" ref="L61:L62" si="6">$L$59</f>
        <v>$dollars</v>
      </c>
      <c r="M61" s="523">
        <f>Basis_Capex</f>
        <v>43617</v>
      </c>
      <c r="N61" s="447"/>
      <c r="O61" s="447"/>
      <c r="P61" s="448"/>
      <c r="Q61" s="262"/>
      <c r="R61" s="263"/>
      <c r="S61" s="263"/>
      <c r="T61" s="263"/>
      <c r="U61" s="263"/>
      <c r="V61" s="231">
        <f>SUM(P61:U61)</f>
        <v>0</v>
      </c>
    </row>
    <row r="62" spans="3:22" x14ac:dyDescent="0.3">
      <c r="D62" s="202"/>
      <c r="E62" s="202"/>
      <c r="F62" s="202"/>
      <c r="G62" s="202"/>
      <c r="H62" s="269"/>
      <c r="I62" s="202"/>
      <c r="K62" s="275" t="s">
        <v>17</v>
      </c>
      <c r="L62" s="525" t="str">
        <f t="shared" si="6"/>
        <v>$dollars</v>
      </c>
      <c r="M62" s="526">
        <f>Basis_Capex</f>
        <v>43617</v>
      </c>
      <c r="N62" s="447"/>
      <c r="O62" s="447"/>
      <c r="P62" s="448"/>
      <c r="Q62" s="290">
        <f>SUM(Q59:Q61)</f>
        <v>10000</v>
      </c>
      <c r="R62" s="290">
        <f t="shared" ref="R62:U62" si="7">SUM(R59:R61)</f>
        <v>10000</v>
      </c>
      <c r="S62" s="290">
        <f t="shared" si="7"/>
        <v>10000</v>
      </c>
      <c r="T62" s="290">
        <f t="shared" si="7"/>
        <v>10000</v>
      </c>
      <c r="U62" s="290">
        <f t="shared" si="7"/>
        <v>10000</v>
      </c>
      <c r="V62" s="233">
        <f>SUM(Q62:U62)</f>
        <v>50000</v>
      </c>
    </row>
    <row r="63" spans="3:22" x14ac:dyDescent="0.3">
      <c r="C63" s="201" t="s">
        <v>128</v>
      </c>
      <c r="D63" s="202" t="s">
        <v>336</v>
      </c>
      <c r="E63" s="202"/>
      <c r="F63" s="202"/>
      <c r="G63" s="202"/>
      <c r="H63" s="269"/>
      <c r="I63" s="202"/>
      <c r="L63" s="529"/>
      <c r="N63"/>
      <c r="O63"/>
    </row>
    <row r="64" spans="3:22" x14ac:dyDescent="0.3">
      <c r="D64" s="202"/>
      <c r="E64" s="202"/>
      <c r="F64" s="202"/>
      <c r="G64" s="202"/>
      <c r="H64" s="269"/>
      <c r="I64" s="202"/>
      <c r="K64" s="397" t="str">
        <f>D63</f>
        <v>Capital Contributions</v>
      </c>
      <c r="L64" s="487" t="s">
        <v>6</v>
      </c>
      <c r="M64" s="286" t="s">
        <v>118</v>
      </c>
      <c r="N64" s="230" t="str">
        <f t="shared" ref="N64:U64" si="8">N$168</f>
        <v>2017-18</v>
      </c>
      <c r="O64" s="422" t="str">
        <f t="shared" si="8"/>
        <v>2018-19</v>
      </c>
      <c r="P64" s="539" t="str">
        <f t="shared" si="8"/>
        <v>2019-20</v>
      </c>
      <c r="Q64" s="267" t="str">
        <f t="shared" si="8"/>
        <v>2020-21</v>
      </c>
      <c r="R64" s="230" t="str">
        <f t="shared" si="8"/>
        <v>2021-22</v>
      </c>
      <c r="S64" s="230" t="str">
        <f t="shared" si="8"/>
        <v>2022-23</v>
      </c>
      <c r="T64" s="230" t="str">
        <f t="shared" si="8"/>
        <v>2023-24</v>
      </c>
      <c r="U64" s="230" t="str">
        <f t="shared" si="8"/>
        <v>2024-25</v>
      </c>
      <c r="V64" s="230" t="s">
        <v>17</v>
      </c>
    </row>
    <row r="65" spans="1:25" x14ac:dyDescent="0.3">
      <c r="D65" s="202"/>
      <c r="E65" s="202"/>
      <c r="F65" s="202"/>
      <c r="G65" s="202"/>
      <c r="H65" s="269"/>
      <c r="I65" s="202"/>
      <c r="K65" s="535" t="s">
        <v>348</v>
      </c>
      <c r="L65" s="522" t="s">
        <v>85</v>
      </c>
      <c r="M65" s="523">
        <f>Basis_Capex</f>
        <v>43617</v>
      </c>
      <c r="N65" s="447"/>
      <c r="O65" s="447"/>
      <c r="P65" s="448"/>
      <c r="Q65" s="262"/>
      <c r="R65" s="263"/>
      <c r="S65" s="263"/>
      <c r="T65" s="263"/>
      <c r="U65" s="263"/>
      <c r="V65" s="231">
        <f>SUM(P65:U65)</f>
        <v>0</v>
      </c>
    </row>
    <row r="66" spans="1:25" x14ac:dyDescent="0.3">
      <c r="D66" s="202"/>
      <c r="E66" s="202"/>
      <c r="F66" s="202"/>
      <c r="G66" s="202"/>
      <c r="H66" s="269"/>
      <c r="I66" s="202"/>
      <c r="K66" s="535" t="s">
        <v>349</v>
      </c>
      <c r="L66" s="524" t="str">
        <f>$L$65</f>
        <v>$dollars</v>
      </c>
      <c r="M66" s="523">
        <f>Basis_Capex</f>
        <v>43617</v>
      </c>
      <c r="N66" s="447"/>
      <c r="O66" s="447"/>
      <c r="P66" s="448"/>
      <c r="Q66" s="262"/>
      <c r="R66" s="263"/>
      <c r="S66" s="263"/>
      <c r="T66" s="263"/>
      <c r="U66" s="263"/>
      <c r="V66" s="231">
        <f>SUM(P66:U66)</f>
        <v>0</v>
      </c>
    </row>
    <row r="67" spans="1:25" x14ac:dyDescent="0.3">
      <c r="D67" s="202"/>
      <c r="E67" s="202"/>
      <c r="F67" s="202"/>
      <c r="G67" s="202"/>
      <c r="H67" s="269"/>
      <c r="I67" s="202"/>
      <c r="K67" s="535" t="s">
        <v>350</v>
      </c>
      <c r="L67" s="524" t="str">
        <f t="shared" ref="L67:L68" si="9">$L$65</f>
        <v>$dollars</v>
      </c>
      <c r="M67" s="523">
        <f>Basis_Capex</f>
        <v>43617</v>
      </c>
      <c r="N67" s="447"/>
      <c r="O67" s="447"/>
      <c r="P67" s="448"/>
      <c r="Q67" s="262"/>
      <c r="R67" s="263"/>
      <c r="S67" s="263"/>
      <c r="T67" s="263"/>
      <c r="U67" s="263"/>
      <c r="V67" s="231">
        <f>SUM(P67:U67)</f>
        <v>0</v>
      </c>
    </row>
    <row r="68" spans="1:25" x14ac:dyDescent="0.3">
      <c r="D68" s="202"/>
      <c r="E68" s="202"/>
      <c r="F68" s="202"/>
      <c r="G68" s="202"/>
      <c r="H68" s="269"/>
      <c r="I68" s="202"/>
      <c r="K68" s="275" t="s">
        <v>17</v>
      </c>
      <c r="L68" s="525" t="str">
        <f t="shared" si="9"/>
        <v>$dollars</v>
      </c>
      <c r="M68" s="526">
        <f>Basis_Capex</f>
        <v>43617</v>
      </c>
      <c r="N68" s="447"/>
      <c r="O68" s="447"/>
      <c r="P68" s="448"/>
      <c r="Q68" s="290">
        <f>SUM(Q65:Q67)</f>
        <v>0</v>
      </c>
      <c r="R68" s="290">
        <f t="shared" ref="R68" si="10">SUM(R65:R67)</f>
        <v>0</v>
      </c>
      <c r="S68" s="290">
        <f t="shared" ref="S68" si="11">SUM(S65:S67)</f>
        <v>0</v>
      </c>
      <c r="T68" s="290">
        <f t="shared" ref="T68" si="12">SUM(T65:T67)</f>
        <v>0</v>
      </c>
      <c r="U68" s="290">
        <f t="shared" ref="U68" si="13">SUM(U65:U67)</f>
        <v>0</v>
      </c>
      <c r="V68" s="233">
        <f>SUM(Q68:U68)</f>
        <v>0</v>
      </c>
    </row>
    <row r="69" spans="1:25" x14ac:dyDescent="0.3">
      <c r="D69" s="202"/>
      <c r="E69" s="202"/>
      <c r="F69" s="202"/>
      <c r="G69" s="202"/>
      <c r="H69" s="269"/>
      <c r="I69" s="202"/>
      <c r="L69" s="529"/>
      <c r="N69"/>
      <c r="O69"/>
    </row>
    <row r="70" spans="1:25" x14ac:dyDescent="0.3">
      <c r="D70" s="202"/>
      <c r="E70" s="202"/>
      <c r="F70" s="202"/>
      <c r="G70" s="202"/>
      <c r="H70" s="202"/>
      <c r="I70" s="202"/>
    </row>
    <row r="71" spans="1:25" x14ac:dyDescent="0.3">
      <c r="A71" s="690" t="str">
        <f>LEFT(A41,1)+1&amp;". Labour Rates, Hours &amp; Costs"</f>
        <v>4. Labour Rates, Hours &amp; Costs</v>
      </c>
      <c r="B71" s="690"/>
      <c r="C71" s="690"/>
      <c r="D71" s="690"/>
      <c r="E71" s="690"/>
      <c r="F71" s="690"/>
      <c r="G71" s="690"/>
      <c r="H71" s="690"/>
      <c r="I71" s="690"/>
      <c r="J71" s="690"/>
      <c r="K71" s="690"/>
      <c r="L71" s="490"/>
      <c r="M71" s="490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</row>
    <row r="72" spans="1:25" customFormat="1" x14ac:dyDescent="0.3">
      <c r="L72" s="202"/>
      <c r="M72" s="202"/>
    </row>
    <row r="73" spans="1:25" outlineLevel="1" x14ac:dyDescent="0.3">
      <c r="C73" s="201" t="s">
        <v>7</v>
      </c>
      <c r="D73" s="202" t="s">
        <v>120</v>
      </c>
      <c r="E73" s="202"/>
      <c r="F73" s="202"/>
      <c r="G73" s="202"/>
      <c r="H73" s="202"/>
      <c r="I73" s="202"/>
    </row>
    <row r="74" spans="1:25" outlineLevel="2" x14ac:dyDescent="0.3">
      <c r="D74" s="202"/>
      <c r="E74" s="202"/>
      <c r="F74" s="202"/>
      <c r="G74" s="202"/>
      <c r="H74" s="202"/>
      <c r="I74" s="202"/>
      <c r="P74"/>
      <c r="Q74"/>
      <c r="R74"/>
      <c r="S74"/>
      <c r="T74"/>
      <c r="U74"/>
      <c r="V74"/>
      <c r="W74"/>
      <c r="X74"/>
      <c r="Y74"/>
    </row>
    <row r="75" spans="1:25" outlineLevel="2" x14ac:dyDescent="0.3">
      <c r="D75" s="202"/>
      <c r="E75" s="202"/>
      <c r="F75"/>
      <c r="G75"/>
      <c r="H75"/>
      <c r="I75"/>
      <c r="J75"/>
      <c r="K75" s="121" t="s">
        <v>1</v>
      </c>
      <c r="L75" s="121" t="s">
        <v>6</v>
      </c>
      <c r="M75" s="121" t="s">
        <v>118</v>
      </c>
      <c r="N75" s="211"/>
      <c r="O75" s="211"/>
      <c r="P75" s="212" t="s">
        <v>29</v>
      </c>
      <c r="Q75"/>
      <c r="R75"/>
      <c r="S75"/>
      <c r="T75"/>
      <c r="U75"/>
      <c r="V75"/>
      <c r="W75"/>
      <c r="X75"/>
      <c r="Y75"/>
    </row>
    <row r="76" spans="1:25" outlineLevel="2" x14ac:dyDescent="0.3">
      <c r="D76" s="202"/>
      <c r="E76" s="202"/>
      <c r="F76"/>
      <c r="G76"/>
      <c r="H76"/>
      <c r="I76"/>
      <c r="J76"/>
      <c r="K76" s="213" t="s">
        <v>382</v>
      </c>
      <c r="L76" s="214" t="s">
        <v>121</v>
      </c>
      <c r="M76" s="215">
        <f t="shared" ref="M76" si="14">Basis_Capex</f>
        <v>43617</v>
      </c>
      <c r="N76" s="216"/>
      <c r="O76" s="216"/>
      <c r="P76" s="609">
        <v>140</v>
      </c>
      <c r="Q76"/>
      <c r="R76"/>
      <c r="S76"/>
      <c r="T76"/>
      <c r="U76"/>
      <c r="V76"/>
      <c r="W76"/>
      <c r="X76"/>
      <c r="Y76"/>
    </row>
    <row r="77" spans="1:25" outlineLevel="2" x14ac:dyDescent="0.3">
      <c r="D77" s="202"/>
      <c r="E77" s="202"/>
      <c r="F77" s="202"/>
      <c r="G77" s="202"/>
      <c r="H77" s="202"/>
      <c r="I77" s="202"/>
      <c r="K77" s="213" t="s">
        <v>381</v>
      </c>
      <c r="L77" s="214" t="s">
        <v>176</v>
      </c>
      <c r="P77" s="217" t="s">
        <v>28</v>
      </c>
      <c r="Q77"/>
      <c r="R77"/>
    </row>
    <row r="78" spans="1:25" outlineLevel="2" x14ac:dyDescent="0.3">
      <c r="D78" s="202"/>
      <c r="E78" s="202"/>
      <c r="F78" s="202"/>
      <c r="G78" s="202"/>
      <c r="H78" s="202"/>
      <c r="I78" s="202"/>
      <c r="Q78"/>
      <c r="R78"/>
    </row>
    <row r="79" spans="1:25" outlineLevel="1" x14ac:dyDescent="0.3">
      <c r="C79" s="201" t="s">
        <v>8</v>
      </c>
      <c r="D79" s="202" t="s">
        <v>122</v>
      </c>
      <c r="E79" s="202"/>
    </row>
    <row r="80" spans="1:25" outlineLevel="1" x14ac:dyDescent="0.3">
      <c r="D80" s="202"/>
      <c r="E80" s="202"/>
    </row>
    <row r="81" spans="4:25" outlineLevel="2" x14ac:dyDescent="0.3">
      <c r="D81" s="202"/>
      <c r="E81" s="202"/>
      <c r="P81" s="210">
        <v>1</v>
      </c>
      <c r="Q81" s="210">
        <v>2</v>
      </c>
      <c r="R81" s="210">
        <v>3</v>
      </c>
      <c r="S81" s="210">
        <v>4</v>
      </c>
      <c r="T81" s="210">
        <v>5</v>
      </c>
      <c r="U81" s="210">
        <v>6</v>
      </c>
      <c r="V81" s="210">
        <v>7</v>
      </c>
      <c r="W81" s="210">
        <v>8</v>
      </c>
      <c r="X81" s="210">
        <v>9</v>
      </c>
      <c r="Y81" s="210">
        <v>10</v>
      </c>
    </row>
    <row r="82" spans="4:25" ht="39" outlineLevel="2" x14ac:dyDescent="0.3">
      <c r="D82" s="202"/>
      <c r="E82" s="202"/>
      <c r="F82" s="121" t="str">
        <f>I_MeterTypes[[#Headers],[Meter Type]]</f>
        <v>Meter Type</v>
      </c>
      <c r="G82" s="121" t="str">
        <f>I_MeterTypes[[#Headers],[RIN Subcategory 1]]</f>
        <v>RIN Subcategory 1</v>
      </c>
      <c r="H82" s="121" t="str">
        <f>I_MeterTypes[[#Headers],[RIN Subcategory 2]]</f>
        <v>RIN Subcategory 2</v>
      </c>
      <c r="I82" s="121" t="str">
        <f>I_MeterTypes[[#Headers],[AER Type]]</f>
        <v>AER Type</v>
      </c>
      <c r="J82" s="121" t="str">
        <f>I_MeterTypes[[#Headers],[RIN Subcategory 3]]</f>
        <v>RIN Subcategory 3</v>
      </c>
      <c r="K82" s="121" t="str">
        <f>I_MeterTypes[[#Headers],[Meter Code]]</f>
        <v>Meter Code</v>
      </c>
      <c r="L82" s="121" t="s">
        <v>6</v>
      </c>
      <c r="P82" s="212" t="str" cm="1">
        <f t="array" ref="P82:Y82">TRANSPOSE($G$29:$G$38)</f>
        <v>New Meter Installations - Growth</v>
      </c>
      <c r="Q82" s="212" t="str">
        <v>Refurbished meters</v>
      </c>
      <c r="R82" s="212" t="str">
        <v>Replacements - End of life</v>
      </c>
      <c r="S82" s="212" t="str">
        <v>Replacements - Failures and faults</v>
      </c>
      <c r="T82" s="212">
        <v>0</v>
      </c>
      <c r="U82" s="212">
        <v>0</v>
      </c>
      <c r="V82" s="212">
        <v>0</v>
      </c>
      <c r="W82" s="212">
        <v>0</v>
      </c>
      <c r="X82" s="212">
        <v>0</v>
      </c>
      <c r="Y82" s="212" t="str">
        <v>Meter abolishments</v>
      </c>
    </row>
    <row r="83" spans="4:25" outlineLevel="2" x14ac:dyDescent="0.3">
      <c r="D83" s="202"/>
      <c r="E83" s="202"/>
      <c r="F83" s="213" t="str" cm="1">
        <f t="array" ref="F83:F97">I_MeterTypes[Meter Type]</f>
        <v>AMI - Single Phase, single element</v>
      </c>
      <c r="G83" s="213" t="str" cm="1">
        <f t="array" ref="G83:G97">I_MeterTypes[RIN Subcategory 1]</f>
        <v>Single Phase Meter Population</v>
      </c>
      <c r="H83" s="213" t="str" cm="1">
        <f t="array" ref="H83:H97">I_MeterTypes[RIN Subcategory 2]</f>
        <v>Other</v>
      </c>
      <c r="I83" s="213" t="str" cm="1">
        <f t="array" ref="I83:I97">I_MeterTypes[AER Type]</f>
        <v>Meter Type 4</v>
      </c>
      <c r="J83" s="213" t="str" cm="1">
        <f t="array" ref="J83:J97">I_MeterTypes[RIN Subcategory 3]</f>
        <v>Single phase single element - AMI</v>
      </c>
      <c r="K83" s="213" t="str" cm="1">
        <f t="array" ref="K83:K97">I_MeterTypes[Meter Code]</f>
        <v>AMI 1ph 1e</v>
      </c>
      <c r="L83" s="214" t="s">
        <v>119</v>
      </c>
      <c r="P83" s="392"/>
      <c r="Q83" s="393"/>
      <c r="R83" s="392">
        <v>2</v>
      </c>
      <c r="S83" s="392">
        <v>2</v>
      </c>
      <c r="T83" s="393"/>
      <c r="U83" s="393"/>
      <c r="V83" s="393"/>
      <c r="W83" s="393"/>
      <c r="X83" s="393"/>
      <c r="Y83" s="393"/>
    </row>
    <row r="84" spans="4:25" outlineLevel="2" x14ac:dyDescent="0.3">
      <c r="D84" s="202"/>
      <c r="E84" s="202"/>
      <c r="F84" s="213" t="str">
        <v>AMI - Single Phase, two element</v>
      </c>
      <c r="G84" s="213" t="str">
        <v>Single Phase Meter Population</v>
      </c>
      <c r="H84" s="213" t="str">
        <v>Other</v>
      </c>
      <c r="I84" s="213" t="str">
        <v>Meter Type 4</v>
      </c>
      <c r="J84" s="218" t="str">
        <v>Single phase two element with contactor - AMI</v>
      </c>
      <c r="K84" s="218" t="str">
        <v>AMI 1ph 2e</v>
      </c>
      <c r="L84" s="214" t="s">
        <v>119</v>
      </c>
      <c r="P84" s="392"/>
      <c r="Q84" s="393"/>
      <c r="R84" s="392">
        <v>2</v>
      </c>
      <c r="S84" s="392">
        <v>2</v>
      </c>
      <c r="T84" s="393"/>
      <c r="U84" s="393"/>
      <c r="V84" s="393"/>
      <c r="W84" s="393"/>
      <c r="X84" s="393"/>
      <c r="Y84" s="393"/>
    </row>
    <row r="85" spans="4:25" outlineLevel="2" x14ac:dyDescent="0.3">
      <c r="D85" s="202"/>
      <c r="E85" s="202"/>
      <c r="F85" s="213" t="str">
        <v>AMI - 3 Phase DC</v>
      </c>
      <c r="G85" s="213" t="str">
        <v>Multi Phase Meter Population</v>
      </c>
      <c r="H85" s="213" t="str">
        <v>Direct Connect Meter Population</v>
      </c>
      <c r="I85" s="213" t="str">
        <v>Meter Type 4</v>
      </c>
      <c r="J85" s="218" t="str">
        <v>Three phase - AMI</v>
      </c>
      <c r="K85" s="218" t="str">
        <v>AMI 3ph DC</v>
      </c>
      <c r="L85" s="214" t="s">
        <v>119</v>
      </c>
      <c r="P85" s="392"/>
      <c r="Q85" s="393"/>
      <c r="R85" s="392">
        <v>2</v>
      </c>
      <c r="S85" s="392">
        <v>2</v>
      </c>
      <c r="T85" s="393"/>
      <c r="U85" s="393"/>
      <c r="V85" s="393"/>
      <c r="W85" s="393"/>
      <c r="X85" s="393"/>
      <c r="Y85" s="393"/>
    </row>
    <row r="86" spans="4:25" outlineLevel="2" x14ac:dyDescent="0.3">
      <c r="D86" s="202"/>
      <c r="E86" s="202"/>
      <c r="F86" s="213" t="str">
        <v>AMI 3Ph CT</v>
      </c>
      <c r="G86" s="213" t="str">
        <v>Multi Phase Meter Population</v>
      </c>
      <c r="H86" s="213" t="str">
        <v>Current Transformer Connected Meter Population</v>
      </c>
      <c r="I86" s="213" t="str">
        <v>Meter Type 4</v>
      </c>
      <c r="J86" s="218">
        <v>0</v>
      </c>
      <c r="K86" s="218" t="str">
        <v>AMI 3ph CT</v>
      </c>
      <c r="L86" s="214" t="s">
        <v>119</v>
      </c>
      <c r="P86" s="392"/>
      <c r="Q86" s="393"/>
      <c r="R86" s="392">
        <v>5</v>
      </c>
      <c r="S86" s="392">
        <v>5</v>
      </c>
      <c r="T86" s="393"/>
      <c r="U86" s="393"/>
      <c r="V86" s="393"/>
      <c r="W86" s="393"/>
      <c r="X86" s="393"/>
      <c r="Y86" s="393"/>
    </row>
    <row r="87" spans="4:25" outlineLevel="2" x14ac:dyDescent="0.3">
      <c r="D87" s="202"/>
      <c r="E87" s="202"/>
      <c r="F87" s="213" t="str">
        <v>Non AMI - Type 5 Locally read Interval - Single Phase</v>
      </c>
      <c r="G87" s="213" t="str">
        <v>Single Phase Meter Population</v>
      </c>
      <c r="H87" s="213" t="str">
        <v>Direct Connect Meter Population</v>
      </c>
      <c r="I87" s="213" t="str">
        <v>Meter Type 5</v>
      </c>
      <c r="J87" s="218">
        <v>0</v>
      </c>
      <c r="K87" s="218" t="str">
        <v>INT 1ph</v>
      </c>
      <c r="L87" s="214" t="s">
        <v>119</v>
      </c>
      <c r="P87" s="392"/>
      <c r="Q87" s="393"/>
      <c r="R87" s="392">
        <v>2</v>
      </c>
      <c r="S87" s="392">
        <v>2</v>
      </c>
      <c r="T87" s="393"/>
      <c r="U87" s="393"/>
      <c r="V87" s="393"/>
      <c r="W87" s="393"/>
      <c r="X87" s="393"/>
      <c r="Y87" s="393"/>
    </row>
    <row r="88" spans="4:25" outlineLevel="2" x14ac:dyDescent="0.3">
      <c r="D88" s="202"/>
      <c r="E88" s="202"/>
      <c r="F88" s="213" t="str">
        <v>Non AMI - Type 5 Locally read Interval - 3 Phase</v>
      </c>
      <c r="G88" s="213" t="str">
        <v>Single Phase Meter Population</v>
      </c>
      <c r="H88" s="213" t="str">
        <v>Direct Connect Meter Population</v>
      </c>
      <c r="I88" s="213" t="str">
        <v>Meter Type 5</v>
      </c>
      <c r="J88" s="218">
        <v>0</v>
      </c>
      <c r="K88" s="218" t="str">
        <v>INT 3ph</v>
      </c>
      <c r="L88" s="214" t="s">
        <v>119</v>
      </c>
      <c r="P88" s="392"/>
      <c r="Q88" s="393"/>
      <c r="R88" s="392">
        <v>3</v>
      </c>
      <c r="S88" s="392">
        <v>3</v>
      </c>
      <c r="T88" s="393"/>
      <c r="U88" s="393"/>
      <c r="V88" s="393"/>
      <c r="W88" s="393"/>
      <c r="X88" s="393"/>
      <c r="Y88" s="393"/>
    </row>
    <row r="89" spans="4:25" outlineLevel="2" x14ac:dyDescent="0.3">
      <c r="D89" s="202"/>
      <c r="E89" s="202"/>
      <c r="F89" s="213" t="str">
        <v>Non AMI - Type 5 Locally read Interval - 3 Phase - CT</v>
      </c>
      <c r="G89" s="213" t="str">
        <v>Multi Phase Meter Population</v>
      </c>
      <c r="H89" s="213" t="str">
        <v>Current Transformer Connected Meter Population</v>
      </c>
      <c r="I89" s="213" t="str">
        <v>Meter Type 5</v>
      </c>
      <c r="J89" s="218">
        <v>0</v>
      </c>
      <c r="K89" s="218" t="str">
        <v>INT 3ph CT</v>
      </c>
      <c r="L89" s="214" t="s">
        <v>119</v>
      </c>
      <c r="P89" s="392"/>
      <c r="Q89" s="393"/>
      <c r="R89" s="392">
        <v>5</v>
      </c>
      <c r="S89" s="392">
        <v>5</v>
      </c>
      <c r="T89" s="393"/>
      <c r="U89" s="393"/>
      <c r="V89" s="393"/>
      <c r="W89" s="393"/>
      <c r="X89" s="393"/>
      <c r="Y89" s="393"/>
    </row>
    <row r="90" spans="4:25" outlineLevel="2" x14ac:dyDescent="0.3">
      <c r="D90" s="202"/>
      <c r="E90" s="202"/>
      <c r="F90" s="213" t="str">
        <v>Non AMI - Type 6 Locally read Accumulation - Single Phase</v>
      </c>
      <c r="G90" s="213" t="str">
        <v>Multi Phase Meter Population</v>
      </c>
      <c r="H90" s="213" t="str">
        <v>Direct Connect Meter Population</v>
      </c>
      <c r="I90" s="213" t="str">
        <v>Meter Type 6</v>
      </c>
      <c r="J90" s="218">
        <v>0</v>
      </c>
      <c r="K90" s="218" t="str">
        <v>ACC 1ph</v>
      </c>
      <c r="L90" s="214" t="s">
        <v>119</v>
      </c>
      <c r="P90" s="392"/>
      <c r="Q90" s="393"/>
      <c r="R90" s="392">
        <v>2</v>
      </c>
      <c r="S90" s="392">
        <v>2</v>
      </c>
      <c r="T90" s="393"/>
      <c r="U90" s="393"/>
      <c r="V90" s="393"/>
      <c r="W90" s="393"/>
      <c r="X90" s="393"/>
      <c r="Y90" s="393"/>
    </row>
    <row r="91" spans="4:25" outlineLevel="2" x14ac:dyDescent="0.3">
      <c r="D91" s="202"/>
      <c r="E91" s="202"/>
      <c r="F91" s="213" t="str">
        <v>Non AMI - Type 6 Locally read Accumulation - 3 Phase</v>
      </c>
      <c r="G91" s="213">
        <v>0</v>
      </c>
      <c r="H91" s="213" t="str">
        <v>Direct Connect Meter Population</v>
      </c>
      <c r="I91" s="213" t="str">
        <v>Meter Type 6</v>
      </c>
      <c r="J91" s="218">
        <v>0</v>
      </c>
      <c r="K91" s="218" t="str">
        <v>ACC 3ph</v>
      </c>
      <c r="L91" s="214" t="s">
        <v>119</v>
      </c>
      <c r="P91" s="392"/>
      <c r="Q91" s="393"/>
      <c r="R91" s="392">
        <v>3</v>
      </c>
      <c r="S91" s="392">
        <v>3</v>
      </c>
      <c r="T91" s="393"/>
      <c r="U91" s="393"/>
      <c r="V91" s="393"/>
      <c r="W91" s="393"/>
      <c r="X91" s="393"/>
      <c r="Y91" s="393"/>
    </row>
    <row r="92" spans="4:25" outlineLevel="2" x14ac:dyDescent="0.3">
      <c r="D92" s="202"/>
      <c r="E92" s="202"/>
      <c r="F92" s="213">
        <v>0</v>
      </c>
      <c r="G92" s="213">
        <v>0</v>
      </c>
      <c r="H92" s="213">
        <v>0</v>
      </c>
      <c r="I92" s="213">
        <v>0</v>
      </c>
      <c r="J92" s="218">
        <v>0</v>
      </c>
      <c r="K92" s="218">
        <v>0</v>
      </c>
      <c r="L92" s="214" t="s">
        <v>119</v>
      </c>
      <c r="P92" s="392"/>
      <c r="Q92" s="393"/>
      <c r="R92" s="393"/>
      <c r="S92" s="393"/>
      <c r="T92" s="393"/>
      <c r="U92" s="393"/>
      <c r="V92" s="393"/>
      <c r="W92" s="393"/>
      <c r="X92" s="393"/>
      <c r="Y92" s="393"/>
    </row>
    <row r="93" spans="4:25" outlineLevel="2" x14ac:dyDescent="0.3">
      <c r="D93" s="202"/>
      <c r="E93" s="202"/>
      <c r="F93" s="213">
        <v>0</v>
      </c>
      <c r="G93" s="213">
        <v>0</v>
      </c>
      <c r="H93" s="213">
        <v>0</v>
      </c>
      <c r="I93" s="213">
        <v>0</v>
      </c>
      <c r="J93" s="218">
        <v>0</v>
      </c>
      <c r="K93" s="218">
        <v>0</v>
      </c>
      <c r="L93" s="214" t="s">
        <v>119</v>
      </c>
      <c r="P93" s="392"/>
      <c r="Q93" s="393"/>
      <c r="R93" s="393"/>
      <c r="S93" s="393"/>
      <c r="T93" s="393"/>
      <c r="U93" s="393"/>
      <c r="V93" s="393"/>
      <c r="W93" s="393"/>
      <c r="X93" s="393"/>
      <c r="Y93" s="393"/>
    </row>
    <row r="94" spans="4:25" outlineLevel="2" x14ac:dyDescent="0.3">
      <c r="D94" s="202"/>
      <c r="E94" s="202"/>
      <c r="F94" s="213">
        <v>0</v>
      </c>
      <c r="G94" s="213">
        <v>0</v>
      </c>
      <c r="H94" s="213">
        <v>0</v>
      </c>
      <c r="I94" s="213">
        <v>0</v>
      </c>
      <c r="J94" s="218">
        <v>0</v>
      </c>
      <c r="K94" s="218">
        <v>0</v>
      </c>
      <c r="L94" s="214" t="s">
        <v>119</v>
      </c>
      <c r="P94" s="392"/>
      <c r="Q94" s="393"/>
      <c r="R94" s="393"/>
      <c r="S94" s="393"/>
      <c r="T94" s="393"/>
      <c r="U94" s="393"/>
      <c r="V94" s="393"/>
      <c r="W94" s="393"/>
      <c r="X94" s="393"/>
      <c r="Y94" s="393"/>
    </row>
    <row r="95" spans="4:25" outlineLevel="2" x14ac:dyDescent="0.3">
      <c r="D95" s="202"/>
      <c r="E95" s="202"/>
      <c r="F95" s="213">
        <v>0</v>
      </c>
      <c r="G95" s="213">
        <v>0</v>
      </c>
      <c r="H95" s="213">
        <v>0</v>
      </c>
      <c r="I95" s="213">
        <v>0</v>
      </c>
      <c r="J95" s="218">
        <v>0</v>
      </c>
      <c r="K95" s="218">
        <v>0</v>
      </c>
      <c r="L95" s="214" t="s">
        <v>119</v>
      </c>
      <c r="P95" s="392"/>
      <c r="Q95" s="393"/>
      <c r="R95" s="393"/>
      <c r="S95" s="393"/>
      <c r="T95" s="393"/>
      <c r="U95" s="393"/>
      <c r="V95" s="393"/>
      <c r="W95" s="393"/>
      <c r="X95" s="393"/>
      <c r="Y95" s="393"/>
    </row>
    <row r="96" spans="4:25" outlineLevel="2" x14ac:dyDescent="0.3">
      <c r="D96" s="202"/>
      <c r="E96" s="202"/>
      <c r="F96" s="213">
        <v>0</v>
      </c>
      <c r="G96" s="213">
        <v>0</v>
      </c>
      <c r="H96" s="213">
        <v>0</v>
      </c>
      <c r="I96" s="213">
        <v>0</v>
      </c>
      <c r="J96" s="218">
        <v>0</v>
      </c>
      <c r="K96" s="218">
        <v>0</v>
      </c>
      <c r="L96" s="214" t="s">
        <v>119</v>
      </c>
      <c r="P96" s="392"/>
      <c r="Q96" s="393"/>
      <c r="R96" s="393"/>
      <c r="S96" s="393"/>
      <c r="T96" s="393"/>
      <c r="U96" s="393"/>
      <c r="V96" s="393"/>
      <c r="W96" s="393"/>
      <c r="X96" s="393"/>
      <c r="Y96" s="393"/>
    </row>
    <row r="97" spans="3:25" outlineLevel="2" x14ac:dyDescent="0.3">
      <c r="D97" s="202"/>
      <c r="E97" s="202"/>
      <c r="F97" s="213">
        <v>0</v>
      </c>
      <c r="G97" s="213">
        <v>0</v>
      </c>
      <c r="H97" s="213">
        <v>0</v>
      </c>
      <c r="I97" s="213">
        <v>0</v>
      </c>
      <c r="J97" s="218">
        <v>0</v>
      </c>
      <c r="K97" s="218">
        <v>0</v>
      </c>
      <c r="L97" s="214" t="s">
        <v>119</v>
      </c>
      <c r="P97" s="392"/>
      <c r="Q97" s="393"/>
      <c r="R97" s="393"/>
      <c r="S97" s="393"/>
      <c r="T97" s="393"/>
      <c r="U97" s="393"/>
      <c r="V97" s="393"/>
      <c r="W97" s="393"/>
      <c r="X97" s="393"/>
      <c r="Y97" s="393"/>
    </row>
    <row r="98" spans="3:25" outlineLevel="2" x14ac:dyDescent="0.3">
      <c r="D98" s="202"/>
      <c r="E98" s="202"/>
    </row>
    <row r="99" spans="3:25" outlineLevel="1" x14ac:dyDescent="0.3">
      <c r="C99" s="201" t="s">
        <v>9</v>
      </c>
      <c r="D99" s="202" t="s">
        <v>123</v>
      </c>
      <c r="E99" s="202"/>
      <c r="G99" s="202"/>
      <c r="H99" s="202"/>
      <c r="I99" s="202"/>
    </row>
    <row r="100" spans="3:25" outlineLevel="2" x14ac:dyDescent="0.3">
      <c r="D100" s="202"/>
      <c r="E100" s="202"/>
      <c r="F100" s="202"/>
      <c r="G100" s="202"/>
      <c r="H100" s="202"/>
      <c r="I100" s="202"/>
    </row>
    <row r="101" spans="3:25" outlineLevel="3" x14ac:dyDescent="0.3">
      <c r="P101" s="210">
        <v>1</v>
      </c>
      <c r="Q101" s="210">
        <v>2</v>
      </c>
      <c r="R101" s="210">
        <v>3</v>
      </c>
      <c r="S101" s="210">
        <v>4</v>
      </c>
      <c r="T101" s="210">
        <v>5</v>
      </c>
      <c r="U101" s="210">
        <v>6</v>
      </c>
      <c r="V101" s="210">
        <v>7</v>
      </c>
      <c r="W101" s="210">
        <v>8</v>
      </c>
      <c r="X101" s="210">
        <v>9</v>
      </c>
      <c r="Y101" s="210">
        <v>10</v>
      </c>
    </row>
    <row r="102" spans="3:25" ht="33.75" customHeight="1" outlineLevel="3" x14ac:dyDescent="0.25">
      <c r="F102" s="121" t="str">
        <f>I_MeterTypes[[#Headers],[Meter Type]]</f>
        <v>Meter Type</v>
      </c>
      <c r="G102" s="121" t="str">
        <f>I_MeterTypes[[#Headers],[RIN Subcategory 1]]</f>
        <v>RIN Subcategory 1</v>
      </c>
      <c r="H102" s="121" t="str">
        <f>I_MeterTypes[[#Headers],[RIN Subcategory 2]]</f>
        <v>RIN Subcategory 2</v>
      </c>
      <c r="I102" s="121" t="str">
        <f>I_MeterTypes[[#Headers],[AER Type]]</f>
        <v>AER Type</v>
      </c>
      <c r="J102" s="121" t="str">
        <f>I_MeterTypes[[#Headers],[RIN Subcategory 3]]</f>
        <v>RIN Subcategory 3</v>
      </c>
      <c r="K102" s="121" t="str">
        <f>I_MeterTypes[[#Headers],[Meter Code]]</f>
        <v>Meter Code</v>
      </c>
      <c r="L102" s="121" t="s">
        <v>6</v>
      </c>
      <c r="M102" s="121" t="s">
        <v>118</v>
      </c>
      <c r="P102" s="212" t="str">
        <f>P$82</f>
        <v>New Meter Installations - Growth</v>
      </c>
      <c r="Q102" s="212" t="str">
        <f t="shared" ref="Q102:Y102" si="15">Q$82</f>
        <v>Refurbished meters</v>
      </c>
      <c r="R102" s="212" t="str">
        <f t="shared" si="15"/>
        <v>Replacements - End of life</v>
      </c>
      <c r="S102" s="212" t="str">
        <f t="shared" si="15"/>
        <v>Replacements - Failures and faults</v>
      </c>
      <c r="T102" s="212">
        <f t="shared" si="15"/>
        <v>0</v>
      </c>
      <c r="U102" s="212">
        <f t="shared" si="15"/>
        <v>0</v>
      </c>
      <c r="V102" s="212">
        <f t="shared" si="15"/>
        <v>0</v>
      </c>
      <c r="W102" s="212">
        <f t="shared" si="15"/>
        <v>0</v>
      </c>
      <c r="X102" s="212">
        <f t="shared" si="15"/>
        <v>0</v>
      </c>
      <c r="Y102" s="212" t="str">
        <f t="shared" si="15"/>
        <v>Meter abolishments</v>
      </c>
    </row>
    <row r="103" spans="3:25" ht="12.5" outlineLevel="3" x14ac:dyDescent="0.25">
      <c r="F103" s="213" t="str" cm="1">
        <f t="array" ref="F103:F117">I_MeterTypes[Meter Type]</f>
        <v>AMI - Single Phase, single element</v>
      </c>
      <c r="G103" s="213" t="str" cm="1">
        <f t="array" ref="G103:G117">I_MeterTypes[RIN Subcategory 1]</f>
        <v>Single Phase Meter Population</v>
      </c>
      <c r="H103" s="213" t="str" cm="1">
        <f t="array" ref="H103:H117">I_MeterTypes[RIN Subcategory 2]</f>
        <v>Other</v>
      </c>
      <c r="I103" s="213" t="str" cm="1">
        <f t="array" ref="I103:I117">I_MeterTypes[AER Type]</f>
        <v>Meter Type 4</v>
      </c>
      <c r="J103" s="213" t="str" cm="1">
        <f t="array" ref="J103:J117">I_MeterTypes[RIN Subcategory 3]</f>
        <v>Single phase single element - AMI</v>
      </c>
      <c r="K103" s="213" t="str" cm="1">
        <f t="array" ref="K103:K117">I_MeterTypes[Meter Code]</f>
        <v>AMI 1ph 1e</v>
      </c>
      <c r="L103" s="221" t="s">
        <v>85</v>
      </c>
      <c r="M103" s="222">
        <f t="shared" ref="M103:M117" si="16">Basis_Capex</f>
        <v>43617</v>
      </c>
      <c r="P103" s="610" cm="1">
        <f t="array" ref="P103:Y117">ICM_Rates*ICM_Hrs</f>
        <v>0</v>
      </c>
      <c r="Q103" s="611">
        <v>0</v>
      </c>
      <c r="R103" s="611">
        <v>280</v>
      </c>
      <c r="S103" s="611">
        <v>280</v>
      </c>
      <c r="T103" s="611">
        <v>0</v>
      </c>
      <c r="U103" s="611">
        <v>0</v>
      </c>
      <c r="V103" s="611">
        <v>0</v>
      </c>
      <c r="W103" s="611">
        <v>0</v>
      </c>
      <c r="X103" s="611">
        <v>0</v>
      </c>
      <c r="Y103" s="611">
        <v>0</v>
      </c>
    </row>
    <row r="104" spans="3:25" ht="12.5" outlineLevel="3" x14ac:dyDescent="0.25">
      <c r="F104" s="213" t="str">
        <v>AMI - Single Phase, two element</v>
      </c>
      <c r="G104" s="213" t="str">
        <v>Single Phase Meter Population</v>
      </c>
      <c r="H104" s="213" t="str">
        <v>Other</v>
      </c>
      <c r="I104" s="213" t="str">
        <v>Meter Type 4</v>
      </c>
      <c r="J104" s="218" t="str">
        <v>Single phase two element with contactor - AMI</v>
      </c>
      <c r="K104" s="218" t="str">
        <v>AMI 1ph 2e</v>
      </c>
      <c r="L104" s="221" t="s">
        <v>85</v>
      </c>
      <c r="M104" s="222">
        <f t="shared" si="16"/>
        <v>43617</v>
      </c>
      <c r="P104" s="610">
        <v>0</v>
      </c>
      <c r="Q104" s="611">
        <v>0</v>
      </c>
      <c r="R104" s="611">
        <v>280</v>
      </c>
      <c r="S104" s="611">
        <v>280</v>
      </c>
      <c r="T104" s="611">
        <v>0</v>
      </c>
      <c r="U104" s="611">
        <v>0</v>
      </c>
      <c r="V104" s="611">
        <v>0</v>
      </c>
      <c r="W104" s="611">
        <v>0</v>
      </c>
      <c r="X104" s="611">
        <v>0</v>
      </c>
      <c r="Y104" s="611">
        <v>0</v>
      </c>
    </row>
    <row r="105" spans="3:25" ht="12.5" outlineLevel="3" x14ac:dyDescent="0.25">
      <c r="F105" s="213" t="str">
        <v>AMI - 3 Phase DC</v>
      </c>
      <c r="G105" s="213" t="str">
        <v>Multi Phase Meter Population</v>
      </c>
      <c r="H105" s="213" t="str">
        <v>Direct Connect Meter Population</v>
      </c>
      <c r="I105" s="213" t="str">
        <v>Meter Type 4</v>
      </c>
      <c r="J105" s="218" t="str">
        <v>Three phase - AMI</v>
      </c>
      <c r="K105" s="218" t="str">
        <v>AMI 3ph DC</v>
      </c>
      <c r="L105" s="221" t="s">
        <v>85</v>
      </c>
      <c r="M105" s="222">
        <f t="shared" si="16"/>
        <v>43617</v>
      </c>
      <c r="P105" s="610">
        <v>0</v>
      </c>
      <c r="Q105" s="611">
        <v>0</v>
      </c>
      <c r="R105" s="611">
        <v>280</v>
      </c>
      <c r="S105" s="611">
        <v>280</v>
      </c>
      <c r="T105" s="611">
        <v>0</v>
      </c>
      <c r="U105" s="611">
        <v>0</v>
      </c>
      <c r="V105" s="611">
        <v>0</v>
      </c>
      <c r="W105" s="611">
        <v>0</v>
      </c>
      <c r="X105" s="611">
        <v>0</v>
      </c>
      <c r="Y105" s="611">
        <v>0</v>
      </c>
    </row>
    <row r="106" spans="3:25" ht="12.5" outlineLevel="3" x14ac:dyDescent="0.25">
      <c r="F106" s="213" t="str">
        <v>AMI 3Ph CT</v>
      </c>
      <c r="G106" s="213" t="str">
        <v>Multi Phase Meter Population</v>
      </c>
      <c r="H106" s="213" t="str">
        <v>Current Transformer Connected Meter Population</v>
      </c>
      <c r="I106" s="213" t="str">
        <v>Meter Type 4</v>
      </c>
      <c r="J106" s="218">
        <v>0</v>
      </c>
      <c r="K106" s="218" t="str">
        <v>AMI 3ph CT</v>
      </c>
      <c r="L106" s="221" t="s">
        <v>85</v>
      </c>
      <c r="M106" s="222">
        <f t="shared" si="16"/>
        <v>43617</v>
      </c>
      <c r="P106" s="610">
        <v>0</v>
      </c>
      <c r="Q106" s="611">
        <v>0</v>
      </c>
      <c r="R106" s="611">
        <v>700</v>
      </c>
      <c r="S106" s="611">
        <v>700</v>
      </c>
      <c r="T106" s="611">
        <v>0</v>
      </c>
      <c r="U106" s="611">
        <v>0</v>
      </c>
      <c r="V106" s="611">
        <v>0</v>
      </c>
      <c r="W106" s="611">
        <v>0</v>
      </c>
      <c r="X106" s="611">
        <v>0</v>
      </c>
      <c r="Y106" s="611">
        <v>0</v>
      </c>
    </row>
    <row r="107" spans="3:25" ht="12.5" outlineLevel="3" x14ac:dyDescent="0.25">
      <c r="F107" s="213" t="str">
        <v>Non AMI - Type 5 Locally read Interval - Single Phase</v>
      </c>
      <c r="G107" s="213" t="str">
        <v>Single Phase Meter Population</v>
      </c>
      <c r="H107" s="213" t="str">
        <v>Direct Connect Meter Population</v>
      </c>
      <c r="I107" s="213" t="str">
        <v>Meter Type 5</v>
      </c>
      <c r="J107" s="218">
        <v>0</v>
      </c>
      <c r="K107" s="218" t="str">
        <v>INT 1ph</v>
      </c>
      <c r="L107" s="221" t="s">
        <v>85</v>
      </c>
      <c r="M107" s="222">
        <f t="shared" si="16"/>
        <v>43617</v>
      </c>
      <c r="P107" s="610">
        <v>0</v>
      </c>
      <c r="Q107" s="611">
        <v>0</v>
      </c>
      <c r="R107" s="611">
        <v>280</v>
      </c>
      <c r="S107" s="611">
        <v>280</v>
      </c>
      <c r="T107" s="611">
        <v>0</v>
      </c>
      <c r="U107" s="611">
        <v>0</v>
      </c>
      <c r="V107" s="611">
        <v>0</v>
      </c>
      <c r="W107" s="611">
        <v>0</v>
      </c>
      <c r="X107" s="611">
        <v>0</v>
      </c>
      <c r="Y107" s="611">
        <v>0</v>
      </c>
    </row>
    <row r="108" spans="3:25" ht="12.5" outlineLevel="3" x14ac:dyDescent="0.25">
      <c r="F108" s="213" t="str">
        <v>Non AMI - Type 5 Locally read Interval - 3 Phase</v>
      </c>
      <c r="G108" s="213" t="str">
        <v>Single Phase Meter Population</v>
      </c>
      <c r="H108" s="213" t="str">
        <v>Direct Connect Meter Population</v>
      </c>
      <c r="I108" s="213" t="str">
        <v>Meter Type 5</v>
      </c>
      <c r="J108" s="218">
        <v>0</v>
      </c>
      <c r="K108" s="218" t="str">
        <v>INT 3ph</v>
      </c>
      <c r="L108" s="221" t="s">
        <v>85</v>
      </c>
      <c r="M108" s="222">
        <f t="shared" si="16"/>
        <v>43617</v>
      </c>
      <c r="P108" s="610">
        <v>0</v>
      </c>
      <c r="Q108" s="611">
        <v>0</v>
      </c>
      <c r="R108" s="611">
        <v>420</v>
      </c>
      <c r="S108" s="611">
        <v>420</v>
      </c>
      <c r="T108" s="611">
        <v>0</v>
      </c>
      <c r="U108" s="611">
        <v>0</v>
      </c>
      <c r="V108" s="611">
        <v>0</v>
      </c>
      <c r="W108" s="611">
        <v>0</v>
      </c>
      <c r="X108" s="611">
        <v>0</v>
      </c>
      <c r="Y108" s="611">
        <v>0</v>
      </c>
    </row>
    <row r="109" spans="3:25" ht="12.5" outlineLevel="3" x14ac:dyDescent="0.25">
      <c r="F109" s="213" t="str">
        <v>Non AMI - Type 5 Locally read Interval - 3 Phase - CT</v>
      </c>
      <c r="G109" s="213" t="str">
        <v>Multi Phase Meter Population</v>
      </c>
      <c r="H109" s="213" t="str">
        <v>Current Transformer Connected Meter Population</v>
      </c>
      <c r="I109" s="213" t="str">
        <v>Meter Type 5</v>
      </c>
      <c r="J109" s="218">
        <v>0</v>
      </c>
      <c r="K109" s="218" t="str">
        <v>INT 3ph CT</v>
      </c>
      <c r="L109" s="221" t="s">
        <v>85</v>
      </c>
      <c r="M109" s="222">
        <f t="shared" si="16"/>
        <v>43617</v>
      </c>
      <c r="P109" s="610">
        <v>0</v>
      </c>
      <c r="Q109" s="611">
        <v>0</v>
      </c>
      <c r="R109" s="611">
        <v>700</v>
      </c>
      <c r="S109" s="611">
        <v>700</v>
      </c>
      <c r="T109" s="611">
        <v>0</v>
      </c>
      <c r="U109" s="611">
        <v>0</v>
      </c>
      <c r="V109" s="611">
        <v>0</v>
      </c>
      <c r="W109" s="611">
        <v>0</v>
      </c>
      <c r="X109" s="611">
        <v>0</v>
      </c>
      <c r="Y109" s="611">
        <v>0</v>
      </c>
    </row>
    <row r="110" spans="3:25" ht="12.5" outlineLevel="3" x14ac:dyDescent="0.25">
      <c r="F110" s="213" t="str">
        <v>Non AMI - Type 6 Locally read Accumulation - Single Phase</v>
      </c>
      <c r="G110" s="213" t="str">
        <v>Multi Phase Meter Population</v>
      </c>
      <c r="H110" s="213" t="str">
        <v>Direct Connect Meter Population</v>
      </c>
      <c r="I110" s="213" t="str">
        <v>Meter Type 6</v>
      </c>
      <c r="J110" s="218">
        <v>0</v>
      </c>
      <c r="K110" s="218" t="str">
        <v>ACC 1ph</v>
      </c>
      <c r="L110" s="221" t="s">
        <v>85</v>
      </c>
      <c r="M110" s="222">
        <f t="shared" si="16"/>
        <v>43617</v>
      </c>
      <c r="P110" s="610">
        <v>0</v>
      </c>
      <c r="Q110" s="611">
        <v>0</v>
      </c>
      <c r="R110" s="611">
        <v>280</v>
      </c>
      <c r="S110" s="611">
        <v>280</v>
      </c>
      <c r="T110" s="611">
        <v>0</v>
      </c>
      <c r="U110" s="611">
        <v>0</v>
      </c>
      <c r="V110" s="611">
        <v>0</v>
      </c>
      <c r="W110" s="611">
        <v>0</v>
      </c>
      <c r="X110" s="611">
        <v>0</v>
      </c>
      <c r="Y110" s="611">
        <v>0</v>
      </c>
    </row>
    <row r="111" spans="3:25" ht="12.5" outlineLevel="3" x14ac:dyDescent="0.25">
      <c r="F111" s="213" t="str">
        <v>Non AMI - Type 6 Locally read Accumulation - 3 Phase</v>
      </c>
      <c r="G111" s="213">
        <v>0</v>
      </c>
      <c r="H111" s="213" t="str">
        <v>Direct Connect Meter Population</v>
      </c>
      <c r="I111" s="213" t="str">
        <v>Meter Type 6</v>
      </c>
      <c r="J111" s="218">
        <v>0</v>
      </c>
      <c r="K111" s="218" t="str">
        <v>ACC 3ph</v>
      </c>
      <c r="L111" s="221" t="s">
        <v>85</v>
      </c>
      <c r="M111" s="222">
        <f t="shared" si="16"/>
        <v>43617</v>
      </c>
      <c r="P111" s="610">
        <v>0</v>
      </c>
      <c r="Q111" s="611">
        <v>0</v>
      </c>
      <c r="R111" s="611">
        <v>420</v>
      </c>
      <c r="S111" s="611">
        <v>420</v>
      </c>
      <c r="T111" s="611">
        <v>0</v>
      </c>
      <c r="U111" s="611">
        <v>0</v>
      </c>
      <c r="V111" s="611">
        <v>0</v>
      </c>
      <c r="W111" s="611">
        <v>0</v>
      </c>
      <c r="X111" s="611">
        <v>0</v>
      </c>
      <c r="Y111" s="611">
        <v>0</v>
      </c>
    </row>
    <row r="112" spans="3:25" ht="12.5" outlineLevel="3" x14ac:dyDescent="0.25">
      <c r="F112" s="213">
        <v>0</v>
      </c>
      <c r="G112" s="213">
        <v>0</v>
      </c>
      <c r="H112" s="213">
        <v>0</v>
      </c>
      <c r="I112" s="213">
        <v>0</v>
      </c>
      <c r="J112" s="218">
        <v>0</v>
      </c>
      <c r="K112" s="218">
        <v>0</v>
      </c>
      <c r="L112" s="221" t="s">
        <v>85</v>
      </c>
      <c r="M112" s="222">
        <f t="shared" si="16"/>
        <v>43617</v>
      </c>
      <c r="P112" s="610">
        <v>0</v>
      </c>
      <c r="Q112" s="611">
        <v>0</v>
      </c>
      <c r="R112" s="611">
        <v>0</v>
      </c>
      <c r="S112" s="611">
        <v>0</v>
      </c>
      <c r="T112" s="611">
        <v>0</v>
      </c>
      <c r="U112" s="611">
        <v>0</v>
      </c>
      <c r="V112" s="611">
        <v>0</v>
      </c>
      <c r="W112" s="611">
        <v>0</v>
      </c>
      <c r="X112" s="611">
        <v>0</v>
      </c>
      <c r="Y112" s="611">
        <v>0</v>
      </c>
    </row>
    <row r="113" spans="1:26" ht="12.5" outlineLevel="3" x14ac:dyDescent="0.25">
      <c r="F113" s="213">
        <v>0</v>
      </c>
      <c r="G113" s="213">
        <v>0</v>
      </c>
      <c r="H113" s="213">
        <v>0</v>
      </c>
      <c r="I113" s="213">
        <v>0</v>
      </c>
      <c r="J113" s="218">
        <v>0</v>
      </c>
      <c r="K113" s="218">
        <v>0</v>
      </c>
      <c r="L113" s="221" t="s">
        <v>85</v>
      </c>
      <c r="M113" s="222">
        <f t="shared" si="16"/>
        <v>43617</v>
      </c>
      <c r="P113" s="610">
        <v>0</v>
      </c>
      <c r="Q113" s="611">
        <v>0</v>
      </c>
      <c r="R113" s="611">
        <v>0</v>
      </c>
      <c r="S113" s="611">
        <v>0</v>
      </c>
      <c r="T113" s="611">
        <v>0</v>
      </c>
      <c r="U113" s="611">
        <v>0</v>
      </c>
      <c r="V113" s="611">
        <v>0</v>
      </c>
      <c r="W113" s="611">
        <v>0</v>
      </c>
      <c r="X113" s="611">
        <v>0</v>
      </c>
      <c r="Y113" s="611">
        <v>0</v>
      </c>
    </row>
    <row r="114" spans="1:26" ht="12.5" outlineLevel="3" x14ac:dyDescent="0.25">
      <c r="F114" s="213">
        <v>0</v>
      </c>
      <c r="G114" s="213">
        <v>0</v>
      </c>
      <c r="H114" s="213">
        <v>0</v>
      </c>
      <c r="I114" s="213">
        <v>0</v>
      </c>
      <c r="J114" s="218">
        <v>0</v>
      </c>
      <c r="K114" s="218">
        <v>0</v>
      </c>
      <c r="L114" s="221" t="s">
        <v>85</v>
      </c>
      <c r="M114" s="222">
        <f t="shared" si="16"/>
        <v>43617</v>
      </c>
      <c r="P114" s="610">
        <v>0</v>
      </c>
      <c r="Q114" s="611">
        <v>0</v>
      </c>
      <c r="R114" s="611">
        <v>0</v>
      </c>
      <c r="S114" s="611">
        <v>0</v>
      </c>
      <c r="T114" s="611">
        <v>0</v>
      </c>
      <c r="U114" s="611">
        <v>0</v>
      </c>
      <c r="V114" s="611">
        <v>0</v>
      </c>
      <c r="W114" s="611">
        <v>0</v>
      </c>
      <c r="X114" s="611">
        <v>0</v>
      </c>
      <c r="Y114" s="611">
        <v>0</v>
      </c>
    </row>
    <row r="115" spans="1:26" ht="12.5" outlineLevel="3" x14ac:dyDescent="0.25">
      <c r="F115" s="213">
        <v>0</v>
      </c>
      <c r="G115" s="213">
        <v>0</v>
      </c>
      <c r="H115" s="213">
        <v>0</v>
      </c>
      <c r="I115" s="213">
        <v>0</v>
      </c>
      <c r="J115" s="218">
        <v>0</v>
      </c>
      <c r="K115" s="218">
        <v>0</v>
      </c>
      <c r="L115" s="221" t="s">
        <v>85</v>
      </c>
      <c r="M115" s="222">
        <f t="shared" si="16"/>
        <v>43617</v>
      </c>
      <c r="P115" s="610">
        <v>0</v>
      </c>
      <c r="Q115" s="611">
        <v>0</v>
      </c>
      <c r="R115" s="611">
        <v>0</v>
      </c>
      <c r="S115" s="611">
        <v>0</v>
      </c>
      <c r="T115" s="611">
        <v>0</v>
      </c>
      <c r="U115" s="611">
        <v>0</v>
      </c>
      <c r="V115" s="611">
        <v>0</v>
      </c>
      <c r="W115" s="611">
        <v>0</v>
      </c>
      <c r="X115" s="611">
        <v>0</v>
      </c>
      <c r="Y115" s="611">
        <v>0</v>
      </c>
    </row>
    <row r="116" spans="1:26" ht="12.5" outlineLevel="3" x14ac:dyDescent="0.25">
      <c r="F116" s="213">
        <v>0</v>
      </c>
      <c r="G116" s="213">
        <v>0</v>
      </c>
      <c r="H116" s="213">
        <v>0</v>
      </c>
      <c r="I116" s="213">
        <v>0</v>
      </c>
      <c r="J116" s="218">
        <v>0</v>
      </c>
      <c r="K116" s="218">
        <v>0</v>
      </c>
      <c r="L116" s="221" t="s">
        <v>85</v>
      </c>
      <c r="M116" s="222">
        <f t="shared" si="16"/>
        <v>43617</v>
      </c>
      <c r="P116" s="610">
        <v>0</v>
      </c>
      <c r="Q116" s="611">
        <v>0</v>
      </c>
      <c r="R116" s="611">
        <v>0</v>
      </c>
      <c r="S116" s="611">
        <v>0</v>
      </c>
      <c r="T116" s="611">
        <v>0</v>
      </c>
      <c r="U116" s="611">
        <v>0</v>
      </c>
      <c r="V116" s="611">
        <v>0</v>
      </c>
      <c r="W116" s="611">
        <v>0</v>
      </c>
      <c r="X116" s="611">
        <v>0</v>
      </c>
      <c r="Y116" s="611">
        <v>0</v>
      </c>
    </row>
    <row r="117" spans="1:26" ht="12.5" outlineLevel="3" x14ac:dyDescent="0.25">
      <c r="F117" s="213">
        <v>0</v>
      </c>
      <c r="G117" s="213">
        <v>0</v>
      </c>
      <c r="H117" s="213">
        <v>0</v>
      </c>
      <c r="I117" s="213">
        <v>0</v>
      </c>
      <c r="J117" s="218">
        <v>0</v>
      </c>
      <c r="K117" s="218">
        <v>0</v>
      </c>
      <c r="L117" s="221" t="s">
        <v>85</v>
      </c>
      <c r="M117" s="222">
        <f t="shared" si="16"/>
        <v>43617</v>
      </c>
      <c r="P117" s="610">
        <v>0</v>
      </c>
      <c r="Q117" s="611">
        <v>0</v>
      </c>
      <c r="R117" s="611">
        <v>0</v>
      </c>
      <c r="S117" s="611">
        <v>0</v>
      </c>
      <c r="T117" s="611">
        <v>0</v>
      </c>
      <c r="U117" s="611">
        <v>0</v>
      </c>
      <c r="V117" s="611">
        <v>0</v>
      </c>
      <c r="W117" s="611">
        <v>0</v>
      </c>
      <c r="X117" s="611">
        <v>0</v>
      </c>
      <c r="Y117" s="611">
        <v>0</v>
      </c>
    </row>
    <row r="118" spans="1:26" outlineLevel="3" x14ac:dyDescent="0.3"/>
    <row r="119" spans="1:26" outlineLevel="1" x14ac:dyDescent="0.3"/>
    <row r="120" spans="1:26" x14ac:dyDescent="0.3">
      <c r="A120" s="690" t="str">
        <f>LEFT(A71,1)+1&amp;". Equipment Unit Cost"</f>
        <v>5. Equipment Unit Cost</v>
      </c>
      <c r="B120" s="690"/>
      <c r="C120" s="690"/>
      <c r="D120" s="690"/>
      <c r="E120" s="690"/>
      <c r="F120" s="690"/>
      <c r="G120" s="690"/>
      <c r="H120" s="690"/>
      <c r="I120" s="690"/>
      <c r="J120" s="690"/>
      <c r="K120" s="690"/>
      <c r="L120" s="490"/>
      <c r="M120" s="490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</row>
    <row r="121" spans="1:26" x14ac:dyDescent="0.3">
      <c r="A121" s="689"/>
      <c r="B121" s="224"/>
    </row>
    <row r="122" spans="1:26" outlineLevel="1" x14ac:dyDescent="0.3">
      <c r="A122" s="689"/>
      <c r="B122" s="224"/>
      <c r="C122" s="201" t="s">
        <v>7</v>
      </c>
      <c r="D122" s="225" t="s">
        <v>182</v>
      </c>
      <c r="E122" s="202"/>
    </row>
    <row r="123" spans="1:26" outlineLevel="1" x14ac:dyDescent="0.3">
      <c r="A123" s="689"/>
      <c r="B123" s="224"/>
      <c r="D123" s="225"/>
      <c r="E123" s="202"/>
      <c r="P123" s="210">
        <v>1</v>
      </c>
      <c r="Q123"/>
      <c r="R123"/>
      <c r="S123"/>
      <c r="T123"/>
      <c r="U123"/>
      <c r="V123"/>
      <c r="W123"/>
      <c r="X123"/>
      <c r="Y123"/>
    </row>
    <row r="124" spans="1:26" outlineLevel="1" x14ac:dyDescent="0.25">
      <c r="A124" s="689"/>
      <c r="B124" s="224"/>
      <c r="F124" s="121" t="str">
        <f>I_MeterTypes[[#Headers],[Meter Type]]</f>
        <v>Meter Type</v>
      </c>
      <c r="G124" s="121" t="str">
        <f>I_MeterTypes[[#Headers],[RIN Subcategory 1]]</f>
        <v>RIN Subcategory 1</v>
      </c>
      <c r="H124" s="121" t="str">
        <f>I_MeterTypes[[#Headers],[RIN Subcategory 2]]</f>
        <v>RIN Subcategory 2</v>
      </c>
      <c r="I124" s="121" t="str">
        <f>I_MeterTypes[[#Headers],[AER Type]]</f>
        <v>AER Type</v>
      </c>
      <c r="J124" s="121" t="str">
        <f>I_MeterTypes[[#Headers],[RIN Subcategory 3]]</f>
        <v>RIN Subcategory 3</v>
      </c>
      <c r="K124" s="121" t="str">
        <f>I_MeterTypes[[#Headers],[Meter Code]]</f>
        <v>Meter Code</v>
      </c>
      <c r="L124" s="121" t="s">
        <v>6</v>
      </c>
      <c r="M124" s="121" t="s">
        <v>118</v>
      </c>
      <c r="P124" s="481" t="s">
        <v>421</v>
      </c>
      <c r="Q124"/>
      <c r="R124"/>
      <c r="S124"/>
      <c r="T124"/>
      <c r="U124"/>
      <c r="V124"/>
      <c r="W124"/>
      <c r="X124"/>
      <c r="Y124"/>
    </row>
    <row r="125" spans="1:26" ht="12.5" outlineLevel="1" x14ac:dyDescent="0.25">
      <c r="A125" s="689"/>
      <c r="B125" s="224"/>
      <c r="F125" s="213" t="str" cm="1">
        <f t="array" ref="F125:F139">I_MeterTypes[Meter Type]</f>
        <v>AMI - Single Phase, single element</v>
      </c>
      <c r="G125" s="213" t="str" cm="1">
        <f t="array" ref="G125:G139">I_MeterTypes[RIN Subcategory 1]</f>
        <v>Single Phase Meter Population</v>
      </c>
      <c r="H125" s="213" t="str" cm="1">
        <f t="array" ref="H125:H139">I_MeterTypes[RIN Subcategory 2]</f>
        <v>Other</v>
      </c>
      <c r="I125" s="213" t="str" cm="1">
        <f t="array" ref="I125:I139">I_MeterTypes[AER Type]</f>
        <v>Meter Type 4</v>
      </c>
      <c r="J125" s="213" t="str" cm="1">
        <f t="array" ref="J125:J139">I_MeterTypes[RIN Subcategory 3]</f>
        <v>Single phase single element - AMI</v>
      </c>
      <c r="K125" s="213" t="str" cm="1">
        <f t="array" ref="K125:K139">I_MeterTypes[Meter Code]</f>
        <v>AMI 1ph 1e</v>
      </c>
      <c r="L125" s="221" t="s">
        <v>85</v>
      </c>
      <c r="M125" s="222">
        <f t="shared" ref="M125:M139" si="17">Basis_Capex</f>
        <v>43617</v>
      </c>
      <c r="P125" s="393">
        <v>180</v>
      </c>
      <c r="Q125"/>
      <c r="R125"/>
      <c r="S125"/>
      <c r="T125"/>
      <c r="U125"/>
      <c r="V125"/>
      <c r="W125"/>
      <c r="X125"/>
      <c r="Y125"/>
      <c r="Z125" s="391"/>
    </row>
    <row r="126" spans="1:26" ht="12.5" outlineLevel="1" x14ac:dyDescent="0.25">
      <c r="A126" s="689"/>
      <c r="B126" s="224"/>
      <c r="F126" s="213" t="str">
        <v>AMI - Single Phase, two element</v>
      </c>
      <c r="G126" s="213" t="str">
        <v>Single Phase Meter Population</v>
      </c>
      <c r="H126" s="213" t="str">
        <v>Other</v>
      </c>
      <c r="I126" s="213" t="str">
        <v>Meter Type 4</v>
      </c>
      <c r="J126" s="218" t="str">
        <v>Single phase two element with contactor - AMI</v>
      </c>
      <c r="K126" s="218" t="str">
        <v>AMI 1ph 2e</v>
      </c>
      <c r="L126" s="221" t="s">
        <v>85</v>
      </c>
      <c r="M126" s="222">
        <f t="shared" si="17"/>
        <v>43617</v>
      </c>
      <c r="P126" s="393">
        <v>230</v>
      </c>
      <c r="Q126"/>
      <c r="R126"/>
      <c r="S126"/>
      <c r="T126"/>
      <c r="U126"/>
      <c r="V126"/>
      <c r="W126"/>
      <c r="X126"/>
      <c r="Y126"/>
      <c r="Z126" s="391"/>
    </row>
    <row r="127" spans="1:26" ht="12.5" outlineLevel="1" x14ac:dyDescent="0.25">
      <c r="A127" s="689"/>
      <c r="B127" s="224"/>
      <c r="F127" s="213" t="str">
        <v>AMI - 3 Phase DC</v>
      </c>
      <c r="G127" s="213" t="str">
        <v>Multi Phase Meter Population</v>
      </c>
      <c r="H127" s="213" t="str">
        <v>Direct Connect Meter Population</v>
      </c>
      <c r="I127" s="213" t="str">
        <v>Meter Type 4</v>
      </c>
      <c r="J127" s="218" t="str">
        <v>Three phase - AMI</v>
      </c>
      <c r="K127" s="218" t="str">
        <v>AMI 3ph DC</v>
      </c>
      <c r="L127" s="221" t="s">
        <v>85</v>
      </c>
      <c r="M127" s="222">
        <f t="shared" si="17"/>
        <v>43617</v>
      </c>
      <c r="P127" s="393">
        <v>350</v>
      </c>
      <c r="Q127"/>
      <c r="R127"/>
      <c r="S127"/>
      <c r="T127"/>
      <c r="U127"/>
      <c r="V127"/>
      <c r="W127"/>
      <c r="X127"/>
      <c r="Y127"/>
      <c r="Z127" s="391"/>
    </row>
    <row r="128" spans="1:26" ht="12.5" outlineLevel="1" x14ac:dyDescent="0.25">
      <c r="A128" s="689"/>
      <c r="B128" s="224"/>
      <c r="F128" s="213" t="str">
        <v>AMI 3Ph CT</v>
      </c>
      <c r="G128" s="213" t="str">
        <v>Multi Phase Meter Population</v>
      </c>
      <c r="H128" s="213" t="str">
        <v>Current Transformer Connected Meter Population</v>
      </c>
      <c r="I128" s="213" t="str">
        <v>Meter Type 4</v>
      </c>
      <c r="J128" s="218">
        <v>0</v>
      </c>
      <c r="K128" s="218" t="str">
        <v>AMI 3ph CT</v>
      </c>
      <c r="L128" s="221" t="s">
        <v>85</v>
      </c>
      <c r="M128" s="222">
        <f t="shared" si="17"/>
        <v>43617</v>
      </c>
      <c r="P128" s="393">
        <v>380</v>
      </c>
      <c r="Q128"/>
      <c r="R128"/>
      <c r="S128"/>
      <c r="T128"/>
      <c r="U128"/>
      <c r="V128"/>
      <c r="W128"/>
      <c r="X128"/>
      <c r="Y128"/>
      <c r="Z128" s="391"/>
    </row>
    <row r="129" spans="1:26" ht="12.5" outlineLevel="1" x14ac:dyDescent="0.25">
      <c r="A129" s="689"/>
      <c r="B129" s="224"/>
      <c r="F129" s="213" t="str">
        <v>Non AMI - Type 5 Locally read Interval - Single Phase</v>
      </c>
      <c r="G129" s="213" t="str">
        <v>Single Phase Meter Population</v>
      </c>
      <c r="H129" s="213" t="str">
        <v>Direct Connect Meter Population</v>
      </c>
      <c r="I129" s="213" t="str">
        <v>Meter Type 5</v>
      </c>
      <c r="J129" s="218">
        <v>0</v>
      </c>
      <c r="K129" s="218" t="str">
        <v>INT 1ph</v>
      </c>
      <c r="L129" s="221" t="s">
        <v>85</v>
      </c>
      <c r="M129" s="222">
        <f t="shared" si="17"/>
        <v>43617</v>
      </c>
      <c r="P129" s="393"/>
      <c r="Q129"/>
      <c r="R129"/>
      <c r="S129"/>
      <c r="T129"/>
      <c r="U129"/>
      <c r="V129"/>
      <c r="W129"/>
      <c r="X129"/>
      <c r="Y129"/>
      <c r="Z129" s="391"/>
    </row>
    <row r="130" spans="1:26" ht="12.5" outlineLevel="1" x14ac:dyDescent="0.25">
      <c r="A130" s="689"/>
      <c r="B130" s="224"/>
      <c r="F130" s="213" t="str">
        <v>Non AMI - Type 5 Locally read Interval - 3 Phase</v>
      </c>
      <c r="G130" s="213" t="str">
        <v>Single Phase Meter Population</v>
      </c>
      <c r="H130" s="213" t="str">
        <v>Direct Connect Meter Population</v>
      </c>
      <c r="I130" s="213" t="str">
        <v>Meter Type 5</v>
      </c>
      <c r="J130" s="218">
        <v>0</v>
      </c>
      <c r="K130" s="218" t="str">
        <v>INT 3ph</v>
      </c>
      <c r="L130" s="221" t="s">
        <v>85</v>
      </c>
      <c r="M130" s="222">
        <f t="shared" si="17"/>
        <v>43617</v>
      </c>
      <c r="P130" s="393"/>
      <c r="Q130"/>
      <c r="R130"/>
      <c r="S130"/>
      <c r="T130"/>
      <c r="U130"/>
      <c r="V130"/>
      <c r="W130"/>
      <c r="X130"/>
      <c r="Y130"/>
      <c r="Z130" s="391"/>
    </row>
    <row r="131" spans="1:26" ht="12.5" outlineLevel="1" x14ac:dyDescent="0.25">
      <c r="A131" s="689"/>
      <c r="B131" s="224"/>
      <c r="F131" s="213" t="str">
        <v>Non AMI - Type 5 Locally read Interval - 3 Phase - CT</v>
      </c>
      <c r="G131" s="213" t="str">
        <v>Multi Phase Meter Population</v>
      </c>
      <c r="H131" s="213" t="str">
        <v>Current Transformer Connected Meter Population</v>
      </c>
      <c r="I131" s="213" t="str">
        <v>Meter Type 5</v>
      </c>
      <c r="J131" s="218">
        <v>0</v>
      </c>
      <c r="K131" s="218" t="str">
        <v>INT 3ph CT</v>
      </c>
      <c r="L131" s="221" t="s">
        <v>85</v>
      </c>
      <c r="M131" s="222">
        <f t="shared" si="17"/>
        <v>43617</v>
      </c>
      <c r="P131" s="393"/>
      <c r="Q131"/>
      <c r="R131"/>
      <c r="S131"/>
      <c r="T131"/>
      <c r="U131"/>
      <c r="V131"/>
      <c r="W131"/>
      <c r="X131"/>
      <c r="Y131"/>
    </row>
    <row r="132" spans="1:26" ht="12.5" outlineLevel="1" x14ac:dyDescent="0.25">
      <c r="A132" s="689"/>
      <c r="B132" s="224"/>
      <c r="F132" s="213" t="str">
        <v>Non AMI - Type 6 Locally read Accumulation - Single Phase</v>
      </c>
      <c r="G132" s="213" t="str">
        <v>Multi Phase Meter Population</v>
      </c>
      <c r="H132" s="213" t="str">
        <v>Direct Connect Meter Population</v>
      </c>
      <c r="I132" s="213" t="str">
        <v>Meter Type 6</v>
      </c>
      <c r="J132" s="218">
        <v>0</v>
      </c>
      <c r="K132" s="218" t="str">
        <v>ACC 1ph</v>
      </c>
      <c r="L132" s="221" t="s">
        <v>85</v>
      </c>
      <c r="M132" s="222">
        <f t="shared" si="17"/>
        <v>43617</v>
      </c>
      <c r="P132" s="393"/>
      <c r="Q132"/>
      <c r="R132"/>
      <c r="S132"/>
      <c r="T132"/>
      <c r="U132"/>
      <c r="V132"/>
      <c r="W132"/>
      <c r="X132"/>
      <c r="Y132"/>
    </row>
    <row r="133" spans="1:26" ht="12.5" outlineLevel="1" x14ac:dyDescent="0.25">
      <c r="A133" s="689"/>
      <c r="B133" s="224"/>
      <c r="F133" s="213" t="str">
        <v>Non AMI - Type 6 Locally read Accumulation - 3 Phase</v>
      </c>
      <c r="G133" s="213">
        <v>0</v>
      </c>
      <c r="H133" s="213" t="str">
        <v>Direct Connect Meter Population</v>
      </c>
      <c r="I133" s="213" t="str">
        <v>Meter Type 6</v>
      </c>
      <c r="J133" s="218">
        <v>0</v>
      </c>
      <c r="K133" s="218" t="str">
        <v>ACC 3ph</v>
      </c>
      <c r="L133" s="221" t="s">
        <v>85</v>
      </c>
      <c r="M133" s="222">
        <f t="shared" si="17"/>
        <v>43617</v>
      </c>
      <c r="P133" s="393"/>
      <c r="Q133"/>
      <c r="R133"/>
      <c r="S133"/>
      <c r="T133"/>
      <c r="U133"/>
      <c r="V133"/>
      <c r="W133"/>
      <c r="X133"/>
      <c r="Y133"/>
    </row>
    <row r="134" spans="1:26" ht="12.5" outlineLevel="1" x14ac:dyDescent="0.25">
      <c r="A134" s="689"/>
      <c r="B134" s="224"/>
      <c r="F134" s="213">
        <v>0</v>
      </c>
      <c r="G134" s="213">
        <v>0</v>
      </c>
      <c r="H134" s="213">
        <v>0</v>
      </c>
      <c r="I134" s="213">
        <v>0</v>
      </c>
      <c r="J134" s="218">
        <v>0</v>
      </c>
      <c r="K134" s="218">
        <v>0</v>
      </c>
      <c r="L134" s="221" t="s">
        <v>85</v>
      </c>
      <c r="M134" s="222">
        <f t="shared" si="17"/>
        <v>43617</v>
      </c>
      <c r="P134" s="393"/>
      <c r="Q134"/>
      <c r="R134"/>
      <c r="S134"/>
      <c r="T134"/>
      <c r="U134"/>
      <c r="V134"/>
      <c r="W134"/>
      <c r="X134"/>
      <c r="Y134"/>
    </row>
    <row r="135" spans="1:26" ht="12.5" outlineLevel="1" x14ac:dyDescent="0.25">
      <c r="A135" s="689"/>
      <c r="B135" s="224"/>
      <c r="F135" s="213">
        <v>0</v>
      </c>
      <c r="G135" s="213">
        <v>0</v>
      </c>
      <c r="H135" s="213">
        <v>0</v>
      </c>
      <c r="I135" s="213">
        <v>0</v>
      </c>
      <c r="J135" s="218">
        <v>0</v>
      </c>
      <c r="K135" s="218">
        <v>0</v>
      </c>
      <c r="L135" s="221" t="s">
        <v>85</v>
      </c>
      <c r="M135" s="222">
        <f t="shared" si="17"/>
        <v>43617</v>
      </c>
      <c r="P135" s="393"/>
      <c r="Q135"/>
      <c r="R135"/>
      <c r="S135"/>
      <c r="T135"/>
      <c r="U135"/>
      <c r="V135"/>
      <c r="W135"/>
      <c r="X135"/>
      <c r="Y135"/>
    </row>
    <row r="136" spans="1:26" ht="12.5" outlineLevel="1" x14ac:dyDescent="0.25">
      <c r="A136" s="689"/>
      <c r="B136" s="224"/>
      <c r="F136" s="213">
        <v>0</v>
      </c>
      <c r="G136" s="213">
        <v>0</v>
      </c>
      <c r="H136" s="213">
        <v>0</v>
      </c>
      <c r="I136" s="213">
        <v>0</v>
      </c>
      <c r="J136" s="218">
        <v>0</v>
      </c>
      <c r="K136" s="218">
        <v>0</v>
      </c>
      <c r="L136" s="221" t="s">
        <v>85</v>
      </c>
      <c r="M136" s="222">
        <f t="shared" si="17"/>
        <v>43617</v>
      </c>
      <c r="P136" s="393"/>
      <c r="Q136"/>
      <c r="R136"/>
      <c r="S136"/>
      <c r="T136"/>
      <c r="U136"/>
      <c r="V136"/>
      <c r="W136"/>
      <c r="X136"/>
      <c r="Y136"/>
    </row>
    <row r="137" spans="1:26" ht="12.5" outlineLevel="1" x14ac:dyDescent="0.25">
      <c r="A137" s="689"/>
      <c r="B137" s="224"/>
      <c r="F137" s="213">
        <v>0</v>
      </c>
      <c r="G137" s="213">
        <v>0</v>
      </c>
      <c r="H137" s="213">
        <v>0</v>
      </c>
      <c r="I137" s="213">
        <v>0</v>
      </c>
      <c r="J137" s="218">
        <v>0</v>
      </c>
      <c r="K137" s="218">
        <v>0</v>
      </c>
      <c r="L137" s="221" t="s">
        <v>85</v>
      </c>
      <c r="M137" s="222">
        <f t="shared" si="17"/>
        <v>43617</v>
      </c>
      <c r="P137" s="393"/>
      <c r="Q137"/>
      <c r="R137"/>
      <c r="S137"/>
      <c r="T137"/>
      <c r="U137"/>
      <c r="V137"/>
      <c r="W137"/>
      <c r="X137"/>
      <c r="Y137"/>
    </row>
    <row r="138" spans="1:26" ht="12.5" outlineLevel="1" x14ac:dyDescent="0.25">
      <c r="A138" s="689"/>
      <c r="B138" s="224"/>
      <c r="F138" s="213">
        <v>0</v>
      </c>
      <c r="G138" s="213">
        <v>0</v>
      </c>
      <c r="H138" s="213">
        <v>0</v>
      </c>
      <c r="I138" s="213">
        <v>0</v>
      </c>
      <c r="J138" s="218">
        <v>0</v>
      </c>
      <c r="K138" s="218">
        <v>0</v>
      </c>
      <c r="L138" s="221" t="s">
        <v>85</v>
      </c>
      <c r="M138" s="222">
        <f t="shared" si="17"/>
        <v>43617</v>
      </c>
      <c r="P138" s="393"/>
      <c r="Q138"/>
      <c r="R138"/>
      <c r="S138"/>
      <c r="T138"/>
      <c r="U138"/>
      <c r="V138"/>
      <c r="W138"/>
      <c r="X138"/>
      <c r="Y138"/>
    </row>
    <row r="139" spans="1:26" ht="12.5" outlineLevel="1" x14ac:dyDescent="0.25">
      <c r="A139" s="689"/>
      <c r="B139" s="224"/>
      <c r="F139" s="213">
        <v>0</v>
      </c>
      <c r="G139" s="213">
        <v>0</v>
      </c>
      <c r="H139" s="213">
        <v>0</v>
      </c>
      <c r="I139" s="213">
        <v>0</v>
      </c>
      <c r="J139" s="218">
        <v>0</v>
      </c>
      <c r="K139" s="218">
        <v>0</v>
      </c>
      <c r="L139" s="221" t="s">
        <v>85</v>
      </c>
      <c r="M139" s="222">
        <f t="shared" si="17"/>
        <v>43617</v>
      </c>
      <c r="P139" s="393"/>
      <c r="Q139"/>
      <c r="R139"/>
      <c r="S139"/>
      <c r="T139"/>
      <c r="U139"/>
      <c r="V139"/>
      <c r="W139"/>
      <c r="X139"/>
      <c r="Y139"/>
    </row>
    <row r="140" spans="1:26" outlineLevel="1" x14ac:dyDescent="0.3">
      <c r="A140" s="689"/>
      <c r="B140" s="224"/>
    </row>
    <row r="141" spans="1:26" x14ac:dyDescent="0.3">
      <c r="A141" s="690" t="str">
        <f>LEFT(A120,1)+1&amp;". Meter Population"</f>
        <v>6. Meter Population</v>
      </c>
      <c r="B141" s="690"/>
      <c r="C141" s="690"/>
      <c r="D141" s="690"/>
      <c r="E141" s="690"/>
      <c r="F141" s="690"/>
      <c r="G141" s="690"/>
      <c r="H141" s="690"/>
      <c r="I141" s="690"/>
      <c r="J141" s="690"/>
      <c r="K141" s="690"/>
      <c r="L141" s="490"/>
      <c r="M141" s="490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</row>
    <row r="142" spans="1:26" x14ac:dyDescent="0.3">
      <c r="A142" s="689"/>
      <c r="B142" s="224"/>
    </row>
    <row r="143" spans="1:26" outlineLevel="1" x14ac:dyDescent="0.3">
      <c r="A143" s="689"/>
      <c r="B143" s="224"/>
    </row>
    <row r="144" spans="1:26" outlineLevel="1" x14ac:dyDescent="0.3">
      <c r="A144" s="689"/>
      <c r="B144" s="224"/>
      <c r="C144" s="201" t="s">
        <v>7</v>
      </c>
      <c r="D144" s="202" t="s">
        <v>184</v>
      </c>
      <c r="P144"/>
      <c r="Q144"/>
      <c r="R144"/>
      <c r="S144"/>
      <c r="T144"/>
      <c r="U144"/>
    </row>
    <row r="145" spans="1:22" outlineLevel="1" x14ac:dyDescent="0.3">
      <c r="A145" s="689"/>
      <c r="B145" s="224"/>
      <c r="M145" s="530" t="str">
        <f>IF(M146=Capex_BaseYear,"Base Year","")</f>
        <v>Base Year</v>
      </c>
      <c r="O145"/>
      <c r="P145"/>
      <c r="Q145"/>
      <c r="R145"/>
      <c r="S145"/>
      <c r="T145"/>
      <c r="U145"/>
      <c r="V145"/>
    </row>
    <row r="146" spans="1:22" outlineLevel="1" x14ac:dyDescent="0.25">
      <c r="A146" s="689"/>
      <c r="B146" s="224"/>
      <c r="F146" s="121" t="str">
        <f>I_MeterTypes[[#Headers],[Meter Type]]</f>
        <v>Meter Type</v>
      </c>
      <c r="G146" s="121" t="str">
        <f>I_MeterTypes[[#Headers],[RIN Subcategory 1]]</f>
        <v>RIN Subcategory 1</v>
      </c>
      <c r="H146" s="121" t="str">
        <f>I_MeterTypes[[#Headers],[RIN Subcategory 2]]</f>
        <v>RIN Subcategory 2</v>
      </c>
      <c r="I146" s="121" t="str">
        <f>I_MeterTypes[[#Headers],[AER Type]]</f>
        <v>AER Type</v>
      </c>
      <c r="J146" s="121" t="str">
        <f>I_MeterTypes[[#Headers],[RIN Subcategory 3]]</f>
        <v>RIN Subcategory 3</v>
      </c>
      <c r="K146" s="121" t="str">
        <f>I_MeterTypes[[#Headers],[Meter Code]]</f>
        <v>Meter Code</v>
      </c>
      <c r="L146" s="121" t="s">
        <v>6</v>
      </c>
      <c r="M146" s="481" t="str">
        <f>Capex_BaseYear</f>
        <v>2018-19</v>
      </c>
      <c r="O146"/>
      <c r="P146"/>
      <c r="Q146"/>
      <c r="R146"/>
      <c r="S146"/>
      <c r="T146"/>
      <c r="U146"/>
      <c r="V146"/>
    </row>
    <row r="147" spans="1:22" outlineLevel="1" x14ac:dyDescent="0.3">
      <c r="A147" s="689"/>
      <c r="B147" s="224"/>
      <c r="F147" s="213" t="str" cm="1">
        <f t="array" ref="F147:F161">I_MeterTypes[Meter Type]</f>
        <v>AMI - Single Phase, single element</v>
      </c>
      <c r="G147" s="213" t="str" cm="1">
        <f t="array" ref="G147:G161">I_MeterTypes[RIN Subcategory 1]</f>
        <v>Single Phase Meter Population</v>
      </c>
      <c r="H147" s="213" t="str" cm="1">
        <f t="array" ref="H147:H161">I_MeterTypes[RIN Subcategory 2]</f>
        <v>Other</v>
      </c>
      <c r="I147" s="213" t="str" cm="1">
        <f t="array" ref="I147:I161">I_MeterTypes[AER Type]</f>
        <v>Meter Type 4</v>
      </c>
      <c r="J147" s="213" t="str" cm="1">
        <f t="array" ref="J147:J161">I_MeterTypes[RIN Subcategory 3]</f>
        <v>Single phase single element - AMI</v>
      </c>
      <c r="K147" s="213" t="str" cm="1">
        <f t="array" ref="K147:K161">I_MeterTypes[Meter Code]</f>
        <v>AMI 1ph 1e</v>
      </c>
      <c r="L147" s="214" t="s">
        <v>18</v>
      </c>
      <c r="M147" s="531">
        <v>350000</v>
      </c>
      <c r="O147"/>
      <c r="P147"/>
      <c r="Q147"/>
      <c r="R147"/>
      <c r="S147"/>
      <c r="T147"/>
      <c r="U147"/>
      <c r="V147"/>
    </row>
    <row r="148" spans="1:22" outlineLevel="1" x14ac:dyDescent="0.3">
      <c r="A148" s="689"/>
      <c r="B148" s="224"/>
      <c r="F148" s="213" t="str">
        <v>AMI - Single Phase, two element</v>
      </c>
      <c r="G148" s="213" t="str">
        <v>Single Phase Meter Population</v>
      </c>
      <c r="H148" s="213" t="str">
        <v>Other</v>
      </c>
      <c r="I148" s="213" t="str">
        <v>Meter Type 4</v>
      </c>
      <c r="J148" s="218" t="str">
        <v>Single phase two element with contactor - AMI</v>
      </c>
      <c r="K148" s="218" t="str">
        <v>AMI 1ph 2e</v>
      </c>
      <c r="L148" s="214" t="str">
        <f t="shared" ref="L148:L162" si="18">L$147</f>
        <v>No.</v>
      </c>
      <c r="M148" s="531">
        <v>50000</v>
      </c>
      <c r="O148"/>
      <c r="P148"/>
      <c r="Q148"/>
      <c r="R148"/>
      <c r="S148"/>
      <c r="T148"/>
      <c r="U148"/>
      <c r="V148"/>
    </row>
    <row r="149" spans="1:22" outlineLevel="1" x14ac:dyDescent="0.3">
      <c r="A149" s="689"/>
      <c r="B149" s="224"/>
      <c r="F149" s="213" t="str">
        <v>AMI - 3 Phase DC</v>
      </c>
      <c r="G149" s="213" t="str">
        <v>Multi Phase Meter Population</v>
      </c>
      <c r="H149" s="213" t="str">
        <v>Direct Connect Meter Population</v>
      </c>
      <c r="I149" s="213" t="str">
        <v>Meter Type 4</v>
      </c>
      <c r="J149" s="218" t="str">
        <v>Three phase - AMI</v>
      </c>
      <c r="K149" s="218" t="str">
        <v>AMI 3ph DC</v>
      </c>
      <c r="L149" s="214" t="str">
        <f t="shared" si="18"/>
        <v>No.</v>
      </c>
      <c r="M149" s="531">
        <v>4000</v>
      </c>
      <c r="O149"/>
      <c r="P149"/>
      <c r="Q149"/>
      <c r="R149"/>
      <c r="S149"/>
      <c r="T149"/>
      <c r="U149"/>
      <c r="V149"/>
    </row>
    <row r="150" spans="1:22" outlineLevel="1" x14ac:dyDescent="0.3">
      <c r="A150" s="689"/>
      <c r="B150" s="224"/>
      <c r="F150" s="213" t="str">
        <v>AMI 3Ph CT</v>
      </c>
      <c r="G150" s="213" t="str">
        <v>Multi Phase Meter Population</v>
      </c>
      <c r="H150" s="213" t="str">
        <v>Current Transformer Connected Meter Population</v>
      </c>
      <c r="I150" s="213" t="str">
        <v>Meter Type 4</v>
      </c>
      <c r="J150" s="218">
        <v>0</v>
      </c>
      <c r="K150" s="218" t="str">
        <v>AMI 3ph CT</v>
      </c>
      <c r="L150" s="214" t="str">
        <f t="shared" si="18"/>
        <v>No.</v>
      </c>
      <c r="M150" s="531">
        <v>2000</v>
      </c>
      <c r="O150"/>
      <c r="P150"/>
      <c r="Q150"/>
      <c r="R150"/>
      <c r="S150"/>
      <c r="T150"/>
      <c r="U150"/>
      <c r="V150"/>
    </row>
    <row r="151" spans="1:22" outlineLevel="1" x14ac:dyDescent="0.3">
      <c r="A151" s="689"/>
      <c r="B151" s="224"/>
      <c r="F151" s="213" t="str">
        <v>Non AMI - Type 5 Locally read Interval - Single Phase</v>
      </c>
      <c r="G151" s="213" t="str">
        <v>Single Phase Meter Population</v>
      </c>
      <c r="H151" s="213" t="str">
        <v>Direct Connect Meter Population</v>
      </c>
      <c r="I151" s="213" t="str">
        <v>Meter Type 5</v>
      </c>
      <c r="J151" s="218">
        <v>0</v>
      </c>
      <c r="K151" s="218" t="str">
        <v>INT 1ph</v>
      </c>
      <c r="L151" s="214" t="str">
        <f t="shared" si="18"/>
        <v>No.</v>
      </c>
      <c r="M151" s="531">
        <v>50</v>
      </c>
      <c r="O151"/>
      <c r="P151"/>
      <c r="Q151"/>
      <c r="R151"/>
      <c r="S151"/>
      <c r="T151"/>
      <c r="U151"/>
      <c r="V151"/>
    </row>
    <row r="152" spans="1:22" outlineLevel="1" x14ac:dyDescent="0.3">
      <c r="A152" s="689"/>
      <c r="B152" s="224"/>
      <c r="F152" s="213" t="str">
        <v>Non AMI - Type 5 Locally read Interval - 3 Phase</v>
      </c>
      <c r="G152" s="213" t="str">
        <v>Single Phase Meter Population</v>
      </c>
      <c r="H152" s="213" t="str">
        <v>Direct Connect Meter Population</v>
      </c>
      <c r="I152" s="213" t="str">
        <v>Meter Type 5</v>
      </c>
      <c r="J152" s="218">
        <v>0</v>
      </c>
      <c r="K152" s="218" t="str">
        <v>INT 3ph</v>
      </c>
      <c r="L152" s="214" t="str">
        <f t="shared" si="18"/>
        <v>No.</v>
      </c>
      <c r="M152" s="531">
        <v>50</v>
      </c>
      <c r="O152"/>
      <c r="P152"/>
      <c r="Q152"/>
      <c r="R152"/>
      <c r="S152"/>
      <c r="T152"/>
      <c r="U152"/>
      <c r="V152"/>
    </row>
    <row r="153" spans="1:22" outlineLevel="1" x14ac:dyDescent="0.3">
      <c r="A153" s="689"/>
      <c r="B153" s="224"/>
      <c r="F153" s="213" t="str">
        <v>Non AMI - Type 5 Locally read Interval - 3 Phase - CT</v>
      </c>
      <c r="G153" s="213" t="str">
        <v>Multi Phase Meter Population</v>
      </c>
      <c r="H153" s="213" t="str">
        <v>Current Transformer Connected Meter Population</v>
      </c>
      <c r="I153" s="213" t="str">
        <v>Meter Type 5</v>
      </c>
      <c r="J153" s="218">
        <v>0</v>
      </c>
      <c r="K153" s="218" t="str">
        <v>INT 3ph CT</v>
      </c>
      <c r="L153" s="214" t="str">
        <f t="shared" si="18"/>
        <v>No.</v>
      </c>
      <c r="M153" s="531">
        <v>50</v>
      </c>
      <c r="O153"/>
      <c r="P153"/>
      <c r="Q153"/>
      <c r="R153"/>
      <c r="S153"/>
      <c r="T153"/>
      <c r="U153"/>
      <c r="V153"/>
    </row>
    <row r="154" spans="1:22" outlineLevel="1" x14ac:dyDescent="0.3">
      <c r="A154" s="689"/>
      <c r="B154" s="224"/>
      <c r="F154" s="213" t="str">
        <v>Non AMI - Type 6 Locally read Accumulation - Single Phase</v>
      </c>
      <c r="G154" s="213" t="str">
        <v>Multi Phase Meter Population</v>
      </c>
      <c r="H154" s="213" t="str">
        <v>Direct Connect Meter Population</v>
      </c>
      <c r="I154" s="213" t="str">
        <v>Meter Type 6</v>
      </c>
      <c r="J154" s="218">
        <v>0</v>
      </c>
      <c r="K154" s="218" t="str">
        <v>ACC 1ph</v>
      </c>
      <c r="L154" s="214" t="str">
        <f t="shared" si="18"/>
        <v>No.</v>
      </c>
      <c r="M154" s="531">
        <v>4000</v>
      </c>
      <c r="O154"/>
      <c r="P154"/>
      <c r="Q154"/>
      <c r="R154"/>
      <c r="S154"/>
      <c r="T154"/>
      <c r="U154"/>
      <c r="V154"/>
    </row>
    <row r="155" spans="1:22" outlineLevel="1" x14ac:dyDescent="0.3">
      <c r="A155" s="689"/>
      <c r="B155" s="224"/>
      <c r="F155" s="213" t="str">
        <v>Non AMI - Type 6 Locally read Accumulation - 3 Phase</v>
      </c>
      <c r="G155" s="213">
        <v>0</v>
      </c>
      <c r="H155" s="213" t="str">
        <v>Direct Connect Meter Population</v>
      </c>
      <c r="I155" s="213" t="str">
        <v>Meter Type 6</v>
      </c>
      <c r="J155" s="218">
        <v>0</v>
      </c>
      <c r="K155" s="218" t="str">
        <v>ACC 3ph</v>
      </c>
      <c r="L155" s="214" t="str">
        <f t="shared" si="18"/>
        <v>No.</v>
      </c>
      <c r="M155" s="531">
        <v>1500</v>
      </c>
      <c r="O155"/>
      <c r="P155"/>
      <c r="Q155"/>
      <c r="R155"/>
      <c r="S155"/>
      <c r="T155"/>
      <c r="U155"/>
      <c r="V155"/>
    </row>
    <row r="156" spans="1:22" outlineLevel="1" x14ac:dyDescent="0.3">
      <c r="A156" s="689"/>
      <c r="B156" s="224"/>
      <c r="F156" s="213">
        <v>0</v>
      </c>
      <c r="G156" s="213">
        <v>0</v>
      </c>
      <c r="H156" s="213">
        <v>0</v>
      </c>
      <c r="I156" s="213">
        <v>0</v>
      </c>
      <c r="J156" s="218">
        <v>0</v>
      </c>
      <c r="K156" s="218">
        <v>0</v>
      </c>
      <c r="L156" s="214" t="str">
        <f t="shared" si="18"/>
        <v>No.</v>
      </c>
      <c r="M156" s="531"/>
      <c r="O156"/>
      <c r="P156"/>
      <c r="Q156"/>
      <c r="R156"/>
      <c r="S156"/>
      <c r="T156"/>
      <c r="U156"/>
      <c r="V156"/>
    </row>
    <row r="157" spans="1:22" outlineLevel="1" x14ac:dyDescent="0.3">
      <c r="A157" s="689"/>
      <c r="B157" s="224"/>
      <c r="F157" s="213">
        <v>0</v>
      </c>
      <c r="G157" s="213">
        <v>0</v>
      </c>
      <c r="H157" s="213">
        <v>0</v>
      </c>
      <c r="I157" s="213">
        <v>0</v>
      </c>
      <c r="J157" s="218">
        <v>0</v>
      </c>
      <c r="K157" s="218">
        <v>0</v>
      </c>
      <c r="L157" s="214" t="str">
        <f t="shared" si="18"/>
        <v>No.</v>
      </c>
      <c r="M157" s="531"/>
      <c r="O157"/>
      <c r="P157"/>
      <c r="Q157"/>
      <c r="R157"/>
      <c r="S157"/>
      <c r="T157"/>
      <c r="U157"/>
      <c r="V157"/>
    </row>
    <row r="158" spans="1:22" outlineLevel="1" x14ac:dyDescent="0.3">
      <c r="A158" s="689"/>
      <c r="B158" s="224"/>
      <c r="F158" s="213">
        <v>0</v>
      </c>
      <c r="G158" s="213">
        <v>0</v>
      </c>
      <c r="H158" s="213">
        <v>0</v>
      </c>
      <c r="I158" s="213">
        <v>0</v>
      </c>
      <c r="J158" s="218">
        <v>0</v>
      </c>
      <c r="K158" s="218">
        <v>0</v>
      </c>
      <c r="L158" s="214" t="str">
        <f t="shared" si="18"/>
        <v>No.</v>
      </c>
      <c r="M158" s="531"/>
      <c r="O158"/>
      <c r="P158"/>
      <c r="Q158"/>
      <c r="R158"/>
      <c r="S158"/>
      <c r="T158"/>
      <c r="U158"/>
      <c r="V158"/>
    </row>
    <row r="159" spans="1:22" outlineLevel="1" x14ac:dyDescent="0.3">
      <c r="A159" s="689"/>
      <c r="B159" s="224"/>
      <c r="F159" s="213">
        <v>0</v>
      </c>
      <c r="G159" s="213">
        <v>0</v>
      </c>
      <c r="H159" s="213">
        <v>0</v>
      </c>
      <c r="I159" s="213">
        <v>0</v>
      </c>
      <c r="J159" s="218">
        <v>0</v>
      </c>
      <c r="K159" s="218">
        <v>0</v>
      </c>
      <c r="L159" s="214" t="str">
        <f t="shared" si="18"/>
        <v>No.</v>
      </c>
      <c r="M159" s="531"/>
      <c r="O159"/>
      <c r="P159"/>
      <c r="Q159"/>
      <c r="R159"/>
      <c r="S159"/>
      <c r="T159"/>
      <c r="U159"/>
      <c r="V159"/>
    </row>
    <row r="160" spans="1:22" outlineLevel="1" x14ac:dyDescent="0.3">
      <c r="A160" s="689"/>
      <c r="B160" s="224"/>
      <c r="F160" s="213">
        <v>0</v>
      </c>
      <c r="G160" s="213">
        <v>0</v>
      </c>
      <c r="H160" s="213">
        <v>0</v>
      </c>
      <c r="I160" s="213">
        <v>0</v>
      </c>
      <c r="J160" s="218">
        <v>0</v>
      </c>
      <c r="K160" s="218">
        <v>0</v>
      </c>
      <c r="L160" s="214" t="str">
        <f t="shared" si="18"/>
        <v>No.</v>
      </c>
      <c r="M160" s="531"/>
      <c r="O160"/>
      <c r="P160"/>
      <c r="Q160"/>
      <c r="R160"/>
      <c r="S160"/>
      <c r="T160"/>
      <c r="U160"/>
      <c r="V160"/>
    </row>
    <row r="161" spans="1:27" outlineLevel="1" x14ac:dyDescent="0.3">
      <c r="A161" s="689"/>
      <c r="B161" s="224"/>
      <c r="F161" s="213">
        <v>0</v>
      </c>
      <c r="G161" s="213">
        <v>0</v>
      </c>
      <c r="H161" s="213">
        <v>0</v>
      </c>
      <c r="I161" s="213">
        <v>0</v>
      </c>
      <c r="J161" s="218">
        <v>0</v>
      </c>
      <c r="K161" s="218">
        <v>0</v>
      </c>
      <c r="L161" s="214" t="str">
        <f t="shared" si="18"/>
        <v>No.</v>
      </c>
      <c r="M161" s="532"/>
      <c r="O161"/>
      <c r="P161"/>
      <c r="Q161"/>
      <c r="R161"/>
      <c r="S161"/>
      <c r="T161"/>
      <c r="U161"/>
      <c r="V161"/>
    </row>
    <row r="162" spans="1:27" outlineLevel="1" x14ac:dyDescent="0.3">
      <c r="A162" s="689"/>
      <c r="B162" s="224"/>
      <c r="F162" s="151" t="s">
        <v>17</v>
      </c>
      <c r="G162" s="151"/>
      <c r="H162" s="151"/>
      <c r="I162" s="151"/>
      <c r="J162" s="151"/>
      <c r="K162" s="151"/>
      <c r="L162" s="533" t="str">
        <f t="shared" si="18"/>
        <v>No.</v>
      </c>
      <c r="M162" s="227">
        <f>SUM(M147:M161)</f>
        <v>411650</v>
      </c>
      <c r="O162"/>
      <c r="P162"/>
      <c r="Q162"/>
      <c r="R162"/>
      <c r="S162"/>
      <c r="T162"/>
      <c r="U162"/>
      <c r="V162"/>
    </row>
    <row r="163" spans="1:27" outlineLevel="1" x14ac:dyDescent="0.3">
      <c r="A163" s="689"/>
      <c r="U163" s="228"/>
    </row>
    <row r="164" spans="1:27" outlineLevel="1" x14ac:dyDescent="0.3">
      <c r="A164" s="689"/>
      <c r="B164" s="224"/>
      <c r="C164" s="201" t="s">
        <v>8</v>
      </c>
      <c r="D164" s="202" t="s">
        <v>129</v>
      </c>
    </row>
    <row r="165" spans="1:27" outlineLevel="1" x14ac:dyDescent="0.3">
      <c r="A165" s="689"/>
      <c r="B165" s="224"/>
      <c r="D165" s="202"/>
      <c r="E165" s="229"/>
    </row>
    <row r="166" spans="1:27" outlineLevel="1" x14ac:dyDescent="0.3">
      <c r="A166" s="689"/>
      <c r="B166" s="224"/>
      <c r="D166" s="201" t="s">
        <v>19</v>
      </c>
      <c r="E166" s="644" t="str">
        <f>$G$29</f>
        <v>New Meter Installations - Growth</v>
      </c>
    </row>
    <row r="167" spans="1:27" outlineLevel="2" x14ac:dyDescent="0.3">
      <c r="A167" s="689"/>
      <c r="B167" s="224"/>
      <c r="E167" s="229"/>
      <c r="N167" s="226" t="str">
        <f>IF(N168=Capex_BaseYear,"Base Year","")</f>
        <v/>
      </c>
      <c r="O167" s="226" t="str">
        <f>IF(O168=Capex_BaseYear,"Base Year","")</f>
        <v>Base Year</v>
      </c>
      <c r="P167" s="226" t="str">
        <f>IF(P168=Capex_BaseYear,"Base Year","")</f>
        <v/>
      </c>
      <c r="Q167" s="691" t="s">
        <v>232</v>
      </c>
      <c r="R167" s="687"/>
      <c r="S167" s="687"/>
      <c r="T167" s="687"/>
      <c r="U167" s="687"/>
    </row>
    <row r="168" spans="1:27" outlineLevel="2" x14ac:dyDescent="0.3">
      <c r="A168" s="689"/>
      <c r="B168" s="224"/>
      <c r="E168" s="229"/>
      <c r="F168" s="121" t="str">
        <f>I_MeterTypes[[#Headers],[Meter Type]]</f>
        <v>Meter Type</v>
      </c>
      <c r="G168" s="121" t="str">
        <f>I_MeterTypes[[#Headers],[RIN Subcategory 1]]</f>
        <v>RIN Subcategory 1</v>
      </c>
      <c r="H168" s="121" t="str">
        <f>I_MeterTypes[[#Headers],[RIN Subcategory 2]]</f>
        <v>RIN Subcategory 2</v>
      </c>
      <c r="I168" s="121" t="str">
        <f>I_MeterTypes[[#Headers],[AER Type]]</f>
        <v>AER Type</v>
      </c>
      <c r="J168" s="121" t="str">
        <f>I_MeterTypes[[#Headers],[RIN Subcategory 3]]</f>
        <v>RIN Subcategory 3</v>
      </c>
      <c r="K168" s="121" t="str">
        <f>I_MeterTypes[[#Headers],[Meter Code]]</f>
        <v>Meter Code</v>
      </c>
      <c r="L168" s="121" t="s">
        <v>6</v>
      </c>
      <c r="N168" s="124" t="str">
        <f t="shared" ref="N168:O168" si="19">(LEFT(O168,4)-1&amp;IF(MID(O168,5,1)="","","-"&amp;TEXT(MOD(MID(O168,6,2)-1,100),"00")))</f>
        <v>2017-18</v>
      </c>
      <c r="O168" s="124" t="str">
        <f t="shared" si="19"/>
        <v>2018-19</v>
      </c>
      <c r="P168" s="124" t="str">
        <f>(LEFT(Q168,4)-1&amp;IF(MID(Q168,5,1)="","","-"&amp;TEXT(MOD(MID(Q168,6,2)-1,100),"00")))</f>
        <v>2019-20</v>
      </c>
      <c r="Q168" s="272" t="str">
        <f>FPFirstYear</f>
        <v>2020-21</v>
      </c>
      <c r="R168" s="274" t="str">
        <f>(LEFT(Q168,4)+1&amp;IF(MID(Q168,5,1)="","","-"&amp;TEXT(MOD(MID(Q168,6,2)+1,100),"00")))</f>
        <v>2021-22</v>
      </c>
      <c r="S168" s="274" t="str">
        <f t="shared" ref="S168" si="20">(LEFT(R168,4)+1&amp;IF(MID(R168,5,1)="","","-"&amp;TEXT(MOD(MID(R168,6,2)+1,100),"00")))</f>
        <v>2022-23</v>
      </c>
      <c r="T168" s="274" t="str">
        <f t="shared" ref="T168" si="21">(LEFT(S168,4)+1&amp;IF(MID(S168,5,1)="","","-"&amp;TEXT(MOD(MID(S168,6,2)+1,100),"00")))</f>
        <v>2023-24</v>
      </c>
      <c r="U168" s="274" t="str">
        <f t="shared" ref="U168" si="22">(LEFT(T168,4)+1&amp;IF(MID(T168,5,1)="","","-"&amp;TEXT(MOD(MID(T168,6,2)+1,100),"00")))</f>
        <v>2024-25</v>
      </c>
      <c r="V168" s="230" t="s">
        <v>422</v>
      </c>
      <c r="X168"/>
      <c r="Y168"/>
      <c r="Z168"/>
      <c r="AA168"/>
    </row>
    <row r="169" spans="1:27" outlineLevel="2" x14ac:dyDescent="0.3">
      <c r="A169" s="689"/>
      <c r="B169" s="224"/>
      <c r="E169" s="229"/>
      <c r="F169" s="213" t="str" cm="1">
        <f t="array" ref="F169:F183">I_MeterTypes[Meter Type]</f>
        <v>AMI - Single Phase, single element</v>
      </c>
      <c r="G169" s="213" t="str" cm="1">
        <f t="array" ref="G169:G183">I_MeterTypes[RIN Subcategory 1]</f>
        <v>Single Phase Meter Population</v>
      </c>
      <c r="H169" s="213" t="str" cm="1">
        <f t="array" ref="H169:H183">I_MeterTypes[RIN Subcategory 2]</f>
        <v>Other</v>
      </c>
      <c r="I169" s="213" t="str" cm="1">
        <f t="array" ref="I169:I183">I_MeterTypes[AER Type]</f>
        <v>Meter Type 4</v>
      </c>
      <c r="J169" s="213" t="str" cm="1">
        <f t="array" ref="J169:J183">I_MeterTypes[RIN Subcategory 3]</f>
        <v>Single phase single element - AMI</v>
      </c>
      <c r="K169" s="213" t="str" cm="1">
        <f t="array" ref="K169:K183">I_MeterTypes[Meter Code]</f>
        <v>AMI 1ph 1e</v>
      </c>
      <c r="L169" s="214" t="s">
        <v>18</v>
      </c>
      <c r="N169" s="479"/>
      <c r="O169" s="456"/>
      <c r="P169" s="423">
        <v>5000</v>
      </c>
      <c r="Q169" s="423">
        <v>5000</v>
      </c>
      <c r="R169" s="423">
        <v>5000</v>
      </c>
      <c r="S169" s="423">
        <v>5000</v>
      </c>
      <c r="T169" s="423">
        <v>5000</v>
      </c>
      <c r="U169" s="423">
        <v>5000</v>
      </c>
      <c r="V169" s="231">
        <f>SUM(Q169:U169)</f>
        <v>25000</v>
      </c>
      <c r="X169"/>
      <c r="Y169"/>
      <c r="Z169"/>
      <c r="AA169"/>
    </row>
    <row r="170" spans="1:27" outlineLevel="2" x14ac:dyDescent="0.3">
      <c r="A170" s="689"/>
      <c r="B170" s="224"/>
      <c r="E170" s="229"/>
      <c r="F170" s="213" t="str">
        <v>AMI - Single Phase, two element</v>
      </c>
      <c r="G170" s="213" t="str">
        <v>Single Phase Meter Population</v>
      </c>
      <c r="H170" s="213" t="str">
        <v>Other</v>
      </c>
      <c r="I170" s="213" t="str">
        <v>Meter Type 4</v>
      </c>
      <c r="J170" s="218" t="str">
        <v>Single phase two element with contactor - AMI</v>
      </c>
      <c r="K170" s="218" t="str">
        <v>AMI 1ph 2e</v>
      </c>
      <c r="L170" s="214" t="str">
        <f t="shared" ref="L170:L184" si="23">L$147</f>
        <v>No.</v>
      </c>
      <c r="O170" s="456"/>
      <c r="P170" s="423">
        <v>0</v>
      </c>
      <c r="Q170" s="220">
        <v>0</v>
      </c>
      <c r="R170" s="219">
        <v>0</v>
      </c>
      <c r="S170" s="219">
        <v>0</v>
      </c>
      <c r="T170" s="219">
        <v>0</v>
      </c>
      <c r="U170" s="219">
        <v>0</v>
      </c>
      <c r="V170" s="231">
        <f t="shared" ref="V170:V184" si="24">SUM(Q170:U170)</f>
        <v>0</v>
      </c>
      <c r="X170"/>
      <c r="Y170"/>
      <c r="Z170"/>
      <c r="AA170"/>
    </row>
    <row r="171" spans="1:27" outlineLevel="2" x14ac:dyDescent="0.3">
      <c r="A171" s="689"/>
      <c r="B171" s="224"/>
      <c r="E171" s="229"/>
      <c r="F171" s="213" t="str">
        <v>AMI - 3 Phase DC</v>
      </c>
      <c r="G171" s="213" t="str">
        <v>Multi Phase Meter Population</v>
      </c>
      <c r="H171" s="213" t="str">
        <v>Direct Connect Meter Population</v>
      </c>
      <c r="I171" s="213" t="str">
        <v>Meter Type 4</v>
      </c>
      <c r="J171" s="218" t="str">
        <v>Three phase - AMI</v>
      </c>
      <c r="K171" s="218" t="str">
        <v>AMI 3ph DC</v>
      </c>
      <c r="L171" s="214" t="str">
        <f t="shared" si="23"/>
        <v>No.</v>
      </c>
      <c r="O171" s="456"/>
      <c r="P171" s="423"/>
      <c r="Q171" s="220"/>
      <c r="R171" s="219"/>
      <c r="S171" s="219"/>
      <c r="T171" s="219"/>
      <c r="U171" s="219"/>
      <c r="V171" s="231">
        <f t="shared" si="24"/>
        <v>0</v>
      </c>
      <c r="X171"/>
      <c r="Y171"/>
      <c r="Z171"/>
      <c r="AA171"/>
    </row>
    <row r="172" spans="1:27" outlineLevel="2" x14ac:dyDescent="0.3">
      <c r="A172" s="689"/>
      <c r="B172" s="224"/>
      <c r="E172" s="229"/>
      <c r="F172" s="213" t="str">
        <v>AMI 3Ph CT</v>
      </c>
      <c r="G172" s="213" t="str">
        <v>Multi Phase Meter Population</v>
      </c>
      <c r="H172" s="213" t="str">
        <v>Current Transformer Connected Meter Population</v>
      </c>
      <c r="I172" s="213" t="str">
        <v>Meter Type 4</v>
      </c>
      <c r="J172" s="218">
        <v>0</v>
      </c>
      <c r="K172" s="218" t="str">
        <v>AMI 3ph CT</v>
      </c>
      <c r="L172" s="214" t="str">
        <f t="shared" si="23"/>
        <v>No.</v>
      </c>
      <c r="O172" s="456"/>
      <c r="P172" s="423"/>
      <c r="Q172" s="220"/>
      <c r="R172" s="219"/>
      <c r="S172" s="219"/>
      <c r="T172" s="219"/>
      <c r="U172" s="219"/>
      <c r="V172" s="231">
        <f t="shared" si="24"/>
        <v>0</v>
      </c>
      <c r="X172"/>
      <c r="Y172"/>
      <c r="Z172"/>
      <c r="AA172"/>
    </row>
    <row r="173" spans="1:27" outlineLevel="2" x14ac:dyDescent="0.3">
      <c r="A173" s="689"/>
      <c r="B173" s="224"/>
      <c r="E173" s="229"/>
      <c r="F173" s="213" t="str">
        <v>Non AMI - Type 5 Locally read Interval - Single Phase</v>
      </c>
      <c r="G173" s="213" t="str">
        <v>Single Phase Meter Population</v>
      </c>
      <c r="H173" s="213" t="str">
        <v>Direct Connect Meter Population</v>
      </c>
      <c r="I173" s="213" t="str">
        <v>Meter Type 5</v>
      </c>
      <c r="J173" s="218">
        <v>0</v>
      </c>
      <c r="K173" s="218" t="str">
        <v>INT 1ph</v>
      </c>
      <c r="L173" s="214" t="str">
        <f t="shared" si="23"/>
        <v>No.</v>
      </c>
      <c r="O173" s="456"/>
      <c r="P173" s="423"/>
      <c r="Q173" s="220"/>
      <c r="R173" s="219"/>
      <c r="S173" s="219"/>
      <c r="T173" s="219"/>
      <c r="U173" s="219"/>
      <c r="V173" s="231">
        <f t="shared" si="24"/>
        <v>0</v>
      </c>
      <c r="X173"/>
      <c r="Y173"/>
      <c r="Z173"/>
      <c r="AA173"/>
    </row>
    <row r="174" spans="1:27" outlineLevel="2" x14ac:dyDescent="0.3">
      <c r="A174" s="689"/>
      <c r="B174" s="224"/>
      <c r="E174" s="229"/>
      <c r="F174" s="213" t="str">
        <v>Non AMI - Type 5 Locally read Interval - 3 Phase</v>
      </c>
      <c r="G174" s="213" t="str">
        <v>Single Phase Meter Population</v>
      </c>
      <c r="H174" s="213" t="str">
        <v>Direct Connect Meter Population</v>
      </c>
      <c r="I174" s="213" t="str">
        <v>Meter Type 5</v>
      </c>
      <c r="J174" s="218">
        <v>0</v>
      </c>
      <c r="K174" s="218" t="str">
        <v>INT 3ph</v>
      </c>
      <c r="L174" s="214" t="str">
        <f t="shared" si="23"/>
        <v>No.</v>
      </c>
      <c r="O174" s="456"/>
      <c r="P174" s="423"/>
      <c r="Q174" s="220"/>
      <c r="R174" s="219"/>
      <c r="S174" s="219"/>
      <c r="T174" s="219"/>
      <c r="U174" s="219"/>
      <c r="V174" s="231">
        <f t="shared" si="24"/>
        <v>0</v>
      </c>
      <c r="X174"/>
      <c r="Y174"/>
      <c r="Z174"/>
      <c r="AA174"/>
    </row>
    <row r="175" spans="1:27" outlineLevel="2" x14ac:dyDescent="0.3">
      <c r="A175" s="689"/>
      <c r="B175" s="224"/>
      <c r="E175" s="229"/>
      <c r="F175" s="213" t="str">
        <v>Non AMI - Type 5 Locally read Interval - 3 Phase - CT</v>
      </c>
      <c r="G175" s="213" t="str">
        <v>Multi Phase Meter Population</v>
      </c>
      <c r="H175" s="213" t="str">
        <v>Current Transformer Connected Meter Population</v>
      </c>
      <c r="I175" s="213" t="str">
        <v>Meter Type 5</v>
      </c>
      <c r="J175" s="218">
        <v>0</v>
      </c>
      <c r="K175" s="218" t="str">
        <v>INT 3ph CT</v>
      </c>
      <c r="L175" s="214" t="str">
        <f t="shared" si="23"/>
        <v>No.</v>
      </c>
      <c r="O175" s="456"/>
      <c r="P175" s="423"/>
      <c r="Q175" s="220"/>
      <c r="R175" s="219"/>
      <c r="S175" s="219"/>
      <c r="T175" s="219"/>
      <c r="U175" s="219"/>
      <c r="V175" s="231">
        <f t="shared" si="24"/>
        <v>0</v>
      </c>
      <c r="X175"/>
      <c r="Y175"/>
      <c r="Z175"/>
      <c r="AA175"/>
    </row>
    <row r="176" spans="1:27" outlineLevel="2" x14ac:dyDescent="0.3">
      <c r="A176" s="689"/>
      <c r="B176" s="224"/>
      <c r="E176" s="229"/>
      <c r="F176" s="213" t="str">
        <v>Non AMI - Type 6 Locally read Accumulation - Single Phase</v>
      </c>
      <c r="G176" s="213" t="str">
        <v>Multi Phase Meter Population</v>
      </c>
      <c r="H176" s="213" t="str">
        <v>Direct Connect Meter Population</v>
      </c>
      <c r="I176" s="213" t="str">
        <v>Meter Type 6</v>
      </c>
      <c r="J176" s="218">
        <v>0</v>
      </c>
      <c r="K176" s="218" t="str">
        <v>ACC 1ph</v>
      </c>
      <c r="L176" s="214" t="str">
        <f t="shared" si="23"/>
        <v>No.</v>
      </c>
      <c r="O176" s="456"/>
      <c r="P176" s="423"/>
      <c r="Q176" s="220"/>
      <c r="R176" s="219"/>
      <c r="S176" s="219"/>
      <c r="T176" s="219"/>
      <c r="U176" s="219"/>
      <c r="V176" s="231">
        <f t="shared" si="24"/>
        <v>0</v>
      </c>
      <c r="X176"/>
      <c r="Y176"/>
      <c r="Z176"/>
      <c r="AA176"/>
    </row>
    <row r="177" spans="1:27" outlineLevel="2" x14ac:dyDescent="0.3">
      <c r="A177" s="689"/>
      <c r="B177" s="224"/>
      <c r="E177" s="229"/>
      <c r="F177" s="213" t="str">
        <v>Non AMI - Type 6 Locally read Accumulation - 3 Phase</v>
      </c>
      <c r="G177" s="213">
        <v>0</v>
      </c>
      <c r="H177" s="213" t="str">
        <v>Direct Connect Meter Population</v>
      </c>
      <c r="I177" s="213" t="str">
        <v>Meter Type 6</v>
      </c>
      <c r="J177" s="218">
        <v>0</v>
      </c>
      <c r="K177" s="218" t="str">
        <v>ACC 3ph</v>
      </c>
      <c r="L177" s="214" t="str">
        <f t="shared" si="23"/>
        <v>No.</v>
      </c>
      <c r="O177" s="456"/>
      <c r="P177" s="423"/>
      <c r="Q177" s="220"/>
      <c r="R177" s="219"/>
      <c r="S177" s="219"/>
      <c r="T177" s="219"/>
      <c r="U177" s="219"/>
      <c r="V177" s="231">
        <f t="shared" si="24"/>
        <v>0</v>
      </c>
      <c r="X177"/>
      <c r="Y177"/>
      <c r="Z177"/>
      <c r="AA177"/>
    </row>
    <row r="178" spans="1:27" outlineLevel="2" x14ac:dyDescent="0.3">
      <c r="A178" s="689"/>
      <c r="B178" s="224"/>
      <c r="E178" s="229"/>
      <c r="F178" s="213">
        <v>0</v>
      </c>
      <c r="G178" s="213">
        <v>0</v>
      </c>
      <c r="H178" s="213">
        <v>0</v>
      </c>
      <c r="I178" s="213">
        <v>0</v>
      </c>
      <c r="J178" s="218">
        <v>0</v>
      </c>
      <c r="K178" s="218">
        <v>0</v>
      </c>
      <c r="L178" s="214" t="str">
        <f t="shared" si="23"/>
        <v>No.</v>
      </c>
      <c r="O178" s="456"/>
      <c r="P178" s="423"/>
      <c r="Q178" s="220"/>
      <c r="R178" s="219"/>
      <c r="S178" s="219"/>
      <c r="T178" s="219"/>
      <c r="U178" s="219"/>
      <c r="V178" s="231">
        <f t="shared" si="24"/>
        <v>0</v>
      </c>
      <c r="X178"/>
      <c r="Y178"/>
      <c r="Z178"/>
      <c r="AA178"/>
    </row>
    <row r="179" spans="1:27" outlineLevel="2" x14ac:dyDescent="0.3">
      <c r="A179" s="689"/>
      <c r="B179" s="224"/>
      <c r="E179" s="229"/>
      <c r="F179" s="213">
        <v>0</v>
      </c>
      <c r="G179" s="213">
        <v>0</v>
      </c>
      <c r="H179" s="213">
        <v>0</v>
      </c>
      <c r="I179" s="213">
        <v>0</v>
      </c>
      <c r="J179" s="218">
        <v>0</v>
      </c>
      <c r="K179" s="218">
        <v>0</v>
      </c>
      <c r="L179" s="214" t="str">
        <f t="shared" si="23"/>
        <v>No.</v>
      </c>
      <c r="O179" s="456"/>
      <c r="P179" s="423"/>
      <c r="Q179" s="220"/>
      <c r="R179" s="219"/>
      <c r="S179" s="219"/>
      <c r="T179" s="219"/>
      <c r="U179" s="219"/>
      <c r="V179" s="231">
        <f t="shared" si="24"/>
        <v>0</v>
      </c>
    </row>
    <row r="180" spans="1:27" outlineLevel="2" x14ac:dyDescent="0.3">
      <c r="A180" s="689"/>
      <c r="B180" s="224"/>
      <c r="E180" s="229"/>
      <c r="F180" s="213">
        <v>0</v>
      </c>
      <c r="G180" s="213">
        <v>0</v>
      </c>
      <c r="H180" s="213">
        <v>0</v>
      </c>
      <c r="I180" s="213">
        <v>0</v>
      </c>
      <c r="J180" s="218">
        <v>0</v>
      </c>
      <c r="K180" s="218">
        <v>0</v>
      </c>
      <c r="L180" s="214" t="str">
        <f t="shared" si="23"/>
        <v>No.</v>
      </c>
      <c r="O180" s="456"/>
      <c r="P180" s="423"/>
      <c r="Q180" s="220"/>
      <c r="R180" s="219"/>
      <c r="S180" s="219"/>
      <c r="T180" s="219"/>
      <c r="U180" s="219"/>
      <c r="V180" s="231">
        <f t="shared" si="24"/>
        <v>0</v>
      </c>
    </row>
    <row r="181" spans="1:27" outlineLevel="2" x14ac:dyDescent="0.3">
      <c r="A181" s="689"/>
      <c r="B181" s="224"/>
      <c r="E181" s="229"/>
      <c r="F181" s="213">
        <v>0</v>
      </c>
      <c r="G181" s="213">
        <v>0</v>
      </c>
      <c r="H181" s="213">
        <v>0</v>
      </c>
      <c r="I181" s="213">
        <v>0</v>
      </c>
      <c r="J181" s="218">
        <v>0</v>
      </c>
      <c r="K181" s="218">
        <v>0</v>
      </c>
      <c r="L181" s="214" t="str">
        <f t="shared" si="23"/>
        <v>No.</v>
      </c>
      <c r="O181" s="456"/>
      <c r="P181" s="423"/>
      <c r="Q181" s="220"/>
      <c r="R181" s="219"/>
      <c r="S181" s="219"/>
      <c r="T181" s="219"/>
      <c r="U181" s="219"/>
      <c r="V181" s="231">
        <f t="shared" si="24"/>
        <v>0</v>
      </c>
    </row>
    <row r="182" spans="1:27" outlineLevel="2" x14ac:dyDescent="0.3">
      <c r="A182" s="689"/>
      <c r="B182" s="224"/>
      <c r="E182" s="229"/>
      <c r="F182" s="213">
        <v>0</v>
      </c>
      <c r="G182" s="213">
        <v>0</v>
      </c>
      <c r="H182" s="213">
        <v>0</v>
      </c>
      <c r="I182" s="213">
        <v>0</v>
      </c>
      <c r="J182" s="218">
        <v>0</v>
      </c>
      <c r="K182" s="218">
        <v>0</v>
      </c>
      <c r="L182" s="214" t="str">
        <f t="shared" si="23"/>
        <v>No.</v>
      </c>
      <c r="O182" s="456"/>
      <c r="P182" s="423"/>
      <c r="Q182" s="220"/>
      <c r="R182" s="219"/>
      <c r="S182" s="219"/>
      <c r="T182" s="219"/>
      <c r="U182" s="219"/>
      <c r="V182" s="231">
        <f t="shared" si="24"/>
        <v>0</v>
      </c>
    </row>
    <row r="183" spans="1:27" outlineLevel="2" x14ac:dyDescent="0.3">
      <c r="A183" s="689"/>
      <c r="B183" s="224"/>
      <c r="E183" s="229"/>
      <c r="F183" s="213">
        <v>0</v>
      </c>
      <c r="G183" s="213">
        <v>0</v>
      </c>
      <c r="H183" s="213">
        <v>0</v>
      </c>
      <c r="I183" s="213">
        <v>0</v>
      </c>
      <c r="J183" s="218">
        <v>0</v>
      </c>
      <c r="K183" s="218">
        <v>0</v>
      </c>
      <c r="L183" s="214" t="str">
        <f t="shared" si="23"/>
        <v>No.</v>
      </c>
      <c r="O183" s="456"/>
      <c r="P183" s="423"/>
      <c r="Q183" s="220"/>
      <c r="R183" s="219"/>
      <c r="S183" s="219"/>
      <c r="T183" s="219"/>
      <c r="U183" s="219"/>
      <c r="V183" s="231">
        <f t="shared" si="24"/>
        <v>0</v>
      </c>
    </row>
    <row r="184" spans="1:27" outlineLevel="2" x14ac:dyDescent="0.3">
      <c r="A184" s="689"/>
      <c r="B184" s="224"/>
      <c r="E184" s="229"/>
      <c r="F184" s="151" t="s">
        <v>17</v>
      </c>
      <c r="G184" s="151"/>
      <c r="H184" s="151"/>
      <c r="I184" s="151"/>
      <c r="J184" s="151"/>
      <c r="K184" s="151"/>
      <c r="L184" s="533" t="str">
        <f t="shared" si="23"/>
        <v>No.</v>
      </c>
      <c r="O184" s="424">
        <f>SUM(O169:O183)</f>
        <v>0</v>
      </c>
      <c r="P184" s="288">
        <f>SUM(P169:P183)</f>
        <v>5000</v>
      </c>
      <c r="Q184" s="232">
        <f t="shared" ref="Q184:U184" si="25">SUM(Q169:Q183)</f>
        <v>5000</v>
      </c>
      <c r="R184" s="233">
        <f t="shared" si="25"/>
        <v>5000</v>
      </c>
      <c r="S184" s="233">
        <f t="shared" si="25"/>
        <v>5000</v>
      </c>
      <c r="T184" s="233">
        <f t="shared" si="25"/>
        <v>5000</v>
      </c>
      <c r="U184" s="233">
        <f t="shared" si="25"/>
        <v>5000</v>
      </c>
      <c r="V184" s="233">
        <f t="shared" si="24"/>
        <v>25000</v>
      </c>
    </row>
    <row r="185" spans="1:27" outlineLevel="2" x14ac:dyDescent="0.3">
      <c r="A185" s="689"/>
      <c r="B185" s="224"/>
      <c r="E185" s="229"/>
    </row>
    <row r="186" spans="1:27" outlineLevel="1" x14ac:dyDescent="0.3">
      <c r="A186" s="689"/>
      <c r="B186" s="224"/>
      <c r="D186" s="201" t="s">
        <v>20</v>
      </c>
      <c r="E186" s="644" t="str">
        <f>$G$30</f>
        <v>Refurbished meters</v>
      </c>
    </row>
    <row r="187" spans="1:27" outlineLevel="2" x14ac:dyDescent="0.3">
      <c r="A187" s="689"/>
      <c r="B187" s="224"/>
      <c r="E187" s="229"/>
      <c r="O187"/>
      <c r="P187"/>
      <c r="Q187" s="442"/>
      <c r="R187" s="442"/>
      <c r="S187" s="442"/>
      <c r="T187" s="442"/>
      <c r="U187" s="442"/>
      <c r="V187" s="458"/>
    </row>
    <row r="188" spans="1:27" outlineLevel="2" x14ac:dyDescent="0.3">
      <c r="A188" s="689"/>
      <c r="B188" s="224"/>
      <c r="E188" s="229"/>
      <c r="F188" s="121" t="str">
        <f>I_MeterTypes[[#Headers],[Meter Type]]</f>
        <v>Meter Type</v>
      </c>
      <c r="G188" s="121" t="str">
        <f>I_MeterTypes[[#Headers],[RIN Subcategory 1]]</f>
        <v>RIN Subcategory 1</v>
      </c>
      <c r="H188" s="121" t="str">
        <f>I_MeterTypes[[#Headers],[RIN Subcategory 2]]</f>
        <v>RIN Subcategory 2</v>
      </c>
      <c r="I188" s="121" t="str">
        <f>I_MeterTypes[[#Headers],[AER Type]]</f>
        <v>AER Type</v>
      </c>
      <c r="J188" s="121" t="str">
        <f>I_MeterTypes[[#Headers],[RIN Subcategory 3]]</f>
        <v>RIN Subcategory 3</v>
      </c>
      <c r="K188" s="121" t="str">
        <f>I_MeterTypes[[#Headers],[Meter Code]]</f>
        <v>Meter Code</v>
      </c>
      <c r="L188" s="121" t="s">
        <v>6</v>
      </c>
      <c r="O188" s="457" t="str">
        <f t="shared" ref="O188:U188" si="26">O$168</f>
        <v>2018-19</v>
      </c>
      <c r="P188" s="270" t="str">
        <f t="shared" si="26"/>
        <v>2019-20</v>
      </c>
      <c r="Q188" s="124" t="str">
        <f t="shared" si="26"/>
        <v>2020-21</v>
      </c>
      <c r="R188" s="124" t="str">
        <f t="shared" si="26"/>
        <v>2021-22</v>
      </c>
      <c r="S188" s="124" t="str">
        <f t="shared" si="26"/>
        <v>2022-23</v>
      </c>
      <c r="T188" s="124" t="str">
        <f t="shared" si="26"/>
        <v>2023-24</v>
      </c>
      <c r="U188" s="124" t="str">
        <f t="shared" si="26"/>
        <v>2024-25</v>
      </c>
      <c r="V188" s="230" t="s">
        <v>422</v>
      </c>
    </row>
    <row r="189" spans="1:27" outlineLevel="2" x14ac:dyDescent="0.3">
      <c r="A189" s="689"/>
      <c r="B189" s="224"/>
      <c r="E189" s="229"/>
      <c r="F189" s="213" t="str" cm="1">
        <f t="array" ref="F189:F203">I_MeterTypes[Meter Type]</f>
        <v>AMI - Single Phase, single element</v>
      </c>
      <c r="G189" s="213" t="str" cm="1">
        <f t="array" ref="G189:G203">I_MeterTypes[RIN Subcategory 1]</f>
        <v>Single Phase Meter Population</v>
      </c>
      <c r="H189" s="213" t="str" cm="1">
        <f t="array" ref="H189:H203">I_MeterTypes[RIN Subcategory 2]</f>
        <v>Other</v>
      </c>
      <c r="I189" s="213" t="str" cm="1">
        <f t="array" ref="I189:I203">I_MeterTypes[AER Type]</f>
        <v>Meter Type 4</v>
      </c>
      <c r="J189" s="213" t="str" cm="1">
        <f t="array" ref="J189:J203">I_MeterTypes[RIN Subcategory 3]</f>
        <v>Single phase single element - AMI</v>
      </c>
      <c r="K189" s="213" t="str" cm="1">
        <f t="array" ref="K189:K203">I_MeterTypes[Meter Code]</f>
        <v>AMI 1ph 1e</v>
      </c>
      <c r="L189" s="214" t="s">
        <v>18</v>
      </c>
      <c r="O189" s="456"/>
      <c r="P189" s="423">
        <v>500</v>
      </c>
      <c r="Q189" s="423">
        <v>500</v>
      </c>
      <c r="R189" s="423">
        <v>500</v>
      </c>
      <c r="S189" s="423">
        <v>500</v>
      </c>
      <c r="T189" s="423">
        <v>500</v>
      </c>
      <c r="U189" s="423">
        <v>500</v>
      </c>
      <c r="V189" s="231">
        <f>SUM(Q189:U189)</f>
        <v>2500</v>
      </c>
      <c r="X189" s="391"/>
      <c r="Y189" s="391"/>
      <c r="Z189" s="391"/>
      <c r="AA189" s="391"/>
    </row>
    <row r="190" spans="1:27" outlineLevel="2" x14ac:dyDescent="0.3">
      <c r="A190" s="689"/>
      <c r="B190" s="224"/>
      <c r="E190" s="229"/>
      <c r="F190" s="213" t="str">
        <v>AMI - Single Phase, two element</v>
      </c>
      <c r="G190" s="213" t="str">
        <v>Single Phase Meter Population</v>
      </c>
      <c r="H190" s="213" t="str">
        <v>Other</v>
      </c>
      <c r="I190" s="213" t="str">
        <v>Meter Type 4</v>
      </c>
      <c r="J190" s="218" t="str">
        <v>Single phase two element with contactor - AMI</v>
      </c>
      <c r="K190" s="218" t="str">
        <v>AMI 1ph 2e</v>
      </c>
      <c r="L190" s="214" t="str">
        <f t="shared" ref="L190:L204" si="27">L$147</f>
        <v>No.</v>
      </c>
      <c r="O190" s="456"/>
      <c r="P190" s="423"/>
      <c r="Q190" s="220"/>
      <c r="R190" s="219"/>
      <c r="S190" s="219"/>
      <c r="T190" s="219"/>
      <c r="U190" s="219"/>
      <c r="V190" s="231">
        <f t="shared" ref="V190:V204" si="28">SUM(Q190:U190)</f>
        <v>0</v>
      </c>
      <c r="X190" s="391"/>
      <c r="Y190" s="391"/>
      <c r="Z190" s="391"/>
      <c r="AA190" s="391"/>
    </row>
    <row r="191" spans="1:27" outlineLevel="2" x14ac:dyDescent="0.3">
      <c r="A191" s="689"/>
      <c r="B191" s="224"/>
      <c r="E191" s="229"/>
      <c r="F191" s="213" t="str">
        <v>AMI - 3 Phase DC</v>
      </c>
      <c r="G191" s="213" t="str">
        <v>Multi Phase Meter Population</v>
      </c>
      <c r="H191" s="213" t="str">
        <v>Direct Connect Meter Population</v>
      </c>
      <c r="I191" s="213" t="str">
        <v>Meter Type 4</v>
      </c>
      <c r="J191" s="218" t="str">
        <v>Three phase - AMI</v>
      </c>
      <c r="K191" s="218" t="str">
        <v>AMI 3ph DC</v>
      </c>
      <c r="L191" s="214" t="str">
        <f t="shared" si="27"/>
        <v>No.</v>
      </c>
      <c r="O191" s="456"/>
      <c r="P191" s="423"/>
      <c r="Q191" s="220"/>
      <c r="R191" s="219"/>
      <c r="S191" s="219"/>
      <c r="T191" s="219"/>
      <c r="U191" s="219"/>
      <c r="V191" s="231">
        <f t="shared" si="28"/>
        <v>0</v>
      </c>
      <c r="X191" s="391"/>
      <c r="Y191" s="391"/>
      <c r="Z191" s="391"/>
      <c r="AA191" s="391"/>
    </row>
    <row r="192" spans="1:27" outlineLevel="2" x14ac:dyDescent="0.3">
      <c r="A192" s="689"/>
      <c r="B192" s="224"/>
      <c r="E192" s="229"/>
      <c r="F192" s="213" t="str">
        <v>AMI 3Ph CT</v>
      </c>
      <c r="G192" s="213" t="str">
        <v>Multi Phase Meter Population</v>
      </c>
      <c r="H192" s="213" t="str">
        <v>Current Transformer Connected Meter Population</v>
      </c>
      <c r="I192" s="213" t="str">
        <v>Meter Type 4</v>
      </c>
      <c r="J192" s="218">
        <v>0</v>
      </c>
      <c r="K192" s="218" t="str">
        <v>AMI 3ph CT</v>
      </c>
      <c r="L192" s="214" t="str">
        <f t="shared" si="27"/>
        <v>No.</v>
      </c>
      <c r="O192" s="456"/>
      <c r="P192" s="423"/>
      <c r="Q192" s="220"/>
      <c r="R192" s="219"/>
      <c r="S192" s="219"/>
      <c r="T192" s="219"/>
      <c r="U192" s="219"/>
      <c r="V192" s="231">
        <f t="shared" si="28"/>
        <v>0</v>
      </c>
      <c r="X192" s="391"/>
      <c r="Y192" s="391"/>
      <c r="Z192" s="391"/>
      <c r="AA192" s="391"/>
    </row>
    <row r="193" spans="1:27" outlineLevel="2" x14ac:dyDescent="0.3">
      <c r="A193" s="689"/>
      <c r="B193" s="224"/>
      <c r="E193" s="229"/>
      <c r="F193" s="213" t="str">
        <v>Non AMI - Type 5 Locally read Interval - Single Phase</v>
      </c>
      <c r="G193" s="213" t="str">
        <v>Single Phase Meter Population</v>
      </c>
      <c r="H193" s="213" t="str">
        <v>Direct Connect Meter Population</v>
      </c>
      <c r="I193" s="213" t="str">
        <v>Meter Type 5</v>
      </c>
      <c r="J193" s="218">
        <v>0</v>
      </c>
      <c r="K193" s="218" t="str">
        <v>INT 1ph</v>
      </c>
      <c r="L193" s="214" t="str">
        <f t="shared" si="27"/>
        <v>No.</v>
      </c>
      <c r="O193" s="456"/>
      <c r="P193" s="423"/>
      <c r="Q193" s="220"/>
      <c r="R193" s="219"/>
      <c r="S193" s="219"/>
      <c r="T193" s="219"/>
      <c r="U193" s="219"/>
      <c r="V193" s="231">
        <f t="shared" si="28"/>
        <v>0</v>
      </c>
      <c r="X193" s="391"/>
      <c r="Y193" s="391"/>
      <c r="Z193" s="391"/>
      <c r="AA193" s="391"/>
    </row>
    <row r="194" spans="1:27" outlineLevel="2" x14ac:dyDescent="0.3">
      <c r="A194" s="689"/>
      <c r="B194" s="224"/>
      <c r="E194" s="229"/>
      <c r="F194" s="213" t="str">
        <v>Non AMI - Type 5 Locally read Interval - 3 Phase</v>
      </c>
      <c r="G194" s="213" t="str">
        <v>Single Phase Meter Population</v>
      </c>
      <c r="H194" s="213" t="str">
        <v>Direct Connect Meter Population</v>
      </c>
      <c r="I194" s="213" t="str">
        <v>Meter Type 5</v>
      </c>
      <c r="J194" s="218">
        <v>0</v>
      </c>
      <c r="K194" s="218" t="str">
        <v>INT 3ph</v>
      </c>
      <c r="L194" s="214" t="str">
        <f t="shared" si="27"/>
        <v>No.</v>
      </c>
      <c r="O194" s="456"/>
      <c r="P194" s="423"/>
      <c r="Q194" s="220"/>
      <c r="R194" s="219"/>
      <c r="S194" s="219"/>
      <c r="T194" s="219"/>
      <c r="U194" s="219"/>
      <c r="V194" s="231">
        <f t="shared" si="28"/>
        <v>0</v>
      </c>
      <c r="X194" s="391"/>
      <c r="Y194" s="391"/>
      <c r="Z194" s="391"/>
      <c r="AA194" s="391"/>
    </row>
    <row r="195" spans="1:27" outlineLevel="2" x14ac:dyDescent="0.3">
      <c r="A195" s="689"/>
      <c r="B195" s="224"/>
      <c r="E195" s="229"/>
      <c r="F195" s="213" t="str">
        <v>Non AMI - Type 5 Locally read Interval - 3 Phase - CT</v>
      </c>
      <c r="G195" s="213" t="str">
        <v>Multi Phase Meter Population</v>
      </c>
      <c r="H195" s="213" t="str">
        <v>Current Transformer Connected Meter Population</v>
      </c>
      <c r="I195" s="213" t="str">
        <v>Meter Type 5</v>
      </c>
      <c r="J195" s="218">
        <v>0</v>
      </c>
      <c r="K195" s="218" t="str">
        <v>INT 3ph CT</v>
      </c>
      <c r="L195" s="214" t="str">
        <f t="shared" si="27"/>
        <v>No.</v>
      </c>
      <c r="O195" s="456"/>
      <c r="P195" s="423"/>
      <c r="Q195" s="220"/>
      <c r="R195" s="219"/>
      <c r="S195" s="219"/>
      <c r="T195" s="219"/>
      <c r="U195" s="219"/>
      <c r="V195" s="231">
        <f t="shared" si="28"/>
        <v>0</v>
      </c>
      <c r="X195" s="391"/>
      <c r="Y195" s="391"/>
      <c r="Z195" s="391"/>
      <c r="AA195" s="391"/>
    </row>
    <row r="196" spans="1:27" outlineLevel="2" x14ac:dyDescent="0.3">
      <c r="A196" s="689"/>
      <c r="B196" s="224"/>
      <c r="E196" s="229"/>
      <c r="F196" s="213" t="str">
        <v>Non AMI - Type 6 Locally read Accumulation - Single Phase</v>
      </c>
      <c r="G196" s="213" t="str">
        <v>Multi Phase Meter Population</v>
      </c>
      <c r="H196" s="213" t="str">
        <v>Direct Connect Meter Population</v>
      </c>
      <c r="I196" s="213" t="str">
        <v>Meter Type 6</v>
      </c>
      <c r="J196" s="218">
        <v>0</v>
      </c>
      <c r="K196" s="218" t="str">
        <v>ACC 1ph</v>
      </c>
      <c r="L196" s="214" t="str">
        <f t="shared" si="27"/>
        <v>No.</v>
      </c>
      <c r="O196" s="456"/>
      <c r="P196" s="423"/>
      <c r="Q196" s="220"/>
      <c r="R196" s="219"/>
      <c r="S196" s="219"/>
      <c r="T196" s="219"/>
      <c r="U196" s="219"/>
      <c r="V196" s="231">
        <f t="shared" si="28"/>
        <v>0</v>
      </c>
      <c r="X196" s="391"/>
      <c r="Y196" s="391"/>
      <c r="Z196" s="391"/>
      <c r="AA196" s="391"/>
    </row>
    <row r="197" spans="1:27" outlineLevel="2" x14ac:dyDescent="0.3">
      <c r="A197" s="689"/>
      <c r="B197" s="224"/>
      <c r="E197" s="229"/>
      <c r="F197" s="213" t="str">
        <v>Non AMI - Type 6 Locally read Accumulation - 3 Phase</v>
      </c>
      <c r="G197" s="213">
        <v>0</v>
      </c>
      <c r="H197" s="213" t="str">
        <v>Direct Connect Meter Population</v>
      </c>
      <c r="I197" s="213" t="str">
        <v>Meter Type 6</v>
      </c>
      <c r="J197" s="218">
        <v>0</v>
      </c>
      <c r="K197" s="218" t="str">
        <v>ACC 3ph</v>
      </c>
      <c r="L197" s="214" t="str">
        <f t="shared" si="27"/>
        <v>No.</v>
      </c>
      <c r="O197" s="456"/>
      <c r="P197" s="423"/>
      <c r="Q197" s="220"/>
      <c r="R197" s="219"/>
      <c r="S197" s="219"/>
      <c r="T197" s="219"/>
      <c r="U197" s="219"/>
      <c r="V197" s="231">
        <f t="shared" si="28"/>
        <v>0</v>
      </c>
      <c r="X197" s="391"/>
      <c r="Y197" s="391"/>
      <c r="Z197" s="391"/>
      <c r="AA197" s="391"/>
    </row>
    <row r="198" spans="1:27" outlineLevel="2" x14ac:dyDescent="0.3">
      <c r="A198" s="689"/>
      <c r="B198" s="224"/>
      <c r="E198" s="229"/>
      <c r="F198" s="213">
        <v>0</v>
      </c>
      <c r="G198" s="213">
        <v>0</v>
      </c>
      <c r="H198" s="213">
        <v>0</v>
      </c>
      <c r="I198" s="213">
        <v>0</v>
      </c>
      <c r="J198" s="218">
        <v>0</v>
      </c>
      <c r="K198" s="218">
        <v>0</v>
      </c>
      <c r="L198" s="214" t="str">
        <f t="shared" si="27"/>
        <v>No.</v>
      </c>
      <c r="O198" s="456"/>
      <c r="P198" s="423"/>
      <c r="Q198" s="220"/>
      <c r="R198" s="219"/>
      <c r="S198" s="219"/>
      <c r="T198" s="219"/>
      <c r="U198" s="219"/>
      <c r="V198" s="231">
        <f t="shared" si="28"/>
        <v>0</v>
      </c>
      <c r="X198" s="391"/>
      <c r="Y198" s="391"/>
      <c r="Z198" s="391"/>
      <c r="AA198" s="391"/>
    </row>
    <row r="199" spans="1:27" outlineLevel="2" x14ac:dyDescent="0.3">
      <c r="A199" s="689"/>
      <c r="B199" s="224"/>
      <c r="E199" s="229"/>
      <c r="F199" s="213">
        <v>0</v>
      </c>
      <c r="G199" s="213">
        <v>0</v>
      </c>
      <c r="H199" s="213">
        <v>0</v>
      </c>
      <c r="I199" s="213">
        <v>0</v>
      </c>
      <c r="J199" s="218">
        <v>0</v>
      </c>
      <c r="K199" s="218">
        <v>0</v>
      </c>
      <c r="L199" s="214" t="str">
        <f t="shared" si="27"/>
        <v>No.</v>
      </c>
      <c r="O199" s="456"/>
      <c r="P199" s="423"/>
      <c r="Q199" s="220"/>
      <c r="R199" s="219"/>
      <c r="S199" s="219"/>
      <c r="T199" s="219"/>
      <c r="U199" s="219"/>
      <c r="V199" s="231">
        <f t="shared" si="28"/>
        <v>0</v>
      </c>
      <c r="X199" s="391"/>
      <c r="Y199" s="391"/>
      <c r="Z199" s="391"/>
      <c r="AA199" s="391"/>
    </row>
    <row r="200" spans="1:27" outlineLevel="2" x14ac:dyDescent="0.3">
      <c r="A200" s="689"/>
      <c r="B200" s="224"/>
      <c r="E200" s="229"/>
      <c r="F200" s="213">
        <v>0</v>
      </c>
      <c r="G200" s="213">
        <v>0</v>
      </c>
      <c r="H200" s="213">
        <v>0</v>
      </c>
      <c r="I200" s="213">
        <v>0</v>
      </c>
      <c r="J200" s="218">
        <v>0</v>
      </c>
      <c r="K200" s="218">
        <v>0</v>
      </c>
      <c r="L200" s="214" t="str">
        <f t="shared" si="27"/>
        <v>No.</v>
      </c>
      <c r="O200" s="456"/>
      <c r="P200" s="423"/>
      <c r="Q200" s="220"/>
      <c r="R200" s="219"/>
      <c r="S200" s="219"/>
      <c r="T200" s="219"/>
      <c r="U200" s="219"/>
      <c r="V200" s="231">
        <f t="shared" si="28"/>
        <v>0</v>
      </c>
    </row>
    <row r="201" spans="1:27" outlineLevel="2" x14ac:dyDescent="0.3">
      <c r="A201" s="689"/>
      <c r="B201" s="224"/>
      <c r="E201" s="229"/>
      <c r="F201" s="213">
        <v>0</v>
      </c>
      <c r="G201" s="213">
        <v>0</v>
      </c>
      <c r="H201" s="213">
        <v>0</v>
      </c>
      <c r="I201" s="213">
        <v>0</v>
      </c>
      <c r="J201" s="218">
        <v>0</v>
      </c>
      <c r="K201" s="218">
        <v>0</v>
      </c>
      <c r="L201" s="214" t="str">
        <f t="shared" si="27"/>
        <v>No.</v>
      </c>
      <c r="O201" s="456"/>
      <c r="P201" s="423">
        <v>0</v>
      </c>
      <c r="Q201" s="220">
        <v>0</v>
      </c>
      <c r="R201" s="219">
        <v>0</v>
      </c>
      <c r="S201" s="219">
        <v>0</v>
      </c>
      <c r="T201" s="219">
        <v>0</v>
      </c>
      <c r="U201" s="219">
        <v>0</v>
      </c>
      <c r="V201" s="231">
        <f t="shared" si="28"/>
        <v>0</v>
      </c>
    </row>
    <row r="202" spans="1:27" outlineLevel="2" x14ac:dyDescent="0.3">
      <c r="A202" s="689"/>
      <c r="B202" s="224"/>
      <c r="E202" s="229"/>
      <c r="F202" s="213">
        <v>0</v>
      </c>
      <c r="G202" s="213">
        <v>0</v>
      </c>
      <c r="H202" s="213">
        <v>0</v>
      </c>
      <c r="I202" s="213">
        <v>0</v>
      </c>
      <c r="J202" s="218">
        <v>0</v>
      </c>
      <c r="K202" s="218">
        <v>0</v>
      </c>
      <c r="L202" s="214" t="str">
        <f t="shared" si="27"/>
        <v>No.</v>
      </c>
      <c r="O202" s="456"/>
      <c r="P202" s="423">
        <v>0</v>
      </c>
      <c r="Q202" s="220">
        <v>0</v>
      </c>
      <c r="R202" s="219">
        <v>0</v>
      </c>
      <c r="S202" s="219">
        <v>0</v>
      </c>
      <c r="T202" s="219">
        <v>0</v>
      </c>
      <c r="U202" s="219">
        <v>0</v>
      </c>
      <c r="V202" s="231">
        <f t="shared" si="28"/>
        <v>0</v>
      </c>
    </row>
    <row r="203" spans="1:27" outlineLevel="2" x14ac:dyDescent="0.3">
      <c r="A203" s="689"/>
      <c r="B203" s="224"/>
      <c r="E203" s="229"/>
      <c r="F203" s="213">
        <v>0</v>
      </c>
      <c r="G203" s="213">
        <v>0</v>
      </c>
      <c r="H203" s="213">
        <v>0</v>
      </c>
      <c r="I203" s="213">
        <v>0</v>
      </c>
      <c r="J203" s="218">
        <v>0</v>
      </c>
      <c r="K203" s="218">
        <v>0</v>
      </c>
      <c r="L203" s="214" t="str">
        <f t="shared" si="27"/>
        <v>No.</v>
      </c>
      <c r="O203" s="456"/>
      <c r="P203" s="423">
        <v>0</v>
      </c>
      <c r="Q203" s="220">
        <v>0</v>
      </c>
      <c r="R203" s="219">
        <v>0</v>
      </c>
      <c r="S203" s="219">
        <v>0</v>
      </c>
      <c r="T203" s="219">
        <v>0</v>
      </c>
      <c r="U203" s="219">
        <v>0</v>
      </c>
      <c r="V203" s="231">
        <f t="shared" si="28"/>
        <v>0</v>
      </c>
    </row>
    <row r="204" spans="1:27" outlineLevel="2" x14ac:dyDescent="0.3">
      <c r="A204" s="689"/>
      <c r="B204" s="224"/>
      <c r="E204" s="229"/>
      <c r="F204" s="151" t="s">
        <v>17</v>
      </c>
      <c r="G204" s="151"/>
      <c r="H204" s="151"/>
      <c r="I204" s="151"/>
      <c r="J204" s="151"/>
      <c r="K204" s="151"/>
      <c r="L204" s="533" t="str">
        <f t="shared" si="27"/>
        <v>No.</v>
      </c>
      <c r="O204" s="424">
        <f>SUM(O189:O203)</f>
        <v>0</v>
      </c>
      <c r="P204" s="288">
        <f t="shared" ref="P204:U204" si="29">SUM(P189:P203)</f>
        <v>500</v>
      </c>
      <c r="Q204" s="232">
        <f t="shared" si="29"/>
        <v>500</v>
      </c>
      <c r="R204" s="233">
        <f t="shared" si="29"/>
        <v>500</v>
      </c>
      <c r="S204" s="233">
        <f t="shared" si="29"/>
        <v>500</v>
      </c>
      <c r="T204" s="233">
        <f t="shared" si="29"/>
        <v>500</v>
      </c>
      <c r="U204" s="233">
        <f t="shared" si="29"/>
        <v>500</v>
      </c>
      <c r="V204" s="233">
        <f t="shared" si="28"/>
        <v>2500</v>
      </c>
    </row>
    <row r="205" spans="1:27" outlineLevel="2" x14ac:dyDescent="0.3">
      <c r="A205" s="689"/>
      <c r="B205" s="224"/>
      <c r="E205" s="229"/>
    </row>
    <row r="206" spans="1:27" outlineLevel="1" x14ac:dyDescent="0.3">
      <c r="A206" s="689"/>
      <c r="B206" s="224"/>
      <c r="D206" s="201" t="s">
        <v>21</v>
      </c>
      <c r="E206" s="644" t="str">
        <f>$G$31</f>
        <v>Replacements - End of life</v>
      </c>
    </row>
    <row r="207" spans="1:27" outlineLevel="2" x14ac:dyDescent="0.3">
      <c r="A207" s="689"/>
      <c r="B207" s="224"/>
      <c r="E207" s="229"/>
      <c r="O207"/>
      <c r="P207"/>
      <c r="Q207"/>
      <c r="R207"/>
      <c r="S207"/>
      <c r="T207"/>
      <c r="U207"/>
    </row>
    <row r="208" spans="1:27" outlineLevel="2" x14ac:dyDescent="0.3">
      <c r="A208" s="689"/>
      <c r="B208" s="224"/>
      <c r="E208" s="229"/>
      <c r="F208" s="121" t="str">
        <f>I_MeterTypes[[#Headers],[Meter Type]]</f>
        <v>Meter Type</v>
      </c>
      <c r="G208" s="121" t="str">
        <f>I_MeterTypes[[#Headers],[RIN Subcategory 1]]</f>
        <v>RIN Subcategory 1</v>
      </c>
      <c r="H208" s="121" t="str">
        <f>I_MeterTypes[[#Headers],[RIN Subcategory 2]]</f>
        <v>RIN Subcategory 2</v>
      </c>
      <c r="I208" s="121" t="str">
        <f>I_MeterTypes[[#Headers],[AER Type]]</f>
        <v>AER Type</v>
      </c>
      <c r="J208" s="121" t="str">
        <f>I_MeterTypes[[#Headers],[RIN Subcategory 3]]</f>
        <v>RIN Subcategory 3</v>
      </c>
      <c r="K208" s="121" t="str">
        <f>I_MeterTypes[[#Headers],[Meter Code]]</f>
        <v>Meter Code</v>
      </c>
      <c r="L208" s="121" t="s">
        <v>6</v>
      </c>
      <c r="O208" s="457" t="str">
        <f t="shared" ref="O208:U208" si="30">O$168</f>
        <v>2018-19</v>
      </c>
      <c r="P208" s="270" t="str">
        <f t="shared" si="30"/>
        <v>2019-20</v>
      </c>
      <c r="Q208" s="267" t="str">
        <f t="shared" si="30"/>
        <v>2020-21</v>
      </c>
      <c r="R208" s="230" t="str">
        <f t="shared" si="30"/>
        <v>2021-22</v>
      </c>
      <c r="S208" s="230" t="str">
        <f t="shared" si="30"/>
        <v>2022-23</v>
      </c>
      <c r="T208" s="230" t="str">
        <f t="shared" si="30"/>
        <v>2023-24</v>
      </c>
      <c r="U208" s="230" t="str">
        <f t="shared" si="30"/>
        <v>2024-25</v>
      </c>
      <c r="V208" s="230" t="s">
        <v>422</v>
      </c>
    </row>
    <row r="209" spans="1:22" outlineLevel="2" x14ac:dyDescent="0.3">
      <c r="A209" s="689"/>
      <c r="B209" s="224"/>
      <c r="E209" s="229"/>
      <c r="F209" s="213" t="str" cm="1">
        <f t="array" ref="F209:F223">I_MeterTypes[Meter Type]</f>
        <v>AMI - Single Phase, single element</v>
      </c>
      <c r="G209" s="213" t="str" cm="1">
        <f t="array" ref="G209:G223">I_MeterTypes[RIN Subcategory 1]</f>
        <v>Single Phase Meter Population</v>
      </c>
      <c r="H209" s="213" t="str" cm="1">
        <f t="array" ref="H209:H223">I_MeterTypes[RIN Subcategory 2]</f>
        <v>Other</v>
      </c>
      <c r="I209" s="213" t="str" cm="1">
        <f t="array" ref="I209:I223">I_MeterTypes[AER Type]</f>
        <v>Meter Type 4</v>
      </c>
      <c r="J209" s="213" t="str" cm="1">
        <f t="array" ref="J209:J223">I_MeterTypes[RIN Subcategory 3]</f>
        <v>Single phase single element - AMI</v>
      </c>
      <c r="K209" s="213" t="str" cm="1">
        <f t="array" ref="K209:K223">I_MeterTypes[Meter Code]</f>
        <v>AMI 1ph 1e</v>
      </c>
      <c r="L209" s="214" t="s">
        <v>18</v>
      </c>
      <c r="O209" s="456"/>
      <c r="P209" s="423">
        <f>2%*O409</f>
        <v>7000</v>
      </c>
      <c r="Q209" s="220">
        <f>P209</f>
        <v>7000</v>
      </c>
      <c r="R209" s="219">
        <f t="shared" ref="R209:U209" si="31">Q209</f>
        <v>7000</v>
      </c>
      <c r="S209" s="219">
        <f t="shared" si="31"/>
        <v>7000</v>
      </c>
      <c r="T209" s="219">
        <f t="shared" si="31"/>
        <v>7000</v>
      </c>
      <c r="U209" s="219">
        <f t="shared" si="31"/>
        <v>7000</v>
      </c>
      <c r="V209" s="231">
        <f>SUM(Q209:U209)</f>
        <v>35000</v>
      </c>
    </row>
    <row r="210" spans="1:22" outlineLevel="2" x14ac:dyDescent="0.3">
      <c r="A210" s="689"/>
      <c r="B210" s="224"/>
      <c r="E210" s="229"/>
      <c r="F210" s="213" t="str">
        <v>AMI - Single Phase, two element</v>
      </c>
      <c r="G210" s="213" t="str">
        <v>Single Phase Meter Population</v>
      </c>
      <c r="H210" s="213" t="str">
        <v>Other</v>
      </c>
      <c r="I210" s="213" t="str">
        <v>Meter Type 4</v>
      </c>
      <c r="J210" s="218" t="str">
        <v>Single phase two element with contactor - AMI</v>
      </c>
      <c r="K210" s="218" t="str">
        <v>AMI 1ph 2e</v>
      </c>
      <c r="L210" s="214" t="str">
        <f t="shared" ref="L210:L224" si="32">L$147</f>
        <v>No.</v>
      </c>
      <c r="O210" s="456"/>
      <c r="P210" s="423"/>
      <c r="Q210" s="220"/>
      <c r="R210" s="219"/>
      <c r="S210" s="219"/>
      <c r="T210" s="219"/>
      <c r="U210" s="219"/>
      <c r="V210" s="231">
        <f t="shared" ref="V210:V224" si="33">SUM(Q210:U210)</f>
        <v>0</v>
      </c>
    </row>
    <row r="211" spans="1:22" outlineLevel="2" x14ac:dyDescent="0.3">
      <c r="A211" s="689"/>
      <c r="B211" s="224"/>
      <c r="E211" s="229"/>
      <c r="F211" s="213" t="str">
        <v>AMI - 3 Phase DC</v>
      </c>
      <c r="G211" s="213" t="str">
        <v>Multi Phase Meter Population</v>
      </c>
      <c r="H211" s="213" t="str">
        <v>Direct Connect Meter Population</v>
      </c>
      <c r="I211" s="213" t="str">
        <v>Meter Type 4</v>
      </c>
      <c r="J211" s="218" t="str">
        <v>Three phase - AMI</v>
      </c>
      <c r="K211" s="218" t="str">
        <v>AMI 3ph DC</v>
      </c>
      <c r="L211" s="214" t="str">
        <f t="shared" si="32"/>
        <v>No.</v>
      </c>
      <c r="O211" s="456"/>
      <c r="P211" s="423"/>
      <c r="Q211" s="220"/>
      <c r="R211" s="219"/>
      <c r="S211" s="219"/>
      <c r="T211" s="219"/>
      <c r="U211" s="219"/>
      <c r="V211" s="231">
        <f t="shared" si="33"/>
        <v>0</v>
      </c>
    </row>
    <row r="212" spans="1:22" outlineLevel="2" x14ac:dyDescent="0.3">
      <c r="A212" s="689"/>
      <c r="B212" s="224"/>
      <c r="E212" s="229"/>
      <c r="F212" s="213" t="str">
        <v>AMI 3Ph CT</v>
      </c>
      <c r="G212" s="213" t="str">
        <v>Multi Phase Meter Population</v>
      </c>
      <c r="H212" s="213" t="str">
        <v>Current Transformer Connected Meter Population</v>
      </c>
      <c r="I212" s="213" t="str">
        <v>Meter Type 4</v>
      </c>
      <c r="J212" s="218">
        <v>0</v>
      </c>
      <c r="K212" s="218" t="str">
        <v>AMI 3ph CT</v>
      </c>
      <c r="L212" s="214" t="str">
        <f t="shared" si="32"/>
        <v>No.</v>
      </c>
      <c r="O212" s="456"/>
      <c r="P212" s="423"/>
      <c r="Q212" s="220"/>
      <c r="R212" s="219"/>
      <c r="S212" s="219"/>
      <c r="T212" s="219"/>
      <c r="U212" s="219"/>
      <c r="V212" s="231">
        <f t="shared" si="33"/>
        <v>0</v>
      </c>
    </row>
    <row r="213" spans="1:22" outlineLevel="2" x14ac:dyDescent="0.3">
      <c r="A213" s="689"/>
      <c r="B213" s="224"/>
      <c r="E213" s="229"/>
      <c r="F213" s="213" t="str">
        <v>Non AMI - Type 5 Locally read Interval - Single Phase</v>
      </c>
      <c r="G213" s="213" t="str">
        <v>Single Phase Meter Population</v>
      </c>
      <c r="H213" s="213" t="str">
        <v>Direct Connect Meter Population</v>
      </c>
      <c r="I213" s="213" t="str">
        <v>Meter Type 5</v>
      </c>
      <c r="J213" s="218">
        <v>0</v>
      </c>
      <c r="K213" s="218" t="str">
        <v>INT 1ph</v>
      </c>
      <c r="L213" s="214" t="str">
        <f t="shared" si="32"/>
        <v>No.</v>
      </c>
      <c r="O213" s="456"/>
      <c r="P213" s="423"/>
      <c r="Q213" s="220"/>
      <c r="R213" s="219"/>
      <c r="S213" s="219"/>
      <c r="T213" s="219"/>
      <c r="U213" s="219"/>
      <c r="V213" s="231">
        <f t="shared" si="33"/>
        <v>0</v>
      </c>
    </row>
    <row r="214" spans="1:22" outlineLevel="2" x14ac:dyDescent="0.3">
      <c r="A214" s="689"/>
      <c r="B214" s="224"/>
      <c r="E214" s="229"/>
      <c r="F214" s="213" t="str">
        <v>Non AMI - Type 5 Locally read Interval - 3 Phase</v>
      </c>
      <c r="G214" s="213" t="str">
        <v>Single Phase Meter Population</v>
      </c>
      <c r="H214" s="213" t="str">
        <v>Direct Connect Meter Population</v>
      </c>
      <c r="I214" s="213" t="str">
        <v>Meter Type 5</v>
      </c>
      <c r="J214" s="218">
        <v>0</v>
      </c>
      <c r="K214" s="218" t="str">
        <v>INT 3ph</v>
      </c>
      <c r="L214" s="214" t="str">
        <f t="shared" si="32"/>
        <v>No.</v>
      </c>
      <c r="O214" s="456"/>
      <c r="P214" s="423"/>
      <c r="Q214" s="220"/>
      <c r="R214" s="219"/>
      <c r="S214" s="219"/>
      <c r="T214" s="219"/>
      <c r="U214" s="219"/>
      <c r="V214" s="231">
        <f t="shared" si="33"/>
        <v>0</v>
      </c>
    </row>
    <row r="215" spans="1:22" outlineLevel="2" x14ac:dyDescent="0.3">
      <c r="A215" s="689"/>
      <c r="B215" s="224"/>
      <c r="E215" s="229"/>
      <c r="F215" s="213" t="str">
        <v>Non AMI - Type 5 Locally read Interval - 3 Phase - CT</v>
      </c>
      <c r="G215" s="213" t="str">
        <v>Multi Phase Meter Population</v>
      </c>
      <c r="H215" s="213" t="str">
        <v>Current Transformer Connected Meter Population</v>
      </c>
      <c r="I215" s="213" t="str">
        <v>Meter Type 5</v>
      </c>
      <c r="J215" s="218">
        <v>0</v>
      </c>
      <c r="K215" s="218" t="str">
        <v>INT 3ph CT</v>
      </c>
      <c r="L215" s="214" t="str">
        <f t="shared" si="32"/>
        <v>No.</v>
      </c>
      <c r="O215" s="456"/>
      <c r="P215" s="423"/>
      <c r="Q215" s="220"/>
      <c r="R215" s="219"/>
      <c r="S215" s="219"/>
      <c r="T215" s="219"/>
      <c r="U215" s="219"/>
      <c r="V215" s="231">
        <f t="shared" si="33"/>
        <v>0</v>
      </c>
    </row>
    <row r="216" spans="1:22" outlineLevel="2" x14ac:dyDescent="0.3">
      <c r="A216" s="689"/>
      <c r="B216" s="224"/>
      <c r="E216" s="229"/>
      <c r="F216" s="213" t="str">
        <v>Non AMI - Type 6 Locally read Accumulation - Single Phase</v>
      </c>
      <c r="G216" s="213" t="str">
        <v>Multi Phase Meter Population</v>
      </c>
      <c r="H216" s="213" t="str">
        <v>Direct Connect Meter Population</v>
      </c>
      <c r="I216" s="213" t="str">
        <v>Meter Type 6</v>
      </c>
      <c r="J216" s="218">
        <v>0</v>
      </c>
      <c r="K216" s="218" t="str">
        <v>ACC 1ph</v>
      </c>
      <c r="L216" s="214" t="str">
        <f t="shared" si="32"/>
        <v>No.</v>
      </c>
      <c r="O216" s="456"/>
      <c r="P216" s="423"/>
      <c r="Q216" s="220"/>
      <c r="R216" s="219"/>
      <c r="S216" s="219"/>
      <c r="T216" s="219"/>
      <c r="U216" s="219"/>
      <c r="V216" s="231">
        <f t="shared" si="33"/>
        <v>0</v>
      </c>
    </row>
    <row r="217" spans="1:22" outlineLevel="2" x14ac:dyDescent="0.3">
      <c r="A217" s="689"/>
      <c r="B217" s="224"/>
      <c r="E217" s="229"/>
      <c r="F217" s="213" t="str">
        <v>Non AMI - Type 6 Locally read Accumulation - 3 Phase</v>
      </c>
      <c r="G217" s="213">
        <v>0</v>
      </c>
      <c r="H217" s="213" t="str">
        <v>Direct Connect Meter Population</v>
      </c>
      <c r="I217" s="213" t="str">
        <v>Meter Type 6</v>
      </c>
      <c r="J217" s="218">
        <v>0</v>
      </c>
      <c r="K217" s="218" t="str">
        <v>ACC 3ph</v>
      </c>
      <c r="L217" s="214" t="str">
        <f t="shared" si="32"/>
        <v>No.</v>
      </c>
      <c r="O217" s="456"/>
      <c r="P217" s="423"/>
      <c r="Q217" s="220"/>
      <c r="R217" s="219"/>
      <c r="S217" s="219"/>
      <c r="T217" s="219"/>
      <c r="U217" s="219"/>
      <c r="V217" s="231">
        <f t="shared" si="33"/>
        <v>0</v>
      </c>
    </row>
    <row r="218" spans="1:22" outlineLevel="2" x14ac:dyDescent="0.3">
      <c r="A218" s="689"/>
      <c r="B218" s="224"/>
      <c r="E218" s="229"/>
      <c r="F218" s="213">
        <v>0</v>
      </c>
      <c r="G218" s="213">
        <v>0</v>
      </c>
      <c r="H218" s="213">
        <v>0</v>
      </c>
      <c r="I218" s="213">
        <v>0</v>
      </c>
      <c r="J218" s="218">
        <v>0</v>
      </c>
      <c r="K218" s="218">
        <v>0</v>
      </c>
      <c r="L218" s="214" t="str">
        <f t="shared" si="32"/>
        <v>No.</v>
      </c>
      <c r="O218" s="456"/>
      <c r="P218" s="423"/>
      <c r="Q218" s="220"/>
      <c r="R218" s="219"/>
      <c r="S218" s="219"/>
      <c r="T218" s="219"/>
      <c r="U218" s="219"/>
      <c r="V218" s="231">
        <f t="shared" si="33"/>
        <v>0</v>
      </c>
    </row>
    <row r="219" spans="1:22" outlineLevel="2" x14ac:dyDescent="0.3">
      <c r="A219" s="689"/>
      <c r="B219" s="224"/>
      <c r="E219" s="229"/>
      <c r="F219" s="213">
        <v>0</v>
      </c>
      <c r="G219" s="213">
        <v>0</v>
      </c>
      <c r="H219" s="213">
        <v>0</v>
      </c>
      <c r="I219" s="213">
        <v>0</v>
      </c>
      <c r="J219" s="218">
        <v>0</v>
      </c>
      <c r="K219" s="218">
        <v>0</v>
      </c>
      <c r="L219" s="214" t="str">
        <f t="shared" si="32"/>
        <v>No.</v>
      </c>
      <c r="O219" s="456"/>
      <c r="P219" s="423"/>
      <c r="Q219" s="220"/>
      <c r="R219" s="219"/>
      <c r="S219" s="219"/>
      <c r="T219" s="219"/>
      <c r="U219" s="219"/>
      <c r="V219" s="231">
        <f t="shared" si="33"/>
        <v>0</v>
      </c>
    </row>
    <row r="220" spans="1:22" outlineLevel="2" x14ac:dyDescent="0.3">
      <c r="A220" s="689"/>
      <c r="B220" s="224"/>
      <c r="E220" s="229"/>
      <c r="F220" s="213">
        <v>0</v>
      </c>
      <c r="G220" s="213">
        <v>0</v>
      </c>
      <c r="H220" s="213">
        <v>0</v>
      </c>
      <c r="I220" s="213">
        <v>0</v>
      </c>
      <c r="J220" s="218">
        <v>0</v>
      </c>
      <c r="K220" s="218">
        <v>0</v>
      </c>
      <c r="L220" s="214" t="str">
        <f t="shared" si="32"/>
        <v>No.</v>
      </c>
      <c r="O220" s="456"/>
      <c r="P220" s="423"/>
      <c r="Q220" s="220"/>
      <c r="R220" s="219"/>
      <c r="S220" s="219"/>
      <c r="T220" s="219"/>
      <c r="U220" s="219"/>
      <c r="V220" s="231">
        <f t="shared" si="33"/>
        <v>0</v>
      </c>
    </row>
    <row r="221" spans="1:22" outlineLevel="2" x14ac:dyDescent="0.3">
      <c r="A221" s="689"/>
      <c r="B221" s="224"/>
      <c r="E221" s="229"/>
      <c r="F221" s="213">
        <v>0</v>
      </c>
      <c r="G221" s="213">
        <v>0</v>
      </c>
      <c r="H221" s="213">
        <v>0</v>
      </c>
      <c r="I221" s="213">
        <v>0</v>
      </c>
      <c r="J221" s="218">
        <v>0</v>
      </c>
      <c r="K221" s="218">
        <v>0</v>
      </c>
      <c r="L221" s="214" t="str">
        <f t="shared" si="32"/>
        <v>No.</v>
      </c>
      <c r="O221" s="456"/>
      <c r="P221" s="423"/>
      <c r="Q221" s="220"/>
      <c r="R221" s="219"/>
      <c r="S221" s="219"/>
      <c r="T221" s="219"/>
      <c r="U221" s="219"/>
      <c r="V221" s="231">
        <f t="shared" si="33"/>
        <v>0</v>
      </c>
    </row>
    <row r="222" spans="1:22" outlineLevel="2" x14ac:dyDescent="0.3">
      <c r="A222" s="689"/>
      <c r="B222" s="224"/>
      <c r="E222" s="229"/>
      <c r="F222" s="213">
        <v>0</v>
      </c>
      <c r="G222" s="213">
        <v>0</v>
      </c>
      <c r="H222" s="213">
        <v>0</v>
      </c>
      <c r="I222" s="213">
        <v>0</v>
      </c>
      <c r="J222" s="218">
        <v>0</v>
      </c>
      <c r="K222" s="218">
        <v>0</v>
      </c>
      <c r="L222" s="214" t="str">
        <f t="shared" si="32"/>
        <v>No.</v>
      </c>
      <c r="O222" s="456"/>
      <c r="P222" s="423"/>
      <c r="Q222" s="220"/>
      <c r="R222" s="219"/>
      <c r="S222" s="219"/>
      <c r="T222" s="219"/>
      <c r="U222" s="219"/>
      <c r="V222" s="231">
        <f t="shared" si="33"/>
        <v>0</v>
      </c>
    </row>
    <row r="223" spans="1:22" outlineLevel="2" x14ac:dyDescent="0.3">
      <c r="A223" s="689"/>
      <c r="B223" s="224"/>
      <c r="E223" s="229"/>
      <c r="F223" s="213">
        <v>0</v>
      </c>
      <c r="G223" s="213">
        <v>0</v>
      </c>
      <c r="H223" s="213">
        <v>0</v>
      </c>
      <c r="I223" s="213">
        <v>0</v>
      </c>
      <c r="J223" s="218">
        <v>0</v>
      </c>
      <c r="K223" s="218">
        <v>0</v>
      </c>
      <c r="L223" s="214" t="str">
        <f t="shared" si="32"/>
        <v>No.</v>
      </c>
      <c r="O223" s="456"/>
      <c r="P223" s="423"/>
      <c r="Q223" s="220"/>
      <c r="R223" s="219"/>
      <c r="S223" s="219"/>
      <c r="T223" s="219"/>
      <c r="U223" s="219"/>
      <c r="V223" s="231">
        <f t="shared" si="33"/>
        <v>0</v>
      </c>
    </row>
    <row r="224" spans="1:22" outlineLevel="2" x14ac:dyDescent="0.3">
      <c r="A224" s="689"/>
      <c r="B224" s="224"/>
      <c r="E224" s="229"/>
      <c r="F224" s="151" t="s">
        <v>17</v>
      </c>
      <c r="G224" s="151"/>
      <c r="H224" s="151"/>
      <c r="I224" s="151"/>
      <c r="J224" s="151"/>
      <c r="K224" s="151"/>
      <c r="L224" s="533" t="str">
        <f t="shared" si="32"/>
        <v>No.</v>
      </c>
      <c r="O224" s="424">
        <f>SUM(O209:O223)</f>
        <v>0</v>
      </c>
      <c r="P224" s="288">
        <f t="shared" ref="P224:U224" si="34">SUM(P209:P216)</f>
        <v>7000</v>
      </c>
      <c r="Q224" s="232">
        <f t="shared" si="34"/>
        <v>7000</v>
      </c>
      <c r="R224" s="233">
        <f t="shared" si="34"/>
        <v>7000</v>
      </c>
      <c r="S224" s="233">
        <f t="shared" si="34"/>
        <v>7000</v>
      </c>
      <c r="T224" s="233">
        <f t="shared" si="34"/>
        <v>7000</v>
      </c>
      <c r="U224" s="233">
        <f t="shared" si="34"/>
        <v>7000</v>
      </c>
      <c r="V224" s="233">
        <f t="shared" si="33"/>
        <v>35000</v>
      </c>
    </row>
    <row r="225" spans="1:22" outlineLevel="2" x14ac:dyDescent="0.3">
      <c r="A225" s="689"/>
      <c r="B225" s="224"/>
      <c r="E225" s="229"/>
    </row>
    <row r="226" spans="1:22" outlineLevel="1" x14ac:dyDescent="0.3">
      <c r="A226" s="689"/>
      <c r="B226" s="224"/>
      <c r="D226" s="201" t="s">
        <v>22</v>
      </c>
      <c r="E226" s="644" t="str">
        <f>$G$32</f>
        <v>Replacements - Failures and faults</v>
      </c>
    </row>
    <row r="227" spans="1:22" outlineLevel="2" x14ac:dyDescent="0.3">
      <c r="A227" s="689"/>
      <c r="B227" s="224"/>
      <c r="E227" s="229"/>
      <c r="O227"/>
      <c r="P227"/>
      <c r="Q227"/>
      <c r="R227"/>
      <c r="S227"/>
      <c r="T227"/>
      <c r="U227"/>
    </row>
    <row r="228" spans="1:22" outlineLevel="2" x14ac:dyDescent="0.3">
      <c r="A228" s="689"/>
      <c r="B228" s="224"/>
      <c r="E228" s="229"/>
      <c r="F228" s="121" t="str">
        <f>I_MeterTypes[[#Headers],[Meter Type]]</f>
        <v>Meter Type</v>
      </c>
      <c r="G228" s="121" t="str">
        <f>I_MeterTypes[[#Headers],[RIN Subcategory 1]]</f>
        <v>RIN Subcategory 1</v>
      </c>
      <c r="H228" s="121" t="str">
        <f>I_MeterTypes[[#Headers],[RIN Subcategory 2]]</f>
        <v>RIN Subcategory 2</v>
      </c>
      <c r="I228" s="121" t="str">
        <f>I_MeterTypes[[#Headers],[AER Type]]</f>
        <v>AER Type</v>
      </c>
      <c r="J228" s="121" t="str">
        <f>I_MeterTypes[[#Headers],[RIN Subcategory 3]]</f>
        <v>RIN Subcategory 3</v>
      </c>
      <c r="K228" s="121" t="str">
        <f>I_MeterTypes[[#Headers],[Meter Code]]</f>
        <v>Meter Code</v>
      </c>
      <c r="L228" s="121" t="s">
        <v>6</v>
      </c>
      <c r="O228" s="457" t="str">
        <f t="shared" ref="O228:U228" si="35">O$168</f>
        <v>2018-19</v>
      </c>
      <c r="P228" s="270" t="str">
        <f t="shared" si="35"/>
        <v>2019-20</v>
      </c>
      <c r="Q228" s="267" t="str">
        <f t="shared" si="35"/>
        <v>2020-21</v>
      </c>
      <c r="R228" s="230" t="str">
        <f t="shared" si="35"/>
        <v>2021-22</v>
      </c>
      <c r="S228" s="230" t="str">
        <f t="shared" si="35"/>
        <v>2022-23</v>
      </c>
      <c r="T228" s="230" t="str">
        <f t="shared" si="35"/>
        <v>2023-24</v>
      </c>
      <c r="U228" s="230" t="str">
        <f t="shared" si="35"/>
        <v>2024-25</v>
      </c>
      <c r="V228" s="124" t="s">
        <v>17</v>
      </c>
    </row>
    <row r="229" spans="1:22" outlineLevel="2" x14ac:dyDescent="0.3">
      <c r="A229" s="689"/>
      <c r="B229" s="224"/>
      <c r="E229" s="229"/>
      <c r="F229" s="213" t="str" cm="1">
        <f t="array" ref="F229:F243">I_MeterTypes[Meter Type]</f>
        <v>AMI - Single Phase, single element</v>
      </c>
      <c r="G229" s="213" t="str" cm="1">
        <f t="array" ref="G229:G243">I_MeterTypes[RIN Subcategory 1]</f>
        <v>Single Phase Meter Population</v>
      </c>
      <c r="H229" s="213" t="str" cm="1">
        <f t="array" ref="H229:H243">I_MeterTypes[RIN Subcategory 2]</f>
        <v>Other</v>
      </c>
      <c r="I229" s="213" t="str" cm="1">
        <f t="array" ref="I229:I243">I_MeterTypes[AER Type]</f>
        <v>Meter Type 4</v>
      </c>
      <c r="J229" s="213" t="str" cm="1">
        <f t="array" ref="J229:J243">I_MeterTypes[RIN Subcategory 3]</f>
        <v>Single phase single element - AMI</v>
      </c>
      <c r="K229" s="213" t="str" cm="1">
        <f t="array" ref="K229:K243">I_MeterTypes[Meter Code]</f>
        <v>AMI 1ph 1e</v>
      </c>
      <c r="L229" s="214" t="s">
        <v>18</v>
      </c>
      <c r="O229" s="456"/>
      <c r="P229" s="423">
        <f>0.5%*O409</f>
        <v>1750</v>
      </c>
      <c r="Q229" s="220">
        <f>P229</f>
        <v>1750</v>
      </c>
      <c r="R229" s="220">
        <f t="shared" ref="R229:U229" si="36">Q229</f>
        <v>1750</v>
      </c>
      <c r="S229" s="220">
        <f t="shared" si="36"/>
        <v>1750</v>
      </c>
      <c r="T229" s="220">
        <f t="shared" si="36"/>
        <v>1750</v>
      </c>
      <c r="U229" s="220">
        <f t="shared" si="36"/>
        <v>1750</v>
      </c>
      <c r="V229" s="231">
        <f t="shared" ref="V229:V243" si="37">SUM(N229:U229)</f>
        <v>10500</v>
      </c>
    </row>
    <row r="230" spans="1:22" outlineLevel="2" x14ac:dyDescent="0.3">
      <c r="A230" s="689"/>
      <c r="B230" s="224"/>
      <c r="E230" s="229"/>
      <c r="F230" s="213" t="str">
        <v>AMI - Single Phase, two element</v>
      </c>
      <c r="G230" s="213" t="str">
        <v>Single Phase Meter Population</v>
      </c>
      <c r="H230" s="213" t="str">
        <v>Other</v>
      </c>
      <c r="I230" s="213" t="str">
        <v>Meter Type 4</v>
      </c>
      <c r="J230" s="218" t="str">
        <v>Single phase two element with contactor - AMI</v>
      </c>
      <c r="K230" s="218" t="str">
        <v>AMI 1ph 2e</v>
      </c>
      <c r="L230" s="214" t="str">
        <f t="shared" ref="L230:L244" si="38">L$147</f>
        <v>No.</v>
      </c>
      <c r="O230" s="456"/>
      <c r="P230" s="423"/>
      <c r="Q230" s="220"/>
      <c r="R230" s="219"/>
      <c r="S230" s="219"/>
      <c r="T230" s="219"/>
      <c r="U230" s="219"/>
      <c r="V230" s="231">
        <f t="shared" si="37"/>
        <v>0</v>
      </c>
    </row>
    <row r="231" spans="1:22" outlineLevel="2" x14ac:dyDescent="0.3">
      <c r="A231" s="689"/>
      <c r="B231" s="224"/>
      <c r="E231" s="229"/>
      <c r="F231" s="213" t="str">
        <v>AMI - 3 Phase DC</v>
      </c>
      <c r="G231" s="213" t="str">
        <v>Multi Phase Meter Population</v>
      </c>
      <c r="H231" s="213" t="str">
        <v>Direct Connect Meter Population</v>
      </c>
      <c r="I231" s="213" t="str">
        <v>Meter Type 4</v>
      </c>
      <c r="J231" s="218" t="str">
        <v>Three phase - AMI</v>
      </c>
      <c r="K231" s="218" t="str">
        <v>AMI 3ph DC</v>
      </c>
      <c r="L231" s="214" t="str">
        <f t="shared" si="38"/>
        <v>No.</v>
      </c>
      <c r="O231" s="456"/>
      <c r="P231" s="423"/>
      <c r="Q231" s="220"/>
      <c r="R231" s="219"/>
      <c r="S231" s="219"/>
      <c r="T231" s="219"/>
      <c r="U231" s="219"/>
      <c r="V231" s="231">
        <f t="shared" si="37"/>
        <v>0</v>
      </c>
    </row>
    <row r="232" spans="1:22" outlineLevel="2" x14ac:dyDescent="0.3">
      <c r="A232" s="689"/>
      <c r="B232" s="224"/>
      <c r="E232" s="229"/>
      <c r="F232" s="213" t="str">
        <v>AMI 3Ph CT</v>
      </c>
      <c r="G232" s="213" t="str">
        <v>Multi Phase Meter Population</v>
      </c>
      <c r="H232" s="213" t="str">
        <v>Current Transformer Connected Meter Population</v>
      </c>
      <c r="I232" s="213" t="str">
        <v>Meter Type 4</v>
      </c>
      <c r="J232" s="218">
        <v>0</v>
      </c>
      <c r="K232" s="218" t="str">
        <v>AMI 3ph CT</v>
      </c>
      <c r="L232" s="214" t="str">
        <f t="shared" si="38"/>
        <v>No.</v>
      </c>
      <c r="O232" s="456"/>
      <c r="P232" s="423"/>
      <c r="Q232" s="220"/>
      <c r="R232" s="219"/>
      <c r="S232" s="219"/>
      <c r="T232" s="219"/>
      <c r="U232" s="219"/>
      <c r="V232" s="231">
        <f t="shared" si="37"/>
        <v>0</v>
      </c>
    </row>
    <row r="233" spans="1:22" outlineLevel="2" x14ac:dyDescent="0.3">
      <c r="A233" s="689"/>
      <c r="B233" s="224"/>
      <c r="E233" s="229"/>
      <c r="F233" s="213" t="str">
        <v>Non AMI - Type 5 Locally read Interval - Single Phase</v>
      </c>
      <c r="G233" s="213" t="str">
        <v>Single Phase Meter Population</v>
      </c>
      <c r="H233" s="213" t="str">
        <v>Direct Connect Meter Population</v>
      </c>
      <c r="I233" s="213" t="str">
        <v>Meter Type 5</v>
      </c>
      <c r="J233" s="218">
        <v>0</v>
      </c>
      <c r="K233" s="218" t="str">
        <v>INT 1ph</v>
      </c>
      <c r="L233" s="214" t="str">
        <f t="shared" si="38"/>
        <v>No.</v>
      </c>
      <c r="O233" s="456"/>
      <c r="P233" s="423"/>
      <c r="Q233" s="220"/>
      <c r="R233" s="219"/>
      <c r="S233" s="219"/>
      <c r="T233" s="219"/>
      <c r="U233" s="219"/>
      <c r="V233" s="231">
        <f t="shared" si="37"/>
        <v>0</v>
      </c>
    </row>
    <row r="234" spans="1:22" outlineLevel="2" x14ac:dyDescent="0.3">
      <c r="A234" s="689"/>
      <c r="B234" s="224"/>
      <c r="E234" s="229"/>
      <c r="F234" s="213" t="str">
        <v>Non AMI - Type 5 Locally read Interval - 3 Phase</v>
      </c>
      <c r="G234" s="213" t="str">
        <v>Single Phase Meter Population</v>
      </c>
      <c r="H234" s="213" t="str">
        <v>Direct Connect Meter Population</v>
      </c>
      <c r="I234" s="213" t="str">
        <v>Meter Type 5</v>
      </c>
      <c r="J234" s="218">
        <v>0</v>
      </c>
      <c r="K234" s="218" t="str">
        <v>INT 3ph</v>
      </c>
      <c r="L234" s="214" t="str">
        <f t="shared" si="38"/>
        <v>No.</v>
      </c>
      <c r="O234" s="456"/>
      <c r="P234" s="423"/>
      <c r="Q234" s="220"/>
      <c r="R234" s="219"/>
      <c r="S234" s="219"/>
      <c r="T234" s="219"/>
      <c r="U234" s="219"/>
      <c r="V234" s="231">
        <f t="shared" si="37"/>
        <v>0</v>
      </c>
    </row>
    <row r="235" spans="1:22" outlineLevel="2" x14ac:dyDescent="0.3">
      <c r="A235" s="689"/>
      <c r="B235" s="224"/>
      <c r="E235" s="229"/>
      <c r="F235" s="213" t="str">
        <v>Non AMI - Type 5 Locally read Interval - 3 Phase - CT</v>
      </c>
      <c r="G235" s="213" t="str">
        <v>Multi Phase Meter Population</v>
      </c>
      <c r="H235" s="213" t="str">
        <v>Current Transformer Connected Meter Population</v>
      </c>
      <c r="I235" s="213" t="str">
        <v>Meter Type 5</v>
      </c>
      <c r="J235" s="218">
        <v>0</v>
      </c>
      <c r="K235" s="218" t="str">
        <v>INT 3ph CT</v>
      </c>
      <c r="L235" s="214" t="str">
        <f t="shared" si="38"/>
        <v>No.</v>
      </c>
      <c r="O235" s="456"/>
      <c r="P235" s="423"/>
      <c r="Q235" s="220"/>
      <c r="R235" s="219"/>
      <c r="S235" s="219"/>
      <c r="T235" s="219"/>
      <c r="U235" s="219"/>
      <c r="V235" s="231">
        <f t="shared" si="37"/>
        <v>0</v>
      </c>
    </row>
    <row r="236" spans="1:22" outlineLevel="2" x14ac:dyDescent="0.3">
      <c r="A236" s="689"/>
      <c r="B236" s="224"/>
      <c r="E236" s="229"/>
      <c r="F236" s="213" t="str">
        <v>Non AMI - Type 6 Locally read Accumulation - Single Phase</v>
      </c>
      <c r="G236" s="213" t="str">
        <v>Multi Phase Meter Population</v>
      </c>
      <c r="H236" s="213" t="str">
        <v>Direct Connect Meter Population</v>
      </c>
      <c r="I236" s="213" t="str">
        <v>Meter Type 6</v>
      </c>
      <c r="J236" s="218">
        <v>0</v>
      </c>
      <c r="K236" s="218" t="str">
        <v>ACC 1ph</v>
      </c>
      <c r="L236" s="214" t="str">
        <f t="shared" si="38"/>
        <v>No.</v>
      </c>
      <c r="O236" s="456"/>
      <c r="P236" s="423"/>
      <c r="Q236" s="220"/>
      <c r="R236" s="219"/>
      <c r="S236" s="219"/>
      <c r="T236" s="219"/>
      <c r="U236" s="219"/>
      <c r="V236" s="231">
        <f t="shared" si="37"/>
        <v>0</v>
      </c>
    </row>
    <row r="237" spans="1:22" outlineLevel="2" x14ac:dyDescent="0.3">
      <c r="A237" s="689"/>
      <c r="B237" s="224"/>
      <c r="E237" s="229"/>
      <c r="F237" s="213" t="str">
        <v>Non AMI - Type 6 Locally read Accumulation - 3 Phase</v>
      </c>
      <c r="G237" s="213">
        <v>0</v>
      </c>
      <c r="H237" s="213" t="str">
        <v>Direct Connect Meter Population</v>
      </c>
      <c r="I237" s="213" t="str">
        <v>Meter Type 6</v>
      </c>
      <c r="J237" s="218">
        <v>0</v>
      </c>
      <c r="K237" s="218" t="str">
        <v>ACC 3ph</v>
      </c>
      <c r="L237" s="214" t="str">
        <f t="shared" si="38"/>
        <v>No.</v>
      </c>
      <c r="O237" s="456"/>
      <c r="P237" s="423"/>
      <c r="Q237" s="220"/>
      <c r="R237" s="219"/>
      <c r="S237" s="219"/>
      <c r="T237" s="219"/>
      <c r="U237" s="219"/>
      <c r="V237" s="231">
        <f t="shared" si="37"/>
        <v>0</v>
      </c>
    </row>
    <row r="238" spans="1:22" outlineLevel="2" x14ac:dyDescent="0.3">
      <c r="A238" s="689"/>
      <c r="B238" s="224"/>
      <c r="E238" s="229"/>
      <c r="F238" s="213">
        <v>0</v>
      </c>
      <c r="G238" s="213">
        <v>0</v>
      </c>
      <c r="H238" s="213">
        <v>0</v>
      </c>
      <c r="I238" s="213">
        <v>0</v>
      </c>
      <c r="J238" s="218">
        <v>0</v>
      </c>
      <c r="K238" s="218">
        <v>0</v>
      </c>
      <c r="L238" s="214" t="str">
        <f t="shared" si="38"/>
        <v>No.</v>
      </c>
      <c r="O238" s="456"/>
      <c r="P238" s="423"/>
      <c r="Q238" s="220"/>
      <c r="R238" s="219"/>
      <c r="S238" s="219"/>
      <c r="T238" s="219"/>
      <c r="U238" s="219"/>
      <c r="V238" s="231">
        <f t="shared" si="37"/>
        <v>0</v>
      </c>
    </row>
    <row r="239" spans="1:22" outlineLevel="2" x14ac:dyDescent="0.3">
      <c r="A239" s="689"/>
      <c r="B239" s="224"/>
      <c r="E239" s="229"/>
      <c r="F239" s="213">
        <v>0</v>
      </c>
      <c r="G239" s="213">
        <v>0</v>
      </c>
      <c r="H239" s="213">
        <v>0</v>
      </c>
      <c r="I239" s="213">
        <v>0</v>
      </c>
      <c r="J239" s="218">
        <v>0</v>
      </c>
      <c r="K239" s="218">
        <v>0</v>
      </c>
      <c r="L239" s="214" t="str">
        <f t="shared" si="38"/>
        <v>No.</v>
      </c>
      <c r="O239" s="456"/>
      <c r="P239" s="423"/>
      <c r="Q239" s="220"/>
      <c r="R239" s="219"/>
      <c r="S239" s="219"/>
      <c r="T239" s="219"/>
      <c r="U239" s="219"/>
      <c r="V239" s="231">
        <f t="shared" si="37"/>
        <v>0</v>
      </c>
    </row>
    <row r="240" spans="1:22" outlineLevel="2" x14ac:dyDescent="0.3">
      <c r="A240" s="689"/>
      <c r="B240" s="224"/>
      <c r="E240" s="229"/>
      <c r="F240" s="213">
        <v>0</v>
      </c>
      <c r="G240" s="213">
        <v>0</v>
      </c>
      <c r="H240" s="213">
        <v>0</v>
      </c>
      <c r="I240" s="213">
        <v>0</v>
      </c>
      <c r="J240" s="218">
        <v>0</v>
      </c>
      <c r="K240" s="218">
        <v>0</v>
      </c>
      <c r="L240" s="214" t="str">
        <f t="shared" si="38"/>
        <v>No.</v>
      </c>
      <c r="O240" s="456"/>
      <c r="P240" s="423"/>
      <c r="Q240" s="220"/>
      <c r="R240" s="219"/>
      <c r="S240" s="219"/>
      <c r="T240" s="219"/>
      <c r="U240" s="219"/>
      <c r="V240" s="231">
        <f t="shared" si="37"/>
        <v>0</v>
      </c>
    </row>
    <row r="241" spans="1:22" outlineLevel="2" x14ac:dyDescent="0.3">
      <c r="A241" s="689"/>
      <c r="B241" s="224"/>
      <c r="E241" s="229"/>
      <c r="F241" s="213">
        <v>0</v>
      </c>
      <c r="G241" s="213">
        <v>0</v>
      </c>
      <c r="H241" s="213">
        <v>0</v>
      </c>
      <c r="I241" s="213">
        <v>0</v>
      </c>
      <c r="J241" s="218">
        <v>0</v>
      </c>
      <c r="K241" s="218">
        <v>0</v>
      </c>
      <c r="L241" s="214" t="str">
        <f t="shared" si="38"/>
        <v>No.</v>
      </c>
      <c r="O241" s="456"/>
      <c r="P241" s="423"/>
      <c r="Q241" s="220"/>
      <c r="R241" s="219"/>
      <c r="S241" s="219"/>
      <c r="T241" s="219"/>
      <c r="U241" s="219"/>
      <c r="V241" s="231">
        <f t="shared" si="37"/>
        <v>0</v>
      </c>
    </row>
    <row r="242" spans="1:22" outlineLevel="2" x14ac:dyDescent="0.3">
      <c r="A242" s="689"/>
      <c r="B242" s="224"/>
      <c r="E242" s="229"/>
      <c r="F242" s="213">
        <v>0</v>
      </c>
      <c r="G242" s="213">
        <v>0</v>
      </c>
      <c r="H242" s="213">
        <v>0</v>
      </c>
      <c r="I242" s="213">
        <v>0</v>
      </c>
      <c r="J242" s="218">
        <v>0</v>
      </c>
      <c r="K242" s="218">
        <v>0</v>
      </c>
      <c r="L242" s="214" t="str">
        <f t="shared" si="38"/>
        <v>No.</v>
      </c>
      <c r="O242" s="456"/>
      <c r="P242" s="423"/>
      <c r="Q242" s="220"/>
      <c r="R242" s="219"/>
      <c r="S242" s="219"/>
      <c r="T242" s="219"/>
      <c r="U242" s="219"/>
      <c r="V242" s="231">
        <f t="shared" si="37"/>
        <v>0</v>
      </c>
    </row>
    <row r="243" spans="1:22" outlineLevel="2" x14ac:dyDescent="0.3">
      <c r="A243" s="689"/>
      <c r="B243" s="224"/>
      <c r="E243" s="229"/>
      <c r="F243" s="213">
        <v>0</v>
      </c>
      <c r="G243" s="213">
        <v>0</v>
      </c>
      <c r="H243" s="213">
        <v>0</v>
      </c>
      <c r="I243" s="213">
        <v>0</v>
      </c>
      <c r="J243" s="218">
        <v>0</v>
      </c>
      <c r="K243" s="218">
        <v>0</v>
      </c>
      <c r="L243" s="214" t="str">
        <f t="shared" si="38"/>
        <v>No.</v>
      </c>
      <c r="O243" s="456"/>
      <c r="P243" s="423"/>
      <c r="Q243" s="220"/>
      <c r="R243" s="219"/>
      <c r="S243" s="219"/>
      <c r="T243" s="219"/>
      <c r="U243" s="219"/>
      <c r="V243" s="231">
        <f t="shared" si="37"/>
        <v>0</v>
      </c>
    </row>
    <row r="244" spans="1:22" outlineLevel="2" x14ac:dyDescent="0.3">
      <c r="A244" s="689"/>
      <c r="B244" s="224"/>
      <c r="E244" s="229"/>
      <c r="F244" s="151" t="s">
        <v>17</v>
      </c>
      <c r="G244" s="151"/>
      <c r="H244" s="151"/>
      <c r="I244" s="151"/>
      <c r="J244" s="151"/>
      <c r="K244" s="151"/>
      <c r="L244" s="533" t="str">
        <f t="shared" si="38"/>
        <v>No.</v>
      </c>
      <c r="O244" s="424">
        <f>SUM(O229:O243)</f>
        <v>0</v>
      </c>
      <c r="P244" s="288">
        <f>SUM(P229:P243)</f>
        <v>1750</v>
      </c>
      <c r="Q244" s="232">
        <f t="shared" ref="Q244:U244" si="39">SUM(Q229:Q243)</f>
        <v>1750</v>
      </c>
      <c r="R244" s="233">
        <f t="shared" si="39"/>
        <v>1750</v>
      </c>
      <c r="S244" s="233">
        <f t="shared" si="39"/>
        <v>1750</v>
      </c>
      <c r="T244" s="233">
        <f t="shared" si="39"/>
        <v>1750</v>
      </c>
      <c r="U244" s="233">
        <f t="shared" si="39"/>
        <v>1750</v>
      </c>
      <c r="V244" s="233">
        <f>SUM(P244:U244)</f>
        <v>10500</v>
      </c>
    </row>
    <row r="245" spans="1:22" outlineLevel="2" x14ac:dyDescent="0.3">
      <c r="A245" s="689"/>
      <c r="B245" s="224"/>
      <c r="E245" s="229"/>
    </row>
    <row r="246" spans="1:22" outlineLevel="1" x14ac:dyDescent="0.3">
      <c r="A246" s="689"/>
      <c r="B246" s="224"/>
      <c r="D246" s="201" t="s">
        <v>23</v>
      </c>
      <c r="E246" s="644">
        <f>$G$33</f>
        <v>0</v>
      </c>
    </row>
    <row r="247" spans="1:22" outlineLevel="2" x14ac:dyDescent="0.3">
      <c r="A247" s="689"/>
      <c r="B247" s="224"/>
      <c r="E247" s="229"/>
      <c r="O247"/>
      <c r="P247"/>
      <c r="Q247"/>
      <c r="R247"/>
      <c r="S247"/>
      <c r="T247"/>
      <c r="U247"/>
    </row>
    <row r="248" spans="1:22" outlineLevel="2" x14ac:dyDescent="0.3">
      <c r="A248" s="689"/>
      <c r="B248" s="224"/>
      <c r="E248" s="229"/>
      <c r="F248" s="121" t="str">
        <f>I_MeterTypes[[#Headers],[Meter Type]]</f>
        <v>Meter Type</v>
      </c>
      <c r="G248" s="121" t="str">
        <f>I_MeterTypes[[#Headers],[RIN Subcategory 1]]</f>
        <v>RIN Subcategory 1</v>
      </c>
      <c r="H248" s="121" t="str">
        <f>I_MeterTypes[[#Headers],[RIN Subcategory 2]]</f>
        <v>RIN Subcategory 2</v>
      </c>
      <c r="I248" s="121" t="str">
        <f>I_MeterTypes[[#Headers],[AER Type]]</f>
        <v>AER Type</v>
      </c>
      <c r="J248" s="121" t="str">
        <f>I_MeterTypes[[#Headers],[RIN Subcategory 3]]</f>
        <v>RIN Subcategory 3</v>
      </c>
      <c r="K248" s="121" t="str">
        <f>I_MeterTypes[[#Headers],[Meter Code]]</f>
        <v>Meter Code</v>
      </c>
      <c r="L248" s="121" t="s">
        <v>6</v>
      </c>
      <c r="O248" s="457" t="str">
        <f t="shared" ref="O248:U248" si="40">O$168</f>
        <v>2018-19</v>
      </c>
      <c r="P248" s="270" t="str">
        <f t="shared" si="40"/>
        <v>2019-20</v>
      </c>
      <c r="Q248" s="267" t="str">
        <f t="shared" si="40"/>
        <v>2020-21</v>
      </c>
      <c r="R248" s="230" t="str">
        <f t="shared" si="40"/>
        <v>2021-22</v>
      </c>
      <c r="S248" s="230" t="str">
        <f t="shared" si="40"/>
        <v>2022-23</v>
      </c>
      <c r="T248" s="230" t="str">
        <f t="shared" si="40"/>
        <v>2023-24</v>
      </c>
      <c r="U248" s="230" t="str">
        <f t="shared" si="40"/>
        <v>2024-25</v>
      </c>
      <c r="V248" s="124" t="s">
        <v>17</v>
      </c>
    </row>
    <row r="249" spans="1:22" outlineLevel="2" x14ac:dyDescent="0.3">
      <c r="A249" s="689"/>
      <c r="B249" s="224"/>
      <c r="E249" s="229"/>
      <c r="F249" s="213" t="str" cm="1">
        <f t="array" ref="F249:F263">I_MeterTypes[Meter Type]</f>
        <v>AMI - Single Phase, single element</v>
      </c>
      <c r="G249" s="213" t="str" cm="1">
        <f t="array" ref="G249:G263">I_MeterTypes[RIN Subcategory 1]</f>
        <v>Single Phase Meter Population</v>
      </c>
      <c r="H249" s="213" t="str" cm="1">
        <f t="array" ref="H249:H263">I_MeterTypes[RIN Subcategory 2]</f>
        <v>Other</v>
      </c>
      <c r="I249" s="213" t="str" cm="1">
        <f t="array" ref="I249:I263">I_MeterTypes[AER Type]</f>
        <v>Meter Type 4</v>
      </c>
      <c r="J249" s="213" t="str" cm="1">
        <f t="array" ref="J249:J263">I_MeterTypes[RIN Subcategory 3]</f>
        <v>Single phase single element - AMI</v>
      </c>
      <c r="K249" s="213" t="str" cm="1">
        <f t="array" ref="K249:K263">I_MeterTypes[Meter Code]</f>
        <v>AMI 1ph 1e</v>
      </c>
      <c r="L249" s="214" t="s">
        <v>18</v>
      </c>
      <c r="O249" s="456"/>
      <c r="P249" s="423"/>
      <c r="Q249" s="220"/>
      <c r="R249" s="219"/>
      <c r="S249" s="219"/>
      <c r="T249" s="219"/>
      <c r="U249" s="219"/>
      <c r="V249" s="231">
        <f t="shared" ref="V249:V263" si="41">SUM(N249:U249)</f>
        <v>0</v>
      </c>
    </row>
    <row r="250" spans="1:22" outlineLevel="2" x14ac:dyDescent="0.3">
      <c r="A250" s="689"/>
      <c r="B250" s="224"/>
      <c r="E250" s="229"/>
      <c r="F250" s="213" t="str">
        <v>AMI - Single Phase, two element</v>
      </c>
      <c r="G250" s="213" t="str">
        <v>Single Phase Meter Population</v>
      </c>
      <c r="H250" s="213" t="str">
        <v>Other</v>
      </c>
      <c r="I250" s="213" t="str">
        <v>Meter Type 4</v>
      </c>
      <c r="J250" s="218" t="str">
        <v>Single phase two element with contactor - AMI</v>
      </c>
      <c r="K250" s="218" t="str">
        <v>AMI 1ph 2e</v>
      </c>
      <c r="L250" s="214" t="str">
        <f t="shared" ref="L250:L264" si="42">L$147</f>
        <v>No.</v>
      </c>
      <c r="O250" s="456"/>
      <c r="P250" s="423"/>
      <c r="Q250" s="220"/>
      <c r="R250" s="219"/>
      <c r="S250" s="219"/>
      <c r="T250" s="219"/>
      <c r="U250" s="219"/>
      <c r="V250" s="231">
        <f t="shared" si="41"/>
        <v>0</v>
      </c>
    </row>
    <row r="251" spans="1:22" outlineLevel="2" x14ac:dyDescent="0.3">
      <c r="A251" s="689"/>
      <c r="B251" s="224"/>
      <c r="E251" s="229"/>
      <c r="F251" s="213" t="str">
        <v>AMI - 3 Phase DC</v>
      </c>
      <c r="G251" s="213" t="str">
        <v>Multi Phase Meter Population</v>
      </c>
      <c r="H251" s="213" t="str">
        <v>Direct Connect Meter Population</v>
      </c>
      <c r="I251" s="213" t="str">
        <v>Meter Type 4</v>
      </c>
      <c r="J251" s="218" t="str">
        <v>Three phase - AMI</v>
      </c>
      <c r="K251" s="218" t="str">
        <v>AMI 3ph DC</v>
      </c>
      <c r="L251" s="214" t="str">
        <f t="shared" si="42"/>
        <v>No.</v>
      </c>
      <c r="O251" s="456"/>
      <c r="P251" s="423"/>
      <c r="Q251" s="220"/>
      <c r="R251" s="219"/>
      <c r="S251" s="219"/>
      <c r="T251" s="219"/>
      <c r="U251" s="219"/>
      <c r="V251" s="231">
        <f t="shared" si="41"/>
        <v>0</v>
      </c>
    </row>
    <row r="252" spans="1:22" outlineLevel="2" x14ac:dyDescent="0.3">
      <c r="A252" s="689"/>
      <c r="B252" s="224"/>
      <c r="E252" s="229"/>
      <c r="F252" s="213" t="str">
        <v>AMI 3Ph CT</v>
      </c>
      <c r="G252" s="213" t="str">
        <v>Multi Phase Meter Population</v>
      </c>
      <c r="H252" s="213" t="str">
        <v>Current Transformer Connected Meter Population</v>
      </c>
      <c r="I252" s="213" t="str">
        <v>Meter Type 4</v>
      </c>
      <c r="J252" s="218">
        <v>0</v>
      </c>
      <c r="K252" s="218" t="str">
        <v>AMI 3ph CT</v>
      </c>
      <c r="L252" s="214" t="str">
        <f t="shared" si="42"/>
        <v>No.</v>
      </c>
      <c r="O252" s="456"/>
      <c r="P252" s="423"/>
      <c r="Q252" s="220"/>
      <c r="R252" s="219"/>
      <c r="S252" s="219"/>
      <c r="T252" s="219"/>
      <c r="U252" s="219"/>
      <c r="V252" s="231">
        <f t="shared" si="41"/>
        <v>0</v>
      </c>
    </row>
    <row r="253" spans="1:22" outlineLevel="2" x14ac:dyDescent="0.3">
      <c r="A253" s="689"/>
      <c r="B253" s="224"/>
      <c r="E253" s="229"/>
      <c r="F253" s="213" t="str">
        <v>Non AMI - Type 5 Locally read Interval - Single Phase</v>
      </c>
      <c r="G253" s="213" t="str">
        <v>Single Phase Meter Population</v>
      </c>
      <c r="H253" s="213" t="str">
        <v>Direct Connect Meter Population</v>
      </c>
      <c r="I253" s="213" t="str">
        <v>Meter Type 5</v>
      </c>
      <c r="J253" s="218">
        <v>0</v>
      </c>
      <c r="K253" s="218" t="str">
        <v>INT 1ph</v>
      </c>
      <c r="L253" s="214" t="str">
        <f t="shared" si="42"/>
        <v>No.</v>
      </c>
      <c r="O253" s="456"/>
      <c r="P253" s="423"/>
      <c r="Q253" s="220"/>
      <c r="R253" s="219"/>
      <c r="S253" s="219"/>
      <c r="T253" s="219"/>
      <c r="U253" s="219"/>
      <c r="V253" s="231">
        <f t="shared" si="41"/>
        <v>0</v>
      </c>
    </row>
    <row r="254" spans="1:22" outlineLevel="2" x14ac:dyDescent="0.3">
      <c r="A254" s="689"/>
      <c r="B254" s="224"/>
      <c r="E254" s="229"/>
      <c r="F254" s="213" t="str">
        <v>Non AMI - Type 5 Locally read Interval - 3 Phase</v>
      </c>
      <c r="G254" s="213" t="str">
        <v>Single Phase Meter Population</v>
      </c>
      <c r="H254" s="213" t="str">
        <v>Direct Connect Meter Population</v>
      </c>
      <c r="I254" s="213" t="str">
        <v>Meter Type 5</v>
      </c>
      <c r="J254" s="218">
        <v>0</v>
      </c>
      <c r="K254" s="218" t="str">
        <v>INT 3ph</v>
      </c>
      <c r="L254" s="214" t="str">
        <f t="shared" si="42"/>
        <v>No.</v>
      </c>
      <c r="O254" s="456"/>
      <c r="P254" s="423"/>
      <c r="Q254" s="220"/>
      <c r="R254" s="219"/>
      <c r="S254" s="219"/>
      <c r="T254" s="219"/>
      <c r="U254" s="219"/>
      <c r="V254" s="231">
        <f t="shared" si="41"/>
        <v>0</v>
      </c>
    </row>
    <row r="255" spans="1:22" outlineLevel="2" x14ac:dyDescent="0.3">
      <c r="A255" s="689"/>
      <c r="B255" s="224"/>
      <c r="E255" s="229"/>
      <c r="F255" s="213" t="str">
        <v>Non AMI - Type 5 Locally read Interval - 3 Phase - CT</v>
      </c>
      <c r="G255" s="213" t="str">
        <v>Multi Phase Meter Population</v>
      </c>
      <c r="H255" s="213" t="str">
        <v>Current Transformer Connected Meter Population</v>
      </c>
      <c r="I255" s="213" t="str">
        <v>Meter Type 5</v>
      </c>
      <c r="J255" s="218">
        <v>0</v>
      </c>
      <c r="K255" s="218" t="str">
        <v>INT 3ph CT</v>
      </c>
      <c r="L255" s="214" t="str">
        <f t="shared" si="42"/>
        <v>No.</v>
      </c>
      <c r="O255" s="456"/>
      <c r="P255" s="423"/>
      <c r="Q255" s="220"/>
      <c r="R255" s="219"/>
      <c r="S255" s="219"/>
      <c r="T255" s="219"/>
      <c r="U255" s="219"/>
      <c r="V255" s="231">
        <f t="shared" si="41"/>
        <v>0</v>
      </c>
    </row>
    <row r="256" spans="1:22" outlineLevel="2" x14ac:dyDescent="0.3">
      <c r="A256" s="689"/>
      <c r="B256" s="224"/>
      <c r="E256" s="229"/>
      <c r="F256" s="213" t="str">
        <v>Non AMI - Type 6 Locally read Accumulation - Single Phase</v>
      </c>
      <c r="G256" s="213" t="str">
        <v>Multi Phase Meter Population</v>
      </c>
      <c r="H256" s="213" t="str">
        <v>Direct Connect Meter Population</v>
      </c>
      <c r="I256" s="213" t="str">
        <v>Meter Type 6</v>
      </c>
      <c r="J256" s="218">
        <v>0</v>
      </c>
      <c r="K256" s="218" t="str">
        <v>ACC 1ph</v>
      </c>
      <c r="L256" s="214" t="str">
        <f t="shared" si="42"/>
        <v>No.</v>
      </c>
      <c r="O256" s="456"/>
      <c r="P256" s="423"/>
      <c r="Q256" s="220"/>
      <c r="R256" s="219"/>
      <c r="S256" s="219"/>
      <c r="T256" s="219"/>
      <c r="U256" s="219"/>
      <c r="V256" s="231">
        <f t="shared" si="41"/>
        <v>0</v>
      </c>
    </row>
    <row r="257" spans="1:22" outlineLevel="2" x14ac:dyDescent="0.3">
      <c r="A257" s="689"/>
      <c r="B257" s="224"/>
      <c r="E257" s="229"/>
      <c r="F257" s="213" t="str">
        <v>Non AMI - Type 6 Locally read Accumulation - 3 Phase</v>
      </c>
      <c r="G257" s="213">
        <v>0</v>
      </c>
      <c r="H257" s="213" t="str">
        <v>Direct Connect Meter Population</v>
      </c>
      <c r="I257" s="213" t="str">
        <v>Meter Type 6</v>
      </c>
      <c r="J257" s="218">
        <v>0</v>
      </c>
      <c r="K257" s="218" t="str">
        <v>ACC 3ph</v>
      </c>
      <c r="L257" s="214" t="str">
        <f t="shared" si="42"/>
        <v>No.</v>
      </c>
      <c r="O257" s="456"/>
      <c r="P257" s="423"/>
      <c r="Q257" s="220"/>
      <c r="R257" s="219"/>
      <c r="S257" s="219"/>
      <c r="T257" s="219"/>
      <c r="U257" s="219"/>
      <c r="V257" s="231">
        <f t="shared" si="41"/>
        <v>0</v>
      </c>
    </row>
    <row r="258" spans="1:22" outlineLevel="2" x14ac:dyDescent="0.3">
      <c r="A258" s="689"/>
      <c r="B258" s="224"/>
      <c r="E258" s="229"/>
      <c r="F258" s="213">
        <v>0</v>
      </c>
      <c r="G258" s="213">
        <v>0</v>
      </c>
      <c r="H258" s="213">
        <v>0</v>
      </c>
      <c r="I258" s="213">
        <v>0</v>
      </c>
      <c r="J258" s="218">
        <v>0</v>
      </c>
      <c r="K258" s="218">
        <v>0</v>
      </c>
      <c r="L258" s="214" t="str">
        <f t="shared" si="42"/>
        <v>No.</v>
      </c>
      <c r="O258" s="456"/>
      <c r="P258" s="423"/>
      <c r="Q258" s="220"/>
      <c r="R258" s="219"/>
      <c r="S258" s="219"/>
      <c r="T258" s="219"/>
      <c r="U258" s="219"/>
      <c r="V258" s="231">
        <f t="shared" si="41"/>
        <v>0</v>
      </c>
    </row>
    <row r="259" spans="1:22" outlineLevel="2" x14ac:dyDescent="0.3">
      <c r="A259" s="689"/>
      <c r="B259" s="224"/>
      <c r="E259" s="229"/>
      <c r="F259" s="213">
        <v>0</v>
      </c>
      <c r="G259" s="213">
        <v>0</v>
      </c>
      <c r="H259" s="213">
        <v>0</v>
      </c>
      <c r="I259" s="213">
        <v>0</v>
      </c>
      <c r="J259" s="218">
        <v>0</v>
      </c>
      <c r="K259" s="218">
        <v>0</v>
      </c>
      <c r="L259" s="214" t="str">
        <f t="shared" si="42"/>
        <v>No.</v>
      </c>
      <c r="O259" s="456"/>
      <c r="P259" s="423"/>
      <c r="Q259" s="220"/>
      <c r="R259" s="219"/>
      <c r="S259" s="219"/>
      <c r="T259" s="219"/>
      <c r="U259" s="219"/>
      <c r="V259" s="231">
        <f t="shared" si="41"/>
        <v>0</v>
      </c>
    </row>
    <row r="260" spans="1:22" outlineLevel="2" x14ac:dyDescent="0.3">
      <c r="A260" s="689"/>
      <c r="B260" s="224"/>
      <c r="E260" s="229"/>
      <c r="F260" s="213">
        <v>0</v>
      </c>
      <c r="G260" s="213">
        <v>0</v>
      </c>
      <c r="H260" s="213">
        <v>0</v>
      </c>
      <c r="I260" s="213">
        <v>0</v>
      </c>
      <c r="J260" s="218">
        <v>0</v>
      </c>
      <c r="K260" s="218">
        <v>0</v>
      </c>
      <c r="L260" s="214" t="str">
        <f t="shared" si="42"/>
        <v>No.</v>
      </c>
      <c r="O260" s="456"/>
      <c r="P260" s="423"/>
      <c r="Q260" s="220"/>
      <c r="R260" s="219"/>
      <c r="S260" s="219"/>
      <c r="T260" s="219"/>
      <c r="U260" s="219"/>
      <c r="V260" s="231">
        <f t="shared" si="41"/>
        <v>0</v>
      </c>
    </row>
    <row r="261" spans="1:22" outlineLevel="2" x14ac:dyDescent="0.3">
      <c r="A261" s="689"/>
      <c r="B261" s="224"/>
      <c r="E261" s="229"/>
      <c r="F261" s="213">
        <v>0</v>
      </c>
      <c r="G261" s="213">
        <v>0</v>
      </c>
      <c r="H261" s="213">
        <v>0</v>
      </c>
      <c r="I261" s="213">
        <v>0</v>
      </c>
      <c r="J261" s="218">
        <v>0</v>
      </c>
      <c r="K261" s="218">
        <v>0</v>
      </c>
      <c r="L261" s="214" t="str">
        <f t="shared" si="42"/>
        <v>No.</v>
      </c>
      <c r="O261" s="456"/>
      <c r="P261" s="423"/>
      <c r="Q261" s="220"/>
      <c r="R261" s="219"/>
      <c r="S261" s="219"/>
      <c r="T261" s="219"/>
      <c r="U261" s="219"/>
      <c r="V261" s="231">
        <f t="shared" si="41"/>
        <v>0</v>
      </c>
    </row>
    <row r="262" spans="1:22" outlineLevel="2" x14ac:dyDescent="0.3">
      <c r="A262" s="689"/>
      <c r="B262" s="224"/>
      <c r="E262" s="229"/>
      <c r="F262" s="213">
        <v>0</v>
      </c>
      <c r="G262" s="213">
        <v>0</v>
      </c>
      <c r="H262" s="213">
        <v>0</v>
      </c>
      <c r="I262" s="213">
        <v>0</v>
      </c>
      <c r="J262" s="218">
        <v>0</v>
      </c>
      <c r="K262" s="218">
        <v>0</v>
      </c>
      <c r="L262" s="214" t="str">
        <f t="shared" si="42"/>
        <v>No.</v>
      </c>
      <c r="O262" s="456"/>
      <c r="P262" s="423"/>
      <c r="Q262" s="220"/>
      <c r="R262" s="219"/>
      <c r="S262" s="219"/>
      <c r="T262" s="219"/>
      <c r="U262" s="219"/>
      <c r="V262" s="231">
        <f t="shared" si="41"/>
        <v>0</v>
      </c>
    </row>
    <row r="263" spans="1:22" outlineLevel="2" x14ac:dyDescent="0.3">
      <c r="A263" s="689"/>
      <c r="B263" s="224"/>
      <c r="E263" s="229"/>
      <c r="F263" s="213">
        <v>0</v>
      </c>
      <c r="G263" s="213">
        <v>0</v>
      </c>
      <c r="H263" s="213">
        <v>0</v>
      </c>
      <c r="I263" s="213">
        <v>0</v>
      </c>
      <c r="J263" s="218">
        <v>0</v>
      </c>
      <c r="K263" s="218">
        <v>0</v>
      </c>
      <c r="L263" s="214" t="str">
        <f t="shared" si="42"/>
        <v>No.</v>
      </c>
      <c r="O263" s="456"/>
      <c r="P263" s="423"/>
      <c r="Q263" s="220"/>
      <c r="R263" s="219"/>
      <c r="S263" s="219"/>
      <c r="T263" s="219"/>
      <c r="U263" s="219"/>
      <c r="V263" s="231">
        <f t="shared" si="41"/>
        <v>0</v>
      </c>
    </row>
    <row r="264" spans="1:22" outlineLevel="2" x14ac:dyDescent="0.3">
      <c r="A264" s="689"/>
      <c r="B264" s="224"/>
      <c r="E264" s="229"/>
      <c r="F264" s="151" t="s">
        <v>17</v>
      </c>
      <c r="G264" s="151"/>
      <c r="H264" s="151"/>
      <c r="I264" s="151"/>
      <c r="J264" s="151"/>
      <c r="K264" s="151"/>
      <c r="L264" s="533" t="str">
        <f t="shared" si="42"/>
        <v>No.</v>
      </c>
      <c r="O264" s="424">
        <f>SUM(O249:O263)</f>
        <v>0</v>
      </c>
      <c r="P264" s="288">
        <f t="shared" ref="P264:U264" si="43">SUM(P249:P263)</f>
        <v>0</v>
      </c>
      <c r="Q264" s="232">
        <f t="shared" si="43"/>
        <v>0</v>
      </c>
      <c r="R264" s="233">
        <f t="shared" si="43"/>
        <v>0</v>
      </c>
      <c r="S264" s="233">
        <f t="shared" si="43"/>
        <v>0</v>
      </c>
      <c r="T264" s="233">
        <f t="shared" si="43"/>
        <v>0</v>
      </c>
      <c r="U264" s="233">
        <f t="shared" si="43"/>
        <v>0</v>
      </c>
      <c r="V264" s="233">
        <f>SUM(P264:U264)</f>
        <v>0</v>
      </c>
    </row>
    <row r="265" spans="1:22" outlineLevel="2" x14ac:dyDescent="0.3">
      <c r="A265" s="689"/>
      <c r="E265" s="229"/>
    </row>
    <row r="266" spans="1:22" outlineLevel="2" x14ac:dyDescent="0.3">
      <c r="A266" s="689"/>
      <c r="D266" s="201" t="s">
        <v>144</v>
      </c>
      <c r="E266" s="644">
        <f>$G$34</f>
        <v>0</v>
      </c>
    </row>
    <row r="267" spans="1:22" outlineLevel="2" x14ac:dyDescent="0.3">
      <c r="A267" s="689"/>
      <c r="E267" s="229"/>
      <c r="O267"/>
      <c r="P267"/>
      <c r="Q267"/>
      <c r="R267"/>
      <c r="S267"/>
      <c r="T267"/>
      <c r="U267"/>
    </row>
    <row r="268" spans="1:22" outlineLevel="2" x14ac:dyDescent="0.3">
      <c r="A268" s="689"/>
      <c r="E268" s="229"/>
      <c r="F268" s="121" t="str">
        <f>I_MeterTypes[[#Headers],[Meter Type]]</f>
        <v>Meter Type</v>
      </c>
      <c r="G268" s="121" t="str">
        <f>I_MeterTypes[[#Headers],[RIN Subcategory 1]]</f>
        <v>RIN Subcategory 1</v>
      </c>
      <c r="H268" s="121" t="str">
        <f>I_MeterTypes[[#Headers],[RIN Subcategory 2]]</f>
        <v>RIN Subcategory 2</v>
      </c>
      <c r="I268" s="121" t="str">
        <f>I_MeterTypes[[#Headers],[AER Type]]</f>
        <v>AER Type</v>
      </c>
      <c r="J268" s="121" t="str">
        <f>I_MeterTypes[[#Headers],[RIN Subcategory 3]]</f>
        <v>RIN Subcategory 3</v>
      </c>
      <c r="K268" s="121" t="str">
        <f>I_MeterTypes[[#Headers],[Meter Code]]</f>
        <v>Meter Code</v>
      </c>
      <c r="L268" s="121" t="s">
        <v>6</v>
      </c>
      <c r="O268" s="457" t="str">
        <f t="shared" ref="O268:U268" si="44">O$168</f>
        <v>2018-19</v>
      </c>
      <c r="P268" s="270" t="str">
        <f t="shared" si="44"/>
        <v>2019-20</v>
      </c>
      <c r="Q268" s="267" t="str">
        <f t="shared" si="44"/>
        <v>2020-21</v>
      </c>
      <c r="R268" s="230" t="str">
        <f t="shared" si="44"/>
        <v>2021-22</v>
      </c>
      <c r="S268" s="230" t="str">
        <f t="shared" si="44"/>
        <v>2022-23</v>
      </c>
      <c r="T268" s="230" t="str">
        <f t="shared" si="44"/>
        <v>2023-24</v>
      </c>
      <c r="U268" s="230" t="str">
        <f t="shared" si="44"/>
        <v>2024-25</v>
      </c>
      <c r="V268" s="124" t="s">
        <v>17</v>
      </c>
    </row>
    <row r="269" spans="1:22" outlineLevel="2" x14ac:dyDescent="0.3">
      <c r="A269" s="689"/>
      <c r="E269" s="229"/>
      <c r="F269" s="213" t="str" cm="1">
        <f t="array" ref="F269:F283">I_MeterTypes[Meter Type]</f>
        <v>AMI - Single Phase, single element</v>
      </c>
      <c r="G269" s="213" t="str" cm="1">
        <f t="array" ref="G269:G283">I_MeterTypes[RIN Subcategory 1]</f>
        <v>Single Phase Meter Population</v>
      </c>
      <c r="H269" s="213" t="str" cm="1">
        <f t="array" ref="H269:H283">I_MeterTypes[RIN Subcategory 2]</f>
        <v>Other</v>
      </c>
      <c r="I269" s="213" t="str" cm="1">
        <f t="array" ref="I269:I283">I_MeterTypes[AER Type]</f>
        <v>Meter Type 4</v>
      </c>
      <c r="J269" s="213" t="str" cm="1">
        <f t="array" ref="J269:J283">I_MeterTypes[RIN Subcategory 3]</f>
        <v>Single phase single element - AMI</v>
      </c>
      <c r="K269" s="213" t="str" cm="1">
        <f t="array" ref="K269:K283">I_MeterTypes[Meter Code]</f>
        <v>AMI 1ph 1e</v>
      </c>
      <c r="L269" s="214" t="s">
        <v>18</v>
      </c>
      <c r="O269" s="456"/>
      <c r="P269" s="423"/>
      <c r="Q269" s="220"/>
      <c r="R269" s="219"/>
      <c r="S269" s="219"/>
      <c r="T269" s="219"/>
      <c r="U269" s="219"/>
      <c r="V269" s="231">
        <f t="shared" ref="V269:V283" si="45">SUM(N269:U269)</f>
        <v>0</v>
      </c>
    </row>
    <row r="270" spans="1:22" outlineLevel="2" x14ac:dyDescent="0.3">
      <c r="A270" s="689"/>
      <c r="E270" s="229"/>
      <c r="F270" s="213" t="str">
        <v>AMI - Single Phase, two element</v>
      </c>
      <c r="G270" s="213" t="str">
        <v>Single Phase Meter Population</v>
      </c>
      <c r="H270" s="213" t="str">
        <v>Other</v>
      </c>
      <c r="I270" s="213" t="str">
        <v>Meter Type 4</v>
      </c>
      <c r="J270" s="218" t="str">
        <v>Single phase two element with contactor - AMI</v>
      </c>
      <c r="K270" s="218" t="str">
        <v>AMI 1ph 2e</v>
      </c>
      <c r="L270" s="214" t="str">
        <f t="shared" ref="L270:L284" si="46">L$147</f>
        <v>No.</v>
      </c>
      <c r="O270" s="456"/>
      <c r="P270" s="423"/>
      <c r="Q270" s="220"/>
      <c r="R270" s="219"/>
      <c r="S270" s="219"/>
      <c r="T270" s="219"/>
      <c r="U270" s="219"/>
      <c r="V270" s="231">
        <f t="shared" si="45"/>
        <v>0</v>
      </c>
    </row>
    <row r="271" spans="1:22" outlineLevel="2" x14ac:dyDescent="0.3">
      <c r="A271" s="689"/>
      <c r="E271" s="229"/>
      <c r="F271" s="213" t="str">
        <v>AMI - 3 Phase DC</v>
      </c>
      <c r="G271" s="213" t="str">
        <v>Multi Phase Meter Population</v>
      </c>
      <c r="H271" s="213" t="str">
        <v>Direct Connect Meter Population</v>
      </c>
      <c r="I271" s="213" t="str">
        <v>Meter Type 4</v>
      </c>
      <c r="J271" s="218" t="str">
        <v>Three phase - AMI</v>
      </c>
      <c r="K271" s="218" t="str">
        <v>AMI 3ph DC</v>
      </c>
      <c r="L271" s="214" t="str">
        <f t="shared" si="46"/>
        <v>No.</v>
      </c>
      <c r="O271" s="456"/>
      <c r="P271" s="423"/>
      <c r="Q271" s="220"/>
      <c r="R271" s="219"/>
      <c r="S271" s="219"/>
      <c r="T271" s="219"/>
      <c r="U271" s="219"/>
      <c r="V271" s="231">
        <f t="shared" si="45"/>
        <v>0</v>
      </c>
    </row>
    <row r="272" spans="1:22" outlineLevel="2" x14ac:dyDescent="0.3">
      <c r="A272" s="689"/>
      <c r="E272" s="229"/>
      <c r="F272" s="213" t="str">
        <v>AMI 3Ph CT</v>
      </c>
      <c r="G272" s="213" t="str">
        <v>Multi Phase Meter Population</v>
      </c>
      <c r="H272" s="213" t="str">
        <v>Current Transformer Connected Meter Population</v>
      </c>
      <c r="I272" s="213" t="str">
        <v>Meter Type 4</v>
      </c>
      <c r="J272" s="218">
        <v>0</v>
      </c>
      <c r="K272" s="218" t="str">
        <v>AMI 3ph CT</v>
      </c>
      <c r="L272" s="214" t="str">
        <f t="shared" si="46"/>
        <v>No.</v>
      </c>
      <c r="O272" s="456"/>
      <c r="P272" s="423"/>
      <c r="Q272" s="220"/>
      <c r="R272" s="219"/>
      <c r="S272" s="219"/>
      <c r="T272" s="219"/>
      <c r="U272" s="219"/>
      <c r="V272" s="231">
        <f t="shared" si="45"/>
        <v>0</v>
      </c>
    </row>
    <row r="273" spans="1:22" outlineLevel="2" x14ac:dyDescent="0.3">
      <c r="A273" s="689"/>
      <c r="E273" s="229"/>
      <c r="F273" s="213" t="str">
        <v>Non AMI - Type 5 Locally read Interval - Single Phase</v>
      </c>
      <c r="G273" s="213" t="str">
        <v>Single Phase Meter Population</v>
      </c>
      <c r="H273" s="213" t="str">
        <v>Direct Connect Meter Population</v>
      </c>
      <c r="I273" s="213" t="str">
        <v>Meter Type 5</v>
      </c>
      <c r="J273" s="218">
        <v>0</v>
      </c>
      <c r="K273" s="218" t="str">
        <v>INT 1ph</v>
      </c>
      <c r="L273" s="214" t="str">
        <f t="shared" si="46"/>
        <v>No.</v>
      </c>
      <c r="O273" s="456"/>
      <c r="P273" s="423"/>
      <c r="Q273" s="220"/>
      <c r="R273" s="219"/>
      <c r="S273" s="219"/>
      <c r="T273" s="219"/>
      <c r="U273" s="219"/>
      <c r="V273" s="231">
        <f t="shared" si="45"/>
        <v>0</v>
      </c>
    </row>
    <row r="274" spans="1:22" outlineLevel="2" x14ac:dyDescent="0.3">
      <c r="A274" s="689"/>
      <c r="E274" s="229"/>
      <c r="F274" s="213" t="str">
        <v>Non AMI - Type 5 Locally read Interval - 3 Phase</v>
      </c>
      <c r="G274" s="213" t="str">
        <v>Single Phase Meter Population</v>
      </c>
      <c r="H274" s="213" t="str">
        <v>Direct Connect Meter Population</v>
      </c>
      <c r="I274" s="213" t="str">
        <v>Meter Type 5</v>
      </c>
      <c r="J274" s="218">
        <v>0</v>
      </c>
      <c r="K274" s="218" t="str">
        <v>INT 3ph</v>
      </c>
      <c r="L274" s="214" t="str">
        <f t="shared" si="46"/>
        <v>No.</v>
      </c>
      <c r="O274" s="456"/>
      <c r="P274" s="423"/>
      <c r="Q274" s="220"/>
      <c r="R274" s="219"/>
      <c r="S274" s="219"/>
      <c r="T274" s="219"/>
      <c r="U274" s="219"/>
      <c r="V274" s="231">
        <f t="shared" si="45"/>
        <v>0</v>
      </c>
    </row>
    <row r="275" spans="1:22" outlineLevel="2" x14ac:dyDescent="0.3">
      <c r="A275" s="689"/>
      <c r="E275" s="229"/>
      <c r="F275" s="213" t="str">
        <v>Non AMI - Type 5 Locally read Interval - 3 Phase - CT</v>
      </c>
      <c r="G275" s="213" t="str">
        <v>Multi Phase Meter Population</v>
      </c>
      <c r="H275" s="213" t="str">
        <v>Current Transformer Connected Meter Population</v>
      </c>
      <c r="I275" s="213" t="str">
        <v>Meter Type 5</v>
      </c>
      <c r="J275" s="218">
        <v>0</v>
      </c>
      <c r="K275" s="218" t="str">
        <v>INT 3ph CT</v>
      </c>
      <c r="L275" s="214" t="str">
        <f t="shared" si="46"/>
        <v>No.</v>
      </c>
      <c r="O275" s="456"/>
      <c r="P275" s="423"/>
      <c r="Q275" s="220"/>
      <c r="R275" s="219"/>
      <c r="S275" s="219"/>
      <c r="T275" s="219"/>
      <c r="U275" s="219"/>
      <c r="V275" s="231">
        <f t="shared" si="45"/>
        <v>0</v>
      </c>
    </row>
    <row r="276" spans="1:22" outlineLevel="2" x14ac:dyDescent="0.3">
      <c r="A276" s="689"/>
      <c r="E276" s="229"/>
      <c r="F276" s="213" t="str">
        <v>Non AMI - Type 6 Locally read Accumulation - Single Phase</v>
      </c>
      <c r="G276" s="213" t="str">
        <v>Multi Phase Meter Population</v>
      </c>
      <c r="H276" s="213" t="str">
        <v>Direct Connect Meter Population</v>
      </c>
      <c r="I276" s="213" t="str">
        <v>Meter Type 6</v>
      </c>
      <c r="J276" s="218">
        <v>0</v>
      </c>
      <c r="K276" s="218" t="str">
        <v>ACC 1ph</v>
      </c>
      <c r="L276" s="214" t="str">
        <f t="shared" si="46"/>
        <v>No.</v>
      </c>
      <c r="O276" s="456"/>
      <c r="P276" s="423"/>
      <c r="Q276" s="220"/>
      <c r="R276" s="219"/>
      <c r="S276" s="219"/>
      <c r="T276" s="219"/>
      <c r="U276" s="219"/>
      <c r="V276" s="231">
        <f t="shared" si="45"/>
        <v>0</v>
      </c>
    </row>
    <row r="277" spans="1:22" outlineLevel="2" x14ac:dyDescent="0.3">
      <c r="A277" s="689"/>
      <c r="E277" s="229"/>
      <c r="F277" s="213" t="str">
        <v>Non AMI - Type 6 Locally read Accumulation - 3 Phase</v>
      </c>
      <c r="G277" s="213">
        <v>0</v>
      </c>
      <c r="H277" s="213" t="str">
        <v>Direct Connect Meter Population</v>
      </c>
      <c r="I277" s="213" t="str">
        <v>Meter Type 6</v>
      </c>
      <c r="J277" s="218">
        <v>0</v>
      </c>
      <c r="K277" s="218" t="str">
        <v>ACC 3ph</v>
      </c>
      <c r="L277" s="214" t="str">
        <f t="shared" si="46"/>
        <v>No.</v>
      </c>
      <c r="O277" s="456"/>
      <c r="P277" s="423"/>
      <c r="Q277" s="220"/>
      <c r="R277" s="219"/>
      <c r="S277" s="219"/>
      <c r="T277" s="219"/>
      <c r="U277" s="219"/>
      <c r="V277" s="231">
        <f t="shared" si="45"/>
        <v>0</v>
      </c>
    </row>
    <row r="278" spans="1:22" outlineLevel="2" x14ac:dyDescent="0.3">
      <c r="A278" s="689"/>
      <c r="E278" s="229"/>
      <c r="F278" s="213">
        <v>0</v>
      </c>
      <c r="G278" s="213">
        <v>0</v>
      </c>
      <c r="H278" s="213">
        <v>0</v>
      </c>
      <c r="I278" s="213">
        <v>0</v>
      </c>
      <c r="J278" s="218">
        <v>0</v>
      </c>
      <c r="K278" s="218">
        <v>0</v>
      </c>
      <c r="L278" s="214" t="str">
        <f t="shared" si="46"/>
        <v>No.</v>
      </c>
      <c r="O278" s="456"/>
      <c r="P278" s="423"/>
      <c r="Q278" s="220"/>
      <c r="R278" s="219"/>
      <c r="S278" s="219"/>
      <c r="T278" s="219"/>
      <c r="U278" s="219"/>
      <c r="V278" s="231">
        <f t="shared" si="45"/>
        <v>0</v>
      </c>
    </row>
    <row r="279" spans="1:22" outlineLevel="2" x14ac:dyDescent="0.3">
      <c r="A279" s="689"/>
      <c r="E279" s="229"/>
      <c r="F279" s="213">
        <v>0</v>
      </c>
      <c r="G279" s="213">
        <v>0</v>
      </c>
      <c r="H279" s="213">
        <v>0</v>
      </c>
      <c r="I279" s="213">
        <v>0</v>
      </c>
      <c r="J279" s="218">
        <v>0</v>
      </c>
      <c r="K279" s="218">
        <v>0</v>
      </c>
      <c r="L279" s="214" t="str">
        <f t="shared" si="46"/>
        <v>No.</v>
      </c>
      <c r="O279" s="456"/>
      <c r="P279" s="423"/>
      <c r="Q279" s="220"/>
      <c r="R279" s="219"/>
      <c r="S279" s="219"/>
      <c r="T279" s="219"/>
      <c r="U279" s="219"/>
      <c r="V279" s="231">
        <f t="shared" si="45"/>
        <v>0</v>
      </c>
    </row>
    <row r="280" spans="1:22" outlineLevel="2" x14ac:dyDescent="0.3">
      <c r="A280" s="689"/>
      <c r="E280" s="229"/>
      <c r="F280" s="213">
        <v>0</v>
      </c>
      <c r="G280" s="213">
        <v>0</v>
      </c>
      <c r="H280" s="213">
        <v>0</v>
      </c>
      <c r="I280" s="213">
        <v>0</v>
      </c>
      <c r="J280" s="218">
        <v>0</v>
      </c>
      <c r="K280" s="218">
        <v>0</v>
      </c>
      <c r="L280" s="214" t="str">
        <f t="shared" si="46"/>
        <v>No.</v>
      </c>
      <c r="O280" s="456"/>
      <c r="P280" s="423"/>
      <c r="Q280" s="220"/>
      <c r="R280" s="219"/>
      <c r="S280" s="219"/>
      <c r="T280" s="219"/>
      <c r="U280" s="219"/>
      <c r="V280" s="231">
        <f t="shared" si="45"/>
        <v>0</v>
      </c>
    </row>
    <row r="281" spans="1:22" outlineLevel="2" x14ac:dyDescent="0.3">
      <c r="A281" s="689"/>
      <c r="E281" s="229"/>
      <c r="F281" s="213">
        <v>0</v>
      </c>
      <c r="G281" s="213">
        <v>0</v>
      </c>
      <c r="H281" s="213">
        <v>0</v>
      </c>
      <c r="I281" s="213">
        <v>0</v>
      </c>
      <c r="J281" s="218">
        <v>0</v>
      </c>
      <c r="K281" s="218">
        <v>0</v>
      </c>
      <c r="L281" s="214" t="str">
        <f t="shared" si="46"/>
        <v>No.</v>
      </c>
      <c r="O281" s="456"/>
      <c r="P281" s="423"/>
      <c r="Q281" s="220"/>
      <c r="R281" s="219"/>
      <c r="S281" s="219"/>
      <c r="T281" s="219"/>
      <c r="U281" s="219"/>
      <c r="V281" s="231">
        <f t="shared" si="45"/>
        <v>0</v>
      </c>
    </row>
    <row r="282" spans="1:22" outlineLevel="2" x14ac:dyDescent="0.3">
      <c r="A282" s="689"/>
      <c r="E282" s="229"/>
      <c r="F282" s="213">
        <v>0</v>
      </c>
      <c r="G282" s="213">
        <v>0</v>
      </c>
      <c r="H282" s="213">
        <v>0</v>
      </c>
      <c r="I282" s="213">
        <v>0</v>
      </c>
      <c r="J282" s="218">
        <v>0</v>
      </c>
      <c r="K282" s="218">
        <v>0</v>
      </c>
      <c r="L282" s="214" t="str">
        <f t="shared" si="46"/>
        <v>No.</v>
      </c>
      <c r="O282" s="456"/>
      <c r="P282" s="423"/>
      <c r="Q282" s="220"/>
      <c r="R282" s="219"/>
      <c r="S282" s="219"/>
      <c r="T282" s="219"/>
      <c r="U282" s="219"/>
      <c r="V282" s="231">
        <f t="shared" si="45"/>
        <v>0</v>
      </c>
    </row>
    <row r="283" spans="1:22" outlineLevel="2" x14ac:dyDescent="0.3">
      <c r="A283" s="689"/>
      <c r="E283" s="229"/>
      <c r="F283" s="213">
        <v>0</v>
      </c>
      <c r="G283" s="213">
        <v>0</v>
      </c>
      <c r="H283" s="213">
        <v>0</v>
      </c>
      <c r="I283" s="213">
        <v>0</v>
      </c>
      <c r="J283" s="218">
        <v>0</v>
      </c>
      <c r="K283" s="218">
        <v>0</v>
      </c>
      <c r="L283" s="214" t="str">
        <f t="shared" si="46"/>
        <v>No.</v>
      </c>
      <c r="O283" s="456"/>
      <c r="P283" s="423"/>
      <c r="Q283" s="220"/>
      <c r="R283" s="219"/>
      <c r="S283" s="219"/>
      <c r="T283" s="219"/>
      <c r="U283" s="219"/>
      <c r="V283" s="231">
        <f t="shared" si="45"/>
        <v>0</v>
      </c>
    </row>
    <row r="284" spans="1:22" outlineLevel="2" x14ac:dyDescent="0.3">
      <c r="A284" s="689"/>
      <c r="E284" s="229"/>
      <c r="F284" s="151" t="s">
        <v>17</v>
      </c>
      <c r="G284" s="151"/>
      <c r="H284" s="151"/>
      <c r="I284" s="151"/>
      <c r="J284" s="151"/>
      <c r="K284" s="151"/>
      <c r="L284" s="533" t="str">
        <f t="shared" si="46"/>
        <v>No.</v>
      </c>
      <c r="O284" s="424">
        <f>SUM(O269:O283)</f>
        <v>0</v>
      </c>
      <c r="P284" s="288">
        <f t="shared" ref="P284:U284" si="47">SUM(P269:P283)</f>
        <v>0</v>
      </c>
      <c r="Q284" s="232">
        <f t="shared" si="47"/>
        <v>0</v>
      </c>
      <c r="R284" s="233">
        <f t="shared" si="47"/>
        <v>0</v>
      </c>
      <c r="S284" s="233">
        <f t="shared" si="47"/>
        <v>0</v>
      </c>
      <c r="T284" s="233">
        <f t="shared" si="47"/>
        <v>0</v>
      </c>
      <c r="U284" s="233">
        <f t="shared" si="47"/>
        <v>0</v>
      </c>
      <c r="V284" s="233">
        <f>SUM(P284:U284)</f>
        <v>0</v>
      </c>
    </row>
    <row r="285" spans="1:22" outlineLevel="2" x14ac:dyDescent="0.3">
      <c r="A285" s="689"/>
      <c r="E285" s="229"/>
    </row>
    <row r="286" spans="1:22" outlineLevel="2" x14ac:dyDescent="0.3">
      <c r="A286" s="689"/>
      <c r="D286" s="201" t="s">
        <v>143</v>
      </c>
      <c r="E286" s="644">
        <f>$G$35</f>
        <v>0</v>
      </c>
    </row>
    <row r="287" spans="1:22" outlineLevel="2" x14ac:dyDescent="0.3">
      <c r="A287" s="689"/>
      <c r="E287" s="229"/>
      <c r="O287"/>
      <c r="P287"/>
      <c r="Q287"/>
      <c r="R287"/>
      <c r="S287"/>
      <c r="T287"/>
      <c r="U287"/>
    </row>
    <row r="288" spans="1:22" outlineLevel="2" x14ac:dyDescent="0.3">
      <c r="A288" s="689"/>
      <c r="E288" s="229"/>
      <c r="F288" s="121" t="str">
        <f>I_MeterTypes[[#Headers],[Meter Type]]</f>
        <v>Meter Type</v>
      </c>
      <c r="G288" s="121" t="str">
        <f>I_MeterTypes[[#Headers],[RIN Subcategory 1]]</f>
        <v>RIN Subcategory 1</v>
      </c>
      <c r="H288" s="121" t="str">
        <f>I_MeterTypes[[#Headers],[RIN Subcategory 2]]</f>
        <v>RIN Subcategory 2</v>
      </c>
      <c r="I288" s="121" t="str">
        <f>I_MeterTypes[[#Headers],[AER Type]]</f>
        <v>AER Type</v>
      </c>
      <c r="J288" s="121" t="str">
        <f>I_MeterTypes[[#Headers],[RIN Subcategory 3]]</f>
        <v>RIN Subcategory 3</v>
      </c>
      <c r="K288" s="121" t="str">
        <f>I_MeterTypes[[#Headers],[Meter Code]]</f>
        <v>Meter Code</v>
      </c>
      <c r="L288" s="121" t="s">
        <v>6</v>
      </c>
      <c r="O288" s="457" t="str">
        <f t="shared" ref="O288:U288" si="48">O$168</f>
        <v>2018-19</v>
      </c>
      <c r="P288" s="270" t="str">
        <f t="shared" si="48"/>
        <v>2019-20</v>
      </c>
      <c r="Q288" s="267" t="str">
        <f t="shared" si="48"/>
        <v>2020-21</v>
      </c>
      <c r="R288" s="230" t="str">
        <f t="shared" si="48"/>
        <v>2021-22</v>
      </c>
      <c r="S288" s="230" t="str">
        <f t="shared" si="48"/>
        <v>2022-23</v>
      </c>
      <c r="T288" s="230" t="str">
        <f t="shared" si="48"/>
        <v>2023-24</v>
      </c>
      <c r="U288" s="230" t="str">
        <f t="shared" si="48"/>
        <v>2024-25</v>
      </c>
      <c r="V288" s="124" t="s">
        <v>17</v>
      </c>
    </row>
    <row r="289" spans="1:22" outlineLevel="2" x14ac:dyDescent="0.3">
      <c r="A289" s="689"/>
      <c r="E289" s="229"/>
      <c r="F289" s="213" t="str" cm="1">
        <f t="array" ref="F289:F303">I_MeterTypes[Meter Type]</f>
        <v>AMI - Single Phase, single element</v>
      </c>
      <c r="G289" s="213" t="str" cm="1">
        <f t="array" ref="G289:G303">I_MeterTypes[RIN Subcategory 1]</f>
        <v>Single Phase Meter Population</v>
      </c>
      <c r="H289" s="213" t="str" cm="1">
        <f t="array" ref="H289:H303">I_MeterTypes[RIN Subcategory 2]</f>
        <v>Other</v>
      </c>
      <c r="I289" s="213" t="str" cm="1">
        <f t="array" ref="I289:I303">I_MeterTypes[AER Type]</f>
        <v>Meter Type 4</v>
      </c>
      <c r="J289" s="213" t="str" cm="1">
        <f t="array" ref="J289:J303">I_MeterTypes[RIN Subcategory 3]</f>
        <v>Single phase single element - AMI</v>
      </c>
      <c r="K289" s="213" t="str" cm="1">
        <f t="array" ref="K289:K303">I_MeterTypes[Meter Code]</f>
        <v>AMI 1ph 1e</v>
      </c>
      <c r="L289" s="214" t="s">
        <v>18</v>
      </c>
      <c r="O289" s="456"/>
      <c r="P289" s="423"/>
      <c r="Q289" s="220"/>
      <c r="R289" s="219"/>
      <c r="S289" s="219"/>
      <c r="T289" s="219"/>
      <c r="U289" s="219"/>
      <c r="V289" s="231">
        <f t="shared" ref="V289:V303" si="49">SUM(N289:U289)</f>
        <v>0</v>
      </c>
    </row>
    <row r="290" spans="1:22" outlineLevel="2" x14ac:dyDescent="0.3">
      <c r="A290" s="689"/>
      <c r="E290" s="229"/>
      <c r="F290" s="213" t="str">
        <v>AMI - Single Phase, two element</v>
      </c>
      <c r="G290" s="213" t="str">
        <v>Single Phase Meter Population</v>
      </c>
      <c r="H290" s="213" t="str">
        <v>Other</v>
      </c>
      <c r="I290" s="213" t="str">
        <v>Meter Type 4</v>
      </c>
      <c r="J290" s="218" t="str">
        <v>Single phase two element with contactor - AMI</v>
      </c>
      <c r="K290" s="218" t="str">
        <v>AMI 1ph 2e</v>
      </c>
      <c r="L290" s="214" t="str">
        <f t="shared" ref="L290:L304" si="50">L$147</f>
        <v>No.</v>
      </c>
      <c r="O290" s="456"/>
      <c r="P290" s="423"/>
      <c r="Q290" s="220"/>
      <c r="R290" s="219"/>
      <c r="S290" s="219"/>
      <c r="T290" s="219"/>
      <c r="U290" s="219"/>
      <c r="V290" s="231">
        <f t="shared" si="49"/>
        <v>0</v>
      </c>
    </row>
    <row r="291" spans="1:22" outlineLevel="2" x14ac:dyDescent="0.3">
      <c r="A291" s="689"/>
      <c r="E291" s="229"/>
      <c r="F291" s="213" t="str">
        <v>AMI - 3 Phase DC</v>
      </c>
      <c r="G291" s="213" t="str">
        <v>Multi Phase Meter Population</v>
      </c>
      <c r="H291" s="213" t="str">
        <v>Direct Connect Meter Population</v>
      </c>
      <c r="I291" s="213" t="str">
        <v>Meter Type 4</v>
      </c>
      <c r="J291" s="218" t="str">
        <v>Three phase - AMI</v>
      </c>
      <c r="K291" s="218" t="str">
        <v>AMI 3ph DC</v>
      </c>
      <c r="L291" s="214" t="str">
        <f t="shared" si="50"/>
        <v>No.</v>
      </c>
      <c r="O291" s="456"/>
      <c r="P291" s="423"/>
      <c r="Q291" s="220"/>
      <c r="R291" s="219"/>
      <c r="S291" s="219"/>
      <c r="T291" s="219"/>
      <c r="U291" s="219"/>
      <c r="V291" s="231">
        <f t="shared" si="49"/>
        <v>0</v>
      </c>
    </row>
    <row r="292" spans="1:22" outlineLevel="2" x14ac:dyDescent="0.3">
      <c r="A292" s="689"/>
      <c r="E292" s="229"/>
      <c r="F292" s="213" t="str">
        <v>AMI 3Ph CT</v>
      </c>
      <c r="G292" s="213" t="str">
        <v>Multi Phase Meter Population</v>
      </c>
      <c r="H292" s="213" t="str">
        <v>Current Transformer Connected Meter Population</v>
      </c>
      <c r="I292" s="213" t="str">
        <v>Meter Type 4</v>
      </c>
      <c r="J292" s="218">
        <v>0</v>
      </c>
      <c r="K292" s="218" t="str">
        <v>AMI 3ph CT</v>
      </c>
      <c r="L292" s="214" t="str">
        <f t="shared" si="50"/>
        <v>No.</v>
      </c>
      <c r="O292" s="456"/>
      <c r="P292" s="423"/>
      <c r="Q292" s="220"/>
      <c r="R292" s="219"/>
      <c r="S292" s="219"/>
      <c r="T292" s="219"/>
      <c r="U292" s="219"/>
      <c r="V292" s="231">
        <f t="shared" si="49"/>
        <v>0</v>
      </c>
    </row>
    <row r="293" spans="1:22" outlineLevel="2" x14ac:dyDescent="0.3">
      <c r="A293" s="689"/>
      <c r="E293" s="229"/>
      <c r="F293" s="213" t="str">
        <v>Non AMI - Type 5 Locally read Interval - Single Phase</v>
      </c>
      <c r="G293" s="213" t="str">
        <v>Single Phase Meter Population</v>
      </c>
      <c r="H293" s="213" t="str">
        <v>Direct Connect Meter Population</v>
      </c>
      <c r="I293" s="213" t="str">
        <v>Meter Type 5</v>
      </c>
      <c r="J293" s="218">
        <v>0</v>
      </c>
      <c r="K293" s="218" t="str">
        <v>INT 1ph</v>
      </c>
      <c r="L293" s="214" t="str">
        <f t="shared" si="50"/>
        <v>No.</v>
      </c>
      <c r="O293" s="456"/>
      <c r="P293" s="423"/>
      <c r="Q293" s="220"/>
      <c r="R293" s="219"/>
      <c r="S293" s="219"/>
      <c r="T293" s="219"/>
      <c r="U293" s="219"/>
      <c r="V293" s="231">
        <f t="shared" si="49"/>
        <v>0</v>
      </c>
    </row>
    <row r="294" spans="1:22" outlineLevel="2" x14ac:dyDescent="0.3">
      <c r="A294" s="689"/>
      <c r="E294" s="229"/>
      <c r="F294" s="213" t="str">
        <v>Non AMI - Type 5 Locally read Interval - 3 Phase</v>
      </c>
      <c r="G294" s="213" t="str">
        <v>Single Phase Meter Population</v>
      </c>
      <c r="H294" s="213" t="str">
        <v>Direct Connect Meter Population</v>
      </c>
      <c r="I294" s="213" t="str">
        <v>Meter Type 5</v>
      </c>
      <c r="J294" s="218">
        <v>0</v>
      </c>
      <c r="K294" s="218" t="str">
        <v>INT 3ph</v>
      </c>
      <c r="L294" s="214" t="str">
        <f t="shared" si="50"/>
        <v>No.</v>
      </c>
      <c r="O294" s="456"/>
      <c r="P294" s="423"/>
      <c r="Q294" s="220"/>
      <c r="R294" s="219"/>
      <c r="S294" s="219"/>
      <c r="T294" s="219"/>
      <c r="U294" s="219"/>
      <c r="V294" s="231">
        <f t="shared" si="49"/>
        <v>0</v>
      </c>
    </row>
    <row r="295" spans="1:22" outlineLevel="2" x14ac:dyDescent="0.3">
      <c r="A295" s="689"/>
      <c r="E295" s="229"/>
      <c r="F295" s="213" t="str">
        <v>Non AMI - Type 5 Locally read Interval - 3 Phase - CT</v>
      </c>
      <c r="G295" s="213" t="str">
        <v>Multi Phase Meter Population</v>
      </c>
      <c r="H295" s="213" t="str">
        <v>Current Transformer Connected Meter Population</v>
      </c>
      <c r="I295" s="213" t="str">
        <v>Meter Type 5</v>
      </c>
      <c r="J295" s="218">
        <v>0</v>
      </c>
      <c r="K295" s="218" t="str">
        <v>INT 3ph CT</v>
      </c>
      <c r="L295" s="214" t="str">
        <f t="shared" si="50"/>
        <v>No.</v>
      </c>
      <c r="O295" s="456"/>
      <c r="P295" s="423"/>
      <c r="Q295" s="220"/>
      <c r="R295" s="219"/>
      <c r="S295" s="219"/>
      <c r="T295" s="219"/>
      <c r="U295" s="219"/>
      <c r="V295" s="231">
        <f t="shared" si="49"/>
        <v>0</v>
      </c>
    </row>
    <row r="296" spans="1:22" outlineLevel="2" x14ac:dyDescent="0.3">
      <c r="A296" s="689"/>
      <c r="E296" s="229"/>
      <c r="F296" s="213" t="str">
        <v>Non AMI - Type 6 Locally read Accumulation - Single Phase</v>
      </c>
      <c r="G296" s="213" t="str">
        <v>Multi Phase Meter Population</v>
      </c>
      <c r="H296" s="213" t="str">
        <v>Direct Connect Meter Population</v>
      </c>
      <c r="I296" s="213" t="str">
        <v>Meter Type 6</v>
      </c>
      <c r="J296" s="218">
        <v>0</v>
      </c>
      <c r="K296" s="218" t="str">
        <v>ACC 1ph</v>
      </c>
      <c r="L296" s="214" t="str">
        <f t="shared" si="50"/>
        <v>No.</v>
      </c>
      <c r="O296" s="456"/>
      <c r="P296" s="423"/>
      <c r="Q296" s="220"/>
      <c r="R296" s="219"/>
      <c r="S296" s="219"/>
      <c r="T296" s="219"/>
      <c r="U296" s="219"/>
      <c r="V296" s="231">
        <f t="shared" si="49"/>
        <v>0</v>
      </c>
    </row>
    <row r="297" spans="1:22" outlineLevel="2" x14ac:dyDescent="0.3">
      <c r="A297" s="689"/>
      <c r="E297" s="229"/>
      <c r="F297" s="213" t="str">
        <v>Non AMI - Type 6 Locally read Accumulation - 3 Phase</v>
      </c>
      <c r="G297" s="213">
        <v>0</v>
      </c>
      <c r="H297" s="213" t="str">
        <v>Direct Connect Meter Population</v>
      </c>
      <c r="I297" s="213" t="str">
        <v>Meter Type 6</v>
      </c>
      <c r="J297" s="218">
        <v>0</v>
      </c>
      <c r="K297" s="218" t="str">
        <v>ACC 3ph</v>
      </c>
      <c r="L297" s="214" t="str">
        <f t="shared" si="50"/>
        <v>No.</v>
      </c>
      <c r="O297" s="456"/>
      <c r="P297" s="423"/>
      <c r="Q297" s="220"/>
      <c r="R297" s="219"/>
      <c r="S297" s="219"/>
      <c r="T297" s="219"/>
      <c r="U297" s="219"/>
      <c r="V297" s="231">
        <f t="shared" si="49"/>
        <v>0</v>
      </c>
    </row>
    <row r="298" spans="1:22" outlineLevel="2" x14ac:dyDescent="0.3">
      <c r="A298" s="689"/>
      <c r="E298" s="229"/>
      <c r="F298" s="213">
        <v>0</v>
      </c>
      <c r="G298" s="213">
        <v>0</v>
      </c>
      <c r="H298" s="213">
        <v>0</v>
      </c>
      <c r="I298" s="213">
        <v>0</v>
      </c>
      <c r="J298" s="218">
        <v>0</v>
      </c>
      <c r="K298" s="218">
        <v>0</v>
      </c>
      <c r="L298" s="214" t="str">
        <f t="shared" si="50"/>
        <v>No.</v>
      </c>
      <c r="O298" s="456"/>
      <c r="P298" s="423"/>
      <c r="Q298" s="220"/>
      <c r="R298" s="219"/>
      <c r="S298" s="219"/>
      <c r="T298" s="219"/>
      <c r="U298" s="219"/>
      <c r="V298" s="231">
        <f t="shared" si="49"/>
        <v>0</v>
      </c>
    </row>
    <row r="299" spans="1:22" outlineLevel="2" x14ac:dyDescent="0.3">
      <c r="A299" s="689"/>
      <c r="E299" s="229"/>
      <c r="F299" s="213">
        <v>0</v>
      </c>
      <c r="G299" s="213">
        <v>0</v>
      </c>
      <c r="H299" s="213">
        <v>0</v>
      </c>
      <c r="I299" s="213">
        <v>0</v>
      </c>
      <c r="J299" s="218">
        <v>0</v>
      </c>
      <c r="K299" s="218">
        <v>0</v>
      </c>
      <c r="L299" s="214" t="str">
        <f t="shared" si="50"/>
        <v>No.</v>
      </c>
      <c r="O299" s="456"/>
      <c r="P299" s="423"/>
      <c r="Q299" s="220"/>
      <c r="R299" s="219"/>
      <c r="S299" s="219"/>
      <c r="T299" s="219"/>
      <c r="U299" s="219"/>
      <c r="V299" s="231">
        <f t="shared" si="49"/>
        <v>0</v>
      </c>
    </row>
    <row r="300" spans="1:22" outlineLevel="2" x14ac:dyDescent="0.3">
      <c r="A300" s="689"/>
      <c r="E300" s="229"/>
      <c r="F300" s="213">
        <v>0</v>
      </c>
      <c r="G300" s="213">
        <v>0</v>
      </c>
      <c r="H300" s="213">
        <v>0</v>
      </c>
      <c r="I300" s="213">
        <v>0</v>
      </c>
      <c r="J300" s="218">
        <v>0</v>
      </c>
      <c r="K300" s="218">
        <v>0</v>
      </c>
      <c r="L300" s="214" t="str">
        <f t="shared" si="50"/>
        <v>No.</v>
      </c>
      <c r="O300" s="456"/>
      <c r="P300" s="423"/>
      <c r="Q300" s="220"/>
      <c r="R300" s="219"/>
      <c r="S300" s="219"/>
      <c r="T300" s="219"/>
      <c r="U300" s="219"/>
      <c r="V300" s="231">
        <f t="shared" si="49"/>
        <v>0</v>
      </c>
    </row>
    <row r="301" spans="1:22" outlineLevel="2" x14ac:dyDescent="0.3">
      <c r="A301" s="689"/>
      <c r="E301" s="229"/>
      <c r="F301" s="213">
        <v>0</v>
      </c>
      <c r="G301" s="213">
        <v>0</v>
      </c>
      <c r="H301" s="213">
        <v>0</v>
      </c>
      <c r="I301" s="213">
        <v>0</v>
      </c>
      <c r="J301" s="218">
        <v>0</v>
      </c>
      <c r="K301" s="218">
        <v>0</v>
      </c>
      <c r="L301" s="214" t="str">
        <f t="shared" si="50"/>
        <v>No.</v>
      </c>
      <c r="O301" s="456"/>
      <c r="P301" s="423"/>
      <c r="Q301" s="220"/>
      <c r="R301" s="219"/>
      <c r="S301" s="219"/>
      <c r="T301" s="219"/>
      <c r="U301" s="219"/>
      <c r="V301" s="231">
        <f t="shared" si="49"/>
        <v>0</v>
      </c>
    </row>
    <row r="302" spans="1:22" outlineLevel="2" x14ac:dyDescent="0.3">
      <c r="A302" s="689"/>
      <c r="E302" s="229"/>
      <c r="F302" s="213">
        <v>0</v>
      </c>
      <c r="G302" s="213">
        <v>0</v>
      </c>
      <c r="H302" s="213">
        <v>0</v>
      </c>
      <c r="I302" s="213">
        <v>0</v>
      </c>
      <c r="J302" s="218">
        <v>0</v>
      </c>
      <c r="K302" s="218">
        <v>0</v>
      </c>
      <c r="L302" s="214" t="str">
        <f t="shared" si="50"/>
        <v>No.</v>
      </c>
      <c r="O302" s="456"/>
      <c r="P302" s="423"/>
      <c r="Q302" s="220"/>
      <c r="R302" s="219"/>
      <c r="S302" s="219"/>
      <c r="T302" s="219"/>
      <c r="U302" s="219"/>
      <c r="V302" s="231">
        <f t="shared" si="49"/>
        <v>0</v>
      </c>
    </row>
    <row r="303" spans="1:22" outlineLevel="2" x14ac:dyDescent="0.3">
      <c r="A303" s="689"/>
      <c r="E303" s="229"/>
      <c r="F303" s="213">
        <v>0</v>
      </c>
      <c r="G303" s="213">
        <v>0</v>
      </c>
      <c r="H303" s="213">
        <v>0</v>
      </c>
      <c r="I303" s="213">
        <v>0</v>
      </c>
      <c r="J303" s="218">
        <v>0</v>
      </c>
      <c r="K303" s="218">
        <v>0</v>
      </c>
      <c r="L303" s="214" t="str">
        <f t="shared" si="50"/>
        <v>No.</v>
      </c>
      <c r="O303" s="456"/>
      <c r="P303" s="423"/>
      <c r="Q303" s="220"/>
      <c r="R303" s="219"/>
      <c r="S303" s="219"/>
      <c r="T303" s="219"/>
      <c r="U303" s="219"/>
      <c r="V303" s="231">
        <f t="shared" si="49"/>
        <v>0</v>
      </c>
    </row>
    <row r="304" spans="1:22" outlineLevel="2" x14ac:dyDescent="0.3">
      <c r="A304" s="689"/>
      <c r="E304" s="229"/>
      <c r="F304" s="151" t="s">
        <v>17</v>
      </c>
      <c r="G304" s="151"/>
      <c r="H304" s="151"/>
      <c r="I304" s="151"/>
      <c r="J304" s="151"/>
      <c r="K304" s="151"/>
      <c r="L304" s="533" t="str">
        <f t="shared" si="50"/>
        <v>No.</v>
      </c>
      <c r="O304" s="424">
        <f>SUM(O289:O303)</f>
        <v>0</v>
      </c>
      <c r="P304" s="288">
        <f t="shared" ref="P304:U304" si="51">SUM(P289:P303)</f>
        <v>0</v>
      </c>
      <c r="Q304" s="232">
        <f t="shared" si="51"/>
        <v>0</v>
      </c>
      <c r="R304" s="233">
        <f t="shared" si="51"/>
        <v>0</v>
      </c>
      <c r="S304" s="233">
        <f t="shared" si="51"/>
        <v>0</v>
      </c>
      <c r="T304" s="233">
        <f t="shared" si="51"/>
        <v>0</v>
      </c>
      <c r="U304" s="233">
        <f t="shared" si="51"/>
        <v>0</v>
      </c>
      <c r="V304" s="233">
        <f>SUM(P304:U304)</f>
        <v>0</v>
      </c>
    </row>
    <row r="305" spans="1:22" outlineLevel="2" x14ac:dyDescent="0.3">
      <c r="A305" s="689"/>
      <c r="E305" s="229"/>
    </row>
    <row r="306" spans="1:22" outlineLevel="2" x14ac:dyDescent="0.3">
      <c r="A306" s="689"/>
      <c r="D306" s="201" t="s">
        <v>142</v>
      </c>
      <c r="E306" s="644">
        <f>$G$36</f>
        <v>0</v>
      </c>
    </row>
    <row r="307" spans="1:22" outlineLevel="2" x14ac:dyDescent="0.3">
      <c r="A307" s="689"/>
      <c r="E307" s="229"/>
      <c r="O307"/>
      <c r="P307"/>
      <c r="Q307"/>
      <c r="R307"/>
      <c r="S307"/>
      <c r="T307"/>
      <c r="U307"/>
    </row>
    <row r="308" spans="1:22" outlineLevel="2" x14ac:dyDescent="0.3">
      <c r="A308" s="689"/>
      <c r="E308" s="229"/>
      <c r="F308" s="121" t="str">
        <f>I_MeterTypes[[#Headers],[Meter Type]]</f>
        <v>Meter Type</v>
      </c>
      <c r="G308" s="121" t="str">
        <f>I_MeterTypes[[#Headers],[RIN Subcategory 1]]</f>
        <v>RIN Subcategory 1</v>
      </c>
      <c r="H308" s="121" t="str">
        <f>I_MeterTypes[[#Headers],[RIN Subcategory 2]]</f>
        <v>RIN Subcategory 2</v>
      </c>
      <c r="I308" s="121" t="str">
        <f>I_MeterTypes[[#Headers],[AER Type]]</f>
        <v>AER Type</v>
      </c>
      <c r="J308" s="121" t="str">
        <f>I_MeterTypes[[#Headers],[RIN Subcategory 3]]</f>
        <v>RIN Subcategory 3</v>
      </c>
      <c r="K308" s="121" t="str">
        <f>I_MeterTypes[[#Headers],[Meter Code]]</f>
        <v>Meter Code</v>
      </c>
      <c r="L308" s="121" t="s">
        <v>6</v>
      </c>
      <c r="O308" s="457" t="str">
        <f t="shared" ref="O308:U308" si="52">O$168</f>
        <v>2018-19</v>
      </c>
      <c r="P308" s="270" t="str">
        <f t="shared" si="52"/>
        <v>2019-20</v>
      </c>
      <c r="Q308" s="267" t="str">
        <f t="shared" si="52"/>
        <v>2020-21</v>
      </c>
      <c r="R308" s="230" t="str">
        <f t="shared" si="52"/>
        <v>2021-22</v>
      </c>
      <c r="S308" s="230" t="str">
        <f t="shared" si="52"/>
        <v>2022-23</v>
      </c>
      <c r="T308" s="230" t="str">
        <f t="shared" si="52"/>
        <v>2023-24</v>
      </c>
      <c r="U308" s="230" t="str">
        <f t="shared" si="52"/>
        <v>2024-25</v>
      </c>
      <c r="V308" s="124" t="s">
        <v>17</v>
      </c>
    </row>
    <row r="309" spans="1:22" outlineLevel="2" x14ac:dyDescent="0.3">
      <c r="A309" s="689"/>
      <c r="E309" s="229"/>
      <c r="F309" s="213" t="str" cm="1">
        <f t="array" ref="F309:F323">I_MeterTypes[Meter Type]</f>
        <v>AMI - Single Phase, single element</v>
      </c>
      <c r="G309" s="213" t="str" cm="1">
        <f t="array" ref="G309:G323">I_MeterTypes[RIN Subcategory 1]</f>
        <v>Single Phase Meter Population</v>
      </c>
      <c r="H309" s="213" t="str" cm="1">
        <f t="array" ref="H309:H323">I_MeterTypes[RIN Subcategory 2]</f>
        <v>Other</v>
      </c>
      <c r="I309" s="213" t="str" cm="1">
        <f t="array" ref="I309:I323">I_MeterTypes[AER Type]</f>
        <v>Meter Type 4</v>
      </c>
      <c r="J309" s="213" t="str" cm="1">
        <f t="array" ref="J309:J323">I_MeterTypes[RIN Subcategory 3]</f>
        <v>Single phase single element - AMI</v>
      </c>
      <c r="K309" s="213" t="str" cm="1">
        <f t="array" ref="K309:K323">I_MeterTypes[Meter Code]</f>
        <v>AMI 1ph 1e</v>
      </c>
      <c r="L309" s="214" t="s">
        <v>18</v>
      </c>
      <c r="O309" s="456"/>
      <c r="P309" s="423"/>
      <c r="Q309" s="220"/>
      <c r="R309" s="219"/>
      <c r="S309" s="219"/>
      <c r="T309" s="219"/>
      <c r="U309" s="219"/>
      <c r="V309" s="231">
        <f t="shared" ref="V309:V323" si="53">SUM(N309:U309)</f>
        <v>0</v>
      </c>
    </row>
    <row r="310" spans="1:22" outlineLevel="2" x14ac:dyDescent="0.3">
      <c r="A310" s="689"/>
      <c r="E310" s="229"/>
      <c r="F310" s="213" t="str">
        <v>AMI - Single Phase, two element</v>
      </c>
      <c r="G310" s="213" t="str">
        <v>Single Phase Meter Population</v>
      </c>
      <c r="H310" s="213" t="str">
        <v>Other</v>
      </c>
      <c r="I310" s="213" t="str">
        <v>Meter Type 4</v>
      </c>
      <c r="J310" s="218" t="str">
        <v>Single phase two element with contactor - AMI</v>
      </c>
      <c r="K310" s="218" t="str">
        <v>AMI 1ph 2e</v>
      </c>
      <c r="L310" s="214" t="str">
        <f t="shared" ref="L310:L324" si="54">L$147</f>
        <v>No.</v>
      </c>
      <c r="O310" s="456"/>
      <c r="P310" s="423"/>
      <c r="Q310" s="220"/>
      <c r="R310" s="219"/>
      <c r="S310" s="219"/>
      <c r="T310" s="219"/>
      <c r="U310" s="219"/>
      <c r="V310" s="231">
        <f t="shared" si="53"/>
        <v>0</v>
      </c>
    </row>
    <row r="311" spans="1:22" outlineLevel="2" x14ac:dyDescent="0.3">
      <c r="A311" s="689"/>
      <c r="E311" s="229"/>
      <c r="F311" s="213" t="str">
        <v>AMI - 3 Phase DC</v>
      </c>
      <c r="G311" s="213" t="str">
        <v>Multi Phase Meter Population</v>
      </c>
      <c r="H311" s="213" t="str">
        <v>Direct Connect Meter Population</v>
      </c>
      <c r="I311" s="213" t="str">
        <v>Meter Type 4</v>
      </c>
      <c r="J311" s="218" t="str">
        <v>Three phase - AMI</v>
      </c>
      <c r="K311" s="218" t="str">
        <v>AMI 3ph DC</v>
      </c>
      <c r="L311" s="214" t="str">
        <f t="shared" si="54"/>
        <v>No.</v>
      </c>
      <c r="O311" s="456"/>
      <c r="P311" s="423"/>
      <c r="Q311" s="220"/>
      <c r="R311" s="219"/>
      <c r="S311" s="219"/>
      <c r="T311" s="219"/>
      <c r="U311" s="219"/>
      <c r="V311" s="231">
        <f t="shared" si="53"/>
        <v>0</v>
      </c>
    </row>
    <row r="312" spans="1:22" outlineLevel="2" x14ac:dyDescent="0.3">
      <c r="A312" s="689"/>
      <c r="E312" s="229"/>
      <c r="F312" s="213" t="str">
        <v>AMI 3Ph CT</v>
      </c>
      <c r="G312" s="213" t="str">
        <v>Multi Phase Meter Population</v>
      </c>
      <c r="H312" s="213" t="str">
        <v>Current Transformer Connected Meter Population</v>
      </c>
      <c r="I312" s="213" t="str">
        <v>Meter Type 4</v>
      </c>
      <c r="J312" s="218">
        <v>0</v>
      </c>
      <c r="K312" s="218" t="str">
        <v>AMI 3ph CT</v>
      </c>
      <c r="L312" s="214" t="str">
        <f t="shared" si="54"/>
        <v>No.</v>
      </c>
      <c r="O312" s="456"/>
      <c r="P312" s="423"/>
      <c r="Q312" s="220"/>
      <c r="R312" s="219"/>
      <c r="S312" s="219"/>
      <c r="T312" s="219"/>
      <c r="U312" s="219"/>
      <c r="V312" s="231">
        <f t="shared" si="53"/>
        <v>0</v>
      </c>
    </row>
    <row r="313" spans="1:22" outlineLevel="2" x14ac:dyDescent="0.3">
      <c r="A313" s="689"/>
      <c r="E313" s="229"/>
      <c r="F313" s="213" t="str">
        <v>Non AMI - Type 5 Locally read Interval - Single Phase</v>
      </c>
      <c r="G313" s="213" t="str">
        <v>Single Phase Meter Population</v>
      </c>
      <c r="H313" s="213" t="str">
        <v>Direct Connect Meter Population</v>
      </c>
      <c r="I313" s="213" t="str">
        <v>Meter Type 5</v>
      </c>
      <c r="J313" s="218">
        <v>0</v>
      </c>
      <c r="K313" s="218" t="str">
        <v>INT 1ph</v>
      </c>
      <c r="L313" s="214" t="str">
        <f t="shared" si="54"/>
        <v>No.</v>
      </c>
      <c r="O313" s="456"/>
      <c r="P313" s="423"/>
      <c r="Q313" s="220"/>
      <c r="R313" s="219"/>
      <c r="S313" s="219"/>
      <c r="T313" s="219"/>
      <c r="U313" s="219"/>
      <c r="V313" s="231">
        <f t="shared" si="53"/>
        <v>0</v>
      </c>
    </row>
    <row r="314" spans="1:22" outlineLevel="2" x14ac:dyDescent="0.3">
      <c r="A314" s="689"/>
      <c r="E314" s="229"/>
      <c r="F314" s="213" t="str">
        <v>Non AMI - Type 5 Locally read Interval - 3 Phase</v>
      </c>
      <c r="G314" s="213" t="str">
        <v>Single Phase Meter Population</v>
      </c>
      <c r="H314" s="213" t="str">
        <v>Direct Connect Meter Population</v>
      </c>
      <c r="I314" s="213" t="str">
        <v>Meter Type 5</v>
      </c>
      <c r="J314" s="218">
        <v>0</v>
      </c>
      <c r="K314" s="218" t="str">
        <v>INT 3ph</v>
      </c>
      <c r="L314" s="214" t="str">
        <f t="shared" si="54"/>
        <v>No.</v>
      </c>
      <c r="O314" s="456"/>
      <c r="P314" s="423"/>
      <c r="Q314" s="220"/>
      <c r="R314" s="219"/>
      <c r="S314" s="219"/>
      <c r="T314" s="219"/>
      <c r="U314" s="219"/>
      <c r="V314" s="231">
        <f t="shared" si="53"/>
        <v>0</v>
      </c>
    </row>
    <row r="315" spans="1:22" outlineLevel="2" x14ac:dyDescent="0.3">
      <c r="A315" s="689"/>
      <c r="E315" s="229"/>
      <c r="F315" s="213" t="str">
        <v>Non AMI - Type 5 Locally read Interval - 3 Phase - CT</v>
      </c>
      <c r="G315" s="213" t="str">
        <v>Multi Phase Meter Population</v>
      </c>
      <c r="H315" s="213" t="str">
        <v>Current Transformer Connected Meter Population</v>
      </c>
      <c r="I315" s="213" t="str">
        <v>Meter Type 5</v>
      </c>
      <c r="J315" s="218">
        <v>0</v>
      </c>
      <c r="K315" s="218" t="str">
        <v>INT 3ph CT</v>
      </c>
      <c r="L315" s="214" t="str">
        <f t="shared" si="54"/>
        <v>No.</v>
      </c>
      <c r="O315" s="456"/>
      <c r="P315" s="423"/>
      <c r="Q315" s="220"/>
      <c r="R315" s="219"/>
      <c r="S315" s="219"/>
      <c r="T315" s="219"/>
      <c r="U315" s="219"/>
      <c r="V315" s="231">
        <f t="shared" si="53"/>
        <v>0</v>
      </c>
    </row>
    <row r="316" spans="1:22" outlineLevel="2" x14ac:dyDescent="0.3">
      <c r="A316" s="689"/>
      <c r="E316" s="229"/>
      <c r="F316" s="213" t="str">
        <v>Non AMI - Type 6 Locally read Accumulation - Single Phase</v>
      </c>
      <c r="G316" s="213" t="str">
        <v>Multi Phase Meter Population</v>
      </c>
      <c r="H316" s="213" t="str">
        <v>Direct Connect Meter Population</v>
      </c>
      <c r="I316" s="213" t="str">
        <v>Meter Type 6</v>
      </c>
      <c r="J316" s="218">
        <v>0</v>
      </c>
      <c r="K316" s="218" t="str">
        <v>ACC 1ph</v>
      </c>
      <c r="L316" s="214" t="str">
        <f t="shared" si="54"/>
        <v>No.</v>
      </c>
      <c r="O316" s="456"/>
      <c r="P316" s="423"/>
      <c r="Q316" s="220"/>
      <c r="R316" s="219"/>
      <c r="S316" s="219"/>
      <c r="T316" s="219"/>
      <c r="U316" s="219"/>
      <c r="V316" s="231">
        <f t="shared" si="53"/>
        <v>0</v>
      </c>
    </row>
    <row r="317" spans="1:22" outlineLevel="2" x14ac:dyDescent="0.3">
      <c r="A317" s="689"/>
      <c r="E317" s="229"/>
      <c r="F317" s="213" t="str">
        <v>Non AMI - Type 6 Locally read Accumulation - 3 Phase</v>
      </c>
      <c r="G317" s="213">
        <v>0</v>
      </c>
      <c r="H317" s="213" t="str">
        <v>Direct Connect Meter Population</v>
      </c>
      <c r="I317" s="213" t="str">
        <v>Meter Type 6</v>
      </c>
      <c r="J317" s="218">
        <v>0</v>
      </c>
      <c r="K317" s="218" t="str">
        <v>ACC 3ph</v>
      </c>
      <c r="L317" s="214" t="str">
        <f t="shared" si="54"/>
        <v>No.</v>
      </c>
      <c r="O317" s="456"/>
      <c r="P317" s="423"/>
      <c r="Q317" s="220"/>
      <c r="R317" s="219"/>
      <c r="S317" s="219"/>
      <c r="T317" s="219"/>
      <c r="U317" s="219"/>
      <c r="V317" s="231">
        <f t="shared" si="53"/>
        <v>0</v>
      </c>
    </row>
    <row r="318" spans="1:22" outlineLevel="2" x14ac:dyDescent="0.3">
      <c r="A318" s="689"/>
      <c r="E318" s="229"/>
      <c r="F318" s="213">
        <v>0</v>
      </c>
      <c r="G318" s="213">
        <v>0</v>
      </c>
      <c r="H318" s="213">
        <v>0</v>
      </c>
      <c r="I318" s="213">
        <v>0</v>
      </c>
      <c r="J318" s="218">
        <v>0</v>
      </c>
      <c r="K318" s="218">
        <v>0</v>
      </c>
      <c r="L318" s="214" t="str">
        <f t="shared" si="54"/>
        <v>No.</v>
      </c>
      <c r="O318" s="456"/>
      <c r="P318" s="423"/>
      <c r="Q318" s="220"/>
      <c r="R318" s="219"/>
      <c r="S318" s="219"/>
      <c r="T318" s="219"/>
      <c r="U318" s="219"/>
      <c r="V318" s="231">
        <f t="shared" si="53"/>
        <v>0</v>
      </c>
    </row>
    <row r="319" spans="1:22" outlineLevel="2" x14ac:dyDescent="0.3">
      <c r="A319" s="689"/>
      <c r="E319" s="229"/>
      <c r="F319" s="213">
        <v>0</v>
      </c>
      <c r="G319" s="213">
        <v>0</v>
      </c>
      <c r="H319" s="213">
        <v>0</v>
      </c>
      <c r="I319" s="213">
        <v>0</v>
      </c>
      <c r="J319" s="218">
        <v>0</v>
      </c>
      <c r="K319" s="218">
        <v>0</v>
      </c>
      <c r="L319" s="214" t="str">
        <f t="shared" si="54"/>
        <v>No.</v>
      </c>
      <c r="O319" s="456"/>
      <c r="P319" s="423"/>
      <c r="Q319" s="220"/>
      <c r="R319" s="219"/>
      <c r="S319" s="219"/>
      <c r="T319" s="219"/>
      <c r="U319" s="219"/>
      <c r="V319" s="231">
        <f t="shared" si="53"/>
        <v>0</v>
      </c>
    </row>
    <row r="320" spans="1:22" outlineLevel="2" x14ac:dyDescent="0.3">
      <c r="A320" s="689"/>
      <c r="E320" s="229"/>
      <c r="F320" s="213">
        <v>0</v>
      </c>
      <c r="G320" s="213">
        <v>0</v>
      </c>
      <c r="H320" s="213">
        <v>0</v>
      </c>
      <c r="I320" s="213">
        <v>0</v>
      </c>
      <c r="J320" s="218">
        <v>0</v>
      </c>
      <c r="K320" s="218">
        <v>0</v>
      </c>
      <c r="L320" s="214" t="str">
        <f t="shared" si="54"/>
        <v>No.</v>
      </c>
      <c r="O320" s="456"/>
      <c r="P320" s="423"/>
      <c r="Q320" s="220"/>
      <c r="R320" s="219"/>
      <c r="S320" s="219"/>
      <c r="T320" s="219"/>
      <c r="U320" s="219"/>
      <c r="V320" s="231">
        <f t="shared" si="53"/>
        <v>0</v>
      </c>
    </row>
    <row r="321" spans="1:22" outlineLevel="2" x14ac:dyDescent="0.3">
      <c r="A321" s="689"/>
      <c r="E321" s="229"/>
      <c r="F321" s="213">
        <v>0</v>
      </c>
      <c r="G321" s="213">
        <v>0</v>
      </c>
      <c r="H321" s="213">
        <v>0</v>
      </c>
      <c r="I321" s="213">
        <v>0</v>
      </c>
      <c r="J321" s="218">
        <v>0</v>
      </c>
      <c r="K321" s="218">
        <v>0</v>
      </c>
      <c r="L321" s="214" t="str">
        <f t="shared" si="54"/>
        <v>No.</v>
      </c>
      <c r="O321" s="456"/>
      <c r="P321" s="423"/>
      <c r="Q321" s="220"/>
      <c r="R321" s="219"/>
      <c r="S321" s="219"/>
      <c r="T321" s="219"/>
      <c r="U321" s="219"/>
      <c r="V321" s="231">
        <f t="shared" si="53"/>
        <v>0</v>
      </c>
    </row>
    <row r="322" spans="1:22" outlineLevel="2" x14ac:dyDescent="0.3">
      <c r="A322" s="689"/>
      <c r="E322" s="229"/>
      <c r="F322" s="213">
        <v>0</v>
      </c>
      <c r="G322" s="213">
        <v>0</v>
      </c>
      <c r="H322" s="213">
        <v>0</v>
      </c>
      <c r="I322" s="213">
        <v>0</v>
      </c>
      <c r="J322" s="218">
        <v>0</v>
      </c>
      <c r="K322" s="218">
        <v>0</v>
      </c>
      <c r="L322" s="214" t="str">
        <f t="shared" si="54"/>
        <v>No.</v>
      </c>
      <c r="O322" s="456"/>
      <c r="P322" s="423"/>
      <c r="Q322" s="220"/>
      <c r="R322" s="219"/>
      <c r="S322" s="219"/>
      <c r="T322" s="219"/>
      <c r="U322" s="219"/>
      <c r="V322" s="231">
        <f t="shared" si="53"/>
        <v>0</v>
      </c>
    </row>
    <row r="323" spans="1:22" outlineLevel="2" x14ac:dyDescent="0.3">
      <c r="A323" s="689"/>
      <c r="E323" s="229"/>
      <c r="F323" s="213">
        <v>0</v>
      </c>
      <c r="G323" s="213">
        <v>0</v>
      </c>
      <c r="H323" s="213">
        <v>0</v>
      </c>
      <c r="I323" s="213">
        <v>0</v>
      </c>
      <c r="J323" s="218">
        <v>0</v>
      </c>
      <c r="K323" s="218">
        <v>0</v>
      </c>
      <c r="L323" s="214" t="str">
        <f t="shared" si="54"/>
        <v>No.</v>
      </c>
      <c r="O323" s="456"/>
      <c r="P323" s="423"/>
      <c r="Q323" s="220"/>
      <c r="R323" s="219"/>
      <c r="S323" s="219"/>
      <c r="T323" s="219"/>
      <c r="U323" s="219"/>
      <c r="V323" s="231">
        <f t="shared" si="53"/>
        <v>0</v>
      </c>
    </row>
    <row r="324" spans="1:22" outlineLevel="2" x14ac:dyDescent="0.3">
      <c r="A324" s="689"/>
      <c r="E324" s="229"/>
      <c r="F324" s="151" t="s">
        <v>17</v>
      </c>
      <c r="G324" s="151"/>
      <c r="H324" s="151"/>
      <c r="I324" s="151"/>
      <c r="J324" s="151"/>
      <c r="K324" s="151"/>
      <c r="L324" s="533" t="str">
        <f t="shared" si="54"/>
        <v>No.</v>
      </c>
      <c r="O324" s="424">
        <f>SUM(O309:O323)</f>
        <v>0</v>
      </c>
      <c r="P324" s="288">
        <f t="shared" ref="P324:U324" si="55">SUM(P309:P323)</f>
        <v>0</v>
      </c>
      <c r="Q324" s="232">
        <f t="shared" si="55"/>
        <v>0</v>
      </c>
      <c r="R324" s="233">
        <f t="shared" si="55"/>
        <v>0</v>
      </c>
      <c r="S324" s="233">
        <f t="shared" si="55"/>
        <v>0</v>
      </c>
      <c r="T324" s="233">
        <f t="shared" si="55"/>
        <v>0</v>
      </c>
      <c r="U324" s="233">
        <f t="shared" si="55"/>
        <v>0</v>
      </c>
      <c r="V324" s="233">
        <f>SUM(P324:U324)</f>
        <v>0</v>
      </c>
    </row>
    <row r="325" spans="1:22" outlineLevel="2" x14ac:dyDescent="0.3">
      <c r="A325" s="689"/>
      <c r="E325" s="229"/>
    </row>
    <row r="326" spans="1:22" outlineLevel="2" x14ac:dyDescent="0.3">
      <c r="A326" s="689"/>
      <c r="D326" s="201" t="s">
        <v>281</v>
      </c>
      <c r="E326" s="644">
        <f>$G$37</f>
        <v>0</v>
      </c>
    </row>
    <row r="327" spans="1:22" outlineLevel="2" x14ac:dyDescent="0.3">
      <c r="A327" s="689"/>
      <c r="E327" s="229"/>
      <c r="O327"/>
      <c r="P327"/>
      <c r="Q327"/>
      <c r="R327"/>
      <c r="S327"/>
      <c r="T327"/>
      <c r="U327"/>
    </row>
    <row r="328" spans="1:22" outlineLevel="2" x14ac:dyDescent="0.3">
      <c r="A328" s="689"/>
      <c r="E328" s="229"/>
      <c r="F328" s="121" t="str">
        <f>I_MeterTypes[[#Headers],[Meter Type]]</f>
        <v>Meter Type</v>
      </c>
      <c r="G328" s="121" t="str">
        <f>I_MeterTypes[[#Headers],[RIN Subcategory 1]]</f>
        <v>RIN Subcategory 1</v>
      </c>
      <c r="H328" s="121" t="str">
        <f>I_MeterTypes[[#Headers],[RIN Subcategory 2]]</f>
        <v>RIN Subcategory 2</v>
      </c>
      <c r="I328" s="121" t="str">
        <f>I_MeterTypes[[#Headers],[AER Type]]</f>
        <v>AER Type</v>
      </c>
      <c r="J328" s="121" t="str">
        <f>I_MeterTypes[[#Headers],[RIN Subcategory 3]]</f>
        <v>RIN Subcategory 3</v>
      </c>
      <c r="K328" s="121" t="str">
        <f>I_MeterTypes[[#Headers],[Meter Code]]</f>
        <v>Meter Code</v>
      </c>
      <c r="L328" s="121" t="s">
        <v>6</v>
      </c>
      <c r="O328" s="457" t="str">
        <f t="shared" ref="O328:U328" si="56">O$168</f>
        <v>2018-19</v>
      </c>
      <c r="P328" s="270" t="str">
        <f t="shared" si="56"/>
        <v>2019-20</v>
      </c>
      <c r="Q328" s="267" t="str">
        <f t="shared" si="56"/>
        <v>2020-21</v>
      </c>
      <c r="R328" s="230" t="str">
        <f t="shared" si="56"/>
        <v>2021-22</v>
      </c>
      <c r="S328" s="230" t="str">
        <f t="shared" si="56"/>
        <v>2022-23</v>
      </c>
      <c r="T328" s="230" t="str">
        <f t="shared" si="56"/>
        <v>2023-24</v>
      </c>
      <c r="U328" s="230" t="str">
        <f t="shared" si="56"/>
        <v>2024-25</v>
      </c>
      <c r="V328" s="124" t="s">
        <v>17</v>
      </c>
    </row>
    <row r="329" spans="1:22" outlineLevel="2" x14ac:dyDescent="0.3">
      <c r="A329" s="689"/>
      <c r="E329" s="229"/>
      <c r="F329" s="213" t="str" cm="1">
        <f t="array" ref="F329:F343">I_MeterTypes[Meter Type]</f>
        <v>AMI - Single Phase, single element</v>
      </c>
      <c r="G329" s="213" t="str" cm="1">
        <f t="array" ref="G329:G343">I_MeterTypes[RIN Subcategory 1]</f>
        <v>Single Phase Meter Population</v>
      </c>
      <c r="H329" s="213" t="str" cm="1">
        <f t="array" ref="H329:H343">I_MeterTypes[RIN Subcategory 2]</f>
        <v>Other</v>
      </c>
      <c r="I329" s="213" t="str" cm="1">
        <f t="array" ref="I329:I343">I_MeterTypes[AER Type]</f>
        <v>Meter Type 4</v>
      </c>
      <c r="J329" s="213" t="str" cm="1">
        <f t="array" ref="J329:J343">I_MeterTypes[RIN Subcategory 3]</f>
        <v>Single phase single element - AMI</v>
      </c>
      <c r="K329" s="213" t="str" cm="1">
        <f t="array" ref="K329:K343">I_MeterTypes[Meter Code]</f>
        <v>AMI 1ph 1e</v>
      </c>
      <c r="L329" s="214" t="s">
        <v>18</v>
      </c>
      <c r="O329" s="456"/>
      <c r="P329" s="423"/>
      <c r="Q329" s="220"/>
      <c r="R329" s="219"/>
      <c r="S329" s="219"/>
      <c r="T329" s="219"/>
      <c r="U329" s="219"/>
      <c r="V329" s="231">
        <f t="shared" ref="V329:V343" si="57">SUM(N329:U329)</f>
        <v>0</v>
      </c>
    </row>
    <row r="330" spans="1:22" outlineLevel="2" x14ac:dyDescent="0.3">
      <c r="A330" s="689"/>
      <c r="E330" s="229"/>
      <c r="F330" s="213" t="str">
        <v>AMI - Single Phase, two element</v>
      </c>
      <c r="G330" s="213" t="str">
        <v>Single Phase Meter Population</v>
      </c>
      <c r="H330" s="213" t="str">
        <v>Other</v>
      </c>
      <c r="I330" s="213" t="str">
        <v>Meter Type 4</v>
      </c>
      <c r="J330" s="218" t="str">
        <v>Single phase two element with contactor - AMI</v>
      </c>
      <c r="K330" s="218" t="str">
        <v>AMI 1ph 2e</v>
      </c>
      <c r="L330" s="214" t="str">
        <f t="shared" ref="L330:L344" si="58">L$147</f>
        <v>No.</v>
      </c>
      <c r="O330" s="456"/>
      <c r="P330" s="423"/>
      <c r="Q330" s="220"/>
      <c r="R330" s="219"/>
      <c r="S330" s="219"/>
      <c r="T330" s="219"/>
      <c r="U330" s="219"/>
      <c r="V330" s="231">
        <f t="shared" si="57"/>
        <v>0</v>
      </c>
    </row>
    <row r="331" spans="1:22" outlineLevel="2" x14ac:dyDescent="0.3">
      <c r="A331" s="689"/>
      <c r="E331" s="229"/>
      <c r="F331" s="213" t="str">
        <v>AMI - 3 Phase DC</v>
      </c>
      <c r="G331" s="213" t="str">
        <v>Multi Phase Meter Population</v>
      </c>
      <c r="H331" s="213" t="str">
        <v>Direct Connect Meter Population</v>
      </c>
      <c r="I331" s="213" t="str">
        <v>Meter Type 4</v>
      </c>
      <c r="J331" s="218" t="str">
        <v>Three phase - AMI</v>
      </c>
      <c r="K331" s="218" t="str">
        <v>AMI 3ph DC</v>
      </c>
      <c r="L331" s="214" t="str">
        <f t="shared" si="58"/>
        <v>No.</v>
      </c>
      <c r="O331" s="456"/>
      <c r="P331" s="423"/>
      <c r="Q331" s="220"/>
      <c r="R331" s="219"/>
      <c r="S331" s="219"/>
      <c r="T331" s="219"/>
      <c r="U331" s="219"/>
      <c r="V331" s="231">
        <f t="shared" si="57"/>
        <v>0</v>
      </c>
    </row>
    <row r="332" spans="1:22" outlineLevel="2" x14ac:dyDescent="0.3">
      <c r="A332" s="689"/>
      <c r="E332" s="229"/>
      <c r="F332" s="213" t="str">
        <v>AMI 3Ph CT</v>
      </c>
      <c r="G332" s="213" t="str">
        <v>Multi Phase Meter Population</v>
      </c>
      <c r="H332" s="213" t="str">
        <v>Current Transformer Connected Meter Population</v>
      </c>
      <c r="I332" s="213" t="str">
        <v>Meter Type 4</v>
      </c>
      <c r="J332" s="218">
        <v>0</v>
      </c>
      <c r="K332" s="218" t="str">
        <v>AMI 3ph CT</v>
      </c>
      <c r="L332" s="214" t="str">
        <f t="shared" si="58"/>
        <v>No.</v>
      </c>
      <c r="O332" s="456"/>
      <c r="P332" s="423"/>
      <c r="Q332" s="220"/>
      <c r="R332" s="219"/>
      <c r="S332" s="219"/>
      <c r="T332" s="219"/>
      <c r="U332" s="219"/>
      <c r="V332" s="231">
        <f t="shared" si="57"/>
        <v>0</v>
      </c>
    </row>
    <row r="333" spans="1:22" outlineLevel="2" x14ac:dyDescent="0.3">
      <c r="A333" s="689"/>
      <c r="E333" s="229"/>
      <c r="F333" s="213" t="str">
        <v>Non AMI - Type 5 Locally read Interval - Single Phase</v>
      </c>
      <c r="G333" s="213" t="str">
        <v>Single Phase Meter Population</v>
      </c>
      <c r="H333" s="213" t="str">
        <v>Direct Connect Meter Population</v>
      </c>
      <c r="I333" s="213" t="str">
        <v>Meter Type 5</v>
      </c>
      <c r="J333" s="218">
        <v>0</v>
      </c>
      <c r="K333" s="218" t="str">
        <v>INT 1ph</v>
      </c>
      <c r="L333" s="214" t="str">
        <f t="shared" si="58"/>
        <v>No.</v>
      </c>
      <c r="O333" s="456"/>
      <c r="P333" s="423"/>
      <c r="Q333" s="220"/>
      <c r="R333" s="219"/>
      <c r="S333" s="219"/>
      <c r="T333" s="219"/>
      <c r="U333" s="219"/>
      <c r="V333" s="231">
        <f t="shared" si="57"/>
        <v>0</v>
      </c>
    </row>
    <row r="334" spans="1:22" outlineLevel="2" x14ac:dyDescent="0.3">
      <c r="A334" s="689"/>
      <c r="E334" s="229"/>
      <c r="F334" s="213" t="str">
        <v>Non AMI - Type 5 Locally read Interval - 3 Phase</v>
      </c>
      <c r="G334" s="213" t="str">
        <v>Single Phase Meter Population</v>
      </c>
      <c r="H334" s="213" t="str">
        <v>Direct Connect Meter Population</v>
      </c>
      <c r="I334" s="213" t="str">
        <v>Meter Type 5</v>
      </c>
      <c r="J334" s="218">
        <v>0</v>
      </c>
      <c r="K334" s="218" t="str">
        <v>INT 3ph</v>
      </c>
      <c r="L334" s="214" t="str">
        <f t="shared" si="58"/>
        <v>No.</v>
      </c>
      <c r="O334" s="456"/>
      <c r="P334" s="423"/>
      <c r="Q334" s="220"/>
      <c r="R334" s="219"/>
      <c r="S334" s="219"/>
      <c r="T334" s="219"/>
      <c r="U334" s="219"/>
      <c r="V334" s="231">
        <f t="shared" si="57"/>
        <v>0</v>
      </c>
    </row>
    <row r="335" spans="1:22" outlineLevel="2" x14ac:dyDescent="0.3">
      <c r="A335" s="689"/>
      <c r="E335" s="229"/>
      <c r="F335" s="213" t="str">
        <v>Non AMI - Type 5 Locally read Interval - 3 Phase - CT</v>
      </c>
      <c r="G335" s="213" t="str">
        <v>Multi Phase Meter Population</v>
      </c>
      <c r="H335" s="213" t="str">
        <v>Current Transformer Connected Meter Population</v>
      </c>
      <c r="I335" s="213" t="str">
        <v>Meter Type 5</v>
      </c>
      <c r="J335" s="218">
        <v>0</v>
      </c>
      <c r="K335" s="218" t="str">
        <v>INT 3ph CT</v>
      </c>
      <c r="L335" s="214" t="str">
        <f t="shared" si="58"/>
        <v>No.</v>
      </c>
      <c r="O335" s="456"/>
      <c r="P335" s="423"/>
      <c r="Q335" s="220"/>
      <c r="R335" s="219"/>
      <c r="S335" s="219"/>
      <c r="T335" s="219"/>
      <c r="U335" s="219"/>
      <c r="V335" s="231">
        <f t="shared" si="57"/>
        <v>0</v>
      </c>
    </row>
    <row r="336" spans="1:22" outlineLevel="2" x14ac:dyDescent="0.3">
      <c r="A336" s="689"/>
      <c r="E336" s="229"/>
      <c r="F336" s="213" t="str">
        <v>Non AMI - Type 6 Locally read Accumulation - Single Phase</v>
      </c>
      <c r="G336" s="213" t="str">
        <v>Multi Phase Meter Population</v>
      </c>
      <c r="H336" s="213" t="str">
        <v>Direct Connect Meter Population</v>
      </c>
      <c r="I336" s="213" t="str">
        <v>Meter Type 6</v>
      </c>
      <c r="J336" s="218">
        <v>0</v>
      </c>
      <c r="K336" s="218" t="str">
        <v>ACC 1ph</v>
      </c>
      <c r="L336" s="214" t="str">
        <f t="shared" si="58"/>
        <v>No.</v>
      </c>
      <c r="O336" s="456"/>
      <c r="P336" s="423"/>
      <c r="Q336" s="220"/>
      <c r="R336" s="219"/>
      <c r="S336" s="219"/>
      <c r="T336" s="219"/>
      <c r="U336" s="219"/>
      <c r="V336" s="231">
        <f t="shared" si="57"/>
        <v>0</v>
      </c>
    </row>
    <row r="337" spans="1:27" outlineLevel="2" x14ac:dyDescent="0.3">
      <c r="A337" s="689"/>
      <c r="E337" s="229"/>
      <c r="F337" s="213" t="str">
        <v>Non AMI - Type 6 Locally read Accumulation - 3 Phase</v>
      </c>
      <c r="G337" s="213">
        <v>0</v>
      </c>
      <c r="H337" s="213" t="str">
        <v>Direct Connect Meter Population</v>
      </c>
      <c r="I337" s="213" t="str">
        <v>Meter Type 6</v>
      </c>
      <c r="J337" s="218">
        <v>0</v>
      </c>
      <c r="K337" s="218" t="str">
        <v>ACC 3ph</v>
      </c>
      <c r="L337" s="214" t="str">
        <f t="shared" si="58"/>
        <v>No.</v>
      </c>
      <c r="O337" s="456"/>
      <c r="P337" s="423"/>
      <c r="Q337" s="220"/>
      <c r="R337" s="219"/>
      <c r="S337" s="219"/>
      <c r="T337" s="219"/>
      <c r="U337" s="219"/>
      <c r="V337" s="231">
        <f t="shared" si="57"/>
        <v>0</v>
      </c>
    </row>
    <row r="338" spans="1:27" outlineLevel="2" x14ac:dyDescent="0.3">
      <c r="A338" s="689"/>
      <c r="E338" s="229"/>
      <c r="F338" s="213">
        <v>0</v>
      </c>
      <c r="G338" s="213">
        <v>0</v>
      </c>
      <c r="H338" s="213">
        <v>0</v>
      </c>
      <c r="I338" s="213">
        <v>0</v>
      </c>
      <c r="J338" s="218">
        <v>0</v>
      </c>
      <c r="K338" s="218">
        <v>0</v>
      </c>
      <c r="L338" s="214" t="str">
        <f t="shared" si="58"/>
        <v>No.</v>
      </c>
      <c r="O338" s="456"/>
      <c r="P338" s="423"/>
      <c r="Q338" s="220"/>
      <c r="R338" s="219"/>
      <c r="S338" s="219"/>
      <c r="T338" s="219"/>
      <c r="U338" s="219"/>
      <c r="V338" s="231">
        <f t="shared" si="57"/>
        <v>0</v>
      </c>
    </row>
    <row r="339" spans="1:27" outlineLevel="2" x14ac:dyDescent="0.3">
      <c r="A339" s="689"/>
      <c r="E339" s="229"/>
      <c r="F339" s="213">
        <v>0</v>
      </c>
      <c r="G339" s="213">
        <v>0</v>
      </c>
      <c r="H339" s="213">
        <v>0</v>
      </c>
      <c r="I339" s="213">
        <v>0</v>
      </c>
      <c r="J339" s="218">
        <v>0</v>
      </c>
      <c r="K339" s="218">
        <v>0</v>
      </c>
      <c r="L339" s="214" t="str">
        <f t="shared" si="58"/>
        <v>No.</v>
      </c>
      <c r="O339" s="456"/>
      <c r="P339" s="423"/>
      <c r="Q339" s="220"/>
      <c r="R339" s="219"/>
      <c r="S339" s="219"/>
      <c r="T339" s="219"/>
      <c r="U339" s="219"/>
      <c r="V339" s="231">
        <f t="shared" si="57"/>
        <v>0</v>
      </c>
    </row>
    <row r="340" spans="1:27" outlineLevel="2" x14ac:dyDescent="0.3">
      <c r="A340" s="689"/>
      <c r="E340" s="229"/>
      <c r="F340" s="213">
        <v>0</v>
      </c>
      <c r="G340" s="213">
        <v>0</v>
      </c>
      <c r="H340" s="213">
        <v>0</v>
      </c>
      <c r="I340" s="213">
        <v>0</v>
      </c>
      <c r="J340" s="218">
        <v>0</v>
      </c>
      <c r="K340" s="218">
        <v>0</v>
      </c>
      <c r="L340" s="214" t="str">
        <f t="shared" si="58"/>
        <v>No.</v>
      </c>
      <c r="O340" s="456"/>
      <c r="P340" s="423"/>
      <c r="Q340" s="220"/>
      <c r="R340" s="219"/>
      <c r="S340" s="219"/>
      <c r="T340" s="219"/>
      <c r="U340" s="219"/>
      <c r="V340" s="231">
        <f t="shared" si="57"/>
        <v>0</v>
      </c>
    </row>
    <row r="341" spans="1:27" outlineLevel="2" x14ac:dyDescent="0.3">
      <c r="A341" s="689"/>
      <c r="E341" s="229"/>
      <c r="F341" s="213">
        <v>0</v>
      </c>
      <c r="G341" s="213">
        <v>0</v>
      </c>
      <c r="H341" s="213">
        <v>0</v>
      </c>
      <c r="I341" s="213">
        <v>0</v>
      </c>
      <c r="J341" s="218">
        <v>0</v>
      </c>
      <c r="K341" s="218">
        <v>0</v>
      </c>
      <c r="L341" s="214" t="str">
        <f t="shared" si="58"/>
        <v>No.</v>
      </c>
      <c r="O341" s="456"/>
      <c r="P341" s="423"/>
      <c r="Q341" s="220"/>
      <c r="R341" s="219"/>
      <c r="S341" s="219"/>
      <c r="T341" s="219"/>
      <c r="U341" s="219"/>
      <c r="V341" s="231">
        <f t="shared" si="57"/>
        <v>0</v>
      </c>
    </row>
    <row r="342" spans="1:27" outlineLevel="2" x14ac:dyDescent="0.3">
      <c r="A342" s="689"/>
      <c r="E342" s="229"/>
      <c r="F342" s="213">
        <v>0</v>
      </c>
      <c r="G342" s="213">
        <v>0</v>
      </c>
      <c r="H342" s="213">
        <v>0</v>
      </c>
      <c r="I342" s="213">
        <v>0</v>
      </c>
      <c r="J342" s="218">
        <v>0</v>
      </c>
      <c r="K342" s="218">
        <v>0</v>
      </c>
      <c r="L342" s="214" t="str">
        <f t="shared" si="58"/>
        <v>No.</v>
      </c>
      <c r="O342" s="456"/>
      <c r="P342" s="423"/>
      <c r="Q342" s="220"/>
      <c r="R342" s="219"/>
      <c r="S342" s="219"/>
      <c r="T342" s="219"/>
      <c r="U342" s="219"/>
      <c r="V342" s="231">
        <f t="shared" si="57"/>
        <v>0</v>
      </c>
    </row>
    <row r="343" spans="1:27" outlineLevel="2" x14ac:dyDescent="0.3">
      <c r="A343" s="689"/>
      <c r="E343" s="229"/>
      <c r="F343" s="213">
        <v>0</v>
      </c>
      <c r="G343" s="213">
        <v>0</v>
      </c>
      <c r="H343" s="213">
        <v>0</v>
      </c>
      <c r="I343" s="213">
        <v>0</v>
      </c>
      <c r="J343" s="218">
        <v>0</v>
      </c>
      <c r="K343" s="218">
        <v>0</v>
      </c>
      <c r="L343" s="214" t="str">
        <f t="shared" si="58"/>
        <v>No.</v>
      </c>
      <c r="O343" s="456"/>
      <c r="P343" s="423"/>
      <c r="Q343" s="220"/>
      <c r="R343" s="219"/>
      <c r="S343" s="219"/>
      <c r="T343" s="219"/>
      <c r="U343" s="219"/>
      <c r="V343" s="231">
        <f t="shared" si="57"/>
        <v>0</v>
      </c>
    </row>
    <row r="344" spans="1:27" outlineLevel="2" x14ac:dyDescent="0.3">
      <c r="A344" s="689"/>
      <c r="E344" s="229"/>
      <c r="F344" s="151" t="s">
        <v>17</v>
      </c>
      <c r="G344" s="151"/>
      <c r="H344" s="151"/>
      <c r="I344" s="151"/>
      <c r="J344" s="151"/>
      <c r="K344" s="151"/>
      <c r="L344" s="533" t="str">
        <f t="shared" si="58"/>
        <v>No.</v>
      </c>
      <c r="O344" s="424">
        <f>SUM(O329:O343)</f>
        <v>0</v>
      </c>
      <c r="P344" s="288">
        <f t="shared" ref="P344:U344" si="59">SUM(P329:P343)</f>
        <v>0</v>
      </c>
      <c r="Q344" s="232">
        <f t="shared" si="59"/>
        <v>0</v>
      </c>
      <c r="R344" s="233">
        <f t="shared" si="59"/>
        <v>0</v>
      </c>
      <c r="S344" s="233">
        <f t="shared" si="59"/>
        <v>0</v>
      </c>
      <c r="T344" s="233">
        <f t="shared" si="59"/>
        <v>0</v>
      </c>
      <c r="U344" s="233">
        <f t="shared" si="59"/>
        <v>0</v>
      </c>
      <c r="V344" s="233">
        <f>SUM(P344:U344)</f>
        <v>0</v>
      </c>
    </row>
    <row r="345" spans="1:27" outlineLevel="2" x14ac:dyDescent="0.3">
      <c r="A345" s="689"/>
      <c r="E345" s="229"/>
      <c r="R345"/>
    </row>
    <row r="346" spans="1:27" outlineLevel="2" x14ac:dyDescent="0.3">
      <c r="A346" s="689"/>
      <c r="D346" s="201" t="s">
        <v>282</v>
      </c>
      <c r="E346" s="644" t="str">
        <f>$G$38</f>
        <v>Meter abolishments</v>
      </c>
      <c r="X346"/>
      <c r="Y346"/>
      <c r="Z346"/>
      <c r="AA346"/>
    </row>
    <row r="347" spans="1:27" outlineLevel="2" x14ac:dyDescent="0.3">
      <c r="A347" s="689"/>
      <c r="E347" s="229"/>
      <c r="O347"/>
      <c r="P347"/>
      <c r="Q347"/>
      <c r="R347"/>
      <c r="S347"/>
      <c r="T347"/>
      <c r="U347"/>
      <c r="X347"/>
      <c r="Y347"/>
      <c r="Z347"/>
      <c r="AA347"/>
    </row>
    <row r="348" spans="1:27" outlineLevel="2" x14ac:dyDescent="0.3">
      <c r="A348" s="689"/>
      <c r="E348" s="229"/>
      <c r="F348" s="121" t="str">
        <f>I_MeterTypes[[#Headers],[Meter Type]]</f>
        <v>Meter Type</v>
      </c>
      <c r="G348" s="121" t="str">
        <f>I_MeterTypes[[#Headers],[RIN Subcategory 1]]</f>
        <v>RIN Subcategory 1</v>
      </c>
      <c r="H348" s="121" t="str">
        <f>I_MeterTypes[[#Headers],[RIN Subcategory 2]]</f>
        <v>RIN Subcategory 2</v>
      </c>
      <c r="I348" s="121" t="str">
        <f>I_MeterTypes[[#Headers],[AER Type]]</f>
        <v>AER Type</v>
      </c>
      <c r="J348" s="121" t="str">
        <f>I_MeterTypes[[#Headers],[RIN Subcategory 3]]</f>
        <v>RIN Subcategory 3</v>
      </c>
      <c r="K348" s="121" t="str">
        <f>I_MeterTypes[[#Headers],[Meter Code]]</f>
        <v>Meter Code</v>
      </c>
      <c r="L348" s="121" t="s">
        <v>6</v>
      </c>
      <c r="O348" s="457" t="str">
        <f t="shared" ref="O348:U348" si="60">O$168</f>
        <v>2018-19</v>
      </c>
      <c r="P348" s="270" t="str">
        <f t="shared" si="60"/>
        <v>2019-20</v>
      </c>
      <c r="Q348" s="267" t="str">
        <f t="shared" si="60"/>
        <v>2020-21</v>
      </c>
      <c r="R348" s="230" t="str">
        <f t="shared" si="60"/>
        <v>2021-22</v>
      </c>
      <c r="S348" s="230" t="str">
        <f t="shared" si="60"/>
        <v>2022-23</v>
      </c>
      <c r="T348" s="230" t="str">
        <f t="shared" si="60"/>
        <v>2023-24</v>
      </c>
      <c r="U348" s="230" t="str">
        <f t="shared" si="60"/>
        <v>2024-25</v>
      </c>
      <c r="V348" s="124" t="s">
        <v>17</v>
      </c>
      <c r="X348"/>
      <c r="Y348"/>
      <c r="Z348"/>
      <c r="AA348"/>
    </row>
    <row r="349" spans="1:27" outlineLevel="2" x14ac:dyDescent="0.3">
      <c r="A349" s="689"/>
      <c r="E349" s="229"/>
      <c r="F349" s="213" t="str" cm="1">
        <f t="array" ref="F349:F363">I_MeterTypes[Meter Type]</f>
        <v>AMI - Single Phase, single element</v>
      </c>
      <c r="G349" s="213" t="str" cm="1">
        <f t="array" ref="G349:G363">I_MeterTypes[RIN Subcategory 1]</f>
        <v>Single Phase Meter Population</v>
      </c>
      <c r="H349" s="213" t="str" cm="1">
        <f t="array" ref="H349:H363">I_MeterTypes[RIN Subcategory 2]</f>
        <v>Other</v>
      </c>
      <c r="I349" s="213" t="str" cm="1">
        <f t="array" ref="I349:I363">I_MeterTypes[AER Type]</f>
        <v>Meter Type 4</v>
      </c>
      <c r="J349" s="213" t="str" cm="1">
        <f t="array" ref="J349:J363">I_MeterTypes[RIN Subcategory 3]</f>
        <v>Single phase single element - AMI</v>
      </c>
      <c r="K349" s="213" t="str" cm="1">
        <f t="array" ref="K349:K363">I_MeterTypes[Meter Code]</f>
        <v>AMI 1ph 1e</v>
      </c>
      <c r="L349" s="214" t="s">
        <v>18</v>
      </c>
      <c r="O349" s="456"/>
      <c r="P349" s="423">
        <v>1000</v>
      </c>
      <c r="Q349" s="423">
        <v>1000</v>
      </c>
      <c r="R349" s="423">
        <v>1000</v>
      </c>
      <c r="S349" s="423">
        <v>1000</v>
      </c>
      <c r="T349" s="423">
        <v>1000</v>
      </c>
      <c r="U349" s="423">
        <v>1000</v>
      </c>
      <c r="V349" s="231">
        <f t="shared" ref="V349:V363" si="61">SUM(N349:U349)</f>
        <v>6000</v>
      </c>
      <c r="X349"/>
      <c r="Y349"/>
      <c r="Z349"/>
      <c r="AA349"/>
    </row>
    <row r="350" spans="1:27" outlineLevel="2" x14ac:dyDescent="0.3">
      <c r="A350" s="689"/>
      <c r="E350" s="229"/>
      <c r="F350" s="213" t="str">
        <v>AMI - Single Phase, two element</v>
      </c>
      <c r="G350" s="213" t="str">
        <v>Single Phase Meter Population</v>
      </c>
      <c r="H350" s="213" t="str">
        <v>Other</v>
      </c>
      <c r="I350" s="213" t="str">
        <v>Meter Type 4</v>
      </c>
      <c r="J350" s="218" t="str">
        <v>Single phase two element with contactor - AMI</v>
      </c>
      <c r="K350" s="218" t="str">
        <v>AMI 1ph 2e</v>
      </c>
      <c r="L350" s="214" t="str">
        <f t="shared" ref="L350:L364" si="62">L$147</f>
        <v>No.</v>
      </c>
      <c r="O350" s="456"/>
      <c r="P350" s="423"/>
      <c r="Q350" s="220"/>
      <c r="R350" s="219"/>
      <c r="S350" s="219"/>
      <c r="T350" s="219"/>
      <c r="U350" s="219"/>
      <c r="V350" s="231">
        <f t="shared" si="61"/>
        <v>0</v>
      </c>
      <c r="X350"/>
      <c r="Y350"/>
      <c r="Z350"/>
      <c r="AA350"/>
    </row>
    <row r="351" spans="1:27" outlineLevel="2" x14ac:dyDescent="0.3">
      <c r="A351" s="689"/>
      <c r="E351" s="229"/>
      <c r="F351" s="213" t="str">
        <v>AMI - 3 Phase DC</v>
      </c>
      <c r="G351" s="213" t="str">
        <v>Multi Phase Meter Population</v>
      </c>
      <c r="H351" s="213" t="str">
        <v>Direct Connect Meter Population</v>
      </c>
      <c r="I351" s="213" t="str">
        <v>Meter Type 4</v>
      </c>
      <c r="J351" s="218" t="str">
        <v>Three phase - AMI</v>
      </c>
      <c r="K351" s="218" t="str">
        <v>AMI 3ph DC</v>
      </c>
      <c r="L351" s="214" t="str">
        <f t="shared" si="62"/>
        <v>No.</v>
      </c>
      <c r="O351" s="456"/>
      <c r="P351" s="423"/>
      <c r="Q351" s="220"/>
      <c r="R351" s="219"/>
      <c r="S351" s="219"/>
      <c r="T351" s="219"/>
      <c r="U351" s="219"/>
      <c r="V351" s="231">
        <f t="shared" si="61"/>
        <v>0</v>
      </c>
      <c r="X351"/>
      <c r="Y351"/>
      <c r="Z351"/>
      <c r="AA351"/>
    </row>
    <row r="352" spans="1:27" outlineLevel="2" x14ac:dyDescent="0.3">
      <c r="A352" s="689"/>
      <c r="E352" s="229"/>
      <c r="F352" s="213" t="str">
        <v>AMI 3Ph CT</v>
      </c>
      <c r="G352" s="213" t="str">
        <v>Multi Phase Meter Population</v>
      </c>
      <c r="H352" s="213" t="str">
        <v>Current Transformer Connected Meter Population</v>
      </c>
      <c r="I352" s="213" t="str">
        <v>Meter Type 4</v>
      </c>
      <c r="J352" s="218">
        <v>0</v>
      </c>
      <c r="K352" s="218" t="str">
        <v>AMI 3ph CT</v>
      </c>
      <c r="L352" s="214" t="str">
        <f t="shared" si="62"/>
        <v>No.</v>
      </c>
      <c r="O352" s="456"/>
      <c r="P352" s="423"/>
      <c r="Q352" s="220"/>
      <c r="R352" s="219"/>
      <c r="S352" s="219"/>
      <c r="T352" s="219"/>
      <c r="U352" s="219"/>
      <c r="V352" s="231">
        <f t="shared" si="61"/>
        <v>0</v>
      </c>
      <c r="X352"/>
      <c r="Y352"/>
      <c r="Z352"/>
      <c r="AA352"/>
    </row>
    <row r="353" spans="1:27" outlineLevel="2" x14ac:dyDescent="0.3">
      <c r="A353" s="689"/>
      <c r="E353" s="229"/>
      <c r="F353" s="213" t="str">
        <v>Non AMI - Type 5 Locally read Interval - Single Phase</v>
      </c>
      <c r="G353" s="213" t="str">
        <v>Single Phase Meter Population</v>
      </c>
      <c r="H353" s="213" t="str">
        <v>Direct Connect Meter Population</v>
      </c>
      <c r="I353" s="213" t="str">
        <v>Meter Type 5</v>
      </c>
      <c r="J353" s="218">
        <v>0</v>
      </c>
      <c r="K353" s="218" t="str">
        <v>INT 1ph</v>
      </c>
      <c r="L353" s="214" t="str">
        <f t="shared" si="62"/>
        <v>No.</v>
      </c>
      <c r="O353" s="456"/>
      <c r="P353" s="423"/>
      <c r="Q353" s="220"/>
      <c r="R353" s="219"/>
      <c r="S353" s="219"/>
      <c r="T353" s="219"/>
      <c r="U353" s="219"/>
      <c r="V353" s="231">
        <f t="shared" si="61"/>
        <v>0</v>
      </c>
      <c r="X353"/>
      <c r="Y353"/>
      <c r="Z353"/>
      <c r="AA353"/>
    </row>
    <row r="354" spans="1:27" outlineLevel="2" x14ac:dyDescent="0.3">
      <c r="A354" s="689"/>
      <c r="E354" s="229"/>
      <c r="F354" s="213" t="str">
        <v>Non AMI - Type 5 Locally read Interval - 3 Phase</v>
      </c>
      <c r="G354" s="213" t="str">
        <v>Single Phase Meter Population</v>
      </c>
      <c r="H354" s="213" t="str">
        <v>Direct Connect Meter Population</v>
      </c>
      <c r="I354" s="213" t="str">
        <v>Meter Type 5</v>
      </c>
      <c r="J354" s="218">
        <v>0</v>
      </c>
      <c r="K354" s="218" t="str">
        <v>INT 3ph</v>
      </c>
      <c r="L354" s="214" t="str">
        <f t="shared" si="62"/>
        <v>No.</v>
      </c>
      <c r="O354" s="456"/>
      <c r="P354" s="423"/>
      <c r="Q354" s="220"/>
      <c r="R354" s="219"/>
      <c r="S354" s="219"/>
      <c r="T354" s="219"/>
      <c r="U354" s="219"/>
      <c r="V354" s="231">
        <f t="shared" si="61"/>
        <v>0</v>
      </c>
      <c r="X354"/>
      <c r="Y354"/>
      <c r="Z354"/>
      <c r="AA354"/>
    </row>
    <row r="355" spans="1:27" outlineLevel="2" x14ac:dyDescent="0.3">
      <c r="A355" s="689"/>
      <c r="E355" s="229"/>
      <c r="F355" s="213" t="str">
        <v>Non AMI - Type 5 Locally read Interval - 3 Phase - CT</v>
      </c>
      <c r="G355" s="213" t="str">
        <v>Multi Phase Meter Population</v>
      </c>
      <c r="H355" s="213" t="str">
        <v>Current Transformer Connected Meter Population</v>
      </c>
      <c r="I355" s="213" t="str">
        <v>Meter Type 5</v>
      </c>
      <c r="J355" s="218">
        <v>0</v>
      </c>
      <c r="K355" s="218" t="str">
        <v>INT 3ph CT</v>
      </c>
      <c r="L355" s="214" t="str">
        <f t="shared" si="62"/>
        <v>No.</v>
      </c>
      <c r="O355" s="456"/>
      <c r="P355" s="423"/>
      <c r="Q355" s="220"/>
      <c r="R355" s="219"/>
      <c r="S355" s="219"/>
      <c r="T355" s="219"/>
      <c r="U355" s="219"/>
      <c r="V355" s="231">
        <f t="shared" si="61"/>
        <v>0</v>
      </c>
      <c r="X355"/>
      <c r="Y355"/>
      <c r="Z355"/>
      <c r="AA355"/>
    </row>
    <row r="356" spans="1:27" outlineLevel="2" x14ac:dyDescent="0.3">
      <c r="A356" s="689"/>
      <c r="E356" s="229"/>
      <c r="F356" s="213" t="str">
        <v>Non AMI - Type 6 Locally read Accumulation - Single Phase</v>
      </c>
      <c r="G356" s="213" t="str">
        <v>Multi Phase Meter Population</v>
      </c>
      <c r="H356" s="213" t="str">
        <v>Direct Connect Meter Population</v>
      </c>
      <c r="I356" s="213" t="str">
        <v>Meter Type 6</v>
      </c>
      <c r="J356" s="218">
        <v>0</v>
      </c>
      <c r="K356" s="218" t="str">
        <v>ACC 1ph</v>
      </c>
      <c r="L356" s="214" t="str">
        <f t="shared" si="62"/>
        <v>No.</v>
      </c>
      <c r="O356" s="456"/>
      <c r="P356" s="423"/>
      <c r="Q356" s="220"/>
      <c r="R356" s="219"/>
      <c r="S356" s="219"/>
      <c r="T356" s="219"/>
      <c r="U356" s="219"/>
      <c r="V356" s="231">
        <f t="shared" si="61"/>
        <v>0</v>
      </c>
      <c r="X356"/>
      <c r="Y356"/>
      <c r="Z356"/>
      <c r="AA356"/>
    </row>
    <row r="357" spans="1:27" outlineLevel="2" x14ac:dyDescent="0.3">
      <c r="A357" s="689"/>
      <c r="E357" s="229"/>
      <c r="F357" s="213" t="str">
        <v>Non AMI - Type 6 Locally read Accumulation - 3 Phase</v>
      </c>
      <c r="G357" s="213">
        <v>0</v>
      </c>
      <c r="H357" s="213" t="str">
        <v>Direct Connect Meter Population</v>
      </c>
      <c r="I357" s="213" t="str">
        <v>Meter Type 6</v>
      </c>
      <c r="J357" s="218">
        <v>0</v>
      </c>
      <c r="K357" s="218" t="str">
        <v>ACC 3ph</v>
      </c>
      <c r="L357" s="214" t="str">
        <f t="shared" si="62"/>
        <v>No.</v>
      </c>
      <c r="O357" s="456"/>
      <c r="P357" s="423"/>
      <c r="Q357" s="220"/>
      <c r="R357" s="219"/>
      <c r="S357" s="219"/>
      <c r="T357" s="219"/>
      <c r="U357" s="219"/>
      <c r="V357" s="231">
        <f t="shared" si="61"/>
        <v>0</v>
      </c>
      <c r="X357"/>
      <c r="Y357"/>
      <c r="Z357"/>
      <c r="AA357"/>
    </row>
    <row r="358" spans="1:27" outlineLevel="2" x14ac:dyDescent="0.3">
      <c r="A358" s="689"/>
      <c r="E358" s="229"/>
      <c r="F358" s="213">
        <v>0</v>
      </c>
      <c r="G358" s="213">
        <v>0</v>
      </c>
      <c r="H358" s="213">
        <v>0</v>
      </c>
      <c r="I358" s="213">
        <v>0</v>
      </c>
      <c r="J358" s="218">
        <v>0</v>
      </c>
      <c r="K358" s="218">
        <v>0</v>
      </c>
      <c r="L358" s="214" t="str">
        <f t="shared" si="62"/>
        <v>No.</v>
      </c>
      <c r="O358" s="456"/>
      <c r="P358" s="423"/>
      <c r="Q358" s="220"/>
      <c r="R358" s="219"/>
      <c r="S358" s="219"/>
      <c r="T358" s="219"/>
      <c r="U358" s="219"/>
      <c r="V358" s="231">
        <f t="shared" si="61"/>
        <v>0</v>
      </c>
      <c r="X358"/>
      <c r="Y358"/>
      <c r="Z358"/>
      <c r="AA358"/>
    </row>
    <row r="359" spans="1:27" outlineLevel="2" x14ac:dyDescent="0.3">
      <c r="A359" s="689"/>
      <c r="E359" s="229"/>
      <c r="F359" s="213">
        <v>0</v>
      </c>
      <c r="G359" s="213">
        <v>0</v>
      </c>
      <c r="H359" s="213">
        <v>0</v>
      </c>
      <c r="I359" s="213">
        <v>0</v>
      </c>
      <c r="J359" s="218">
        <v>0</v>
      </c>
      <c r="K359" s="218">
        <v>0</v>
      </c>
      <c r="L359" s="214" t="str">
        <f t="shared" si="62"/>
        <v>No.</v>
      </c>
      <c r="O359" s="456"/>
      <c r="P359" s="423"/>
      <c r="Q359" s="220"/>
      <c r="R359" s="219"/>
      <c r="S359" s="219"/>
      <c r="T359" s="219"/>
      <c r="U359" s="219"/>
      <c r="V359" s="231">
        <f t="shared" si="61"/>
        <v>0</v>
      </c>
      <c r="X359"/>
      <c r="Y359"/>
      <c r="Z359"/>
      <c r="AA359"/>
    </row>
    <row r="360" spans="1:27" outlineLevel="2" x14ac:dyDescent="0.3">
      <c r="A360" s="689"/>
      <c r="E360" s="229"/>
      <c r="F360" s="213">
        <v>0</v>
      </c>
      <c r="G360" s="213">
        <v>0</v>
      </c>
      <c r="H360" s="213">
        <v>0</v>
      </c>
      <c r="I360" s="213">
        <v>0</v>
      </c>
      <c r="J360" s="218">
        <v>0</v>
      </c>
      <c r="K360" s="218">
        <v>0</v>
      </c>
      <c r="L360" s="214" t="str">
        <f t="shared" si="62"/>
        <v>No.</v>
      </c>
      <c r="O360" s="456"/>
      <c r="P360" s="423"/>
      <c r="Q360" s="220"/>
      <c r="R360" s="219"/>
      <c r="S360" s="219"/>
      <c r="T360" s="219"/>
      <c r="U360" s="219"/>
      <c r="V360" s="231">
        <f t="shared" si="61"/>
        <v>0</v>
      </c>
      <c r="X360"/>
      <c r="Y360"/>
      <c r="Z360"/>
      <c r="AA360"/>
    </row>
    <row r="361" spans="1:27" outlineLevel="2" x14ac:dyDescent="0.3">
      <c r="A361" s="689"/>
      <c r="E361" s="229"/>
      <c r="F361" s="213">
        <v>0</v>
      </c>
      <c r="G361" s="213">
        <v>0</v>
      </c>
      <c r="H361" s="213">
        <v>0</v>
      </c>
      <c r="I361" s="213">
        <v>0</v>
      </c>
      <c r="J361" s="218">
        <v>0</v>
      </c>
      <c r="K361" s="218">
        <v>0</v>
      </c>
      <c r="L361" s="214" t="str">
        <f t="shared" si="62"/>
        <v>No.</v>
      </c>
      <c r="O361" s="456"/>
      <c r="P361" s="423"/>
      <c r="Q361" s="220"/>
      <c r="R361" s="219"/>
      <c r="S361" s="219"/>
      <c r="T361" s="219"/>
      <c r="U361" s="219"/>
      <c r="V361" s="231">
        <f t="shared" si="61"/>
        <v>0</v>
      </c>
      <c r="X361"/>
      <c r="Y361"/>
      <c r="Z361"/>
      <c r="AA361"/>
    </row>
    <row r="362" spans="1:27" outlineLevel="2" x14ac:dyDescent="0.3">
      <c r="A362" s="689"/>
      <c r="E362" s="229"/>
      <c r="F362" s="213">
        <v>0</v>
      </c>
      <c r="G362" s="213">
        <v>0</v>
      </c>
      <c r="H362" s="213">
        <v>0</v>
      </c>
      <c r="I362" s="213">
        <v>0</v>
      </c>
      <c r="J362" s="218">
        <v>0</v>
      </c>
      <c r="K362" s="218">
        <v>0</v>
      </c>
      <c r="L362" s="214" t="str">
        <f t="shared" si="62"/>
        <v>No.</v>
      </c>
      <c r="O362" s="456"/>
      <c r="P362" s="423"/>
      <c r="Q362" s="220"/>
      <c r="R362" s="219"/>
      <c r="S362" s="219"/>
      <c r="T362" s="219"/>
      <c r="U362" s="219"/>
      <c r="V362" s="231">
        <f t="shared" si="61"/>
        <v>0</v>
      </c>
      <c r="X362"/>
      <c r="Y362"/>
      <c r="Z362"/>
      <c r="AA362"/>
    </row>
    <row r="363" spans="1:27" outlineLevel="2" x14ac:dyDescent="0.3">
      <c r="A363" s="689"/>
      <c r="E363" s="229"/>
      <c r="F363" s="213">
        <v>0</v>
      </c>
      <c r="G363" s="213">
        <v>0</v>
      </c>
      <c r="H363" s="213">
        <v>0</v>
      </c>
      <c r="I363" s="213">
        <v>0</v>
      </c>
      <c r="J363" s="218">
        <v>0</v>
      </c>
      <c r="K363" s="218">
        <v>0</v>
      </c>
      <c r="L363" s="214" t="str">
        <f t="shared" si="62"/>
        <v>No.</v>
      </c>
      <c r="O363" s="456"/>
      <c r="P363" s="423"/>
      <c r="Q363" s="220"/>
      <c r="R363" s="219"/>
      <c r="S363" s="219"/>
      <c r="T363" s="219"/>
      <c r="U363" s="219"/>
      <c r="V363" s="231">
        <f t="shared" si="61"/>
        <v>0</v>
      </c>
      <c r="X363"/>
      <c r="Y363"/>
      <c r="Z363"/>
      <c r="AA363"/>
    </row>
    <row r="364" spans="1:27" outlineLevel="2" x14ac:dyDescent="0.3">
      <c r="A364" s="689"/>
      <c r="E364" s="229"/>
      <c r="F364" s="151" t="s">
        <v>17</v>
      </c>
      <c r="G364" s="151"/>
      <c r="H364" s="151"/>
      <c r="I364" s="151"/>
      <c r="J364" s="151"/>
      <c r="K364" s="151"/>
      <c r="L364" s="533" t="str">
        <f t="shared" si="62"/>
        <v>No.</v>
      </c>
      <c r="O364" s="424">
        <f>SUM(O349:O363)</f>
        <v>0</v>
      </c>
      <c r="P364" s="288">
        <f t="shared" ref="P364:U364" si="63">SUM(P349:P363)</f>
        <v>1000</v>
      </c>
      <c r="Q364" s="232">
        <f t="shared" si="63"/>
        <v>1000</v>
      </c>
      <c r="R364" s="233">
        <f t="shared" si="63"/>
        <v>1000</v>
      </c>
      <c r="S364" s="233">
        <f t="shared" si="63"/>
        <v>1000</v>
      </c>
      <c r="T364" s="233">
        <f t="shared" si="63"/>
        <v>1000</v>
      </c>
      <c r="U364" s="233">
        <f t="shared" si="63"/>
        <v>1000</v>
      </c>
      <c r="V364" s="233">
        <f>SUM(P364:U364)</f>
        <v>6000</v>
      </c>
      <c r="X364"/>
      <c r="Y364"/>
      <c r="Z364"/>
      <c r="AA364"/>
    </row>
    <row r="365" spans="1:27" outlineLevel="2" x14ac:dyDescent="0.3">
      <c r="A365" s="689"/>
      <c r="E365" s="229"/>
      <c r="X365"/>
      <c r="Y365"/>
      <c r="Z365"/>
      <c r="AA365"/>
    </row>
    <row r="366" spans="1:27" outlineLevel="1" x14ac:dyDescent="0.3">
      <c r="A366" s="689"/>
      <c r="B366" s="224"/>
      <c r="C366" s="201" t="s">
        <v>9</v>
      </c>
      <c r="D366" s="202" t="s">
        <v>130</v>
      </c>
      <c r="X366"/>
      <c r="Y366"/>
      <c r="Z366"/>
      <c r="AA366"/>
    </row>
    <row r="367" spans="1:27" outlineLevel="2" x14ac:dyDescent="0.3">
      <c r="A367" s="689"/>
      <c r="B367" s="224"/>
      <c r="D367" s="202"/>
      <c r="O367"/>
      <c r="P367"/>
      <c r="Q367"/>
      <c r="R367"/>
      <c r="S367"/>
      <c r="T367"/>
      <c r="U367"/>
      <c r="X367"/>
      <c r="Y367"/>
      <c r="Z367"/>
      <c r="AA367"/>
    </row>
    <row r="368" spans="1:27" outlineLevel="2" x14ac:dyDescent="0.3">
      <c r="A368" s="689"/>
      <c r="B368" s="224"/>
      <c r="D368" s="202"/>
      <c r="F368" s="121" t="str">
        <f>I_MeterTypes[[#Headers],[Meter Type]]</f>
        <v>Meter Type</v>
      </c>
      <c r="G368" s="121" t="str">
        <f>I_MeterTypes[[#Headers],[RIN Subcategory 1]]</f>
        <v>RIN Subcategory 1</v>
      </c>
      <c r="H368" s="121" t="str">
        <f>I_MeterTypes[[#Headers],[RIN Subcategory 2]]</f>
        <v>RIN Subcategory 2</v>
      </c>
      <c r="I368" s="121" t="str">
        <f>I_MeterTypes[[#Headers],[AER Type]]</f>
        <v>AER Type</v>
      </c>
      <c r="J368" s="121" t="str">
        <f>I_MeterTypes[[#Headers],[RIN Subcategory 3]]</f>
        <v>RIN Subcategory 3</v>
      </c>
      <c r="K368" s="121" t="str">
        <f>I_MeterTypes[[#Headers],[Meter Code]]</f>
        <v>Meter Code</v>
      </c>
      <c r="L368" s="121" t="s">
        <v>6</v>
      </c>
      <c r="O368" s="457" t="str">
        <f t="shared" ref="O368:U368" si="64">O$168</f>
        <v>2018-19</v>
      </c>
      <c r="P368" s="270" t="str">
        <f t="shared" si="64"/>
        <v>2019-20</v>
      </c>
      <c r="Q368" s="267" t="str">
        <f t="shared" si="64"/>
        <v>2020-21</v>
      </c>
      <c r="R368" s="230" t="str">
        <f t="shared" si="64"/>
        <v>2021-22</v>
      </c>
      <c r="S368" s="230" t="str">
        <f t="shared" si="64"/>
        <v>2022-23</v>
      </c>
      <c r="T368" s="230" t="str">
        <f t="shared" si="64"/>
        <v>2023-24</v>
      </c>
      <c r="U368" s="230" t="str">
        <f t="shared" si="64"/>
        <v>2024-25</v>
      </c>
      <c r="V368" s="124" t="s">
        <v>17</v>
      </c>
      <c r="X368"/>
      <c r="Y368"/>
      <c r="Z368"/>
      <c r="AA368"/>
    </row>
    <row r="369" spans="1:27" outlineLevel="2" x14ac:dyDescent="0.3">
      <c r="A369" s="689"/>
      <c r="B369" s="224"/>
      <c r="D369" s="202"/>
      <c r="F369" s="213" t="str" cm="1">
        <f t="array" ref="F369:F383">I_MeterTypes[Meter Type]</f>
        <v>AMI - Single Phase, single element</v>
      </c>
      <c r="G369" s="213" t="str" cm="1">
        <f t="array" ref="G369:G383">I_MeterTypes[RIN Subcategory 1]</f>
        <v>Single Phase Meter Population</v>
      </c>
      <c r="H369" s="213" t="str" cm="1">
        <f t="array" ref="H369:H383">I_MeterTypes[RIN Subcategory 2]</f>
        <v>Other</v>
      </c>
      <c r="I369" s="213" t="str" cm="1">
        <f t="array" ref="I369:I383">I_MeterTypes[AER Type]</f>
        <v>Meter Type 4</v>
      </c>
      <c r="J369" s="213" t="str" cm="1">
        <f t="array" ref="J369:J383">I_MeterTypes[RIN Subcategory 3]</f>
        <v>Single phase single element - AMI</v>
      </c>
      <c r="K369" s="213" t="str" cm="1">
        <f t="array" ref="K369:K383">I_MeterTypes[Meter Code]</f>
        <v>AMI 1ph 1e</v>
      </c>
      <c r="L369" s="214" t="s">
        <v>18</v>
      </c>
      <c r="O369" s="142" cm="1">
        <f t="array" ref="O369:U383">ICM_Vol1+
ICM_Vol2+
ICM_Vol3+
ICM_Vol4+
ICM_Vol5+
ICM_Vol6+
ICM_Vol7+
ICM_Vol8+
ICM_Vol9+
ICM_Vol10</f>
        <v>0</v>
      </c>
      <c r="P369" s="287">
        <v>15250</v>
      </c>
      <c r="Q369" s="223">
        <v>15250</v>
      </c>
      <c r="R369" s="143">
        <v>15250</v>
      </c>
      <c r="S369" s="143">
        <v>15250</v>
      </c>
      <c r="T369" s="143">
        <v>15250</v>
      </c>
      <c r="U369" s="143">
        <v>15250</v>
      </c>
      <c r="V369" s="231">
        <f>SUM(O369:U369)</f>
        <v>91500</v>
      </c>
      <c r="X369"/>
      <c r="Y369"/>
      <c r="Z369"/>
      <c r="AA369"/>
    </row>
    <row r="370" spans="1:27" outlineLevel="2" x14ac:dyDescent="0.3">
      <c r="A370" s="689"/>
      <c r="B370" s="224"/>
      <c r="D370" s="202"/>
      <c r="F370" s="213" t="str">
        <v>AMI - Single Phase, two element</v>
      </c>
      <c r="G370" s="213" t="str">
        <v>Single Phase Meter Population</v>
      </c>
      <c r="H370" s="213" t="str">
        <v>Other</v>
      </c>
      <c r="I370" s="213" t="str">
        <v>Meter Type 4</v>
      </c>
      <c r="J370" s="218" t="str">
        <v>Single phase two element with contactor - AMI</v>
      </c>
      <c r="K370" s="218" t="str">
        <v>AMI 1ph 2e</v>
      </c>
      <c r="L370" s="214" t="str">
        <f t="shared" ref="L370:L384" si="65">L$147</f>
        <v>No.</v>
      </c>
      <c r="O370" s="142">
        <v>0</v>
      </c>
      <c r="P370" s="287">
        <v>0</v>
      </c>
      <c r="Q370" s="223">
        <v>0</v>
      </c>
      <c r="R370" s="143">
        <v>0</v>
      </c>
      <c r="S370" s="143">
        <v>0</v>
      </c>
      <c r="T370" s="143">
        <v>0</v>
      </c>
      <c r="U370" s="143">
        <v>0</v>
      </c>
      <c r="V370" s="231">
        <f t="shared" ref="V370:V383" si="66">SUM(P370:U370)</f>
        <v>0</v>
      </c>
      <c r="X370"/>
      <c r="Y370"/>
      <c r="Z370"/>
      <c r="AA370"/>
    </row>
    <row r="371" spans="1:27" outlineLevel="2" x14ac:dyDescent="0.3">
      <c r="A371" s="689"/>
      <c r="B371" s="224"/>
      <c r="D371" s="202"/>
      <c r="F371" s="213" t="str">
        <v>AMI - 3 Phase DC</v>
      </c>
      <c r="G371" s="213" t="str">
        <v>Multi Phase Meter Population</v>
      </c>
      <c r="H371" s="213" t="str">
        <v>Direct Connect Meter Population</v>
      </c>
      <c r="I371" s="213" t="str">
        <v>Meter Type 4</v>
      </c>
      <c r="J371" s="218" t="str">
        <v>Three phase - AMI</v>
      </c>
      <c r="K371" s="218" t="str">
        <v>AMI 3ph DC</v>
      </c>
      <c r="L371" s="214" t="str">
        <f t="shared" si="65"/>
        <v>No.</v>
      </c>
      <c r="O371" s="142">
        <v>0</v>
      </c>
      <c r="P371" s="287">
        <v>0</v>
      </c>
      <c r="Q371" s="223">
        <v>0</v>
      </c>
      <c r="R371" s="143">
        <v>0</v>
      </c>
      <c r="S371" s="143">
        <v>0</v>
      </c>
      <c r="T371" s="143">
        <v>0</v>
      </c>
      <c r="U371" s="143">
        <v>0</v>
      </c>
      <c r="V371" s="231">
        <f t="shared" si="66"/>
        <v>0</v>
      </c>
      <c r="X371"/>
      <c r="Y371"/>
      <c r="Z371"/>
      <c r="AA371"/>
    </row>
    <row r="372" spans="1:27" outlineLevel="2" x14ac:dyDescent="0.3">
      <c r="A372" s="689"/>
      <c r="B372" s="224"/>
      <c r="D372" s="202"/>
      <c r="F372" s="213" t="str">
        <v>AMI 3Ph CT</v>
      </c>
      <c r="G372" s="213" t="str">
        <v>Multi Phase Meter Population</v>
      </c>
      <c r="H372" s="213" t="str">
        <v>Current Transformer Connected Meter Population</v>
      </c>
      <c r="I372" s="213" t="str">
        <v>Meter Type 4</v>
      </c>
      <c r="J372" s="218">
        <v>0</v>
      </c>
      <c r="K372" s="218" t="str">
        <v>AMI 3ph CT</v>
      </c>
      <c r="L372" s="214" t="str">
        <f t="shared" si="65"/>
        <v>No.</v>
      </c>
      <c r="O372" s="142">
        <v>0</v>
      </c>
      <c r="P372" s="287">
        <v>0</v>
      </c>
      <c r="Q372" s="223">
        <v>0</v>
      </c>
      <c r="R372" s="143">
        <v>0</v>
      </c>
      <c r="S372" s="143">
        <v>0</v>
      </c>
      <c r="T372" s="143">
        <v>0</v>
      </c>
      <c r="U372" s="143">
        <v>0</v>
      </c>
      <c r="V372" s="231">
        <f t="shared" si="66"/>
        <v>0</v>
      </c>
      <c r="X372"/>
      <c r="Y372"/>
      <c r="Z372"/>
      <c r="AA372"/>
    </row>
    <row r="373" spans="1:27" outlineLevel="2" x14ac:dyDescent="0.3">
      <c r="A373" s="689"/>
      <c r="B373" s="224"/>
      <c r="D373" s="202"/>
      <c r="F373" s="213" t="str">
        <v>Non AMI - Type 5 Locally read Interval - Single Phase</v>
      </c>
      <c r="G373" s="213" t="str">
        <v>Single Phase Meter Population</v>
      </c>
      <c r="H373" s="213" t="str">
        <v>Direct Connect Meter Population</v>
      </c>
      <c r="I373" s="213" t="str">
        <v>Meter Type 5</v>
      </c>
      <c r="J373" s="218">
        <v>0</v>
      </c>
      <c r="K373" s="218" t="str">
        <v>INT 1ph</v>
      </c>
      <c r="L373" s="214" t="str">
        <f t="shared" si="65"/>
        <v>No.</v>
      </c>
      <c r="O373" s="142">
        <v>0</v>
      </c>
      <c r="P373" s="287">
        <v>0</v>
      </c>
      <c r="Q373" s="223">
        <v>0</v>
      </c>
      <c r="R373" s="143">
        <v>0</v>
      </c>
      <c r="S373" s="143">
        <v>0</v>
      </c>
      <c r="T373" s="143">
        <v>0</v>
      </c>
      <c r="U373" s="143">
        <v>0</v>
      </c>
      <c r="V373" s="231">
        <f t="shared" si="66"/>
        <v>0</v>
      </c>
      <c r="X373"/>
      <c r="Y373"/>
      <c r="Z373"/>
      <c r="AA373"/>
    </row>
    <row r="374" spans="1:27" outlineLevel="2" x14ac:dyDescent="0.3">
      <c r="A374" s="689"/>
      <c r="B374" s="224"/>
      <c r="D374" s="202"/>
      <c r="F374" s="213" t="str">
        <v>Non AMI - Type 5 Locally read Interval - 3 Phase</v>
      </c>
      <c r="G374" s="213" t="str">
        <v>Single Phase Meter Population</v>
      </c>
      <c r="H374" s="213" t="str">
        <v>Direct Connect Meter Population</v>
      </c>
      <c r="I374" s="213" t="str">
        <v>Meter Type 5</v>
      </c>
      <c r="J374" s="218">
        <v>0</v>
      </c>
      <c r="K374" s="218" t="str">
        <v>INT 3ph</v>
      </c>
      <c r="L374" s="214" t="str">
        <f t="shared" si="65"/>
        <v>No.</v>
      </c>
      <c r="O374" s="142">
        <v>0</v>
      </c>
      <c r="P374" s="287">
        <v>0</v>
      </c>
      <c r="Q374" s="223">
        <v>0</v>
      </c>
      <c r="R374" s="143">
        <v>0</v>
      </c>
      <c r="S374" s="143">
        <v>0</v>
      </c>
      <c r="T374" s="143">
        <v>0</v>
      </c>
      <c r="U374" s="143">
        <v>0</v>
      </c>
      <c r="V374" s="231">
        <f t="shared" si="66"/>
        <v>0</v>
      </c>
      <c r="X374"/>
      <c r="Y374"/>
      <c r="Z374"/>
      <c r="AA374"/>
    </row>
    <row r="375" spans="1:27" outlineLevel="2" x14ac:dyDescent="0.3">
      <c r="A375" s="689"/>
      <c r="B375" s="224"/>
      <c r="D375" s="202"/>
      <c r="F375" s="213" t="str">
        <v>Non AMI - Type 5 Locally read Interval - 3 Phase - CT</v>
      </c>
      <c r="G375" s="213" t="str">
        <v>Multi Phase Meter Population</v>
      </c>
      <c r="H375" s="213" t="str">
        <v>Current Transformer Connected Meter Population</v>
      </c>
      <c r="I375" s="213" t="str">
        <v>Meter Type 5</v>
      </c>
      <c r="J375" s="218">
        <v>0</v>
      </c>
      <c r="K375" s="218" t="str">
        <v>INT 3ph CT</v>
      </c>
      <c r="L375" s="214" t="str">
        <f t="shared" si="65"/>
        <v>No.</v>
      </c>
      <c r="O375" s="142">
        <v>0</v>
      </c>
      <c r="P375" s="287">
        <v>0</v>
      </c>
      <c r="Q375" s="223">
        <v>0</v>
      </c>
      <c r="R375" s="143">
        <v>0</v>
      </c>
      <c r="S375" s="143">
        <v>0</v>
      </c>
      <c r="T375" s="143">
        <v>0</v>
      </c>
      <c r="U375" s="143">
        <v>0</v>
      </c>
      <c r="V375" s="231">
        <f t="shared" si="66"/>
        <v>0</v>
      </c>
      <c r="X375"/>
      <c r="Y375"/>
      <c r="Z375"/>
      <c r="AA375"/>
    </row>
    <row r="376" spans="1:27" outlineLevel="2" x14ac:dyDescent="0.3">
      <c r="A376" s="689"/>
      <c r="B376" s="224"/>
      <c r="D376" s="202"/>
      <c r="F376" s="213" t="str">
        <v>Non AMI - Type 6 Locally read Accumulation - Single Phase</v>
      </c>
      <c r="G376" s="213" t="str">
        <v>Multi Phase Meter Population</v>
      </c>
      <c r="H376" s="213" t="str">
        <v>Direct Connect Meter Population</v>
      </c>
      <c r="I376" s="213" t="str">
        <v>Meter Type 6</v>
      </c>
      <c r="J376" s="218">
        <v>0</v>
      </c>
      <c r="K376" s="218" t="str">
        <v>ACC 1ph</v>
      </c>
      <c r="L376" s="214" t="str">
        <f t="shared" si="65"/>
        <v>No.</v>
      </c>
      <c r="O376" s="142">
        <v>0</v>
      </c>
      <c r="P376" s="287">
        <v>0</v>
      </c>
      <c r="Q376" s="223">
        <v>0</v>
      </c>
      <c r="R376" s="143">
        <v>0</v>
      </c>
      <c r="S376" s="143">
        <v>0</v>
      </c>
      <c r="T376" s="143">
        <v>0</v>
      </c>
      <c r="U376" s="143">
        <v>0</v>
      </c>
      <c r="V376" s="231">
        <f t="shared" si="66"/>
        <v>0</v>
      </c>
      <c r="X376"/>
      <c r="Y376"/>
      <c r="Z376"/>
      <c r="AA376"/>
    </row>
    <row r="377" spans="1:27" outlineLevel="2" x14ac:dyDescent="0.3">
      <c r="A377" s="689"/>
      <c r="B377" s="224"/>
      <c r="D377" s="202"/>
      <c r="F377" s="213" t="str">
        <v>Non AMI - Type 6 Locally read Accumulation - 3 Phase</v>
      </c>
      <c r="G377" s="213">
        <v>0</v>
      </c>
      <c r="H377" s="213" t="str">
        <v>Direct Connect Meter Population</v>
      </c>
      <c r="I377" s="213" t="str">
        <v>Meter Type 6</v>
      </c>
      <c r="J377" s="218">
        <v>0</v>
      </c>
      <c r="K377" s="218" t="str">
        <v>ACC 3ph</v>
      </c>
      <c r="L377" s="214" t="str">
        <f t="shared" si="65"/>
        <v>No.</v>
      </c>
      <c r="O377" s="142">
        <v>0</v>
      </c>
      <c r="P377" s="287">
        <v>0</v>
      </c>
      <c r="Q377" s="223">
        <v>0</v>
      </c>
      <c r="R377" s="143">
        <v>0</v>
      </c>
      <c r="S377" s="143">
        <v>0</v>
      </c>
      <c r="T377" s="143">
        <v>0</v>
      </c>
      <c r="U377" s="143">
        <v>0</v>
      </c>
      <c r="V377" s="231">
        <f t="shared" si="66"/>
        <v>0</v>
      </c>
      <c r="X377"/>
      <c r="Y377"/>
      <c r="Z377"/>
      <c r="AA377"/>
    </row>
    <row r="378" spans="1:27" outlineLevel="2" x14ac:dyDescent="0.3">
      <c r="A378" s="689"/>
      <c r="B378" s="224"/>
      <c r="D378" s="202"/>
      <c r="F378" s="213">
        <v>0</v>
      </c>
      <c r="G378" s="213">
        <v>0</v>
      </c>
      <c r="H378" s="213">
        <v>0</v>
      </c>
      <c r="I378" s="213">
        <v>0</v>
      </c>
      <c r="J378" s="218">
        <v>0</v>
      </c>
      <c r="K378" s="218">
        <v>0</v>
      </c>
      <c r="L378" s="214" t="str">
        <f t="shared" si="65"/>
        <v>No.</v>
      </c>
      <c r="O378" s="142">
        <v>0</v>
      </c>
      <c r="P378" s="287">
        <v>0</v>
      </c>
      <c r="Q378" s="223">
        <v>0</v>
      </c>
      <c r="R378" s="143">
        <v>0</v>
      </c>
      <c r="S378" s="143">
        <v>0</v>
      </c>
      <c r="T378" s="143">
        <v>0</v>
      </c>
      <c r="U378" s="143">
        <v>0</v>
      </c>
      <c r="V378" s="231">
        <f t="shared" si="66"/>
        <v>0</v>
      </c>
      <c r="X378"/>
      <c r="Y378"/>
      <c r="Z378"/>
      <c r="AA378"/>
    </row>
    <row r="379" spans="1:27" outlineLevel="2" x14ac:dyDescent="0.3">
      <c r="A379" s="689"/>
      <c r="B379" s="224"/>
      <c r="D379" s="202"/>
      <c r="F379" s="213">
        <v>0</v>
      </c>
      <c r="G379" s="213">
        <v>0</v>
      </c>
      <c r="H379" s="213">
        <v>0</v>
      </c>
      <c r="I379" s="213">
        <v>0</v>
      </c>
      <c r="J379" s="218">
        <v>0</v>
      </c>
      <c r="K379" s="218">
        <v>0</v>
      </c>
      <c r="L379" s="214" t="str">
        <f t="shared" si="65"/>
        <v>No.</v>
      </c>
      <c r="O379" s="142">
        <v>0</v>
      </c>
      <c r="P379" s="287">
        <v>0</v>
      </c>
      <c r="Q379" s="223">
        <v>0</v>
      </c>
      <c r="R379" s="143">
        <v>0</v>
      </c>
      <c r="S379" s="143">
        <v>0</v>
      </c>
      <c r="T379" s="143">
        <v>0</v>
      </c>
      <c r="U379" s="143">
        <v>0</v>
      </c>
      <c r="V379" s="231">
        <f t="shared" si="66"/>
        <v>0</v>
      </c>
      <c r="X379"/>
      <c r="Y379"/>
      <c r="Z379"/>
      <c r="AA379"/>
    </row>
    <row r="380" spans="1:27" outlineLevel="2" x14ac:dyDescent="0.3">
      <c r="A380" s="689"/>
      <c r="B380" s="224"/>
      <c r="D380" s="202"/>
      <c r="F380" s="213">
        <v>0</v>
      </c>
      <c r="G380" s="213">
        <v>0</v>
      </c>
      <c r="H380" s="213">
        <v>0</v>
      </c>
      <c r="I380" s="213">
        <v>0</v>
      </c>
      <c r="J380" s="218">
        <v>0</v>
      </c>
      <c r="K380" s="218">
        <v>0</v>
      </c>
      <c r="L380" s="214" t="str">
        <f t="shared" si="65"/>
        <v>No.</v>
      </c>
      <c r="O380" s="142">
        <v>0</v>
      </c>
      <c r="P380" s="287">
        <v>0</v>
      </c>
      <c r="Q380" s="223">
        <v>0</v>
      </c>
      <c r="R380" s="143">
        <v>0</v>
      </c>
      <c r="S380" s="143">
        <v>0</v>
      </c>
      <c r="T380" s="143">
        <v>0</v>
      </c>
      <c r="U380" s="143">
        <v>0</v>
      </c>
      <c r="V380" s="231">
        <f t="shared" si="66"/>
        <v>0</v>
      </c>
      <c r="X380"/>
      <c r="Y380"/>
      <c r="Z380"/>
      <c r="AA380"/>
    </row>
    <row r="381" spans="1:27" outlineLevel="2" x14ac:dyDescent="0.3">
      <c r="A381" s="689"/>
      <c r="B381" s="224"/>
      <c r="D381" s="202"/>
      <c r="F381" s="213">
        <v>0</v>
      </c>
      <c r="G381" s="213">
        <v>0</v>
      </c>
      <c r="H381" s="213">
        <v>0</v>
      </c>
      <c r="I381" s="213">
        <v>0</v>
      </c>
      <c r="J381" s="218">
        <v>0</v>
      </c>
      <c r="K381" s="218">
        <v>0</v>
      </c>
      <c r="L381" s="214" t="str">
        <f t="shared" si="65"/>
        <v>No.</v>
      </c>
      <c r="O381" s="142">
        <v>0</v>
      </c>
      <c r="P381" s="287">
        <v>0</v>
      </c>
      <c r="Q381" s="223">
        <v>0</v>
      </c>
      <c r="R381" s="143">
        <v>0</v>
      </c>
      <c r="S381" s="143">
        <v>0</v>
      </c>
      <c r="T381" s="143">
        <v>0</v>
      </c>
      <c r="U381" s="143">
        <v>0</v>
      </c>
      <c r="V381" s="231">
        <f t="shared" si="66"/>
        <v>0</v>
      </c>
      <c r="X381"/>
      <c r="Y381"/>
      <c r="Z381"/>
      <c r="AA381"/>
    </row>
    <row r="382" spans="1:27" outlineLevel="2" x14ac:dyDescent="0.3">
      <c r="A382" s="689"/>
      <c r="B382" s="224"/>
      <c r="D382" s="202"/>
      <c r="F382" s="213">
        <v>0</v>
      </c>
      <c r="G382" s="213">
        <v>0</v>
      </c>
      <c r="H382" s="213">
        <v>0</v>
      </c>
      <c r="I382" s="213">
        <v>0</v>
      </c>
      <c r="J382" s="218">
        <v>0</v>
      </c>
      <c r="K382" s="218">
        <v>0</v>
      </c>
      <c r="L382" s="214" t="str">
        <f t="shared" si="65"/>
        <v>No.</v>
      </c>
      <c r="O382" s="142">
        <v>0</v>
      </c>
      <c r="P382" s="287">
        <v>0</v>
      </c>
      <c r="Q382" s="223">
        <v>0</v>
      </c>
      <c r="R382" s="143">
        <v>0</v>
      </c>
      <c r="S382" s="143">
        <v>0</v>
      </c>
      <c r="T382" s="143">
        <v>0</v>
      </c>
      <c r="U382" s="143">
        <v>0</v>
      </c>
      <c r="V382" s="231">
        <f t="shared" si="66"/>
        <v>0</v>
      </c>
      <c r="X382"/>
      <c r="Y382"/>
      <c r="Z382"/>
      <c r="AA382"/>
    </row>
    <row r="383" spans="1:27" outlineLevel="2" x14ac:dyDescent="0.3">
      <c r="A383" s="689"/>
      <c r="B383" s="224"/>
      <c r="D383" s="202"/>
      <c r="F383" s="213">
        <v>0</v>
      </c>
      <c r="G383" s="213">
        <v>0</v>
      </c>
      <c r="H383" s="213">
        <v>0</v>
      </c>
      <c r="I383" s="213">
        <v>0</v>
      </c>
      <c r="J383" s="218">
        <v>0</v>
      </c>
      <c r="K383" s="218">
        <v>0</v>
      </c>
      <c r="L383" s="214" t="str">
        <f t="shared" si="65"/>
        <v>No.</v>
      </c>
      <c r="O383" s="142">
        <v>0</v>
      </c>
      <c r="P383" s="287">
        <v>0</v>
      </c>
      <c r="Q383" s="223">
        <v>0</v>
      </c>
      <c r="R383" s="143">
        <v>0</v>
      </c>
      <c r="S383" s="143">
        <v>0</v>
      </c>
      <c r="T383" s="143">
        <v>0</v>
      </c>
      <c r="U383" s="143">
        <v>0</v>
      </c>
      <c r="V383" s="231">
        <f t="shared" si="66"/>
        <v>0</v>
      </c>
      <c r="X383"/>
      <c r="Y383"/>
      <c r="Z383"/>
      <c r="AA383"/>
    </row>
    <row r="384" spans="1:27" outlineLevel="2" x14ac:dyDescent="0.3">
      <c r="A384" s="689"/>
      <c r="B384" s="224"/>
      <c r="D384" s="202"/>
      <c r="F384" s="235" t="s">
        <v>17</v>
      </c>
      <c r="G384" s="236"/>
      <c r="H384" s="236"/>
      <c r="I384" s="236"/>
      <c r="J384" s="237"/>
      <c r="K384" s="237"/>
      <c r="L384" s="533" t="str">
        <f t="shared" si="65"/>
        <v>No.</v>
      </c>
      <c r="O384" s="424">
        <f>SUM(O369:O383)</f>
        <v>0</v>
      </c>
      <c r="P384" s="288">
        <f t="shared" ref="P384:U384" si="67">SUM(P369:P383)</f>
        <v>15250</v>
      </c>
      <c r="Q384" s="232">
        <f t="shared" si="67"/>
        <v>15250</v>
      </c>
      <c r="R384" s="233">
        <f t="shared" si="67"/>
        <v>15250</v>
      </c>
      <c r="S384" s="233">
        <f t="shared" si="67"/>
        <v>15250</v>
      </c>
      <c r="T384" s="233">
        <f t="shared" si="67"/>
        <v>15250</v>
      </c>
      <c r="U384" s="233">
        <f t="shared" si="67"/>
        <v>15250</v>
      </c>
      <c r="V384" s="233">
        <f>SUM(O384:U384)</f>
        <v>91500</v>
      </c>
      <c r="X384"/>
      <c r="Y384"/>
      <c r="Z384"/>
      <c r="AA384"/>
    </row>
    <row r="385" spans="1:27" outlineLevel="2" x14ac:dyDescent="0.3">
      <c r="A385" s="689"/>
      <c r="B385" s="224"/>
      <c r="D385" s="202"/>
      <c r="X385"/>
      <c r="Y385"/>
      <c r="Z385"/>
      <c r="AA385"/>
    </row>
    <row r="386" spans="1:27" outlineLevel="1" x14ac:dyDescent="0.3">
      <c r="A386" s="689"/>
      <c r="B386" s="224"/>
      <c r="C386" s="201" t="s">
        <v>128</v>
      </c>
      <c r="D386" s="202" t="s">
        <v>278</v>
      </c>
      <c r="E386" s="202"/>
      <c r="F386" s="202"/>
      <c r="G386" s="202"/>
      <c r="H386" s="202"/>
      <c r="I386" s="202"/>
      <c r="J386" s="202"/>
      <c r="P386" s="238"/>
      <c r="Q386" s="238"/>
      <c r="R386" s="238"/>
      <c r="S386" s="238"/>
      <c r="T386" s="238"/>
      <c r="U386" s="238"/>
      <c r="V386" s="238"/>
      <c r="X386"/>
      <c r="Y386"/>
      <c r="Z386"/>
      <c r="AA386"/>
    </row>
    <row r="387" spans="1:27" outlineLevel="2" x14ac:dyDescent="0.3">
      <c r="A387" s="689"/>
      <c r="B387" s="224"/>
      <c r="D387" s="202"/>
      <c r="E387" s="202"/>
      <c r="O387"/>
      <c r="P387"/>
      <c r="Q387"/>
      <c r="R387"/>
      <c r="S387"/>
      <c r="T387"/>
      <c r="U387"/>
      <c r="X387"/>
      <c r="Y387"/>
      <c r="Z387"/>
      <c r="AA387"/>
    </row>
    <row r="388" spans="1:27" outlineLevel="2" x14ac:dyDescent="0.3">
      <c r="A388" s="689"/>
      <c r="B388" s="224"/>
      <c r="D388" s="202"/>
      <c r="E388" s="202"/>
      <c r="F388" s="121" t="str">
        <f>I_MeterTypes[[#Headers],[Meter Type]]</f>
        <v>Meter Type</v>
      </c>
      <c r="G388" s="121" t="str">
        <f>I_MeterTypes[[#Headers],[RIN Subcategory 1]]</f>
        <v>RIN Subcategory 1</v>
      </c>
      <c r="H388" s="121" t="str">
        <f>I_MeterTypes[[#Headers],[RIN Subcategory 2]]</f>
        <v>RIN Subcategory 2</v>
      </c>
      <c r="I388" s="121" t="str">
        <f>I_MeterTypes[[#Headers],[AER Type]]</f>
        <v>AER Type</v>
      </c>
      <c r="J388" s="121" t="str">
        <f>I_MeterTypes[[#Headers],[RIN Subcategory 3]]</f>
        <v>RIN Subcategory 3</v>
      </c>
      <c r="K388" s="121" t="str">
        <f>I_MeterTypes[[#Headers],[Meter Code]]</f>
        <v>Meter Code</v>
      </c>
      <c r="L388" s="121" t="s">
        <v>6</v>
      </c>
      <c r="O388" s="457" t="str">
        <f t="shared" ref="O388:U388" si="68">O$168</f>
        <v>2018-19</v>
      </c>
      <c r="P388" s="270" t="str">
        <f t="shared" si="68"/>
        <v>2019-20</v>
      </c>
      <c r="Q388" s="267" t="str">
        <f t="shared" si="68"/>
        <v>2020-21</v>
      </c>
      <c r="R388" s="230" t="str">
        <f t="shared" si="68"/>
        <v>2021-22</v>
      </c>
      <c r="S388" s="230" t="str">
        <f t="shared" si="68"/>
        <v>2022-23</v>
      </c>
      <c r="T388" s="230" t="str">
        <f t="shared" si="68"/>
        <v>2023-24</v>
      </c>
      <c r="U388" s="230" t="str">
        <f t="shared" si="68"/>
        <v>2024-25</v>
      </c>
      <c r="V388" s="124" t="s">
        <v>17</v>
      </c>
      <c r="X388"/>
      <c r="Y388"/>
      <c r="Z388"/>
      <c r="AA388"/>
    </row>
    <row r="389" spans="1:27" outlineLevel="2" x14ac:dyDescent="0.3">
      <c r="A389" s="689"/>
      <c r="B389" s="224"/>
      <c r="D389" s="202"/>
      <c r="E389" s="202"/>
      <c r="F389" s="213" t="str" cm="1">
        <f t="array" ref="F389:F403">I_MeterTypes[Meter Type]</f>
        <v>AMI - Single Phase, single element</v>
      </c>
      <c r="G389" s="213" t="str" cm="1">
        <f t="array" ref="G389:G403">I_MeterTypes[RIN Subcategory 1]</f>
        <v>Single Phase Meter Population</v>
      </c>
      <c r="H389" s="213" t="str" cm="1">
        <f t="array" ref="H389:H403">I_MeterTypes[RIN Subcategory 2]</f>
        <v>Other</v>
      </c>
      <c r="I389" s="213" t="str" cm="1">
        <f t="array" ref="I389:I403">I_MeterTypes[AER Type]</f>
        <v>Meter Type 4</v>
      </c>
      <c r="J389" s="213" t="str" cm="1">
        <f t="array" ref="J389:J403">I_MeterTypes[RIN Subcategory 3]</f>
        <v>Single phase single element - AMI</v>
      </c>
      <c r="K389" s="213" t="str" cm="1">
        <f t="array" ref="K389:K403">I_MeterTypes[Meter Code]</f>
        <v>AMI 1ph 1e</v>
      </c>
      <c r="L389" s="214" t="s">
        <v>18</v>
      </c>
      <c r="O389" s="142" cm="1">
        <f t="array" ref="O389:U403">P29*ICM_Vol1+
P30*ICM_Vol2+
P31*ICM_Vol3+
P32*ICM_Vol4+
P33*ICM_Vol5+
P34*ICM_Vol6+
P35*ICM_Vol7+
P36*ICM_Vol8+
P37*ICM_Vol9+
P38*ICM_Vol10</f>
        <v>0</v>
      </c>
      <c r="P389" s="287">
        <v>4000</v>
      </c>
      <c r="Q389" s="223">
        <v>4000</v>
      </c>
      <c r="R389" s="143">
        <v>4000</v>
      </c>
      <c r="S389" s="143">
        <v>4000</v>
      </c>
      <c r="T389" s="143">
        <v>4000</v>
      </c>
      <c r="U389" s="143">
        <v>4000</v>
      </c>
      <c r="V389" s="231">
        <f>SUM(O389:U389)</f>
        <v>24000</v>
      </c>
      <c r="X389"/>
      <c r="Y389"/>
      <c r="Z389"/>
      <c r="AA389"/>
    </row>
    <row r="390" spans="1:27" outlineLevel="2" x14ac:dyDescent="0.3">
      <c r="A390" s="689"/>
      <c r="B390" s="224"/>
      <c r="D390" s="202"/>
      <c r="E390" s="202"/>
      <c r="F390" s="213" t="str">
        <v>AMI - Single Phase, two element</v>
      </c>
      <c r="G390" s="213" t="str">
        <v>Single Phase Meter Population</v>
      </c>
      <c r="H390" s="213" t="str">
        <v>Other</v>
      </c>
      <c r="I390" s="213" t="str">
        <v>Meter Type 4</v>
      </c>
      <c r="J390" s="218" t="str">
        <v>Single phase two element with contactor - AMI</v>
      </c>
      <c r="K390" s="218" t="str">
        <v>AMI 1ph 2e</v>
      </c>
      <c r="L390" s="214" t="str">
        <f t="shared" ref="L390:L404" si="69">L$147</f>
        <v>No.</v>
      </c>
      <c r="O390" s="142">
        <v>0</v>
      </c>
      <c r="P390" s="287">
        <v>0</v>
      </c>
      <c r="Q390" s="223">
        <v>0</v>
      </c>
      <c r="R390" s="143">
        <v>0</v>
      </c>
      <c r="S390" s="143">
        <v>0</v>
      </c>
      <c r="T390" s="143">
        <v>0</v>
      </c>
      <c r="U390" s="143">
        <v>0</v>
      </c>
      <c r="V390" s="231">
        <f t="shared" ref="V390:V403" si="70">SUM(P390:U390)</f>
        <v>0</v>
      </c>
      <c r="X390"/>
      <c r="Y390"/>
      <c r="Z390"/>
      <c r="AA390"/>
    </row>
    <row r="391" spans="1:27" outlineLevel="2" x14ac:dyDescent="0.3">
      <c r="A391" s="689"/>
      <c r="B391" s="224"/>
      <c r="D391" s="202"/>
      <c r="E391" s="202"/>
      <c r="F391" s="213" t="str">
        <v>AMI - 3 Phase DC</v>
      </c>
      <c r="G391" s="213" t="str">
        <v>Multi Phase Meter Population</v>
      </c>
      <c r="H391" s="213" t="str">
        <v>Direct Connect Meter Population</v>
      </c>
      <c r="I391" s="213" t="str">
        <v>Meter Type 4</v>
      </c>
      <c r="J391" s="218" t="str">
        <v>Three phase - AMI</v>
      </c>
      <c r="K391" s="218" t="str">
        <v>AMI 3ph DC</v>
      </c>
      <c r="L391" s="214" t="str">
        <f t="shared" si="69"/>
        <v>No.</v>
      </c>
      <c r="O391" s="142">
        <v>0</v>
      </c>
      <c r="P391" s="287">
        <v>0</v>
      </c>
      <c r="Q391" s="223">
        <v>0</v>
      </c>
      <c r="R391" s="143">
        <v>0</v>
      </c>
      <c r="S391" s="143">
        <v>0</v>
      </c>
      <c r="T391" s="143">
        <v>0</v>
      </c>
      <c r="U391" s="143">
        <v>0</v>
      </c>
      <c r="V391" s="231">
        <f t="shared" si="70"/>
        <v>0</v>
      </c>
      <c r="X391"/>
      <c r="Y391"/>
      <c r="Z391"/>
      <c r="AA391"/>
    </row>
    <row r="392" spans="1:27" outlineLevel="2" x14ac:dyDescent="0.3">
      <c r="A392" s="689"/>
      <c r="B392" s="224"/>
      <c r="D392" s="202"/>
      <c r="E392" s="202"/>
      <c r="F392" s="213" t="str">
        <v>AMI 3Ph CT</v>
      </c>
      <c r="G392" s="213" t="str">
        <v>Multi Phase Meter Population</v>
      </c>
      <c r="H392" s="213" t="str">
        <v>Current Transformer Connected Meter Population</v>
      </c>
      <c r="I392" s="213" t="str">
        <v>Meter Type 4</v>
      </c>
      <c r="J392" s="218">
        <v>0</v>
      </c>
      <c r="K392" s="218" t="str">
        <v>AMI 3ph CT</v>
      </c>
      <c r="L392" s="214" t="str">
        <f t="shared" si="69"/>
        <v>No.</v>
      </c>
      <c r="N392" s="228"/>
      <c r="O392" s="142">
        <v>0</v>
      </c>
      <c r="P392" s="287">
        <v>0</v>
      </c>
      <c r="Q392" s="223">
        <v>0</v>
      </c>
      <c r="R392" s="143">
        <v>0</v>
      </c>
      <c r="S392" s="143">
        <v>0</v>
      </c>
      <c r="T392" s="143">
        <v>0</v>
      </c>
      <c r="U392" s="143">
        <v>0</v>
      </c>
      <c r="V392" s="231">
        <f t="shared" si="70"/>
        <v>0</v>
      </c>
      <c r="X392"/>
      <c r="Y392"/>
      <c r="Z392"/>
      <c r="AA392"/>
    </row>
    <row r="393" spans="1:27" outlineLevel="2" x14ac:dyDescent="0.3">
      <c r="A393" s="689"/>
      <c r="B393" s="224"/>
      <c r="D393" s="202"/>
      <c r="E393" s="202"/>
      <c r="F393" s="213" t="str">
        <v>Non AMI - Type 5 Locally read Interval - Single Phase</v>
      </c>
      <c r="G393" s="213" t="str">
        <v>Single Phase Meter Population</v>
      </c>
      <c r="H393" s="213" t="str">
        <v>Direct Connect Meter Population</v>
      </c>
      <c r="I393" s="213" t="str">
        <v>Meter Type 5</v>
      </c>
      <c r="J393" s="218">
        <v>0</v>
      </c>
      <c r="K393" s="218" t="str">
        <v>INT 1ph</v>
      </c>
      <c r="L393" s="214" t="str">
        <f t="shared" si="69"/>
        <v>No.</v>
      </c>
      <c r="N393" s="228"/>
      <c r="O393" s="142">
        <v>0</v>
      </c>
      <c r="P393" s="287">
        <v>0</v>
      </c>
      <c r="Q393" s="223">
        <v>0</v>
      </c>
      <c r="R393" s="143">
        <v>0</v>
      </c>
      <c r="S393" s="143">
        <v>0</v>
      </c>
      <c r="T393" s="143">
        <v>0</v>
      </c>
      <c r="U393" s="143">
        <v>0</v>
      </c>
      <c r="V393" s="231">
        <f t="shared" si="70"/>
        <v>0</v>
      </c>
      <c r="X393"/>
      <c r="Y393"/>
      <c r="Z393"/>
      <c r="AA393"/>
    </row>
    <row r="394" spans="1:27" outlineLevel="2" x14ac:dyDescent="0.3">
      <c r="A394" s="689"/>
      <c r="B394" s="224"/>
      <c r="D394" s="202"/>
      <c r="E394" s="202"/>
      <c r="F394" s="213" t="str">
        <v>Non AMI - Type 5 Locally read Interval - 3 Phase</v>
      </c>
      <c r="G394" s="213" t="str">
        <v>Single Phase Meter Population</v>
      </c>
      <c r="H394" s="213" t="str">
        <v>Direct Connect Meter Population</v>
      </c>
      <c r="I394" s="213" t="str">
        <v>Meter Type 5</v>
      </c>
      <c r="J394" s="218">
        <v>0</v>
      </c>
      <c r="K394" s="218" t="str">
        <v>INT 3ph</v>
      </c>
      <c r="L394" s="214" t="str">
        <f t="shared" si="69"/>
        <v>No.</v>
      </c>
      <c r="N394" s="228"/>
      <c r="O394" s="142">
        <v>0</v>
      </c>
      <c r="P394" s="287">
        <v>0</v>
      </c>
      <c r="Q394" s="223">
        <v>0</v>
      </c>
      <c r="R394" s="143">
        <v>0</v>
      </c>
      <c r="S394" s="143">
        <v>0</v>
      </c>
      <c r="T394" s="143">
        <v>0</v>
      </c>
      <c r="U394" s="143">
        <v>0</v>
      </c>
      <c r="V394" s="231">
        <f t="shared" si="70"/>
        <v>0</v>
      </c>
      <c r="X394"/>
      <c r="Y394"/>
      <c r="Z394"/>
      <c r="AA394"/>
    </row>
    <row r="395" spans="1:27" outlineLevel="2" x14ac:dyDescent="0.3">
      <c r="A395" s="689"/>
      <c r="B395" s="224"/>
      <c r="D395" s="202"/>
      <c r="E395" s="202"/>
      <c r="F395" s="213" t="str">
        <v>Non AMI - Type 5 Locally read Interval - 3 Phase - CT</v>
      </c>
      <c r="G395" s="213" t="str">
        <v>Multi Phase Meter Population</v>
      </c>
      <c r="H395" s="213" t="str">
        <v>Current Transformer Connected Meter Population</v>
      </c>
      <c r="I395" s="213" t="str">
        <v>Meter Type 5</v>
      </c>
      <c r="J395" s="218">
        <v>0</v>
      </c>
      <c r="K395" s="218" t="str">
        <v>INT 3ph CT</v>
      </c>
      <c r="L395" s="214" t="str">
        <f t="shared" si="69"/>
        <v>No.</v>
      </c>
      <c r="N395" s="228"/>
      <c r="O395" s="142">
        <v>0</v>
      </c>
      <c r="P395" s="287">
        <v>0</v>
      </c>
      <c r="Q395" s="223">
        <v>0</v>
      </c>
      <c r="R395" s="143">
        <v>0</v>
      </c>
      <c r="S395" s="143">
        <v>0</v>
      </c>
      <c r="T395" s="143">
        <v>0</v>
      </c>
      <c r="U395" s="143">
        <v>0</v>
      </c>
      <c r="V395" s="231">
        <f t="shared" si="70"/>
        <v>0</v>
      </c>
      <c r="X395"/>
      <c r="Y395"/>
      <c r="Z395"/>
      <c r="AA395"/>
    </row>
    <row r="396" spans="1:27" outlineLevel="2" x14ac:dyDescent="0.3">
      <c r="A396" s="689"/>
      <c r="B396" s="224"/>
      <c r="D396" s="202"/>
      <c r="E396" s="202"/>
      <c r="F396" s="213" t="str">
        <v>Non AMI - Type 6 Locally read Accumulation - Single Phase</v>
      </c>
      <c r="G396" s="213" t="str">
        <v>Multi Phase Meter Population</v>
      </c>
      <c r="H396" s="213" t="str">
        <v>Direct Connect Meter Population</v>
      </c>
      <c r="I396" s="213" t="str">
        <v>Meter Type 6</v>
      </c>
      <c r="J396" s="218">
        <v>0</v>
      </c>
      <c r="K396" s="218" t="str">
        <v>ACC 1ph</v>
      </c>
      <c r="L396" s="214" t="str">
        <f t="shared" si="69"/>
        <v>No.</v>
      </c>
      <c r="N396" s="228"/>
      <c r="O396" s="142">
        <v>0</v>
      </c>
      <c r="P396" s="287">
        <v>0</v>
      </c>
      <c r="Q396" s="223">
        <v>0</v>
      </c>
      <c r="R396" s="143">
        <v>0</v>
      </c>
      <c r="S396" s="143">
        <v>0</v>
      </c>
      <c r="T396" s="143">
        <v>0</v>
      </c>
      <c r="U396" s="143">
        <v>0</v>
      </c>
      <c r="V396" s="231">
        <f t="shared" si="70"/>
        <v>0</v>
      </c>
      <c r="X396"/>
      <c r="Y396"/>
      <c r="Z396"/>
      <c r="AA396"/>
    </row>
    <row r="397" spans="1:27" outlineLevel="2" x14ac:dyDescent="0.3">
      <c r="A397" s="689"/>
      <c r="B397" s="224"/>
      <c r="D397" s="202"/>
      <c r="E397" s="202"/>
      <c r="F397" s="213" t="str">
        <v>Non AMI - Type 6 Locally read Accumulation - 3 Phase</v>
      </c>
      <c r="G397" s="213">
        <v>0</v>
      </c>
      <c r="H397" s="213" t="str">
        <v>Direct Connect Meter Population</v>
      </c>
      <c r="I397" s="213" t="str">
        <v>Meter Type 6</v>
      </c>
      <c r="J397" s="218">
        <v>0</v>
      </c>
      <c r="K397" s="218" t="str">
        <v>ACC 3ph</v>
      </c>
      <c r="L397" s="214" t="str">
        <f t="shared" si="69"/>
        <v>No.</v>
      </c>
      <c r="N397" s="228"/>
      <c r="O397" s="142">
        <v>0</v>
      </c>
      <c r="P397" s="287">
        <v>0</v>
      </c>
      <c r="Q397" s="223">
        <v>0</v>
      </c>
      <c r="R397" s="143">
        <v>0</v>
      </c>
      <c r="S397" s="143">
        <v>0</v>
      </c>
      <c r="T397" s="143">
        <v>0</v>
      </c>
      <c r="U397" s="143">
        <v>0</v>
      </c>
      <c r="V397" s="231">
        <f t="shared" si="70"/>
        <v>0</v>
      </c>
      <c r="X397"/>
      <c r="Y397"/>
      <c r="Z397"/>
      <c r="AA397"/>
    </row>
    <row r="398" spans="1:27" outlineLevel="2" x14ac:dyDescent="0.3">
      <c r="A398" s="689"/>
      <c r="B398" s="224"/>
      <c r="D398" s="202"/>
      <c r="E398" s="202"/>
      <c r="F398" s="213">
        <v>0</v>
      </c>
      <c r="G398" s="213">
        <v>0</v>
      </c>
      <c r="H398" s="213">
        <v>0</v>
      </c>
      <c r="I398" s="213">
        <v>0</v>
      </c>
      <c r="J398" s="218">
        <v>0</v>
      </c>
      <c r="K398" s="218">
        <v>0</v>
      </c>
      <c r="L398" s="214" t="str">
        <f t="shared" si="69"/>
        <v>No.</v>
      </c>
      <c r="N398" s="228"/>
      <c r="O398" s="142">
        <v>0</v>
      </c>
      <c r="P398" s="287">
        <v>0</v>
      </c>
      <c r="Q398" s="223">
        <v>0</v>
      </c>
      <c r="R398" s="143">
        <v>0</v>
      </c>
      <c r="S398" s="143">
        <v>0</v>
      </c>
      <c r="T398" s="143">
        <v>0</v>
      </c>
      <c r="U398" s="143">
        <v>0</v>
      </c>
      <c r="V398" s="231">
        <f t="shared" si="70"/>
        <v>0</v>
      </c>
      <c r="X398"/>
      <c r="Y398"/>
      <c r="Z398"/>
      <c r="AA398"/>
    </row>
    <row r="399" spans="1:27" outlineLevel="2" x14ac:dyDescent="0.3">
      <c r="A399" s="689"/>
      <c r="B399" s="224"/>
      <c r="D399" s="202"/>
      <c r="E399" s="202"/>
      <c r="F399" s="213">
        <v>0</v>
      </c>
      <c r="G399" s="213">
        <v>0</v>
      </c>
      <c r="H399" s="213">
        <v>0</v>
      </c>
      <c r="I399" s="213">
        <v>0</v>
      </c>
      <c r="J399" s="218">
        <v>0</v>
      </c>
      <c r="K399" s="218">
        <v>0</v>
      </c>
      <c r="L399" s="214" t="str">
        <f t="shared" si="69"/>
        <v>No.</v>
      </c>
      <c r="N399" s="228"/>
      <c r="O399" s="142">
        <v>0</v>
      </c>
      <c r="P399" s="287">
        <v>0</v>
      </c>
      <c r="Q399" s="223">
        <v>0</v>
      </c>
      <c r="R399" s="143">
        <v>0</v>
      </c>
      <c r="S399" s="143">
        <v>0</v>
      </c>
      <c r="T399" s="143">
        <v>0</v>
      </c>
      <c r="U399" s="143">
        <v>0</v>
      </c>
      <c r="V399" s="231">
        <f t="shared" si="70"/>
        <v>0</v>
      </c>
      <c r="X399"/>
      <c r="Y399"/>
      <c r="Z399"/>
      <c r="AA399"/>
    </row>
    <row r="400" spans="1:27" outlineLevel="2" x14ac:dyDescent="0.3">
      <c r="A400" s="689"/>
      <c r="B400" s="224"/>
      <c r="D400" s="202"/>
      <c r="E400" s="202"/>
      <c r="F400" s="213">
        <v>0</v>
      </c>
      <c r="G400" s="213">
        <v>0</v>
      </c>
      <c r="H400" s="213">
        <v>0</v>
      </c>
      <c r="I400" s="213">
        <v>0</v>
      </c>
      <c r="J400" s="218">
        <v>0</v>
      </c>
      <c r="K400" s="218">
        <v>0</v>
      </c>
      <c r="L400" s="214" t="str">
        <f t="shared" si="69"/>
        <v>No.</v>
      </c>
      <c r="N400" s="228"/>
      <c r="O400" s="142">
        <v>0</v>
      </c>
      <c r="P400" s="287">
        <v>0</v>
      </c>
      <c r="Q400" s="223">
        <v>0</v>
      </c>
      <c r="R400" s="143">
        <v>0</v>
      </c>
      <c r="S400" s="143">
        <v>0</v>
      </c>
      <c r="T400" s="143">
        <v>0</v>
      </c>
      <c r="U400" s="143">
        <v>0</v>
      </c>
      <c r="V400" s="231">
        <f t="shared" si="70"/>
        <v>0</v>
      </c>
      <c r="X400"/>
      <c r="Y400"/>
      <c r="Z400"/>
      <c r="AA400"/>
    </row>
    <row r="401" spans="1:27" outlineLevel="2" x14ac:dyDescent="0.3">
      <c r="A401" s="689"/>
      <c r="B401" s="224"/>
      <c r="D401" s="202"/>
      <c r="E401" s="202"/>
      <c r="F401" s="213">
        <v>0</v>
      </c>
      <c r="G401" s="213">
        <v>0</v>
      </c>
      <c r="H401" s="213">
        <v>0</v>
      </c>
      <c r="I401" s="213">
        <v>0</v>
      </c>
      <c r="J401" s="218">
        <v>0</v>
      </c>
      <c r="K401" s="218">
        <v>0</v>
      </c>
      <c r="L401" s="214" t="str">
        <f t="shared" si="69"/>
        <v>No.</v>
      </c>
      <c r="N401" s="228"/>
      <c r="O401" s="142">
        <v>0</v>
      </c>
      <c r="P401" s="287">
        <v>0</v>
      </c>
      <c r="Q401" s="223">
        <v>0</v>
      </c>
      <c r="R401" s="143">
        <v>0</v>
      </c>
      <c r="S401" s="143">
        <v>0</v>
      </c>
      <c r="T401" s="143">
        <v>0</v>
      </c>
      <c r="U401" s="143">
        <v>0</v>
      </c>
      <c r="V401" s="231">
        <f t="shared" si="70"/>
        <v>0</v>
      </c>
      <c r="X401"/>
      <c r="Y401"/>
      <c r="Z401"/>
      <c r="AA401"/>
    </row>
    <row r="402" spans="1:27" outlineLevel="2" x14ac:dyDescent="0.3">
      <c r="A402" s="689"/>
      <c r="B402" s="224"/>
      <c r="D402" s="202"/>
      <c r="E402" s="202"/>
      <c r="F402" s="213">
        <v>0</v>
      </c>
      <c r="G402" s="213">
        <v>0</v>
      </c>
      <c r="H402" s="213">
        <v>0</v>
      </c>
      <c r="I402" s="213">
        <v>0</v>
      </c>
      <c r="J402" s="218">
        <v>0</v>
      </c>
      <c r="K402" s="218">
        <v>0</v>
      </c>
      <c r="L402" s="214" t="str">
        <f t="shared" si="69"/>
        <v>No.</v>
      </c>
      <c r="N402" s="228"/>
      <c r="O402" s="142">
        <v>0</v>
      </c>
      <c r="P402" s="287">
        <v>0</v>
      </c>
      <c r="Q402" s="223">
        <v>0</v>
      </c>
      <c r="R402" s="143">
        <v>0</v>
      </c>
      <c r="S402" s="143">
        <v>0</v>
      </c>
      <c r="T402" s="143">
        <v>0</v>
      </c>
      <c r="U402" s="143">
        <v>0</v>
      </c>
      <c r="V402" s="231">
        <f t="shared" si="70"/>
        <v>0</v>
      </c>
      <c r="X402"/>
      <c r="Y402"/>
      <c r="Z402"/>
      <c r="AA402"/>
    </row>
    <row r="403" spans="1:27" outlineLevel="2" x14ac:dyDescent="0.3">
      <c r="A403" s="689"/>
      <c r="B403" s="224"/>
      <c r="D403" s="202"/>
      <c r="E403" s="202"/>
      <c r="F403" s="213">
        <v>0</v>
      </c>
      <c r="G403" s="213">
        <v>0</v>
      </c>
      <c r="H403" s="213">
        <v>0</v>
      </c>
      <c r="I403" s="213">
        <v>0</v>
      </c>
      <c r="J403" s="218">
        <v>0</v>
      </c>
      <c r="K403" s="218">
        <v>0</v>
      </c>
      <c r="L403" s="214" t="str">
        <f t="shared" si="69"/>
        <v>No.</v>
      </c>
      <c r="N403" s="228"/>
      <c r="O403" s="142">
        <v>0</v>
      </c>
      <c r="P403" s="287">
        <v>0</v>
      </c>
      <c r="Q403" s="223">
        <v>0</v>
      </c>
      <c r="R403" s="143">
        <v>0</v>
      </c>
      <c r="S403" s="143">
        <v>0</v>
      </c>
      <c r="T403" s="143">
        <v>0</v>
      </c>
      <c r="U403" s="143">
        <v>0</v>
      </c>
      <c r="V403" s="231">
        <f t="shared" si="70"/>
        <v>0</v>
      </c>
      <c r="X403"/>
      <c r="Y403"/>
      <c r="Z403"/>
      <c r="AA403"/>
    </row>
    <row r="404" spans="1:27" outlineLevel="2" x14ac:dyDescent="0.3">
      <c r="A404" s="689"/>
      <c r="B404" s="224"/>
      <c r="D404" s="202"/>
      <c r="E404" s="202"/>
      <c r="F404" s="235" t="s">
        <v>17</v>
      </c>
      <c r="G404" s="236"/>
      <c r="H404" s="236"/>
      <c r="I404" s="236"/>
      <c r="J404" s="237"/>
      <c r="K404" s="237"/>
      <c r="L404" s="533" t="str">
        <f t="shared" si="69"/>
        <v>No.</v>
      </c>
      <c r="N404" s="228"/>
      <c r="O404" s="424">
        <f>SUM(O389:O403)</f>
        <v>0</v>
      </c>
      <c r="P404" s="288">
        <f t="shared" ref="P404:U404" si="71">SUM(P389:P403)</f>
        <v>4000</v>
      </c>
      <c r="Q404" s="232">
        <f t="shared" si="71"/>
        <v>4000</v>
      </c>
      <c r="R404" s="233">
        <f t="shared" si="71"/>
        <v>4000</v>
      </c>
      <c r="S404" s="233">
        <f t="shared" si="71"/>
        <v>4000</v>
      </c>
      <c r="T404" s="233">
        <f t="shared" si="71"/>
        <v>4000</v>
      </c>
      <c r="U404" s="233">
        <f t="shared" si="71"/>
        <v>4000</v>
      </c>
      <c r="V404" s="233" cm="1">
        <f t="array" ref="V404">SUMPRODUCT(O404:U404,(O$388:U$388&gt;Capex_BaseYear)/1)</f>
        <v>24000</v>
      </c>
      <c r="X404"/>
      <c r="Y404"/>
      <c r="Z404"/>
      <c r="AA404"/>
    </row>
    <row r="405" spans="1:27" outlineLevel="2" x14ac:dyDescent="0.3">
      <c r="A405" s="689"/>
      <c r="B405" s="224"/>
      <c r="D405" s="202"/>
    </row>
    <row r="406" spans="1:27" outlineLevel="1" x14ac:dyDescent="0.3">
      <c r="A406" s="689"/>
      <c r="B406" s="224"/>
      <c r="C406" s="201" t="s">
        <v>135</v>
      </c>
      <c r="D406" s="202" t="s">
        <v>183</v>
      </c>
      <c r="E406" s="202"/>
      <c r="F406" s="202"/>
      <c r="G406" s="202"/>
      <c r="H406" s="202"/>
      <c r="I406" s="202"/>
      <c r="J406" s="202"/>
      <c r="N406" s="239"/>
      <c r="O406" s="239"/>
      <c r="P406" s="238"/>
      <c r="Q406" s="238"/>
      <c r="R406" s="238"/>
      <c r="S406" s="238"/>
      <c r="T406" s="238"/>
      <c r="U406" s="238"/>
      <c r="V406" s="238"/>
    </row>
    <row r="407" spans="1:27" outlineLevel="2" x14ac:dyDescent="0.3">
      <c r="A407" s="689"/>
      <c r="B407" s="224"/>
      <c r="D407" s="202"/>
      <c r="E407" s="202"/>
      <c r="O407"/>
      <c r="P407"/>
      <c r="Q407"/>
      <c r="R407"/>
      <c r="S407"/>
      <c r="T407"/>
      <c r="U407"/>
    </row>
    <row r="408" spans="1:27" outlineLevel="2" x14ac:dyDescent="0.3">
      <c r="A408" s="689"/>
      <c r="B408" s="224"/>
      <c r="D408" s="202"/>
      <c r="E408" s="202"/>
      <c r="F408" s="121" t="str">
        <f>I_MeterTypes[[#Headers],[Meter Type]]</f>
        <v>Meter Type</v>
      </c>
      <c r="G408" s="121" t="str">
        <f>I_MeterTypes[[#Headers],[RIN Subcategory 1]]</f>
        <v>RIN Subcategory 1</v>
      </c>
      <c r="H408" s="121" t="str">
        <f>I_MeterTypes[[#Headers],[RIN Subcategory 2]]</f>
        <v>RIN Subcategory 2</v>
      </c>
      <c r="I408" s="121" t="str">
        <f>I_MeterTypes[[#Headers],[AER Type]]</f>
        <v>AER Type</v>
      </c>
      <c r="J408" s="121" t="str">
        <f>I_MeterTypes[[#Headers],[RIN Subcategory 3]]</f>
        <v>RIN Subcategory 3</v>
      </c>
      <c r="K408" s="121" t="str">
        <f>I_MeterTypes[[#Headers],[Meter Code]]</f>
        <v>Meter Code</v>
      </c>
      <c r="L408" s="121" t="s">
        <v>6</v>
      </c>
      <c r="N408" s="230" t="str">
        <f t="shared" ref="N408:U408" si="72">N$168</f>
        <v>2017-18</v>
      </c>
      <c r="O408" s="230" t="str">
        <f>O$168</f>
        <v>2018-19</v>
      </c>
      <c r="P408" s="270" t="str">
        <f t="shared" si="72"/>
        <v>2019-20</v>
      </c>
      <c r="Q408" s="267" t="str">
        <f t="shared" si="72"/>
        <v>2020-21</v>
      </c>
      <c r="R408" s="230" t="str">
        <f t="shared" si="72"/>
        <v>2021-22</v>
      </c>
      <c r="S408" s="230" t="str">
        <f t="shared" si="72"/>
        <v>2022-23</v>
      </c>
      <c r="T408" s="230" t="str">
        <f t="shared" si="72"/>
        <v>2023-24</v>
      </c>
      <c r="U408" s="230" t="str">
        <f t="shared" si="72"/>
        <v>2024-25</v>
      </c>
      <c r="V408" s="443" t="s">
        <v>332</v>
      </c>
    </row>
    <row r="409" spans="1:27" outlineLevel="2" x14ac:dyDescent="0.3">
      <c r="A409" s="689"/>
      <c r="B409" s="224"/>
      <c r="D409" s="202"/>
      <c r="E409" s="202"/>
      <c r="F409" s="213" t="str" cm="1">
        <f t="array" ref="F409:F423">I_MeterTypes[Meter Type]</f>
        <v>AMI - Single Phase, single element</v>
      </c>
      <c r="G409" s="213" t="str" cm="1">
        <f t="array" ref="G409:G423">I_MeterTypes[RIN Subcategory 1]</f>
        <v>Single Phase Meter Population</v>
      </c>
      <c r="H409" s="213" t="str" cm="1">
        <f t="array" ref="H409:H423">I_MeterTypes[RIN Subcategory 2]</f>
        <v>Other</v>
      </c>
      <c r="I409" s="213" t="str" cm="1">
        <f t="array" ref="I409:I423">I_MeterTypes[AER Type]</f>
        <v>Meter Type 4</v>
      </c>
      <c r="J409" s="213" t="str" cm="1">
        <f t="array" ref="J409:J423">I_MeterTypes[RIN Subcategory 3]</f>
        <v>Single phase single element - AMI</v>
      </c>
      <c r="K409" s="213" t="str" cm="1">
        <f t="array" ref="K409:K423">I_MeterTypes[Meter Code]</f>
        <v>AMI 1ph 1e</v>
      </c>
      <c r="L409" s="214" t="s">
        <v>18</v>
      </c>
      <c r="N409" s="142">
        <f t="shared" ref="N409:P423" si="73">IF(N$408=Capex_BaseYear,$M147,IF(O$408&lt;Capex_BaseYear,0,M409+N389))</f>
        <v>0</v>
      </c>
      <c r="O409" s="223">
        <f>IF(O$408=Capex_BaseYear,$M147,IF(P$408&lt;Capex_BaseYear,0,N409+O389))</f>
        <v>350000</v>
      </c>
      <c r="P409" s="287">
        <f t="shared" si="73"/>
        <v>354000</v>
      </c>
      <c r="Q409" s="223">
        <f t="shared" ref="Q409:Q423" si="74">P409+Q389</f>
        <v>358000</v>
      </c>
      <c r="R409" s="143">
        <f t="shared" ref="R409:U423" si="75">Q409+R389</f>
        <v>362000</v>
      </c>
      <c r="S409" s="143">
        <f t="shared" si="75"/>
        <v>366000</v>
      </c>
      <c r="T409" s="143">
        <f t="shared" si="75"/>
        <v>370000</v>
      </c>
      <c r="U409" s="143">
        <f t="shared" si="75"/>
        <v>374000</v>
      </c>
      <c r="V409" s="231">
        <f t="shared" ref="V409:V424" si="76">U409</f>
        <v>374000</v>
      </c>
    </row>
    <row r="410" spans="1:27" outlineLevel="2" x14ac:dyDescent="0.3">
      <c r="A410" s="689"/>
      <c r="B410" s="224"/>
      <c r="D410" s="202"/>
      <c r="E410" s="202"/>
      <c r="F410" s="213" t="str">
        <v>AMI - Single Phase, two element</v>
      </c>
      <c r="G410" s="213" t="str">
        <v>Single Phase Meter Population</v>
      </c>
      <c r="H410" s="213" t="str">
        <v>Other</v>
      </c>
      <c r="I410" s="213" t="str">
        <v>Meter Type 4</v>
      </c>
      <c r="J410" s="218" t="str">
        <v>Single phase two element with contactor - AMI</v>
      </c>
      <c r="K410" s="218" t="str">
        <v>AMI 1ph 2e</v>
      </c>
      <c r="L410" s="214" t="str">
        <f t="shared" ref="L410:L424" si="77">L$147</f>
        <v>No.</v>
      </c>
      <c r="N410" s="142">
        <f t="shared" si="73"/>
        <v>0</v>
      </c>
      <c r="O410" s="223">
        <f t="shared" si="73"/>
        <v>50000</v>
      </c>
      <c r="P410" s="287">
        <f t="shared" si="73"/>
        <v>50000</v>
      </c>
      <c r="Q410" s="223">
        <f t="shared" si="74"/>
        <v>50000</v>
      </c>
      <c r="R410" s="143">
        <f t="shared" si="75"/>
        <v>50000</v>
      </c>
      <c r="S410" s="143">
        <f t="shared" si="75"/>
        <v>50000</v>
      </c>
      <c r="T410" s="143">
        <f t="shared" si="75"/>
        <v>50000</v>
      </c>
      <c r="U410" s="143">
        <f t="shared" si="75"/>
        <v>50000</v>
      </c>
      <c r="V410" s="231">
        <f t="shared" si="76"/>
        <v>50000</v>
      </c>
    </row>
    <row r="411" spans="1:27" outlineLevel="2" x14ac:dyDescent="0.3">
      <c r="A411" s="689"/>
      <c r="B411" s="224"/>
      <c r="D411" s="202"/>
      <c r="E411" s="202"/>
      <c r="F411" s="213" t="str">
        <v>AMI - 3 Phase DC</v>
      </c>
      <c r="G411" s="213" t="str">
        <v>Multi Phase Meter Population</v>
      </c>
      <c r="H411" s="213" t="str">
        <v>Direct Connect Meter Population</v>
      </c>
      <c r="I411" s="213" t="str">
        <v>Meter Type 4</v>
      </c>
      <c r="J411" s="218" t="str">
        <v>Three phase - AMI</v>
      </c>
      <c r="K411" s="218" t="str">
        <v>AMI 3ph DC</v>
      </c>
      <c r="L411" s="214" t="str">
        <f t="shared" si="77"/>
        <v>No.</v>
      </c>
      <c r="N411" s="142">
        <f t="shared" si="73"/>
        <v>0</v>
      </c>
      <c r="O411" s="223">
        <f t="shared" si="73"/>
        <v>4000</v>
      </c>
      <c r="P411" s="287">
        <f t="shared" si="73"/>
        <v>4000</v>
      </c>
      <c r="Q411" s="223">
        <f t="shared" si="74"/>
        <v>4000</v>
      </c>
      <c r="R411" s="143">
        <f t="shared" si="75"/>
        <v>4000</v>
      </c>
      <c r="S411" s="143">
        <f t="shared" si="75"/>
        <v>4000</v>
      </c>
      <c r="T411" s="143">
        <f t="shared" si="75"/>
        <v>4000</v>
      </c>
      <c r="U411" s="143">
        <f t="shared" si="75"/>
        <v>4000</v>
      </c>
      <c r="V411" s="231">
        <f t="shared" si="76"/>
        <v>4000</v>
      </c>
    </row>
    <row r="412" spans="1:27" outlineLevel="2" x14ac:dyDescent="0.3">
      <c r="A412" s="689"/>
      <c r="B412" s="224"/>
      <c r="D412" s="202"/>
      <c r="E412" s="202"/>
      <c r="F412" s="213" t="str">
        <v>AMI 3Ph CT</v>
      </c>
      <c r="G412" s="213" t="str">
        <v>Multi Phase Meter Population</v>
      </c>
      <c r="H412" s="213" t="str">
        <v>Current Transformer Connected Meter Population</v>
      </c>
      <c r="I412" s="213" t="str">
        <v>Meter Type 4</v>
      </c>
      <c r="J412" s="218">
        <v>0</v>
      </c>
      <c r="K412" s="218" t="str">
        <v>AMI 3ph CT</v>
      </c>
      <c r="L412" s="214" t="str">
        <f t="shared" si="77"/>
        <v>No.</v>
      </c>
      <c r="N412" s="142">
        <f t="shared" si="73"/>
        <v>0</v>
      </c>
      <c r="O412" s="223">
        <f t="shared" si="73"/>
        <v>2000</v>
      </c>
      <c r="P412" s="287">
        <f t="shared" si="73"/>
        <v>2000</v>
      </c>
      <c r="Q412" s="223">
        <f t="shared" si="74"/>
        <v>2000</v>
      </c>
      <c r="R412" s="143">
        <f t="shared" si="75"/>
        <v>2000</v>
      </c>
      <c r="S412" s="143">
        <f t="shared" si="75"/>
        <v>2000</v>
      </c>
      <c r="T412" s="143">
        <f t="shared" si="75"/>
        <v>2000</v>
      </c>
      <c r="U412" s="143">
        <f t="shared" si="75"/>
        <v>2000</v>
      </c>
      <c r="V412" s="231">
        <f t="shared" si="76"/>
        <v>2000</v>
      </c>
    </row>
    <row r="413" spans="1:27" outlineLevel="2" x14ac:dyDescent="0.3">
      <c r="A413" s="689"/>
      <c r="B413" s="224"/>
      <c r="D413" s="202"/>
      <c r="E413" s="202"/>
      <c r="F413" s="213" t="str">
        <v>Non AMI - Type 5 Locally read Interval - Single Phase</v>
      </c>
      <c r="G413" s="213" t="str">
        <v>Single Phase Meter Population</v>
      </c>
      <c r="H413" s="213" t="str">
        <v>Direct Connect Meter Population</v>
      </c>
      <c r="I413" s="213" t="str">
        <v>Meter Type 5</v>
      </c>
      <c r="J413" s="218">
        <v>0</v>
      </c>
      <c r="K413" s="218" t="str">
        <v>INT 1ph</v>
      </c>
      <c r="L413" s="214" t="str">
        <f t="shared" si="77"/>
        <v>No.</v>
      </c>
      <c r="N413" s="142">
        <f t="shared" si="73"/>
        <v>0</v>
      </c>
      <c r="O413" s="223">
        <f t="shared" si="73"/>
        <v>50</v>
      </c>
      <c r="P413" s="287">
        <f t="shared" si="73"/>
        <v>50</v>
      </c>
      <c r="Q413" s="223">
        <f t="shared" si="74"/>
        <v>50</v>
      </c>
      <c r="R413" s="143">
        <f t="shared" si="75"/>
        <v>50</v>
      </c>
      <c r="S413" s="143">
        <f t="shared" si="75"/>
        <v>50</v>
      </c>
      <c r="T413" s="143">
        <f t="shared" si="75"/>
        <v>50</v>
      </c>
      <c r="U413" s="143">
        <f t="shared" si="75"/>
        <v>50</v>
      </c>
      <c r="V413" s="231">
        <f t="shared" si="76"/>
        <v>50</v>
      </c>
    </row>
    <row r="414" spans="1:27" outlineLevel="2" x14ac:dyDescent="0.3">
      <c r="A414" s="689"/>
      <c r="B414" s="224"/>
      <c r="D414" s="202"/>
      <c r="E414" s="202"/>
      <c r="F414" s="213" t="str">
        <v>Non AMI - Type 5 Locally read Interval - 3 Phase</v>
      </c>
      <c r="G414" s="213" t="str">
        <v>Single Phase Meter Population</v>
      </c>
      <c r="H414" s="213" t="str">
        <v>Direct Connect Meter Population</v>
      </c>
      <c r="I414" s="213" t="str">
        <v>Meter Type 5</v>
      </c>
      <c r="J414" s="218">
        <v>0</v>
      </c>
      <c r="K414" s="218" t="str">
        <v>INT 3ph</v>
      </c>
      <c r="L414" s="214" t="str">
        <f t="shared" si="77"/>
        <v>No.</v>
      </c>
      <c r="N414" s="142">
        <f t="shared" si="73"/>
        <v>0</v>
      </c>
      <c r="O414" s="223">
        <f t="shared" si="73"/>
        <v>50</v>
      </c>
      <c r="P414" s="287">
        <f t="shared" si="73"/>
        <v>50</v>
      </c>
      <c r="Q414" s="223">
        <f t="shared" si="74"/>
        <v>50</v>
      </c>
      <c r="R414" s="143">
        <f t="shared" si="75"/>
        <v>50</v>
      </c>
      <c r="S414" s="143">
        <f t="shared" si="75"/>
        <v>50</v>
      </c>
      <c r="T414" s="143">
        <f t="shared" si="75"/>
        <v>50</v>
      </c>
      <c r="U414" s="143">
        <f t="shared" si="75"/>
        <v>50</v>
      </c>
      <c r="V414" s="231">
        <f t="shared" si="76"/>
        <v>50</v>
      </c>
      <c r="Y414" s="203"/>
    </row>
    <row r="415" spans="1:27" outlineLevel="2" x14ac:dyDescent="0.3">
      <c r="A415" s="689"/>
      <c r="B415" s="224"/>
      <c r="D415" s="202"/>
      <c r="E415" s="202"/>
      <c r="F415" s="213" t="str">
        <v>Non AMI - Type 5 Locally read Interval - 3 Phase - CT</v>
      </c>
      <c r="G415" s="213" t="str">
        <v>Multi Phase Meter Population</v>
      </c>
      <c r="H415" s="213" t="str">
        <v>Current Transformer Connected Meter Population</v>
      </c>
      <c r="I415" s="213" t="str">
        <v>Meter Type 5</v>
      </c>
      <c r="J415" s="218">
        <v>0</v>
      </c>
      <c r="K415" s="218" t="str">
        <v>INT 3ph CT</v>
      </c>
      <c r="L415" s="214" t="str">
        <f t="shared" si="77"/>
        <v>No.</v>
      </c>
      <c r="N415" s="142">
        <f t="shared" si="73"/>
        <v>0</v>
      </c>
      <c r="O415" s="223">
        <f t="shared" si="73"/>
        <v>50</v>
      </c>
      <c r="P415" s="287">
        <f t="shared" si="73"/>
        <v>50</v>
      </c>
      <c r="Q415" s="223">
        <f t="shared" si="74"/>
        <v>50</v>
      </c>
      <c r="R415" s="143">
        <f t="shared" si="75"/>
        <v>50</v>
      </c>
      <c r="S415" s="143">
        <f t="shared" si="75"/>
        <v>50</v>
      </c>
      <c r="T415" s="143">
        <f t="shared" si="75"/>
        <v>50</v>
      </c>
      <c r="U415" s="143">
        <f t="shared" si="75"/>
        <v>50</v>
      </c>
      <c r="V415" s="231">
        <f t="shared" si="76"/>
        <v>50</v>
      </c>
    </row>
    <row r="416" spans="1:27" outlineLevel="2" x14ac:dyDescent="0.3">
      <c r="A416" s="689"/>
      <c r="B416" s="224"/>
      <c r="D416" s="202"/>
      <c r="E416" s="202"/>
      <c r="F416" s="213" t="str">
        <v>Non AMI - Type 6 Locally read Accumulation - Single Phase</v>
      </c>
      <c r="G416" s="213" t="str">
        <v>Multi Phase Meter Population</v>
      </c>
      <c r="H416" s="213" t="str">
        <v>Direct Connect Meter Population</v>
      </c>
      <c r="I416" s="213" t="str">
        <v>Meter Type 6</v>
      </c>
      <c r="J416" s="218">
        <v>0</v>
      </c>
      <c r="K416" s="218" t="str">
        <v>ACC 1ph</v>
      </c>
      <c r="L416" s="214" t="str">
        <f t="shared" si="77"/>
        <v>No.</v>
      </c>
      <c r="N416" s="142">
        <f t="shared" si="73"/>
        <v>0</v>
      </c>
      <c r="O416" s="223">
        <f t="shared" si="73"/>
        <v>4000</v>
      </c>
      <c r="P416" s="287">
        <f t="shared" si="73"/>
        <v>4000</v>
      </c>
      <c r="Q416" s="223">
        <f t="shared" si="74"/>
        <v>4000</v>
      </c>
      <c r="R416" s="143">
        <f t="shared" si="75"/>
        <v>4000</v>
      </c>
      <c r="S416" s="143">
        <f t="shared" si="75"/>
        <v>4000</v>
      </c>
      <c r="T416" s="143">
        <f t="shared" si="75"/>
        <v>4000</v>
      </c>
      <c r="U416" s="143">
        <f t="shared" si="75"/>
        <v>4000</v>
      </c>
      <c r="V416" s="231">
        <f t="shared" si="76"/>
        <v>4000</v>
      </c>
    </row>
    <row r="417" spans="1:24" outlineLevel="2" x14ac:dyDescent="0.3">
      <c r="A417" s="689"/>
      <c r="B417" s="224"/>
      <c r="D417" s="202"/>
      <c r="E417" s="202"/>
      <c r="F417" s="213" t="str">
        <v>Non AMI - Type 6 Locally read Accumulation - 3 Phase</v>
      </c>
      <c r="G417" s="213">
        <v>0</v>
      </c>
      <c r="H417" s="213" t="str">
        <v>Direct Connect Meter Population</v>
      </c>
      <c r="I417" s="213" t="str">
        <v>Meter Type 6</v>
      </c>
      <c r="J417" s="218">
        <v>0</v>
      </c>
      <c r="K417" s="218" t="str">
        <v>ACC 3ph</v>
      </c>
      <c r="L417" s="214" t="str">
        <f t="shared" si="77"/>
        <v>No.</v>
      </c>
      <c r="N417" s="142">
        <f t="shared" si="73"/>
        <v>0</v>
      </c>
      <c r="O417" s="223">
        <f t="shared" si="73"/>
        <v>1500</v>
      </c>
      <c r="P417" s="287">
        <f t="shared" si="73"/>
        <v>1500</v>
      </c>
      <c r="Q417" s="223">
        <f t="shared" si="74"/>
        <v>1500</v>
      </c>
      <c r="R417" s="143">
        <f t="shared" si="75"/>
        <v>1500</v>
      </c>
      <c r="S417" s="143">
        <f t="shared" si="75"/>
        <v>1500</v>
      </c>
      <c r="T417" s="143">
        <f t="shared" si="75"/>
        <v>1500</v>
      </c>
      <c r="U417" s="143">
        <f t="shared" si="75"/>
        <v>1500</v>
      </c>
      <c r="V417" s="231">
        <f t="shared" si="76"/>
        <v>1500</v>
      </c>
    </row>
    <row r="418" spans="1:24" outlineLevel="2" x14ac:dyDescent="0.3">
      <c r="A418" s="689"/>
      <c r="B418" s="224"/>
      <c r="D418" s="202"/>
      <c r="E418" s="202"/>
      <c r="F418" s="213">
        <v>0</v>
      </c>
      <c r="G418" s="213">
        <v>0</v>
      </c>
      <c r="H418" s="213">
        <v>0</v>
      </c>
      <c r="I418" s="213">
        <v>0</v>
      </c>
      <c r="J418" s="218">
        <v>0</v>
      </c>
      <c r="K418" s="218">
        <v>0</v>
      </c>
      <c r="L418" s="214" t="str">
        <f t="shared" si="77"/>
        <v>No.</v>
      </c>
      <c r="N418" s="142">
        <f t="shared" si="73"/>
        <v>0</v>
      </c>
      <c r="O418" s="223">
        <f t="shared" si="73"/>
        <v>0</v>
      </c>
      <c r="P418" s="287">
        <f t="shared" si="73"/>
        <v>0</v>
      </c>
      <c r="Q418" s="223">
        <f t="shared" si="74"/>
        <v>0</v>
      </c>
      <c r="R418" s="143">
        <f t="shared" si="75"/>
        <v>0</v>
      </c>
      <c r="S418" s="143">
        <f t="shared" si="75"/>
        <v>0</v>
      </c>
      <c r="T418" s="143">
        <f t="shared" si="75"/>
        <v>0</v>
      </c>
      <c r="U418" s="143">
        <f t="shared" si="75"/>
        <v>0</v>
      </c>
      <c r="V418" s="231">
        <f t="shared" si="76"/>
        <v>0</v>
      </c>
    </row>
    <row r="419" spans="1:24" outlineLevel="2" x14ac:dyDescent="0.3">
      <c r="A419" s="689"/>
      <c r="B419" s="224"/>
      <c r="D419" s="202"/>
      <c r="E419" s="202"/>
      <c r="F419" s="213">
        <v>0</v>
      </c>
      <c r="G419" s="213">
        <v>0</v>
      </c>
      <c r="H419" s="213">
        <v>0</v>
      </c>
      <c r="I419" s="213">
        <v>0</v>
      </c>
      <c r="J419" s="218">
        <v>0</v>
      </c>
      <c r="K419" s="218">
        <v>0</v>
      </c>
      <c r="L419" s="214" t="str">
        <f t="shared" si="77"/>
        <v>No.</v>
      </c>
      <c r="N419" s="142">
        <f t="shared" si="73"/>
        <v>0</v>
      </c>
      <c r="O419" s="223">
        <f t="shared" si="73"/>
        <v>0</v>
      </c>
      <c r="P419" s="287">
        <f t="shared" si="73"/>
        <v>0</v>
      </c>
      <c r="Q419" s="223">
        <f t="shared" si="74"/>
        <v>0</v>
      </c>
      <c r="R419" s="143">
        <f t="shared" si="75"/>
        <v>0</v>
      </c>
      <c r="S419" s="143">
        <f t="shared" si="75"/>
        <v>0</v>
      </c>
      <c r="T419" s="143">
        <f t="shared" si="75"/>
        <v>0</v>
      </c>
      <c r="U419" s="143">
        <f t="shared" si="75"/>
        <v>0</v>
      </c>
      <c r="V419" s="231">
        <f t="shared" si="76"/>
        <v>0</v>
      </c>
    </row>
    <row r="420" spans="1:24" outlineLevel="2" x14ac:dyDescent="0.3">
      <c r="A420" s="689"/>
      <c r="B420" s="224"/>
      <c r="D420" s="202"/>
      <c r="E420" s="202"/>
      <c r="F420" s="213">
        <v>0</v>
      </c>
      <c r="G420" s="213">
        <v>0</v>
      </c>
      <c r="H420" s="213">
        <v>0</v>
      </c>
      <c r="I420" s="213">
        <v>0</v>
      </c>
      <c r="J420" s="218">
        <v>0</v>
      </c>
      <c r="K420" s="218">
        <v>0</v>
      </c>
      <c r="L420" s="214" t="str">
        <f t="shared" si="77"/>
        <v>No.</v>
      </c>
      <c r="N420" s="142">
        <f t="shared" si="73"/>
        <v>0</v>
      </c>
      <c r="O420" s="223">
        <f t="shared" si="73"/>
        <v>0</v>
      </c>
      <c r="P420" s="287">
        <f t="shared" si="73"/>
        <v>0</v>
      </c>
      <c r="Q420" s="223">
        <f t="shared" si="74"/>
        <v>0</v>
      </c>
      <c r="R420" s="143">
        <f t="shared" si="75"/>
        <v>0</v>
      </c>
      <c r="S420" s="143">
        <f t="shared" si="75"/>
        <v>0</v>
      </c>
      <c r="T420" s="143">
        <f t="shared" si="75"/>
        <v>0</v>
      </c>
      <c r="U420" s="143">
        <f t="shared" si="75"/>
        <v>0</v>
      </c>
      <c r="V420" s="231">
        <f t="shared" si="76"/>
        <v>0</v>
      </c>
    </row>
    <row r="421" spans="1:24" outlineLevel="2" x14ac:dyDescent="0.3">
      <c r="A421" s="689"/>
      <c r="B421" s="224"/>
      <c r="D421" s="202"/>
      <c r="E421" s="202"/>
      <c r="F421" s="213">
        <v>0</v>
      </c>
      <c r="G421" s="213">
        <v>0</v>
      </c>
      <c r="H421" s="213">
        <v>0</v>
      </c>
      <c r="I421" s="213">
        <v>0</v>
      </c>
      <c r="J421" s="218">
        <v>0</v>
      </c>
      <c r="K421" s="218">
        <v>0</v>
      </c>
      <c r="L421" s="214" t="str">
        <f t="shared" si="77"/>
        <v>No.</v>
      </c>
      <c r="N421" s="142">
        <f t="shared" si="73"/>
        <v>0</v>
      </c>
      <c r="O421" s="223">
        <f t="shared" si="73"/>
        <v>0</v>
      </c>
      <c r="P421" s="287">
        <f t="shared" si="73"/>
        <v>0</v>
      </c>
      <c r="Q421" s="223">
        <f t="shared" si="74"/>
        <v>0</v>
      </c>
      <c r="R421" s="143">
        <f t="shared" si="75"/>
        <v>0</v>
      </c>
      <c r="S421" s="143">
        <f t="shared" si="75"/>
        <v>0</v>
      </c>
      <c r="T421" s="143">
        <f t="shared" si="75"/>
        <v>0</v>
      </c>
      <c r="U421" s="143">
        <f t="shared" si="75"/>
        <v>0</v>
      </c>
      <c r="V421" s="231">
        <f t="shared" si="76"/>
        <v>0</v>
      </c>
    </row>
    <row r="422" spans="1:24" outlineLevel="2" x14ac:dyDescent="0.3">
      <c r="A422" s="689"/>
      <c r="B422" s="224"/>
      <c r="D422" s="202"/>
      <c r="E422" s="202"/>
      <c r="F422" s="213">
        <v>0</v>
      </c>
      <c r="G422" s="213">
        <v>0</v>
      </c>
      <c r="H422" s="213">
        <v>0</v>
      </c>
      <c r="I422" s="213">
        <v>0</v>
      </c>
      <c r="J422" s="218">
        <v>0</v>
      </c>
      <c r="K422" s="218">
        <v>0</v>
      </c>
      <c r="L422" s="214" t="str">
        <f t="shared" si="77"/>
        <v>No.</v>
      </c>
      <c r="N422" s="142">
        <f t="shared" si="73"/>
        <v>0</v>
      </c>
      <c r="O422" s="223">
        <f t="shared" si="73"/>
        <v>0</v>
      </c>
      <c r="P422" s="287">
        <f t="shared" si="73"/>
        <v>0</v>
      </c>
      <c r="Q422" s="223">
        <f t="shared" si="74"/>
        <v>0</v>
      </c>
      <c r="R422" s="143">
        <f t="shared" si="75"/>
        <v>0</v>
      </c>
      <c r="S422" s="143">
        <f t="shared" si="75"/>
        <v>0</v>
      </c>
      <c r="T422" s="143">
        <f t="shared" si="75"/>
        <v>0</v>
      </c>
      <c r="U422" s="143">
        <f t="shared" si="75"/>
        <v>0</v>
      </c>
      <c r="V422" s="231">
        <f t="shared" si="76"/>
        <v>0</v>
      </c>
    </row>
    <row r="423" spans="1:24" outlineLevel="2" x14ac:dyDescent="0.3">
      <c r="A423" s="689"/>
      <c r="B423" s="224"/>
      <c r="D423" s="202"/>
      <c r="E423" s="202"/>
      <c r="F423" s="240">
        <v>0</v>
      </c>
      <c r="G423" s="240">
        <v>0</v>
      </c>
      <c r="H423" s="240">
        <v>0</v>
      </c>
      <c r="I423" s="240">
        <v>0</v>
      </c>
      <c r="J423" s="241">
        <v>0</v>
      </c>
      <c r="K423" s="241">
        <v>0</v>
      </c>
      <c r="L423" s="214" t="str">
        <f t="shared" si="77"/>
        <v>No.</v>
      </c>
      <c r="N423" s="142">
        <f t="shared" si="73"/>
        <v>0</v>
      </c>
      <c r="O423" s="223">
        <f t="shared" si="73"/>
        <v>0</v>
      </c>
      <c r="P423" s="287">
        <f t="shared" si="73"/>
        <v>0</v>
      </c>
      <c r="Q423" s="223">
        <f t="shared" si="74"/>
        <v>0</v>
      </c>
      <c r="R423" s="143">
        <f t="shared" si="75"/>
        <v>0</v>
      </c>
      <c r="S423" s="143">
        <f t="shared" si="75"/>
        <v>0</v>
      </c>
      <c r="T423" s="143">
        <f t="shared" si="75"/>
        <v>0</v>
      </c>
      <c r="U423" s="143">
        <f t="shared" si="75"/>
        <v>0</v>
      </c>
      <c r="V423" s="231">
        <f t="shared" si="76"/>
        <v>0</v>
      </c>
    </row>
    <row r="424" spans="1:24" outlineLevel="2" x14ac:dyDescent="0.3">
      <c r="A424" s="689"/>
      <c r="B424" s="224"/>
      <c r="D424" s="202"/>
      <c r="E424" s="202"/>
      <c r="F424" s="242" t="s">
        <v>17</v>
      </c>
      <c r="G424" s="243"/>
      <c r="H424" s="243"/>
      <c r="I424" s="243"/>
      <c r="J424" s="243"/>
      <c r="K424" s="244"/>
      <c r="L424" s="533" t="str">
        <f t="shared" si="77"/>
        <v>No.</v>
      </c>
      <c r="N424" s="245">
        <f t="shared" ref="N424:U424" si="78">SUM(N409:N423)</f>
        <v>0</v>
      </c>
      <c r="O424" s="245">
        <f t="shared" si="78"/>
        <v>411650</v>
      </c>
      <c r="P424" s="360">
        <f t="shared" si="78"/>
        <v>415650</v>
      </c>
      <c r="Q424" s="232">
        <f t="shared" si="78"/>
        <v>419650</v>
      </c>
      <c r="R424" s="233">
        <f t="shared" si="78"/>
        <v>423650</v>
      </c>
      <c r="S424" s="233">
        <f t="shared" si="78"/>
        <v>427650</v>
      </c>
      <c r="T424" s="233">
        <f t="shared" si="78"/>
        <v>431650</v>
      </c>
      <c r="U424" s="233">
        <f t="shared" si="78"/>
        <v>435650</v>
      </c>
      <c r="V424" s="233">
        <f t="shared" si="76"/>
        <v>435650</v>
      </c>
      <c r="X424"/>
    </row>
    <row r="425" spans="1:24" outlineLevel="2" x14ac:dyDescent="0.3">
      <c r="A425" s="689"/>
      <c r="B425" s="224"/>
      <c r="D425" s="202"/>
      <c r="E425" s="202"/>
      <c r="F425" s="202"/>
      <c r="G425" s="202"/>
      <c r="H425" s="202"/>
      <c r="I425" s="202"/>
      <c r="J425" s="202"/>
      <c r="M425" s="534"/>
      <c r="N425" s="264"/>
      <c r="O425" s="264"/>
      <c r="P425" s="264"/>
      <c r="Q425" s="264"/>
      <c r="R425" s="264"/>
      <c r="S425" s="264"/>
      <c r="T425" s="264"/>
      <c r="U425" s="264"/>
      <c r="W425" s="238"/>
    </row>
    <row r="426" spans="1:24" outlineLevel="1" x14ac:dyDescent="0.3">
      <c r="A426" s="265">
        <f>X426</f>
        <v>0</v>
      </c>
      <c r="B426" s="224"/>
      <c r="N426" s="200"/>
      <c r="O426" s="200"/>
      <c r="P426" s="200"/>
      <c r="Q426" s="200"/>
      <c r="R426" s="200"/>
      <c r="S426" s="200"/>
      <c r="T426" s="200"/>
      <c r="U426" s="200"/>
      <c r="V426" s="251"/>
      <c r="X426" s="200"/>
    </row>
    <row r="427" spans="1:24" outlineLevel="1" x14ac:dyDescent="0.3">
      <c r="A427" s="265"/>
      <c r="B427" s="224"/>
      <c r="N427" s="200"/>
      <c r="O427" s="200"/>
      <c r="P427" s="200"/>
      <c r="Q427" s="200"/>
      <c r="R427" s="200"/>
      <c r="S427" s="200"/>
      <c r="T427" s="200"/>
      <c r="U427" s="200"/>
      <c r="V427" s="251"/>
      <c r="X427" s="200"/>
    </row>
    <row r="428" spans="1:24" x14ac:dyDescent="0.3">
      <c r="C428" s="201" t="s">
        <v>378</v>
      </c>
      <c r="D428" s="202" t="s">
        <v>379</v>
      </c>
    </row>
    <row r="429" spans="1:24" x14ac:dyDescent="0.3">
      <c r="F429" s="121" t="str">
        <f>I_MeterTypes[[#Headers],[Meter Type]]</f>
        <v>Meter Type</v>
      </c>
      <c r="G429" s="121" t="str">
        <f>I_MeterTypes[[#Headers],[RIN Subcategory 1]]</f>
        <v>RIN Subcategory 1</v>
      </c>
      <c r="H429" s="121" t="str">
        <f>I_MeterTypes[[#Headers],[RIN Subcategory 2]]</f>
        <v>RIN Subcategory 2</v>
      </c>
      <c r="I429" s="121" t="str">
        <f>I_MeterTypes[[#Headers],[AER Type]]</f>
        <v>AER Type</v>
      </c>
      <c r="J429" s="121" t="str">
        <f>I_MeterTypes[[#Headers],[RIN Subcategory 3]]</f>
        <v>RIN Subcategory 3</v>
      </c>
      <c r="K429" s="121" t="str">
        <f>I_MeterTypes[[#Headers],[Meter Code]]</f>
        <v>Meter Code</v>
      </c>
      <c r="L429" s="121" t="s">
        <v>6</v>
      </c>
      <c r="O429" s="457" t="str">
        <f>O$168</f>
        <v>2018-19</v>
      </c>
      <c r="P429" s="270" t="str">
        <f t="shared" ref="P429:U429" si="79">P$168</f>
        <v>2019-20</v>
      </c>
      <c r="Q429" s="267" t="str">
        <f t="shared" si="79"/>
        <v>2020-21</v>
      </c>
      <c r="R429" s="230" t="str">
        <f t="shared" si="79"/>
        <v>2021-22</v>
      </c>
      <c r="S429" s="230" t="str">
        <f t="shared" si="79"/>
        <v>2022-23</v>
      </c>
      <c r="T429" s="230" t="str">
        <f t="shared" si="79"/>
        <v>2023-24</v>
      </c>
      <c r="U429" s="230" t="str">
        <f t="shared" si="79"/>
        <v>2024-25</v>
      </c>
      <c r="V429" s="443" t="s">
        <v>332</v>
      </c>
    </row>
    <row r="430" spans="1:24" x14ac:dyDescent="0.3">
      <c r="F430" s="213" t="str" cm="1">
        <f t="array" ref="F430:F444">I_MeterTypes[Meter Type]</f>
        <v>AMI - Single Phase, single element</v>
      </c>
      <c r="G430" s="213" t="str" cm="1">
        <f t="array" ref="G430:G444">I_MeterTypes[RIN Subcategory 1]</f>
        <v>Single Phase Meter Population</v>
      </c>
      <c r="H430" s="213" t="str" cm="1">
        <f t="array" ref="H430:H444">I_MeterTypes[RIN Subcategory 2]</f>
        <v>Other</v>
      </c>
      <c r="I430" s="213" t="str" cm="1">
        <f t="array" ref="I430:I444">I_MeterTypes[AER Type]</f>
        <v>Meter Type 4</v>
      </c>
      <c r="J430" s="213" t="str" cm="1">
        <f t="array" ref="J430:J444">I_MeterTypes[RIN Subcategory 3]</f>
        <v>Single phase single element - AMI</v>
      </c>
      <c r="K430" s="213" t="str" cm="1">
        <f t="array" ref="K430:K444">I_MeterTypes[Meter Code]</f>
        <v>AMI 1ph 1e</v>
      </c>
      <c r="L430" s="214" t="s">
        <v>18</v>
      </c>
      <c r="O430" s="142" cm="1">
        <f t="array" ref="O430:U444">Q29*ICM_Vol1+
Q30*ICM_Vol2+
Q31*ICM_Vol3+
Q32*ICM_Vol4+
Q33*ICM_Vol5+
Q34*ICM_Vol6+
Q35*ICM_Vol7+
Q36*ICM_Vol8+
Q37*ICM_Vol9+
Q38*ICM_Vol10</f>
        <v>0</v>
      </c>
      <c r="P430" s="287">
        <v>13250</v>
      </c>
      <c r="Q430" s="223">
        <v>13250</v>
      </c>
      <c r="R430" s="143">
        <v>13250</v>
      </c>
      <c r="S430" s="143">
        <v>13250</v>
      </c>
      <c r="T430" s="143">
        <v>13250</v>
      </c>
      <c r="U430" s="143">
        <v>13250</v>
      </c>
      <c r="V430" s="231">
        <f t="shared" ref="V430:V445" si="80">U430</f>
        <v>13250</v>
      </c>
    </row>
    <row r="431" spans="1:24" x14ac:dyDescent="0.3">
      <c r="F431" s="587" t="str">
        <v>AMI - Single Phase, two element</v>
      </c>
      <c r="G431" s="587" t="str">
        <v>Single Phase Meter Population</v>
      </c>
      <c r="H431" s="587" t="str">
        <v>Other</v>
      </c>
      <c r="I431" s="587" t="str">
        <v>Meter Type 4</v>
      </c>
      <c r="J431" s="589" t="str">
        <v>Single phase two element with contactor - AMI</v>
      </c>
      <c r="K431" s="589" t="str">
        <v>AMI 1ph 2e</v>
      </c>
      <c r="L431" s="214" t="str">
        <f t="shared" ref="L431:L445" si="81">L$147</f>
        <v>No.</v>
      </c>
      <c r="O431" s="142">
        <v>0</v>
      </c>
      <c r="P431" s="287">
        <v>0</v>
      </c>
      <c r="Q431" s="223">
        <v>0</v>
      </c>
      <c r="R431" s="143">
        <v>0</v>
      </c>
      <c r="S431" s="143">
        <v>0</v>
      </c>
      <c r="T431" s="143">
        <v>0</v>
      </c>
      <c r="U431" s="143">
        <v>0</v>
      </c>
      <c r="V431" s="231">
        <f t="shared" si="80"/>
        <v>0</v>
      </c>
    </row>
    <row r="432" spans="1:24" x14ac:dyDescent="0.3">
      <c r="F432" s="587" t="str">
        <v>AMI - 3 Phase DC</v>
      </c>
      <c r="G432" s="587" t="str">
        <v>Multi Phase Meter Population</v>
      </c>
      <c r="H432" s="587" t="str">
        <v>Direct Connect Meter Population</v>
      </c>
      <c r="I432" s="587" t="str">
        <v>Meter Type 4</v>
      </c>
      <c r="J432" s="589" t="str">
        <v>Three phase - AMI</v>
      </c>
      <c r="K432" s="589" t="str">
        <v>AMI 3ph DC</v>
      </c>
      <c r="L432" s="214" t="str">
        <f t="shared" si="81"/>
        <v>No.</v>
      </c>
      <c r="O432" s="142">
        <v>0</v>
      </c>
      <c r="P432" s="287">
        <v>0</v>
      </c>
      <c r="Q432" s="223">
        <v>0</v>
      </c>
      <c r="R432" s="143">
        <v>0</v>
      </c>
      <c r="S432" s="143">
        <v>0</v>
      </c>
      <c r="T432" s="143">
        <v>0</v>
      </c>
      <c r="U432" s="143">
        <v>0</v>
      </c>
      <c r="V432" s="231">
        <f t="shared" si="80"/>
        <v>0</v>
      </c>
    </row>
    <row r="433" spans="6:22" x14ac:dyDescent="0.3">
      <c r="F433" s="587" t="str">
        <v>AMI 3Ph CT</v>
      </c>
      <c r="G433" s="587" t="str">
        <v>Multi Phase Meter Population</v>
      </c>
      <c r="H433" s="587" t="str">
        <v>Current Transformer Connected Meter Population</v>
      </c>
      <c r="I433" s="587" t="str">
        <v>Meter Type 4</v>
      </c>
      <c r="J433" s="589">
        <v>0</v>
      </c>
      <c r="K433" s="589" t="str">
        <v>AMI 3ph CT</v>
      </c>
      <c r="L433" s="214" t="str">
        <f t="shared" si="81"/>
        <v>No.</v>
      </c>
      <c r="N433" s="228"/>
      <c r="O433" s="142">
        <v>0</v>
      </c>
      <c r="P433" s="287">
        <v>0</v>
      </c>
      <c r="Q433" s="223">
        <v>0</v>
      </c>
      <c r="R433" s="143">
        <v>0</v>
      </c>
      <c r="S433" s="143">
        <v>0</v>
      </c>
      <c r="T433" s="143">
        <v>0</v>
      </c>
      <c r="U433" s="143">
        <v>0</v>
      </c>
      <c r="V433" s="231">
        <f t="shared" si="80"/>
        <v>0</v>
      </c>
    </row>
    <row r="434" spans="6:22" x14ac:dyDescent="0.3">
      <c r="F434" s="587" t="str">
        <v>Non AMI - Type 5 Locally read Interval - Single Phase</v>
      </c>
      <c r="G434" s="587" t="str">
        <v>Single Phase Meter Population</v>
      </c>
      <c r="H434" s="587" t="str">
        <v>Direct Connect Meter Population</v>
      </c>
      <c r="I434" s="587" t="str">
        <v>Meter Type 5</v>
      </c>
      <c r="J434" s="589">
        <v>0</v>
      </c>
      <c r="K434" s="589" t="str">
        <v>INT 1ph</v>
      </c>
      <c r="L434" s="214" t="str">
        <f t="shared" si="81"/>
        <v>No.</v>
      </c>
      <c r="N434" s="228"/>
      <c r="O434" s="142">
        <v>0</v>
      </c>
      <c r="P434" s="287">
        <v>0</v>
      </c>
      <c r="Q434" s="223">
        <v>0</v>
      </c>
      <c r="R434" s="143">
        <v>0</v>
      </c>
      <c r="S434" s="143">
        <v>0</v>
      </c>
      <c r="T434" s="143">
        <v>0</v>
      </c>
      <c r="U434" s="143">
        <v>0</v>
      </c>
      <c r="V434" s="231">
        <f t="shared" si="80"/>
        <v>0</v>
      </c>
    </row>
    <row r="435" spans="6:22" x14ac:dyDescent="0.3">
      <c r="F435" s="587" t="str">
        <v>Non AMI - Type 5 Locally read Interval - 3 Phase</v>
      </c>
      <c r="G435" s="587" t="str">
        <v>Single Phase Meter Population</v>
      </c>
      <c r="H435" s="587" t="str">
        <v>Direct Connect Meter Population</v>
      </c>
      <c r="I435" s="587" t="str">
        <v>Meter Type 5</v>
      </c>
      <c r="J435" s="589">
        <v>0</v>
      </c>
      <c r="K435" s="589" t="str">
        <v>INT 3ph</v>
      </c>
      <c r="L435" s="214" t="str">
        <f t="shared" si="81"/>
        <v>No.</v>
      </c>
      <c r="N435" s="228"/>
      <c r="O435" s="142">
        <v>0</v>
      </c>
      <c r="P435" s="287">
        <v>0</v>
      </c>
      <c r="Q435" s="223">
        <v>0</v>
      </c>
      <c r="R435" s="143">
        <v>0</v>
      </c>
      <c r="S435" s="143">
        <v>0</v>
      </c>
      <c r="T435" s="143">
        <v>0</v>
      </c>
      <c r="U435" s="143">
        <v>0</v>
      </c>
      <c r="V435" s="231">
        <f t="shared" si="80"/>
        <v>0</v>
      </c>
    </row>
    <row r="436" spans="6:22" x14ac:dyDescent="0.3">
      <c r="F436" s="587" t="str">
        <v>Non AMI - Type 5 Locally read Interval - 3 Phase - CT</v>
      </c>
      <c r="G436" s="587" t="str">
        <v>Multi Phase Meter Population</v>
      </c>
      <c r="H436" s="587" t="str">
        <v>Current Transformer Connected Meter Population</v>
      </c>
      <c r="I436" s="587" t="str">
        <v>Meter Type 5</v>
      </c>
      <c r="J436" s="589">
        <v>0</v>
      </c>
      <c r="K436" s="589" t="str">
        <v>INT 3ph CT</v>
      </c>
      <c r="L436" s="214" t="str">
        <f t="shared" si="81"/>
        <v>No.</v>
      </c>
      <c r="N436" s="228"/>
      <c r="O436" s="142">
        <v>0</v>
      </c>
      <c r="P436" s="287">
        <v>0</v>
      </c>
      <c r="Q436" s="223">
        <v>0</v>
      </c>
      <c r="R436" s="143">
        <v>0</v>
      </c>
      <c r="S436" s="143">
        <v>0</v>
      </c>
      <c r="T436" s="143">
        <v>0</v>
      </c>
      <c r="U436" s="143">
        <v>0</v>
      </c>
      <c r="V436" s="231">
        <f t="shared" si="80"/>
        <v>0</v>
      </c>
    </row>
    <row r="437" spans="6:22" x14ac:dyDescent="0.3">
      <c r="F437" s="587" t="str">
        <v>Non AMI - Type 6 Locally read Accumulation - Single Phase</v>
      </c>
      <c r="G437" s="587" t="str">
        <v>Multi Phase Meter Population</v>
      </c>
      <c r="H437" s="587" t="str">
        <v>Direct Connect Meter Population</v>
      </c>
      <c r="I437" s="587" t="str">
        <v>Meter Type 6</v>
      </c>
      <c r="J437" s="589">
        <v>0</v>
      </c>
      <c r="K437" s="589" t="str">
        <v>ACC 1ph</v>
      </c>
      <c r="L437" s="214" t="str">
        <f t="shared" si="81"/>
        <v>No.</v>
      </c>
      <c r="N437" s="228"/>
      <c r="O437" s="142">
        <v>0</v>
      </c>
      <c r="P437" s="287">
        <v>0</v>
      </c>
      <c r="Q437" s="223">
        <v>0</v>
      </c>
      <c r="R437" s="143">
        <v>0</v>
      </c>
      <c r="S437" s="143">
        <v>0</v>
      </c>
      <c r="T437" s="143">
        <v>0</v>
      </c>
      <c r="U437" s="143">
        <v>0</v>
      </c>
      <c r="V437" s="231">
        <f t="shared" si="80"/>
        <v>0</v>
      </c>
    </row>
    <row r="438" spans="6:22" x14ac:dyDescent="0.3">
      <c r="F438" s="587" t="str">
        <v>Non AMI - Type 6 Locally read Accumulation - 3 Phase</v>
      </c>
      <c r="G438" s="587">
        <v>0</v>
      </c>
      <c r="H438" s="587" t="str">
        <v>Direct Connect Meter Population</v>
      </c>
      <c r="I438" s="587" t="str">
        <v>Meter Type 6</v>
      </c>
      <c r="J438" s="589">
        <v>0</v>
      </c>
      <c r="K438" s="589" t="str">
        <v>ACC 3ph</v>
      </c>
      <c r="L438" s="214" t="str">
        <f t="shared" si="81"/>
        <v>No.</v>
      </c>
      <c r="N438" s="228"/>
      <c r="O438" s="142">
        <v>0</v>
      </c>
      <c r="P438" s="287">
        <v>0</v>
      </c>
      <c r="Q438" s="223">
        <v>0</v>
      </c>
      <c r="R438" s="143">
        <v>0</v>
      </c>
      <c r="S438" s="143">
        <v>0</v>
      </c>
      <c r="T438" s="143">
        <v>0</v>
      </c>
      <c r="U438" s="143">
        <v>0</v>
      </c>
      <c r="V438" s="231">
        <f t="shared" si="80"/>
        <v>0</v>
      </c>
    </row>
    <row r="439" spans="6:22" x14ac:dyDescent="0.3">
      <c r="F439" s="587">
        <v>0</v>
      </c>
      <c r="G439" s="587">
        <v>0</v>
      </c>
      <c r="H439" s="587">
        <v>0</v>
      </c>
      <c r="I439" s="587">
        <v>0</v>
      </c>
      <c r="J439" s="589">
        <v>0</v>
      </c>
      <c r="K439" s="589">
        <v>0</v>
      </c>
      <c r="L439" s="214" t="str">
        <f t="shared" si="81"/>
        <v>No.</v>
      </c>
      <c r="N439" s="228"/>
      <c r="O439" s="142">
        <v>0</v>
      </c>
      <c r="P439" s="287">
        <v>0</v>
      </c>
      <c r="Q439" s="223">
        <v>0</v>
      </c>
      <c r="R439" s="143">
        <v>0</v>
      </c>
      <c r="S439" s="143">
        <v>0</v>
      </c>
      <c r="T439" s="143">
        <v>0</v>
      </c>
      <c r="U439" s="143">
        <v>0</v>
      </c>
      <c r="V439" s="231">
        <f t="shared" si="80"/>
        <v>0</v>
      </c>
    </row>
    <row r="440" spans="6:22" x14ac:dyDescent="0.3">
      <c r="F440" s="587">
        <v>0</v>
      </c>
      <c r="G440" s="587">
        <v>0</v>
      </c>
      <c r="H440" s="587">
        <v>0</v>
      </c>
      <c r="I440" s="587">
        <v>0</v>
      </c>
      <c r="J440" s="589">
        <v>0</v>
      </c>
      <c r="K440" s="589">
        <v>0</v>
      </c>
      <c r="L440" s="214" t="str">
        <f t="shared" si="81"/>
        <v>No.</v>
      </c>
      <c r="N440" s="228"/>
      <c r="O440" s="142">
        <v>0</v>
      </c>
      <c r="P440" s="287">
        <v>0</v>
      </c>
      <c r="Q440" s="223">
        <v>0</v>
      </c>
      <c r="R440" s="143">
        <v>0</v>
      </c>
      <c r="S440" s="143">
        <v>0</v>
      </c>
      <c r="T440" s="143">
        <v>0</v>
      </c>
      <c r="U440" s="143">
        <v>0</v>
      </c>
      <c r="V440" s="231">
        <f t="shared" si="80"/>
        <v>0</v>
      </c>
    </row>
    <row r="441" spans="6:22" x14ac:dyDescent="0.3">
      <c r="F441" s="587">
        <v>0</v>
      </c>
      <c r="G441" s="587">
        <v>0</v>
      </c>
      <c r="H441" s="587">
        <v>0</v>
      </c>
      <c r="I441" s="587">
        <v>0</v>
      </c>
      <c r="J441" s="589">
        <v>0</v>
      </c>
      <c r="K441" s="589">
        <v>0</v>
      </c>
      <c r="L441" s="214" t="str">
        <f t="shared" si="81"/>
        <v>No.</v>
      </c>
      <c r="N441" s="228"/>
      <c r="O441" s="142">
        <v>0</v>
      </c>
      <c r="P441" s="287">
        <v>0</v>
      </c>
      <c r="Q441" s="223">
        <v>0</v>
      </c>
      <c r="R441" s="143">
        <v>0</v>
      </c>
      <c r="S441" s="143">
        <v>0</v>
      </c>
      <c r="T441" s="143">
        <v>0</v>
      </c>
      <c r="U441" s="143">
        <v>0</v>
      </c>
      <c r="V441" s="231">
        <f t="shared" si="80"/>
        <v>0</v>
      </c>
    </row>
    <row r="442" spans="6:22" x14ac:dyDescent="0.3">
      <c r="F442" s="587">
        <v>0</v>
      </c>
      <c r="G442" s="587">
        <v>0</v>
      </c>
      <c r="H442" s="587">
        <v>0</v>
      </c>
      <c r="I442" s="587">
        <v>0</v>
      </c>
      <c r="J442" s="589">
        <v>0</v>
      </c>
      <c r="K442" s="589">
        <v>0</v>
      </c>
      <c r="L442" s="214" t="str">
        <f t="shared" si="81"/>
        <v>No.</v>
      </c>
      <c r="N442" s="228"/>
      <c r="O442" s="142">
        <v>0</v>
      </c>
      <c r="P442" s="287">
        <v>0</v>
      </c>
      <c r="Q442" s="223">
        <v>0</v>
      </c>
      <c r="R442" s="143">
        <v>0</v>
      </c>
      <c r="S442" s="143">
        <v>0</v>
      </c>
      <c r="T442" s="143">
        <v>0</v>
      </c>
      <c r="U442" s="143">
        <v>0</v>
      </c>
      <c r="V442" s="231">
        <f t="shared" si="80"/>
        <v>0</v>
      </c>
    </row>
    <row r="443" spans="6:22" x14ac:dyDescent="0.3">
      <c r="F443" s="587">
        <v>0</v>
      </c>
      <c r="G443" s="587">
        <v>0</v>
      </c>
      <c r="H443" s="587">
        <v>0</v>
      </c>
      <c r="I443" s="587">
        <v>0</v>
      </c>
      <c r="J443" s="589">
        <v>0</v>
      </c>
      <c r="K443" s="589">
        <v>0</v>
      </c>
      <c r="L443" s="214" t="str">
        <f t="shared" si="81"/>
        <v>No.</v>
      </c>
      <c r="N443" s="228"/>
      <c r="O443" s="142">
        <v>0</v>
      </c>
      <c r="P443" s="287">
        <v>0</v>
      </c>
      <c r="Q443" s="223">
        <v>0</v>
      </c>
      <c r="R443" s="143">
        <v>0</v>
      </c>
      <c r="S443" s="143">
        <v>0</v>
      </c>
      <c r="T443" s="143">
        <v>0</v>
      </c>
      <c r="U443" s="143">
        <v>0</v>
      </c>
      <c r="V443" s="231">
        <f t="shared" si="80"/>
        <v>0</v>
      </c>
    </row>
    <row r="444" spans="6:22" x14ac:dyDescent="0.3">
      <c r="F444" s="588">
        <v>0</v>
      </c>
      <c r="G444" s="588">
        <v>0</v>
      </c>
      <c r="H444" s="588">
        <v>0</v>
      </c>
      <c r="I444" s="588">
        <v>0</v>
      </c>
      <c r="J444" s="590">
        <v>0</v>
      </c>
      <c r="K444" s="590">
        <v>0</v>
      </c>
      <c r="L444" s="214" t="str">
        <f t="shared" si="81"/>
        <v>No.</v>
      </c>
      <c r="N444" s="228"/>
      <c r="O444" s="142">
        <v>0</v>
      </c>
      <c r="P444" s="287">
        <v>0</v>
      </c>
      <c r="Q444" s="223">
        <v>0</v>
      </c>
      <c r="R444" s="143">
        <v>0</v>
      </c>
      <c r="S444" s="143">
        <v>0</v>
      </c>
      <c r="T444" s="143">
        <v>0</v>
      </c>
      <c r="U444" s="143">
        <v>0</v>
      </c>
      <c r="V444" s="231">
        <f t="shared" si="80"/>
        <v>0</v>
      </c>
    </row>
    <row r="445" spans="6:22" x14ac:dyDescent="0.3">
      <c r="F445" s="242" t="s">
        <v>17</v>
      </c>
      <c r="G445" s="243"/>
      <c r="H445" s="243"/>
      <c r="I445" s="243"/>
      <c r="J445" s="243"/>
      <c r="K445" s="244"/>
      <c r="L445" s="533" t="str">
        <f t="shared" si="81"/>
        <v>No.</v>
      </c>
      <c r="N445" s="228"/>
      <c r="O445" s="424">
        <f t="shared" ref="O445:U445" si="82">SUM(O430:O444)</f>
        <v>0</v>
      </c>
      <c r="P445" s="288">
        <f t="shared" si="82"/>
        <v>13250</v>
      </c>
      <c r="Q445" s="232">
        <f t="shared" si="82"/>
        <v>13250</v>
      </c>
      <c r="R445" s="233">
        <f t="shared" si="82"/>
        <v>13250</v>
      </c>
      <c r="S445" s="233">
        <f t="shared" si="82"/>
        <v>13250</v>
      </c>
      <c r="T445" s="233">
        <f t="shared" si="82"/>
        <v>13250</v>
      </c>
      <c r="U445" s="233">
        <f t="shared" si="82"/>
        <v>13250</v>
      </c>
      <c r="V445" s="233">
        <f t="shared" si="80"/>
        <v>13250</v>
      </c>
    </row>
    <row r="446" spans="6:22" x14ac:dyDescent="0.3"/>
    <row r="447" spans="6:22" x14ac:dyDescent="0.3"/>
    <row r="448" spans="6:22" x14ac:dyDescent="0.3"/>
  </sheetData>
  <mergeCells count="11">
    <mergeCell ref="Q167:U167"/>
    <mergeCell ref="G53:I54"/>
    <mergeCell ref="A71:K71"/>
    <mergeCell ref="A120:K120"/>
    <mergeCell ref="A121:A140"/>
    <mergeCell ref="A366:A425"/>
    <mergeCell ref="A142:A365"/>
    <mergeCell ref="A141:K141"/>
    <mergeCell ref="A5:K5"/>
    <mergeCell ref="A25:K25"/>
    <mergeCell ref="A41:K41"/>
  </mergeCells>
  <phoneticPr fontId="28" type="noConversion"/>
  <conditionalFormatting sqref="O54">
    <cfRule type="expression" dxfId="12" priority="8">
      <formula>$K54="Fixed Value"</formula>
    </cfRule>
    <cfRule type="expression" dxfId="11" priority="9">
      <formula>$K54="Fixed proportion"</formula>
    </cfRule>
    <cfRule type="expression" dxfId="10" priority="122">
      <formula>$K54="Entered value"</formula>
    </cfRule>
  </conditionalFormatting>
  <conditionalFormatting sqref="Q54:U54">
    <cfRule type="expression" dxfId="9" priority="123">
      <formula>$K54&lt;&gt;"Entered Value"</formula>
    </cfRule>
  </conditionalFormatting>
  <conditionalFormatting sqref="M147:M161">
    <cfRule type="expression" dxfId="8" priority="14">
      <formula>Capex_BaseYear&gt;M$146</formula>
    </cfRule>
    <cfRule type="expression" dxfId="7" priority="16">
      <formula>Capex_BaseYear&lt;M$146</formula>
    </cfRule>
  </conditionalFormatting>
  <conditionalFormatting sqref="Q169:U169 Q189:U189 Q349:U349 P210:P223 O169:P208 O224:P404">
    <cfRule type="expression" dxfId="6" priority="13">
      <formula>O$168&lt;=Capex_BaseYear</formula>
    </cfRule>
  </conditionalFormatting>
  <conditionalFormatting sqref="P209">
    <cfRule type="expression" dxfId="5" priority="4">
      <formula>P$168&lt;=Capex_BaseYear</formula>
    </cfRule>
  </conditionalFormatting>
  <conditionalFormatting sqref="O429:P445">
    <cfRule type="expression" dxfId="4" priority="2">
      <formula>O$168&lt;=Capex_BaseYear</formula>
    </cfRule>
  </conditionalFormatting>
  <conditionalFormatting sqref="O209:O223">
    <cfRule type="expression" dxfId="3" priority="1">
      <formula>O$168&lt;=Capex_BaseYear</formula>
    </cfRule>
  </conditionalFormatting>
  <dataValidations disablePrompts="1" count="1">
    <dataValidation type="list" allowBlank="1" showInputMessage="1" showErrorMessage="1" sqref="L46 L59 L65" xr:uid="{C7F54BA3-1B54-40E7-8433-D327A1C4FB24}">
      <formula1>LUT_Dollars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 xr:uid="{815E8C75-9713-4131-BF22-285DA27C6FD2}">
          <x14:formula1>
            <xm:f>'Lookup|Tables'!$F$101:$F$102</xm:f>
          </x14:formula1>
          <xm:sqref>G9:G23</xm:sqref>
        </x14:dataValidation>
        <x14:dataValidation type="list" allowBlank="1" showInputMessage="1" showErrorMessage="1" xr:uid="{597C7AEA-6E43-4DE2-A021-055860BFC3B0}">
          <x14:formula1>
            <xm:f>'Lookup|Tables'!$D$87:$D$89</xm:f>
          </x14:formula1>
          <xm:sqref>H29:H38</xm:sqref>
        </x14:dataValidation>
        <x14:dataValidation type="list" allowBlank="1" showInputMessage="1" showErrorMessage="1" xr:uid="{C69D459D-A9F0-4F36-B560-036DA2E0EA1F}">
          <x14:formula1>
            <xm:f>'Lookup|Tables'!$D$117:$D$119</xm:f>
          </x14:formula1>
          <xm:sqref>K54</xm:sqref>
        </x14:dataValidation>
        <x14:dataValidation type="list" allowBlank="1" showInputMessage="1" showErrorMessage="1" xr:uid="{33F28584-5D0C-4693-BAFF-2619E11F13F2}">
          <x14:formula1>
            <xm:f>'Lookup|Tables'!$F$87:$F$89</xm:f>
          </x14:formula1>
          <xm:sqref>I29:I38</xm:sqref>
        </x14:dataValidation>
        <x14:dataValidation type="list" allowBlank="1" showInputMessage="1" showErrorMessage="1" xr:uid="{8169C8E0-DCD7-420F-B290-BACB40DBD85D}">
          <x14:formula1>
            <xm:f>'Lookup|Tables'!$D$125:$D$126</xm:f>
          </x14:formula1>
          <xm:sqref>P77</xm:sqref>
        </x14:dataValidation>
        <x14:dataValidation type="list" allowBlank="1" showInputMessage="1" showErrorMessage="1" xr:uid="{D8AA6EC2-ED67-4B33-A0EA-2E607EF5DA4A}">
          <x14:formula1>
            <xm:f>'Lookup|Tables'!$G$101:$G$103</xm:f>
          </x14:formula1>
          <xm:sqref>H9:H23</xm:sqref>
        </x14:dataValidation>
        <x14:dataValidation type="list" allowBlank="1" showInputMessage="1" showErrorMessage="1" xr:uid="{1FF0A915-D6E3-4EBA-BC81-16CAFC3F9564}">
          <x14:formula1>
            <xm:f>'Lookup|Tables'!$H$101:$H$103</xm:f>
          </x14:formula1>
          <xm:sqref>I9:I23</xm:sqref>
        </x14:dataValidation>
        <x14:dataValidation type="list" allowBlank="1" showInputMessage="1" showErrorMessage="1" xr:uid="{1ABB2AD2-BB4E-4432-AAA2-7D723EDAF852}">
          <x14:formula1>
            <xm:f>'Lookup|Tables'!$I$101:$I$112</xm:f>
          </x14:formula1>
          <xm:sqref>J9:J23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E786B-FA1C-44BA-8E46-1A0F7557A214}">
  <sheetPr codeName="Sheet9">
    <tabColor theme="8" tint="0.39997558519241921"/>
  </sheetPr>
  <dimension ref="A1:S207"/>
  <sheetViews>
    <sheetView showGridLines="0" zoomScaleNormal="100" workbookViewId="0">
      <pane ySplit="3" topLeftCell="A191" activePane="bottomLeft" state="frozen"/>
      <selection pane="bottomLeft" activeCell="J50" sqref="J50"/>
    </sheetView>
  </sheetViews>
  <sheetFormatPr defaultColWidth="0" defaultRowHeight="13" zeroHeight="1" outlineLevelRow="1" x14ac:dyDescent="0.3"/>
  <cols>
    <col min="1" max="2" width="2.54296875" style="88" customWidth="1"/>
    <col min="3" max="3" width="2.453125" style="88" customWidth="1"/>
    <col min="4" max="4" width="4.453125" style="88" customWidth="1"/>
    <col min="5" max="5" width="23.54296875" style="88" bestFit="1" customWidth="1"/>
    <col min="6" max="6" width="30.1796875" style="88" customWidth="1"/>
    <col min="7" max="7" width="18.81640625" style="88" customWidth="1"/>
    <col min="8" max="8" width="24.1796875" style="88" bestFit="1" customWidth="1"/>
    <col min="9" max="9" width="18.1796875" style="88" bestFit="1" customWidth="1"/>
    <col min="10" max="17" width="12.54296875" style="88" customWidth="1"/>
    <col min="18" max="18" width="11.81640625" style="88" customWidth="1"/>
    <col min="19" max="19" width="9.1796875" style="88" customWidth="1"/>
    <col min="20" max="16384" width="9.1796875" style="88" hidden="1"/>
  </cols>
  <sheetData>
    <row r="1" spans="1:19" s="80" customFormat="1" ht="18" x14ac:dyDescent="0.3">
      <c r="A1" s="67"/>
      <c r="B1" s="67" t="str">
        <f>'Input|General'!B1&amp;" v"&amp;'Input|General'!$D$2</f>
        <v>AER Metering Opex &amp; Capex Forecasting Model DRAFT v1</v>
      </c>
      <c r="C1" s="67"/>
      <c r="D1" s="67"/>
      <c r="E1" s="67"/>
      <c r="F1" s="6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s="80" customFormat="1" ht="18" x14ac:dyDescent="0.3">
      <c r="A2" s="55"/>
      <c r="B2" s="68" t="str" cm="1">
        <f t="array" aca="1" ref="B2" ca="1">MID(CELL("filename",A1),FIND("]",CELL("filename",A1))+1,255)</f>
        <v>Input | Comms &amp; IT</v>
      </c>
      <c r="C2" s="55"/>
      <c r="D2" s="55"/>
      <c r="E2" s="55"/>
      <c r="F2" s="55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3"/>
      <c r="S2" s="3"/>
    </row>
    <row r="3" spans="1:19" s="80" customFormat="1" ht="18" x14ac:dyDescent="0.3">
      <c r="A3" s="55"/>
      <c r="B3" s="68"/>
      <c r="C3" s="55"/>
      <c r="D3" s="55"/>
      <c r="E3" s="55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19" x14ac:dyDescent="0.3"/>
    <row r="5" spans="1:19" x14ac:dyDescent="0.3">
      <c r="S5" s="89"/>
    </row>
    <row r="6" spans="1:19" x14ac:dyDescent="0.3">
      <c r="A6" s="690" t="str">
        <f>LEFT('Input | Meters Vols &amp; Costs'!A141,1)+1&amp;". Comms Setup"</f>
        <v>7. Comms Setup</v>
      </c>
      <c r="B6" s="690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90"/>
      <c r="N6" s="90"/>
      <c r="O6" s="91"/>
      <c r="P6" s="91"/>
      <c r="Q6" s="91"/>
      <c r="R6" s="91"/>
      <c r="S6" s="89"/>
    </row>
    <row r="7" spans="1:19" x14ac:dyDescent="0.3">
      <c r="B7" s="92"/>
      <c r="C7" s="92"/>
      <c r="D7" s="92"/>
      <c r="S7" s="89"/>
    </row>
    <row r="8" spans="1:19" x14ac:dyDescent="0.3">
      <c r="B8" s="88" t="s">
        <v>7</v>
      </c>
      <c r="C8" s="92" t="s">
        <v>320</v>
      </c>
      <c r="I8" s="89"/>
      <c r="J8" s="89"/>
      <c r="K8" s="89"/>
      <c r="L8" s="89"/>
      <c r="M8" s="89"/>
      <c r="N8" s="89"/>
      <c r="O8" s="89"/>
      <c r="P8" s="89"/>
      <c r="S8" s="89"/>
    </row>
    <row r="9" spans="1:19" x14ac:dyDescent="0.3">
      <c r="C9" s="92"/>
      <c r="I9" s="89"/>
      <c r="J9" s="89"/>
      <c r="K9" s="89"/>
      <c r="L9" s="89"/>
      <c r="M9" s="89"/>
      <c r="N9" s="89"/>
      <c r="O9" s="89"/>
      <c r="P9" s="89"/>
      <c r="S9" s="89"/>
    </row>
    <row r="10" spans="1:19" x14ac:dyDescent="0.3">
      <c r="C10" s="93"/>
      <c r="E10" s="94" t="s">
        <v>161</v>
      </c>
      <c r="H10" s="92"/>
      <c r="I10" s="89"/>
      <c r="J10" s="89"/>
      <c r="K10" s="89"/>
      <c r="L10" s="89"/>
      <c r="M10" s="89"/>
      <c r="N10" s="89"/>
      <c r="O10" s="89"/>
      <c r="P10" s="89"/>
      <c r="S10" s="89"/>
    </row>
    <row r="11" spans="1:19" x14ac:dyDescent="0.3">
      <c r="C11" s="93"/>
      <c r="E11" s="95" t="s">
        <v>170</v>
      </c>
      <c r="I11" s="89"/>
      <c r="J11" s="89"/>
      <c r="K11" s="89"/>
      <c r="L11" s="89"/>
      <c r="M11" s="89"/>
      <c r="N11" s="89"/>
      <c r="O11" s="89"/>
      <c r="P11" s="89"/>
      <c r="S11" s="89"/>
    </row>
    <row r="12" spans="1:19" x14ac:dyDescent="0.3">
      <c r="C12" s="93"/>
      <c r="E12" s="95" t="s">
        <v>14</v>
      </c>
      <c r="I12" s="89"/>
      <c r="J12" s="89"/>
      <c r="K12" s="89"/>
      <c r="L12" s="89"/>
      <c r="M12" s="89"/>
      <c r="N12" s="89"/>
      <c r="O12" s="89"/>
      <c r="P12" s="89"/>
      <c r="S12" s="89"/>
    </row>
    <row r="13" spans="1:19" x14ac:dyDescent="0.3">
      <c r="C13" s="93"/>
      <c r="E13" s="95" t="s">
        <v>414</v>
      </c>
      <c r="G13" s="96"/>
      <c r="I13" s="89"/>
      <c r="J13" s="89"/>
      <c r="K13" s="89"/>
      <c r="L13" s="89"/>
      <c r="M13" s="89"/>
      <c r="N13" s="89"/>
      <c r="O13" s="89"/>
      <c r="P13" s="89"/>
      <c r="S13" s="89"/>
    </row>
    <row r="14" spans="1:19" x14ac:dyDescent="0.3">
      <c r="C14" s="93"/>
      <c r="E14" s="95" t="s">
        <v>13</v>
      </c>
      <c r="G14" s="97"/>
      <c r="I14" s="89"/>
      <c r="J14" s="89"/>
      <c r="K14" s="89"/>
      <c r="L14" s="89"/>
      <c r="M14" s="89"/>
      <c r="N14" s="89"/>
      <c r="O14" s="89"/>
      <c r="P14" s="89"/>
      <c r="S14" s="89"/>
    </row>
    <row r="15" spans="1:19" x14ac:dyDescent="0.3">
      <c r="C15" s="93"/>
      <c r="E15" s="95" t="s">
        <v>415</v>
      </c>
      <c r="F15" s="98"/>
      <c r="G15" s="97"/>
      <c r="I15" s="89"/>
      <c r="J15" s="89"/>
      <c r="K15" s="89"/>
      <c r="L15" s="89"/>
      <c r="M15" s="89"/>
      <c r="N15" s="89"/>
      <c r="O15" s="89"/>
      <c r="P15" s="89"/>
      <c r="S15" s="89"/>
    </row>
    <row r="16" spans="1:19" x14ac:dyDescent="0.3">
      <c r="C16" s="93"/>
      <c r="E16" s="95"/>
      <c r="F16" s="98"/>
      <c r="G16" s="97"/>
      <c r="I16" s="89"/>
      <c r="J16" s="89"/>
      <c r="K16" s="89"/>
      <c r="L16" s="89"/>
      <c r="M16" s="89"/>
      <c r="N16" s="89"/>
      <c r="O16" s="89"/>
      <c r="P16" s="89"/>
      <c r="S16" s="89"/>
    </row>
    <row r="17" spans="3:19" x14ac:dyDescent="0.3">
      <c r="C17" s="93"/>
      <c r="E17" s="95"/>
      <c r="F17" s="98"/>
      <c r="G17" s="97"/>
      <c r="I17" s="89"/>
      <c r="J17" s="89"/>
      <c r="K17" s="89"/>
      <c r="L17" s="89"/>
      <c r="M17" s="89"/>
      <c r="N17" s="89"/>
      <c r="O17" s="89"/>
      <c r="P17" s="89"/>
      <c r="S17" s="89"/>
    </row>
    <row r="18" spans="3:19" x14ac:dyDescent="0.3">
      <c r="C18" s="93"/>
      <c r="E18" s="95"/>
      <c r="F18" s="98"/>
      <c r="G18" s="97"/>
      <c r="I18" s="89"/>
      <c r="J18" s="89"/>
      <c r="K18" s="89"/>
      <c r="L18" s="89"/>
      <c r="M18" s="89"/>
      <c r="N18" s="89"/>
      <c r="O18" s="89"/>
      <c r="P18" s="89"/>
      <c r="S18" s="89"/>
    </row>
    <row r="19" spans="3:19" x14ac:dyDescent="0.3">
      <c r="C19" s="93"/>
      <c r="E19" s="95"/>
      <c r="F19" s="98"/>
      <c r="G19" s="97"/>
      <c r="I19" s="89"/>
      <c r="J19" s="89"/>
      <c r="K19" s="89"/>
      <c r="L19" s="89"/>
      <c r="M19" s="89"/>
      <c r="N19" s="89"/>
      <c r="O19" s="89"/>
      <c r="P19" s="89"/>
      <c r="S19" s="89"/>
    </row>
    <row r="20" spans="3:19" x14ac:dyDescent="0.3">
      <c r="C20" s="93"/>
      <c r="E20" s="95"/>
      <c r="F20" s="98"/>
      <c r="G20" s="97"/>
      <c r="I20" s="89"/>
      <c r="J20" s="89"/>
      <c r="K20" s="89"/>
      <c r="L20" s="89"/>
      <c r="M20" s="89"/>
      <c r="N20" s="89"/>
      <c r="O20" s="89"/>
      <c r="P20" s="89"/>
      <c r="S20" s="89"/>
    </row>
    <row r="21" spans="3:19" x14ac:dyDescent="0.3">
      <c r="C21" s="93"/>
      <c r="E21" s="95"/>
      <c r="F21" s="99"/>
      <c r="G21" s="89"/>
      <c r="S21" s="89"/>
    </row>
    <row r="22" spans="3:19" x14ac:dyDescent="0.3">
      <c r="C22" s="93"/>
      <c r="E22" s="95"/>
      <c r="F22" s="99"/>
      <c r="G22" s="89"/>
      <c r="S22" s="89"/>
    </row>
    <row r="23" spans="3:19" x14ac:dyDescent="0.3">
      <c r="C23" s="93"/>
      <c r="E23" s="95"/>
      <c r="F23" s="99"/>
      <c r="G23" s="89"/>
      <c r="S23" s="89"/>
    </row>
    <row r="24" spans="3:19" x14ac:dyDescent="0.3">
      <c r="C24" s="93"/>
      <c r="E24" s="95"/>
      <c r="F24" s="99"/>
      <c r="G24" s="89"/>
      <c r="S24" s="89"/>
    </row>
    <row r="25" spans="3:19" x14ac:dyDescent="0.3">
      <c r="C25" s="93"/>
      <c r="E25" s="100"/>
      <c r="F25" s="99"/>
      <c r="G25" s="89"/>
      <c r="S25" s="89"/>
    </row>
    <row r="26" spans="3:19" x14ac:dyDescent="0.3">
      <c r="C26" s="93"/>
      <c r="E26" s="101"/>
      <c r="G26" s="89"/>
      <c r="S26" s="89"/>
    </row>
    <row r="27" spans="3:19" ht="39" x14ac:dyDescent="0.3">
      <c r="C27" s="93"/>
      <c r="E27" s="94" t="s">
        <v>160</v>
      </c>
      <c r="F27" s="94" t="s">
        <v>187</v>
      </c>
      <c r="G27" s="89"/>
      <c r="H27" s="102" t="s">
        <v>145</v>
      </c>
      <c r="S27" s="89"/>
    </row>
    <row r="28" spans="3:19" x14ac:dyDescent="0.3">
      <c r="C28" s="93"/>
      <c r="E28" s="95" t="s">
        <v>416</v>
      </c>
      <c r="F28" s="95" t="s">
        <v>137</v>
      </c>
      <c r="G28" s="89"/>
      <c r="H28" s="103" cm="1">
        <f t="array" ref="H28">IFERROR(_xlfn.IFS(F28="Add",1,F28="No Effect",0,F28="Subtract",-1),0)</f>
        <v>1</v>
      </c>
      <c r="S28" s="89"/>
    </row>
    <row r="29" spans="3:19" ht="25" x14ac:dyDescent="0.3">
      <c r="C29" s="93"/>
      <c r="E29" s="95" t="s">
        <v>417</v>
      </c>
      <c r="F29" s="95" t="s">
        <v>141</v>
      </c>
      <c r="G29" s="89"/>
      <c r="H29" s="103" cm="1">
        <f t="array" ref="H29">IFERROR(_xlfn.IFS(F29="Add",1,F29="No Effect",0,F29="Subtract",-1),0)</f>
        <v>0</v>
      </c>
      <c r="S29" s="89"/>
    </row>
    <row r="30" spans="3:19" x14ac:dyDescent="0.3">
      <c r="C30" s="93"/>
      <c r="E30" s="95"/>
      <c r="F30" s="95"/>
      <c r="G30" s="89"/>
      <c r="H30" s="103" cm="1">
        <f t="array" ref="H30">IFERROR(_xlfn.IFS(F30="Add",1,F30="No Effect",0,F30="Subtract",-1),0)</f>
        <v>0</v>
      </c>
      <c r="S30" s="89"/>
    </row>
    <row r="31" spans="3:19" x14ac:dyDescent="0.3">
      <c r="C31" s="93"/>
      <c r="E31" s="95"/>
      <c r="F31" s="95"/>
      <c r="G31" s="89"/>
      <c r="H31" s="103" cm="1">
        <f t="array" ref="H31">IFERROR(_xlfn.IFS(F31="Add",1,F31="No Effect",0,F31="Subtract",-1),0)</f>
        <v>0</v>
      </c>
      <c r="S31" s="89"/>
    </row>
    <row r="32" spans="3:19" x14ac:dyDescent="0.3">
      <c r="C32" s="93"/>
      <c r="E32" s="95"/>
      <c r="F32" s="95"/>
      <c r="G32" s="89"/>
      <c r="H32" s="103" cm="1">
        <f t="array" ref="H32">IFERROR(_xlfn.IFS(F32="Add",1,F32="No Effect",0,F32="Subtract",-1),0)</f>
        <v>0</v>
      </c>
      <c r="S32" s="89"/>
    </row>
    <row r="33" spans="1:19" x14ac:dyDescent="0.3">
      <c r="C33" s="93"/>
      <c r="E33" s="95"/>
      <c r="F33" s="95"/>
      <c r="G33" s="89"/>
      <c r="H33" s="103" cm="1">
        <f t="array" ref="H33">IFERROR(_xlfn.IFS(F33="Add",1,F33="No Effect",0,F33="Subtract",-1),0)</f>
        <v>0</v>
      </c>
      <c r="S33" s="89"/>
    </row>
    <row r="34" spans="1:19" x14ac:dyDescent="0.3">
      <c r="C34" s="93"/>
      <c r="E34" s="95"/>
      <c r="F34" s="95"/>
      <c r="G34" s="89"/>
      <c r="H34" s="103" cm="1">
        <f t="array" ref="H34">IFERROR(_xlfn.IFS(F34="Add",1,F34="No Effect",0,F34="Subtract",-1),0)</f>
        <v>0</v>
      </c>
      <c r="S34" s="89"/>
    </row>
    <row r="35" spans="1:19" x14ac:dyDescent="0.3">
      <c r="C35" s="93"/>
      <c r="E35" s="95"/>
      <c r="F35" s="95"/>
      <c r="G35" s="89"/>
      <c r="H35" s="103" cm="1">
        <f t="array" ref="H35">IFERROR(_xlfn.IFS(F35="Add",1,F35="No Effect",0,F35="Subtract",-1),0)</f>
        <v>0</v>
      </c>
      <c r="S35" s="89"/>
    </row>
    <row r="36" spans="1:19" x14ac:dyDescent="0.3">
      <c r="C36" s="93"/>
      <c r="E36" s="95"/>
      <c r="F36" s="95"/>
      <c r="G36" s="89"/>
      <c r="H36" s="103" cm="1">
        <f t="array" ref="H36">IFERROR(_xlfn.IFS(F36="Add",1,F36="No Effect",0,F36="Subtract",-1),0)</f>
        <v>0</v>
      </c>
      <c r="S36" s="89"/>
    </row>
    <row r="37" spans="1:19" x14ac:dyDescent="0.3">
      <c r="C37" s="93"/>
      <c r="E37" s="100"/>
      <c r="F37" s="100"/>
      <c r="G37" s="89"/>
      <c r="H37" s="103" cm="1">
        <f t="array" ref="H37">IFERROR(_xlfn.IFS(F37="Add",1,F37="No Effect",0,F37="Subtract",-1),0)</f>
        <v>0</v>
      </c>
      <c r="S37" s="89"/>
    </row>
    <row r="38" spans="1:19" x14ac:dyDescent="0.3">
      <c r="C38" s="93"/>
      <c r="E38" s="101"/>
      <c r="G38" s="89"/>
      <c r="S38" s="89"/>
    </row>
    <row r="39" spans="1:19" x14ac:dyDescent="0.3">
      <c r="A39" s="690" t="str">
        <f>LEFT(A6,1)+1&amp;". Unit Costs &amp; Cost Allocation"</f>
        <v>8. Unit Costs &amp; Cost Allocation</v>
      </c>
      <c r="B39" s="690"/>
      <c r="C39" s="690"/>
      <c r="D39" s="690"/>
      <c r="E39" s="690"/>
      <c r="F39" s="690"/>
      <c r="G39" s="690"/>
      <c r="H39" s="690"/>
      <c r="I39" s="690"/>
      <c r="J39" s="690"/>
      <c r="K39" s="690"/>
      <c r="L39" s="690"/>
      <c r="M39" s="90"/>
      <c r="N39" s="90"/>
      <c r="O39" s="91"/>
      <c r="P39" s="91"/>
      <c r="Q39" s="91"/>
      <c r="R39" s="91"/>
      <c r="S39" s="89"/>
    </row>
    <row r="40" spans="1:19" s="89" customFormat="1" ht="12.5" x14ac:dyDescent="0.25"/>
    <row r="41" spans="1:19" ht="13.5" thickBot="1" x14ac:dyDescent="0.35">
      <c r="B41" s="104" t="s">
        <v>7</v>
      </c>
      <c r="C41" s="92" t="s">
        <v>169</v>
      </c>
      <c r="D41" s="92"/>
      <c r="E41" s="96"/>
      <c r="F41" s="96"/>
      <c r="N41"/>
      <c r="S41" s="89"/>
    </row>
    <row r="42" spans="1:19" ht="13.5" thickBot="1" x14ac:dyDescent="0.35">
      <c r="C42" s="96"/>
      <c r="D42" s="96"/>
      <c r="E42" s="105"/>
      <c r="F42" s="106"/>
      <c r="G42" s="693" t="s">
        <v>168</v>
      </c>
      <c r="H42" s="694"/>
      <c r="I42" s="694"/>
      <c r="J42" s="694"/>
      <c r="K42" s="695"/>
      <c r="L42" s="483"/>
      <c r="M42" s="482"/>
      <c r="N42"/>
      <c r="R42" s="418"/>
      <c r="S42" s="89"/>
    </row>
    <row r="43" spans="1:19" ht="26" x14ac:dyDescent="0.3">
      <c r="C43" s="96"/>
      <c r="D43" s="96"/>
      <c r="E43" s="107" t="s">
        <v>161</v>
      </c>
      <c r="F43" s="108" t="s">
        <v>160</v>
      </c>
      <c r="G43" s="696" t="s">
        <v>158</v>
      </c>
      <c r="H43" s="697"/>
      <c r="I43" s="696" t="s">
        <v>157</v>
      </c>
      <c r="J43" s="698"/>
      <c r="K43" s="697"/>
      <c r="L43" s="109" t="s">
        <v>167</v>
      </c>
      <c r="M43" s="484" t="s">
        <v>166</v>
      </c>
      <c r="N43"/>
      <c r="Q43" s="89"/>
      <c r="R43" s="419" t="s">
        <v>167</v>
      </c>
      <c r="S43" s="89"/>
    </row>
    <row r="44" spans="1:19" ht="39.5" thickBot="1" x14ac:dyDescent="0.35">
      <c r="C44" s="96"/>
      <c r="D44" s="96"/>
      <c r="E44" s="110"/>
      <c r="F44" s="111"/>
      <c r="G44" s="112" t="s">
        <v>118</v>
      </c>
      <c r="H44" s="114" t="s">
        <v>177</v>
      </c>
      <c r="I44" s="112" t="s">
        <v>118</v>
      </c>
      <c r="J44" s="113" t="s">
        <v>331</v>
      </c>
      <c r="K44" s="114" t="s">
        <v>177</v>
      </c>
      <c r="L44" s="115"/>
      <c r="M44" s="116"/>
      <c r="N44"/>
      <c r="Q44" s="89"/>
      <c r="R44" s="420" t="s">
        <v>327</v>
      </c>
      <c r="S44" s="89"/>
    </row>
    <row r="45" spans="1:19" x14ac:dyDescent="0.3">
      <c r="E45" s="136" t="s">
        <v>170</v>
      </c>
      <c r="F45" s="186" t="s">
        <v>416</v>
      </c>
      <c r="G45" s="117">
        <f t="shared" ref="G45:G64" si="0">Basis_Capex</f>
        <v>43617</v>
      </c>
      <c r="H45" s="190">
        <v>8000</v>
      </c>
      <c r="I45" s="117">
        <f t="shared" ref="I45:I64" si="1">Basis_Capex</f>
        <v>43617</v>
      </c>
      <c r="J45" s="189" t="s">
        <v>40</v>
      </c>
      <c r="K45" s="190">
        <v>800</v>
      </c>
      <c r="L45" s="196">
        <v>0</v>
      </c>
      <c r="M45" s="189">
        <v>0.05</v>
      </c>
      <c r="Q45" s="89"/>
      <c r="R45" s="196">
        <v>0</v>
      </c>
      <c r="S45" s="89"/>
    </row>
    <row r="46" spans="1:19" x14ac:dyDescent="0.3">
      <c r="E46" s="137" t="s">
        <v>14</v>
      </c>
      <c r="F46" s="187" t="s">
        <v>416</v>
      </c>
      <c r="G46" s="117">
        <f t="shared" si="0"/>
        <v>43617</v>
      </c>
      <c r="H46" s="192">
        <v>1500</v>
      </c>
      <c r="I46" s="117">
        <f t="shared" si="1"/>
        <v>43617</v>
      </c>
      <c r="J46" s="191" t="s">
        <v>40</v>
      </c>
      <c r="K46" s="192">
        <v>800</v>
      </c>
      <c r="L46" s="196">
        <v>0</v>
      </c>
      <c r="M46" s="189">
        <v>0.05</v>
      </c>
      <c r="Q46" s="89"/>
      <c r="R46" s="196">
        <v>0</v>
      </c>
      <c r="S46" s="89"/>
    </row>
    <row r="47" spans="1:19" x14ac:dyDescent="0.3">
      <c r="E47" s="137" t="s">
        <v>414</v>
      </c>
      <c r="F47" s="187" t="s">
        <v>416</v>
      </c>
      <c r="G47" s="117">
        <f t="shared" si="0"/>
        <v>43617</v>
      </c>
      <c r="H47" s="192">
        <v>60</v>
      </c>
      <c r="I47" s="117">
        <f t="shared" si="1"/>
        <v>43617</v>
      </c>
      <c r="J47" s="191" t="s">
        <v>40</v>
      </c>
      <c r="K47" s="192">
        <v>60</v>
      </c>
      <c r="L47" s="196">
        <v>0</v>
      </c>
      <c r="M47" s="189">
        <v>0.05</v>
      </c>
      <c r="Q47" s="89"/>
      <c r="R47" s="196">
        <v>0</v>
      </c>
      <c r="S47" s="89"/>
    </row>
    <row r="48" spans="1:19" x14ac:dyDescent="0.3">
      <c r="E48" s="137" t="s">
        <v>13</v>
      </c>
      <c r="F48" s="187" t="s">
        <v>416</v>
      </c>
      <c r="G48" s="117">
        <f t="shared" si="0"/>
        <v>43617</v>
      </c>
      <c r="H48" s="192">
        <v>800</v>
      </c>
      <c r="I48" s="117">
        <f t="shared" si="1"/>
        <v>43617</v>
      </c>
      <c r="J48" s="191" t="s">
        <v>40</v>
      </c>
      <c r="K48" s="192">
        <v>800</v>
      </c>
      <c r="L48" s="196">
        <v>0</v>
      </c>
      <c r="M48" s="189">
        <v>0.05</v>
      </c>
      <c r="Q48" s="89"/>
      <c r="R48" s="196">
        <v>0</v>
      </c>
      <c r="S48" s="89"/>
    </row>
    <row r="49" spans="5:19" x14ac:dyDescent="0.3">
      <c r="E49" s="137" t="s">
        <v>170</v>
      </c>
      <c r="F49" s="187" t="s">
        <v>417</v>
      </c>
      <c r="G49" s="117">
        <f t="shared" si="0"/>
        <v>43617</v>
      </c>
      <c r="H49" s="193">
        <v>8000</v>
      </c>
      <c r="I49" s="117">
        <f t="shared" si="1"/>
        <v>43617</v>
      </c>
      <c r="J49" s="191" t="s">
        <v>40</v>
      </c>
      <c r="K49" s="193">
        <v>800</v>
      </c>
      <c r="L49" s="196">
        <v>0</v>
      </c>
      <c r="M49" s="189">
        <v>0.05</v>
      </c>
      <c r="Q49" s="89"/>
      <c r="R49" s="196">
        <v>0</v>
      </c>
      <c r="S49" s="89"/>
    </row>
    <row r="50" spans="5:19" x14ac:dyDescent="0.3">
      <c r="E50" s="137" t="s">
        <v>13</v>
      </c>
      <c r="F50" s="187" t="s">
        <v>417</v>
      </c>
      <c r="G50" s="117">
        <f t="shared" si="0"/>
        <v>43617</v>
      </c>
      <c r="H50" s="192">
        <v>800</v>
      </c>
      <c r="I50" s="117">
        <f t="shared" si="1"/>
        <v>43617</v>
      </c>
      <c r="J50" s="191" t="s">
        <v>40</v>
      </c>
      <c r="K50" s="192">
        <v>800</v>
      </c>
      <c r="L50" s="196">
        <v>0</v>
      </c>
      <c r="M50" s="189">
        <v>0.05</v>
      </c>
      <c r="Q50" s="89"/>
      <c r="R50" s="196">
        <v>0</v>
      </c>
      <c r="S50" s="89"/>
    </row>
    <row r="51" spans="5:19" x14ac:dyDescent="0.3">
      <c r="E51" s="137"/>
      <c r="F51" s="187"/>
      <c r="G51" s="117">
        <f t="shared" si="0"/>
        <v>43617</v>
      </c>
      <c r="H51" s="192"/>
      <c r="I51" s="117">
        <f t="shared" si="1"/>
        <v>43617</v>
      </c>
      <c r="J51" s="191"/>
      <c r="K51" s="192"/>
      <c r="L51" s="197"/>
      <c r="M51" s="191"/>
      <c r="Q51" s="89"/>
      <c r="R51" s="197"/>
      <c r="S51" s="89"/>
    </row>
    <row r="52" spans="5:19" x14ac:dyDescent="0.3">
      <c r="E52" s="137"/>
      <c r="F52" s="187"/>
      <c r="G52" s="117">
        <f t="shared" si="0"/>
        <v>43617</v>
      </c>
      <c r="H52" s="192"/>
      <c r="I52" s="117">
        <f t="shared" si="1"/>
        <v>43617</v>
      </c>
      <c r="J52" s="191"/>
      <c r="K52" s="192"/>
      <c r="L52" s="197"/>
      <c r="M52" s="191"/>
      <c r="Q52" s="89"/>
      <c r="R52" s="197"/>
      <c r="S52" s="89"/>
    </row>
    <row r="53" spans="5:19" x14ac:dyDescent="0.3">
      <c r="E53" s="137"/>
      <c r="F53" s="187"/>
      <c r="G53" s="117">
        <f t="shared" si="0"/>
        <v>43617</v>
      </c>
      <c r="H53" s="192"/>
      <c r="I53" s="117">
        <f t="shared" si="1"/>
        <v>43617</v>
      </c>
      <c r="J53" s="191"/>
      <c r="K53" s="192"/>
      <c r="L53" s="197"/>
      <c r="M53" s="191"/>
      <c r="Q53" s="89"/>
      <c r="R53" s="197"/>
      <c r="S53" s="89"/>
    </row>
    <row r="54" spans="5:19" x14ac:dyDescent="0.3">
      <c r="E54" s="137"/>
      <c r="F54" s="187"/>
      <c r="G54" s="117">
        <f t="shared" si="0"/>
        <v>43617</v>
      </c>
      <c r="H54" s="192"/>
      <c r="I54" s="117">
        <f t="shared" si="1"/>
        <v>43617</v>
      </c>
      <c r="J54" s="191"/>
      <c r="K54" s="192"/>
      <c r="L54" s="197"/>
      <c r="M54" s="191"/>
      <c r="Q54" s="89"/>
      <c r="R54" s="197"/>
      <c r="S54" s="89"/>
    </row>
    <row r="55" spans="5:19" x14ac:dyDescent="0.3">
      <c r="E55" s="137"/>
      <c r="F55" s="187"/>
      <c r="G55" s="117">
        <f t="shared" si="0"/>
        <v>43617</v>
      </c>
      <c r="H55" s="192"/>
      <c r="I55" s="117">
        <f t="shared" si="1"/>
        <v>43617</v>
      </c>
      <c r="J55" s="191"/>
      <c r="K55" s="192"/>
      <c r="L55" s="197"/>
      <c r="M55" s="191"/>
      <c r="Q55" s="89"/>
      <c r="R55" s="197"/>
      <c r="S55" s="89"/>
    </row>
    <row r="56" spans="5:19" x14ac:dyDescent="0.3">
      <c r="E56" s="137"/>
      <c r="F56" s="187"/>
      <c r="G56" s="117">
        <f t="shared" si="0"/>
        <v>43617</v>
      </c>
      <c r="H56" s="192"/>
      <c r="I56" s="117">
        <f t="shared" si="1"/>
        <v>43617</v>
      </c>
      <c r="J56" s="191"/>
      <c r="K56" s="192"/>
      <c r="L56" s="197"/>
      <c r="M56" s="191"/>
      <c r="R56" s="197"/>
      <c r="S56" s="89"/>
    </row>
    <row r="57" spans="5:19" x14ac:dyDescent="0.3">
      <c r="E57" s="137"/>
      <c r="F57" s="187"/>
      <c r="G57" s="117">
        <f t="shared" si="0"/>
        <v>43617</v>
      </c>
      <c r="H57" s="192"/>
      <c r="I57" s="117">
        <f t="shared" si="1"/>
        <v>43617</v>
      </c>
      <c r="J57" s="191"/>
      <c r="K57" s="192"/>
      <c r="L57" s="197"/>
      <c r="M57" s="191"/>
      <c r="R57" s="197"/>
      <c r="S57" s="89"/>
    </row>
    <row r="58" spans="5:19" x14ac:dyDescent="0.3">
      <c r="E58" s="137"/>
      <c r="F58" s="187"/>
      <c r="G58" s="117">
        <f t="shared" si="0"/>
        <v>43617</v>
      </c>
      <c r="H58" s="192"/>
      <c r="I58" s="117">
        <f t="shared" si="1"/>
        <v>43617</v>
      </c>
      <c r="J58" s="191"/>
      <c r="K58" s="192"/>
      <c r="L58" s="197"/>
      <c r="M58" s="191"/>
      <c r="R58" s="197"/>
      <c r="S58" s="89"/>
    </row>
    <row r="59" spans="5:19" x14ac:dyDescent="0.3">
      <c r="E59" s="137"/>
      <c r="F59" s="187"/>
      <c r="G59" s="117">
        <f t="shared" si="0"/>
        <v>43617</v>
      </c>
      <c r="H59" s="192"/>
      <c r="I59" s="117">
        <f t="shared" si="1"/>
        <v>43617</v>
      </c>
      <c r="J59" s="191"/>
      <c r="K59" s="192"/>
      <c r="L59" s="197"/>
      <c r="M59" s="191"/>
      <c r="R59" s="197"/>
      <c r="S59" s="89"/>
    </row>
    <row r="60" spans="5:19" x14ac:dyDescent="0.3">
      <c r="E60" s="137"/>
      <c r="F60" s="187"/>
      <c r="G60" s="117">
        <f t="shared" si="0"/>
        <v>43617</v>
      </c>
      <c r="H60" s="192"/>
      <c r="I60" s="117">
        <f t="shared" si="1"/>
        <v>43617</v>
      </c>
      <c r="J60" s="191"/>
      <c r="K60" s="192"/>
      <c r="L60" s="197"/>
      <c r="M60" s="191"/>
      <c r="R60" s="197"/>
      <c r="S60" s="89"/>
    </row>
    <row r="61" spans="5:19" x14ac:dyDescent="0.3">
      <c r="E61" s="137"/>
      <c r="F61" s="187"/>
      <c r="G61" s="117">
        <f t="shared" si="0"/>
        <v>43617</v>
      </c>
      <c r="H61" s="192"/>
      <c r="I61" s="117">
        <f t="shared" si="1"/>
        <v>43617</v>
      </c>
      <c r="J61" s="191"/>
      <c r="K61" s="192"/>
      <c r="L61" s="197"/>
      <c r="M61" s="191"/>
      <c r="R61" s="197"/>
      <c r="S61" s="89"/>
    </row>
    <row r="62" spans="5:19" x14ac:dyDescent="0.3">
      <c r="E62" s="137"/>
      <c r="F62" s="187"/>
      <c r="G62" s="117">
        <f t="shared" si="0"/>
        <v>43617</v>
      </c>
      <c r="H62" s="192"/>
      <c r="I62" s="117">
        <f t="shared" si="1"/>
        <v>43617</v>
      </c>
      <c r="J62" s="191"/>
      <c r="K62" s="192"/>
      <c r="L62" s="197"/>
      <c r="M62" s="191"/>
      <c r="R62" s="197"/>
      <c r="S62" s="89"/>
    </row>
    <row r="63" spans="5:19" x14ac:dyDescent="0.3">
      <c r="E63" s="137"/>
      <c r="F63" s="187"/>
      <c r="G63" s="117">
        <f t="shared" si="0"/>
        <v>43617</v>
      </c>
      <c r="H63" s="192"/>
      <c r="I63" s="117">
        <f t="shared" si="1"/>
        <v>43617</v>
      </c>
      <c r="J63" s="191"/>
      <c r="K63" s="192"/>
      <c r="L63" s="197"/>
      <c r="M63" s="191"/>
      <c r="R63" s="197"/>
      <c r="S63" s="89"/>
    </row>
    <row r="64" spans="5:19" ht="13.5" thickBot="1" x14ac:dyDescent="0.35">
      <c r="E64" s="138"/>
      <c r="F64" s="188"/>
      <c r="G64" s="120">
        <f t="shared" si="0"/>
        <v>43617</v>
      </c>
      <c r="H64" s="195"/>
      <c r="I64" s="120">
        <f t="shared" si="1"/>
        <v>43617</v>
      </c>
      <c r="J64" s="194"/>
      <c r="K64" s="195"/>
      <c r="L64" s="198"/>
      <c r="M64" s="194"/>
      <c r="R64" s="198"/>
      <c r="S64" s="89"/>
    </row>
    <row r="65" spans="2:19" customFormat="1" ht="12.5" x14ac:dyDescent="0.25"/>
    <row r="66" spans="2:19" x14ac:dyDescent="0.3">
      <c r="E66" s="89"/>
      <c r="F66" s="89"/>
      <c r="S66" s="89"/>
    </row>
    <row r="67" spans="2:19" x14ac:dyDescent="0.3">
      <c r="B67" s="104" t="s">
        <v>8</v>
      </c>
      <c r="C67" s="92" t="s">
        <v>185</v>
      </c>
      <c r="D67" s="92"/>
      <c r="M67" s="686" t="s">
        <v>232</v>
      </c>
      <c r="N67" s="687"/>
      <c r="O67" s="687"/>
      <c r="P67" s="687"/>
      <c r="Q67" s="687"/>
    </row>
    <row r="68" spans="2:19" x14ac:dyDescent="0.3">
      <c r="E68" s="121" t="s">
        <v>181</v>
      </c>
      <c r="F68" s="122" t="s">
        <v>139</v>
      </c>
      <c r="G68" s="121" t="s">
        <v>6</v>
      </c>
      <c r="H68" s="121" t="s">
        <v>118</v>
      </c>
      <c r="I68" s="123"/>
      <c r="J68" s="433" t="str">
        <f t="shared" ref="J68:K68" si="2">(LEFT(K68,4)-1&amp;IF(MID(K68,5,1)="","","-"&amp;TEXT(MOD(MID(K68,6,2)-1,100),"00")))</f>
        <v>2017-18</v>
      </c>
      <c r="K68" s="433" t="str">
        <f t="shared" si="2"/>
        <v>2018-19</v>
      </c>
      <c r="L68" s="433" t="str">
        <f>(LEFT(M68,4)-1&amp;IF(MID(M68,5,1)="","","-"&amp;TEXT(MOD(MID(M68,6,2)-1,100),"00")))</f>
        <v>2019-20</v>
      </c>
      <c r="M68" s="274" t="str">
        <f>FPFirstYear</f>
        <v>2020-21</v>
      </c>
      <c r="N68" s="274" t="str">
        <f>(LEFT(M68,4)+1&amp;IF(MID(M68,5,1)="","","-"&amp;TEXT(MOD(MID(M68,6,2)+1,100),"00")))</f>
        <v>2021-22</v>
      </c>
      <c r="O68" s="274" t="str">
        <f>(LEFT(N68,4)+1&amp;IF(MID(N68,5,1)="","","-"&amp;TEXT(MOD(MID(N68,6,2)+1,100),"00")))</f>
        <v>2022-23</v>
      </c>
      <c r="P68" s="274" t="str">
        <f>(LEFT(O68,4)+1&amp;IF(MID(O68,5,1)="","","-"&amp;TEXT(MOD(MID(O68,6,2)+1,100),"00")))</f>
        <v>2023-24</v>
      </c>
      <c r="Q68" s="274" t="str">
        <f>(LEFT(P68,4)+1&amp;IF(MID(P68,5,1)="","","-"&amp;TEXT(MOD(MID(P68,6,2)+1,100),"00")))</f>
        <v>2024-25</v>
      </c>
      <c r="R68" s="125" t="s">
        <v>190</v>
      </c>
    </row>
    <row r="69" spans="2:19" x14ac:dyDescent="0.3">
      <c r="E69" s="126" t="s">
        <v>420</v>
      </c>
      <c r="F69" s="118">
        <v>0</v>
      </c>
      <c r="G69" s="284" t="s">
        <v>85</v>
      </c>
      <c r="H69" s="128">
        <f t="shared" ref="H69:H78" si="3">Basis_Capex</f>
        <v>43617</v>
      </c>
      <c r="J69" s="434"/>
      <c r="K69" s="434"/>
      <c r="L69" s="434"/>
      <c r="M69" s="431">
        <v>100000</v>
      </c>
      <c r="N69" s="431">
        <v>100000</v>
      </c>
      <c r="O69" s="431">
        <v>100000</v>
      </c>
      <c r="P69" s="431">
        <v>100000</v>
      </c>
      <c r="Q69" s="431">
        <v>100000</v>
      </c>
      <c r="R69" s="130">
        <v>0.05</v>
      </c>
    </row>
    <row r="70" spans="2:19" x14ac:dyDescent="0.3">
      <c r="E70" s="126" t="s">
        <v>162</v>
      </c>
      <c r="F70" s="119">
        <v>0</v>
      </c>
      <c r="G70" s="134" t="str">
        <f t="shared" ref="G70:G78" si="4">$G$69</f>
        <v>$dollars</v>
      </c>
      <c r="H70" s="128">
        <f t="shared" si="3"/>
        <v>43617</v>
      </c>
      <c r="J70" s="434"/>
      <c r="K70" s="434"/>
      <c r="L70" s="434"/>
      <c r="M70" s="431"/>
      <c r="N70" s="285"/>
      <c r="O70" s="285"/>
      <c r="P70" s="285"/>
      <c r="Q70" s="285"/>
      <c r="R70" s="131">
        <v>0</v>
      </c>
    </row>
    <row r="71" spans="2:19" x14ac:dyDescent="0.3">
      <c r="E71" s="126" t="s">
        <v>178</v>
      </c>
      <c r="F71" s="119">
        <v>0</v>
      </c>
      <c r="G71" s="134" t="str">
        <f t="shared" si="4"/>
        <v>$dollars</v>
      </c>
      <c r="H71" s="128">
        <f t="shared" si="3"/>
        <v>43617</v>
      </c>
      <c r="J71" s="434"/>
      <c r="K71" s="434"/>
      <c r="L71" s="434"/>
      <c r="M71" s="431"/>
      <c r="N71" s="285"/>
      <c r="O71" s="285"/>
      <c r="P71" s="285"/>
      <c r="Q71" s="285"/>
      <c r="R71" s="131">
        <v>0</v>
      </c>
    </row>
    <row r="72" spans="2:19" x14ac:dyDescent="0.3">
      <c r="E72" s="126" t="s">
        <v>179</v>
      </c>
      <c r="F72" s="119">
        <v>0</v>
      </c>
      <c r="G72" s="134" t="str">
        <f t="shared" si="4"/>
        <v>$dollars</v>
      </c>
      <c r="H72" s="128">
        <f t="shared" si="3"/>
        <v>43617</v>
      </c>
      <c r="J72" s="434"/>
      <c r="K72" s="434"/>
      <c r="L72" s="434"/>
      <c r="M72" s="432"/>
      <c r="N72" s="285"/>
      <c r="O72" s="285"/>
      <c r="P72" s="285"/>
      <c r="Q72" s="285"/>
      <c r="R72" s="131">
        <v>0</v>
      </c>
    </row>
    <row r="73" spans="2:19" x14ac:dyDescent="0.3">
      <c r="E73" s="126" t="s">
        <v>180</v>
      </c>
      <c r="F73" s="119">
        <v>0</v>
      </c>
      <c r="G73" s="134" t="str">
        <f t="shared" si="4"/>
        <v>$dollars</v>
      </c>
      <c r="H73" s="128">
        <f t="shared" si="3"/>
        <v>43617</v>
      </c>
      <c r="J73" s="434"/>
      <c r="K73" s="434"/>
      <c r="L73" s="434"/>
      <c r="M73" s="431"/>
      <c r="N73" s="285"/>
      <c r="O73" s="285"/>
      <c r="P73" s="285"/>
      <c r="Q73" s="285"/>
      <c r="R73" s="131">
        <v>0</v>
      </c>
    </row>
    <row r="74" spans="2:19" x14ac:dyDescent="0.3">
      <c r="E74" s="126" t="s">
        <v>206</v>
      </c>
      <c r="F74" s="119">
        <v>0</v>
      </c>
      <c r="G74" s="134" t="str">
        <f t="shared" si="4"/>
        <v>$dollars</v>
      </c>
      <c r="H74" s="128">
        <f t="shared" si="3"/>
        <v>43617</v>
      </c>
      <c r="J74" s="434"/>
      <c r="K74" s="434"/>
      <c r="L74" s="434"/>
      <c r="M74" s="431"/>
      <c r="N74" s="285"/>
      <c r="O74" s="285"/>
      <c r="P74" s="285"/>
      <c r="Q74" s="285"/>
      <c r="R74" s="131">
        <v>0</v>
      </c>
    </row>
    <row r="75" spans="2:19" x14ac:dyDescent="0.3">
      <c r="E75" s="126" t="s">
        <v>207</v>
      </c>
      <c r="F75" s="119">
        <v>0</v>
      </c>
      <c r="G75" s="134" t="str">
        <f t="shared" si="4"/>
        <v>$dollars</v>
      </c>
      <c r="H75" s="128">
        <f t="shared" si="3"/>
        <v>43617</v>
      </c>
      <c r="J75" s="434"/>
      <c r="K75" s="434"/>
      <c r="L75" s="434"/>
      <c r="M75" s="431"/>
      <c r="N75" s="285"/>
      <c r="O75" s="285"/>
      <c r="P75" s="285"/>
      <c r="Q75" s="285"/>
      <c r="R75" s="131">
        <v>0</v>
      </c>
    </row>
    <row r="76" spans="2:19" x14ac:dyDescent="0.3">
      <c r="E76" s="126" t="s">
        <v>208</v>
      </c>
      <c r="F76" s="119">
        <v>0</v>
      </c>
      <c r="G76" s="134" t="str">
        <f t="shared" si="4"/>
        <v>$dollars</v>
      </c>
      <c r="H76" s="128">
        <f t="shared" si="3"/>
        <v>43617</v>
      </c>
      <c r="J76" s="434"/>
      <c r="K76" s="434"/>
      <c r="L76" s="434"/>
      <c r="M76" s="431"/>
      <c r="N76" s="285"/>
      <c r="O76" s="285"/>
      <c r="P76" s="285"/>
      <c r="Q76" s="285"/>
      <c r="R76" s="131">
        <v>0</v>
      </c>
    </row>
    <row r="77" spans="2:19" x14ac:dyDescent="0.3">
      <c r="E77" s="126" t="s">
        <v>209</v>
      </c>
      <c r="F77" s="119">
        <v>0</v>
      </c>
      <c r="G77" s="134" t="str">
        <f t="shared" si="4"/>
        <v>$dollars</v>
      </c>
      <c r="H77" s="128">
        <f t="shared" si="3"/>
        <v>43617</v>
      </c>
      <c r="J77" s="434"/>
      <c r="K77" s="434"/>
      <c r="L77" s="434"/>
      <c r="M77" s="431"/>
      <c r="N77" s="285"/>
      <c r="O77" s="285"/>
      <c r="P77" s="285"/>
      <c r="Q77" s="285"/>
      <c r="R77" s="131">
        <v>0</v>
      </c>
    </row>
    <row r="78" spans="2:19" x14ac:dyDescent="0.3">
      <c r="E78" s="126" t="s">
        <v>210</v>
      </c>
      <c r="F78" s="119">
        <v>0</v>
      </c>
      <c r="G78" s="134" t="str">
        <f t="shared" si="4"/>
        <v>$dollars</v>
      </c>
      <c r="H78" s="128">
        <f t="shared" si="3"/>
        <v>43617</v>
      </c>
      <c r="J78" s="434"/>
      <c r="K78" s="434"/>
      <c r="L78" s="434"/>
      <c r="M78" s="431"/>
      <c r="N78" s="285"/>
      <c r="O78" s="285"/>
      <c r="P78" s="285"/>
      <c r="Q78" s="285"/>
      <c r="R78" s="132">
        <v>0</v>
      </c>
    </row>
    <row r="79" spans="2:19" x14ac:dyDescent="0.3">
      <c r="H79" s="89"/>
    </row>
    <row r="80" spans="2:19" x14ac:dyDescent="0.3">
      <c r="B80" s="104" t="s">
        <v>9</v>
      </c>
      <c r="C80" s="92" t="s">
        <v>186</v>
      </c>
      <c r="D80" s="92"/>
      <c r="M80" s="686" t="s">
        <v>232</v>
      </c>
      <c r="N80" s="687"/>
      <c r="O80" s="687"/>
      <c r="P80" s="687"/>
      <c r="Q80" s="687"/>
    </row>
    <row r="81" spans="1:19" x14ac:dyDescent="0.3">
      <c r="E81" s="121" t="s">
        <v>181</v>
      </c>
      <c r="F81" s="122" t="s">
        <v>139</v>
      </c>
      <c r="G81" s="121" t="s">
        <v>6</v>
      </c>
      <c r="H81" s="121" t="s">
        <v>118</v>
      </c>
      <c r="I81" s="123"/>
      <c r="J81" s="149" t="str">
        <f t="shared" ref="J81:K81" si="5">J$68</f>
        <v>2017-18</v>
      </c>
      <c r="K81" s="149" t="str">
        <f t="shared" si="5"/>
        <v>2018-19</v>
      </c>
      <c r="L81" s="149" t="str">
        <f t="shared" ref="L81:Q81" si="6">L$68</f>
        <v>2019-20</v>
      </c>
      <c r="M81" s="122" t="str">
        <f t="shared" si="6"/>
        <v>2020-21</v>
      </c>
      <c r="N81" s="122" t="str">
        <f t="shared" si="6"/>
        <v>2021-22</v>
      </c>
      <c r="O81" s="122" t="str">
        <f t="shared" si="6"/>
        <v>2022-23</v>
      </c>
      <c r="P81" s="122" t="str">
        <f t="shared" si="6"/>
        <v>2023-24</v>
      </c>
      <c r="Q81" s="122" t="str">
        <f t="shared" si="6"/>
        <v>2024-25</v>
      </c>
      <c r="R81" s="125" t="s">
        <v>190</v>
      </c>
    </row>
    <row r="82" spans="1:19" x14ac:dyDescent="0.3">
      <c r="E82" s="126" t="s">
        <v>418</v>
      </c>
      <c r="F82" s="118">
        <v>0</v>
      </c>
      <c r="G82" s="284" t="s">
        <v>85</v>
      </c>
      <c r="H82" s="128">
        <f t="shared" ref="H82:H91" si="7">Basis_Capex</f>
        <v>43617</v>
      </c>
      <c r="J82" s="434"/>
      <c r="K82" s="434"/>
      <c r="L82" s="434"/>
      <c r="M82" s="431">
        <v>150000</v>
      </c>
      <c r="N82" s="285"/>
      <c r="O82" s="285"/>
      <c r="P82" s="285"/>
      <c r="Q82" s="285"/>
      <c r="R82" s="130">
        <v>0</v>
      </c>
    </row>
    <row r="83" spans="1:19" x14ac:dyDescent="0.3">
      <c r="E83" s="126" t="s">
        <v>419</v>
      </c>
      <c r="F83" s="119">
        <v>0</v>
      </c>
      <c r="G83" s="134" t="str">
        <f t="shared" ref="G83:G91" si="8">$G$82</f>
        <v>$dollars</v>
      </c>
      <c r="H83" s="128">
        <f t="shared" si="7"/>
        <v>43617</v>
      </c>
      <c r="J83" s="434"/>
      <c r="K83" s="434"/>
      <c r="L83" s="434"/>
      <c r="M83" s="431"/>
      <c r="N83" s="285"/>
      <c r="O83" s="285">
        <v>300000</v>
      </c>
      <c r="P83" s="285">
        <v>50000</v>
      </c>
      <c r="Q83" s="285"/>
      <c r="R83" s="131">
        <v>0</v>
      </c>
    </row>
    <row r="84" spans="1:19" x14ac:dyDescent="0.3">
      <c r="E84" s="126" t="s">
        <v>178</v>
      </c>
      <c r="F84" s="119">
        <v>0</v>
      </c>
      <c r="G84" s="134" t="str">
        <f t="shared" si="8"/>
        <v>$dollars</v>
      </c>
      <c r="H84" s="128">
        <f t="shared" si="7"/>
        <v>43617</v>
      </c>
      <c r="J84" s="434"/>
      <c r="K84" s="434"/>
      <c r="L84" s="434"/>
      <c r="M84" s="431"/>
      <c r="N84" s="285"/>
      <c r="O84" s="285"/>
      <c r="P84" s="285"/>
      <c r="Q84" s="285"/>
      <c r="R84" s="131">
        <v>0</v>
      </c>
    </row>
    <row r="85" spans="1:19" x14ac:dyDescent="0.3">
      <c r="E85" s="126" t="s">
        <v>179</v>
      </c>
      <c r="F85" s="119">
        <v>0</v>
      </c>
      <c r="G85" s="134" t="str">
        <f t="shared" si="8"/>
        <v>$dollars</v>
      </c>
      <c r="H85" s="128">
        <f t="shared" si="7"/>
        <v>43617</v>
      </c>
      <c r="J85" s="434"/>
      <c r="K85" s="434"/>
      <c r="L85" s="434"/>
      <c r="M85" s="431"/>
      <c r="N85" s="285"/>
      <c r="O85" s="285"/>
      <c r="P85" s="285"/>
      <c r="Q85" s="285"/>
      <c r="R85" s="131">
        <v>0</v>
      </c>
    </row>
    <row r="86" spans="1:19" x14ac:dyDescent="0.3">
      <c r="E86" s="126" t="s">
        <v>180</v>
      </c>
      <c r="F86" s="119">
        <v>0</v>
      </c>
      <c r="G86" s="134" t="str">
        <f t="shared" si="8"/>
        <v>$dollars</v>
      </c>
      <c r="H86" s="128">
        <f t="shared" si="7"/>
        <v>43617</v>
      </c>
      <c r="J86" s="434"/>
      <c r="K86" s="434"/>
      <c r="L86" s="434"/>
      <c r="M86" s="431"/>
      <c r="N86" s="285"/>
      <c r="O86" s="285"/>
      <c r="P86" s="285"/>
      <c r="Q86" s="285"/>
      <c r="R86" s="131">
        <v>0</v>
      </c>
    </row>
    <row r="87" spans="1:19" x14ac:dyDescent="0.3">
      <c r="E87" s="126" t="s">
        <v>206</v>
      </c>
      <c r="F87" s="119">
        <v>0</v>
      </c>
      <c r="G87" s="134" t="str">
        <f t="shared" si="8"/>
        <v>$dollars</v>
      </c>
      <c r="H87" s="128">
        <f t="shared" si="7"/>
        <v>43617</v>
      </c>
      <c r="J87" s="434"/>
      <c r="K87" s="434"/>
      <c r="L87" s="434"/>
      <c r="M87" s="431"/>
      <c r="N87" s="285"/>
      <c r="O87" s="285"/>
      <c r="P87" s="285"/>
      <c r="Q87" s="285"/>
      <c r="R87" s="131">
        <v>0</v>
      </c>
    </row>
    <row r="88" spans="1:19" x14ac:dyDescent="0.3">
      <c r="E88" s="126" t="s">
        <v>207</v>
      </c>
      <c r="F88" s="119">
        <v>0</v>
      </c>
      <c r="G88" s="134" t="str">
        <f t="shared" si="8"/>
        <v>$dollars</v>
      </c>
      <c r="H88" s="128">
        <f t="shared" si="7"/>
        <v>43617</v>
      </c>
      <c r="J88" s="434"/>
      <c r="K88" s="434"/>
      <c r="L88" s="434"/>
      <c r="M88" s="431"/>
      <c r="N88" s="285"/>
      <c r="O88" s="285"/>
      <c r="P88" s="285"/>
      <c r="Q88" s="285"/>
      <c r="R88" s="131">
        <v>0</v>
      </c>
    </row>
    <row r="89" spans="1:19" x14ac:dyDescent="0.3">
      <c r="E89" s="126" t="s">
        <v>208</v>
      </c>
      <c r="F89" s="119">
        <v>0</v>
      </c>
      <c r="G89" s="134" t="str">
        <f t="shared" si="8"/>
        <v>$dollars</v>
      </c>
      <c r="H89" s="128">
        <f t="shared" si="7"/>
        <v>43617</v>
      </c>
      <c r="J89" s="434"/>
      <c r="K89" s="434"/>
      <c r="L89" s="434"/>
      <c r="M89" s="431"/>
      <c r="N89" s="285"/>
      <c r="O89" s="285"/>
      <c r="P89" s="285"/>
      <c r="Q89" s="285"/>
      <c r="R89" s="131">
        <v>0</v>
      </c>
    </row>
    <row r="90" spans="1:19" x14ac:dyDescent="0.3">
      <c r="E90" s="126" t="s">
        <v>209</v>
      </c>
      <c r="F90" s="119">
        <v>0</v>
      </c>
      <c r="G90" s="134" t="str">
        <f t="shared" si="8"/>
        <v>$dollars</v>
      </c>
      <c r="H90" s="128">
        <f t="shared" si="7"/>
        <v>43617</v>
      </c>
      <c r="J90" s="434"/>
      <c r="K90" s="434"/>
      <c r="L90" s="434"/>
      <c r="M90" s="431"/>
      <c r="N90" s="285"/>
      <c r="O90" s="285"/>
      <c r="P90" s="285"/>
      <c r="Q90" s="285"/>
      <c r="R90" s="131">
        <v>0</v>
      </c>
    </row>
    <row r="91" spans="1:19" x14ac:dyDescent="0.3">
      <c r="E91" s="126" t="s">
        <v>210</v>
      </c>
      <c r="F91" s="119">
        <v>0</v>
      </c>
      <c r="G91" s="134" t="str">
        <f t="shared" si="8"/>
        <v>$dollars</v>
      </c>
      <c r="H91" s="128">
        <f t="shared" si="7"/>
        <v>43617</v>
      </c>
      <c r="J91" s="434"/>
      <c r="K91" s="434"/>
      <c r="L91" s="434"/>
      <c r="M91" s="431"/>
      <c r="N91" s="285"/>
      <c r="O91" s="285"/>
      <c r="P91" s="285"/>
      <c r="Q91" s="285"/>
      <c r="R91" s="132">
        <v>0</v>
      </c>
    </row>
    <row r="92" spans="1:19" x14ac:dyDescent="0.3">
      <c r="S92" s="89"/>
    </row>
    <row r="93" spans="1:19" x14ac:dyDescent="0.3">
      <c r="A93" s="690" t="str">
        <f>LEFT(A39,1)+1&amp;". Base Population"</f>
        <v>9. Base Population</v>
      </c>
      <c r="B93" s="690"/>
      <c r="C93" s="690"/>
      <c r="D93" s="690"/>
      <c r="E93" s="690"/>
      <c r="F93" s="690"/>
      <c r="G93" s="690"/>
      <c r="H93" s="690"/>
      <c r="I93" s="690"/>
      <c r="J93" s="690"/>
      <c r="K93" s="690"/>
      <c r="L93" s="690"/>
      <c r="M93" s="90"/>
      <c r="N93" s="90"/>
      <c r="O93" s="91"/>
      <c r="P93" s="91"/>
      <c r="Q93" s="91"/>
      <c r="R93" s="91"/>
      <c r="S93" s="89"/>
    </row>
    <row r="94" spans="1:19" s="89" customFormat="1" ht="12.5" x14ac:dyDescent="0.25"/>
    <row r="95" spans="1:19" x14ac:dyDescent="0.3">
      <c r="B95" s="92" t="s">
        <v>7</v>
      </c>
      <c r="C95" s="92" t="s">
        <v>165</v>
      </c>
      <c r="D95" s="92"/>
      <c r="G95" s="133" t="s">
        <v>16</v>
      </c>
      <c r="S95" s="89"/>
    </row>
    <row r="96" spans="1:19" x14ac:dyDescent="0.3">
      <c r="E96" s="121" t="s">
        <v>161</v>
      </c>
      <c r="F96" s="121" t="s">
        <v>6</v>
      </c>
      <c r="G96" s="122" t="str">
        <f>Capex_BaseYear</f>
        <v>2018-19</v>
      </c>
    </row>
    <row r="97" spans="4:19" x14ac:dyDescent="0.3">
      <c r="D97" s="88">
        <v>1</v>
      </c>
      <c r="E97" s="134" t="str">
        <f t="shared" ref="E97:E111" si="9">E11</f>
        <v>Access Points</v>
      </c>
      <c r="F97" s="127" t="s">
        <v>18</v>
      </c>
      <c r="G97" s="129">
        <v>100</v>
      </c>
    </row>
    <row r="98" spans="4:19" x14ac:dyDescent="0.3">
      <c r="D98" s="88">
        <v>2</v>
      </c>
      <c r="E98" s="134" t="str">
        <f t="shared" si="9"/>
        <v>Relays</v>
      </c>
      <c r="F98" s="127" t="s">
        <v>18</v>
      </c>
      <c r="G98" s="129">
        <v>500</v>
      </c>
    </row>
    <row r="99" spans="4:19" x14ac:dyDescent="0.3">
      <c r="D99" s="88">
        <v>3</v>
      </c>
      <c r="E99" s="134" t="str">
        <f t="shared" si="9"/>
        <v>Antennas</v>
      </c>
      <c r="F99" s="127" t="s">
        <v>18</v>
      </c>
      <c r="G99" s="129">
        <v>800</v>
      </c>
    </row>
    <row r="100" spans="4:19" x14ac:dyDescent="0.3">
      <c r="D100" s="88">
        <v>4</v>
      </c>
      <c r="E100" s="134" t="str">
        <f t="shared" si="9"/>
        <v>Batteries</v>
      </c>
      <c r="F100" s="127" t="s">
        <v>18</v>
      </c>
      <c r="G100" s="129">
        <v>600</v>
      </c>
    </row>
    <row r="101" spans="4:19" x14ac:dyDescent="0.3">
      <c r="D101" s="88">
        <v>5</v>
      </c>
      <c r="E101" s="134" t="str">
        <f t="shared" si="9"/>
        <v>Modems</v>
      </c>
      <c r="F101" s="127" t="s">
        <v>18</v>
      </c>
      <c r="G101" s="129">
        <v>800</v>
      </c>
    </row>
    <row r="102" spans="4:19" x14ac:dyDescent="0.3">
      <c r="D102" s="88">
        <v>6</v>
      </c>
      <c r="E102" s="134">
        <f t="shared" si="9"/>
        <v>0</v>
      </c>
      <c r="F102" s="127" t="s">
        <v>18</v>
      </c>
      <c r="G102" s="129"/>
    </row>
    <row r="103" spans="4:19" x14ac:dyDescent="0.3">
      <c r="D103" s="88">
        <v>7</v>
      </c>
      <c r="E103" s="134">
        <f t="shared" si="9"/>
        <v>0</v>
      </c>
      <c r="F103" s="127" t="s">
        <v>18</v>
      </c>
      <c r="G103" s="129"/>
    </row>
    <row r="104" spans="4:19" x14ac:dyDescent="0.3">
      <c r="D104" s="88">
        <v>8</v>
      </c>
      <c r="E104" s="134">
        <f t="shared" si="9"/>
        <v>0</v>
      </c>
      <c r="F104" s="127" t="s">
        <v>18</v>
      </c>
      <c r="G104" s="129"/>
    </row>
    <row r="105" spans="4:19" x14ac:dyDescent="0.3">
      <c r="D105" s="88">
        <v>9</v>
      </c>
      <c r="E105" s="134">
        <f t="shared" si="9"/>
        <v>0</v>
      </c>
      <c r="F105" s="127" t="s">
        <v>18</v>
      </c>
      <c r="G105" s="129"/>
    </row>
    <row r="106" spans="4:19" x14ac:dyDescent="0.3">
      <c r="D106" s="88">
        <v>10</v>
      </c>
      <c r="E106" s="134">
        <f t="shared" si="9"/>
        <v>0</v>
      </c>
      <c r="F106" s="127" t="s">
        <v>18</v>
      </c>
      <c r="G106" s="129"/>
    </row>
    <row r="107" spans="4:19" x14ac:dyDescent="0.3">
      <c r="D107" s="88">
        <v>11</v>
      </c>
      <c r="E107" s="134">
        <f t="shared" si="9"/>
        <v>0</v>
      </c>
      <c r="F107" s="127" t="s">
        <v>18</v>
      </c>
      <c r="G107" s="129"/>
    </row>
    <row r="108" spans="4:19" x14ac:dyDescent="0.3">
      <c r="D108" s="88">
        <v>12</v>
      </c>
      <c r="E108" s="134">
        <f t="shared" si="9"/>
        <v>0</v>
      </c>
      <c r="F108" s="127" t="s">
        <v>18</v>
      </c>
      <c r="G108" s="129"/>
    </row>
    <row r="109" spans="4:19" x14ac:dyDescent="0.3">
      <c r="D109" s="88">
        <v>13</v>
      </c>
      <c r="E109" s="134">
        <f t="shared" si="9"/>
        <v>0</v>
      </c>
      <c r="F109" s="127" t="s">
        <v>18</v>
      </c>
      <c r="G109" s="129"/>
      <c r="S109" s="89"/>
    </row>
    <row r="110" spans="4:19" x14ac:dyDescent="0.3">
      <c r="D110" s="88">
        <v>14</v>
      </c>
      <c r="E110" s="134">
        <f t="shared" si="9"/>
        <v>0</v>
      </c>
      <c r="F110" s="127" t="s">
        <v>18</v>
      </c>
      <c r="G110" s="129"/>
      <c r="S110" s="89"/>
    </row>
    <row r="111" spans="4:19" x14ac:dyDescent="0.3">
      <c r="D111" s="88">
        <v>15</v>
      </c>
      <c r="E111" s="134">
        <f t="shared" si="9"/>
        <v>0</v>
      </c>
      <c r="F111" s="127" t="s">
        <v>18</v>
      </c>
      <c r="G111" s="129"/>
      <c r="S111" s="89"/>
    </row>
    <row r="112" spans="4:19" x14ac:dyDescent="0.3">
      <c r="S112" s="89"/>
    </row>
    <row r="113" spans="1:19" x14ac:dyDescent="0.3">
      <c r="A113" s="690" t="str">
        <f>LEFT(A93,1)+1&amp;". Forecast Volumes"</f>
        <v>10. Forecast Volumes</v>
      </c>
      <c r="B113" s="690"/>
      <c r="C113" s="690"/>
      <c r="D113" s="690"/>
      <c r="E113" s="690"/>
      <c r="F113" s="690"/>
      <c r="G113" s="690"/>
      <c r="H113" s="690"/>
      <c r="I113" s="690"/>
      <c r="J113" s="690"/>
      <c r="K113" s="690"/>
      <c r="L113" s="690"/>
      <c r="M113" s="90"/>
      <c r="N113" s="90"/>
      <c r="O113" s="91"/>
      <c r="P113" s="91"/>
      <c r="Q113" s="91"/>
      <c r="R113" s="91"/>
      <c r="S113" s="89"/>
    </row>
    <row r="114" spans="1:19" x14ac:dyDescent="0.3">
      <c r="A114" s="92"/>
      <c r="B114" s="92"/>
      <c r="C114" s="92"/>
      <c r="D114" s="92"/>
      <c r="S114" s="89"/>
    </row>
    <row r="115" spans="1:19" x14ac:dyDescent="0.3">
      <c r="A115" s="92"/>
      <c r="B115" s="104" t="s">
        <v>7</v>
      </c>
      <c r="C115" s="92" t="s">
        <v>27</v>
      </c>
      <c r="D115" s="92"/>
      <c r="J115" s="455" t="str">
        <f>IF(J116=Capex_BaseYear,"Base Year","")</f>
        <v/>
      </c>
      <c r="K115" s="455" t="str">
        <f>IF(K116=Capex_BaseYear,"Base Year","")</f>
        <v>Base Year</v>
      </c>
      <c r="L115" s="455" t="str">
        <f>IF(L116=Capex_BaseYear,"Base Year","")</f>
        <v/>
      </c>
      <c r="M115" s="687" t="s">
        <v>232</v>
      </c>
      <c r="N115" s="687"/>
      <c r="O115" s="687"/>
      <c r="P115" s="687"/>
      <c r="Q115" s="687"/>
    </row>
    <row r="116" spans="1:19" x14ac:dyDescent="0.3">
      <c r="E116" s="135" t="s">
        <v>161</v>
      </c>
      <c r="F116" s="135" t="s">
        <v>160</v>
      </c>
      <c r="G116" s="135" t="s">
        <v>164</v>
      </c>
      <c r="H116" s="350" t="s">
        <v>163</v>
      </c>
      <c r="J116" s="122" t="str">
        <f t="shared" ref="J116:Q116" si="10">J$68</f>
        <v>2017-18</v>
      </c>
      <c r="K116" s="122" t="str">
        <f t="shared" si="10"/>
        <v>2018-19</v>
      </c>
      <c r="L116" s="149" t="str">
        <f t="shared" si="10"/>
        <v>2019-20</v>
      </c>
      <c r="M116" s="122" t="str">
        <f t="shared" si="10"/>
        <v>2020-21</v>
      </c>
      <c r="N116" s="122" t="str">
        <f t="shared" si="10"/>
        <v>2021-22</v>
      </c>
      <c r="O116" s="122" t="str">
        <f t="shared" si="10"/>
        <v>2022-23</v>
      </c>
      <c r="P116" s="122" t="str">
        <f t="shared" si="10"/>
        <v>2023-24</v>
      </c>
      <c r="Q116" s="122" t="str">
        <f t="shared" si="10"/>
        <v>2024-25</v>
      </c>
    </row>
    <row r="117" spans="1:19" ht="26" x14ac:dyDescent="0.3">
      <c r="E117" s="134" t="str" cm="1">
        <f t="array" ref="E117:F136">ICC_AllocFields</f>
        <v>Access Points</v>
      </c>
      <c r="F117" s="134" t="str">
        <v>Growth</v>
      </c>
      <c r="G117" s="136" t="s">
        <v>173</v>
      </c>
      <c r="H117" s="641">
        <f>1/100000</f>
        <v>1.0000000000000001E-5</v>
      </c>
      <c r="I117" s="439" t="str">
        <f>IF(AND(G117&lt;&gt;"Enter annual volume",G117&lt;&gt;""),"Auto-Calculated in next table","")</f>
        <v>Auto-Calculated in next table</v>
      </c>
      <c r="J117" s="612"/>
      <c r="K117" s="612"/>
      <c r="L117" s="613"/>
      <c r="M117" s="614">
        <v>5</v>
      </c>
      <c r="N117" s="614">
        <v>5</v>
      </c>
      <c r="O117" s="614">
        <v>5</v>
      </c>
      <c r="P117" s="614">
        <v>5</v>
      </c>
      <c r="Q117" s="614">
        <v>5</v>
      </c>
    </row>
    <row r="118" spans="1:19" ht="14.5" x14ac:dyDescent="0.3">
      <c r="E118" s="134" t="str">
        <v>Relays</v>
      </c>
      <c r="F118" s="134" t="str">
        <v>Growth</v>
      </c>
      <c r="G118" s="137" t="s">
        <v>171</v>
      </c>
      <c r="H118" s="641"/>
      <c r="I118" s="439" t="str">
        <f t="shared" ref="I118:I136" si="11">IF(AND(G118&lt;&gt;"Enter annual volume",G118&lt;&gt;""),"Auto-Calculated in next table","")</f>
        <v/>
      </c>
      <c r="J118" s="612"/>
      <c r="K118" s="616">
        <v>0</v>
      </c>
      <c r="L118" s="617">
        <v>0</v>
      </c>
      <c r="M118" s="614">
        <v>15</v>
      </c>
      <c r="N118" s="614">
        <v>15</v>
      </c>
      <c r="O118" s="614">
        <v>15</v>
      </c>
      <c r="P118" s="614">
        <v>15</v>
      </c>
      <c r="Q118" s="614">
        <v>15</v>
      </c>
    </row>
    <row r="119" spans="1:19" ht="14.5" x14ac:dyDescent="0.3">
      <c r="E119" s="134" t="str">
        <v>Antennas</v>
      </c>
      <c r="F119" s="134" t="str">
        <v>Growth</v>
      </c>
      <c r="G119" s="137" t="s">
        <v>171</v>
      </c>
      <c r="H119" s="641"/>
      <c r="I119" s="439" t="str">
        <f t="shared" si="11"/>
        <v/>
      </c>
      <c r="J119" s="612"/>
      <c r="K119" s="616"/>
      <c r="L119" s="617"/>
      <c r="M119" s="614">
        <v>20</v>
      </c>
      <c r="N119" s="614">
        <v>20</v>
      </c>
      <c r="O119" s="614">
        <v>20</v>
      </c>
      <c r="P119" s="614">
        <v>20</v>
      </c>
      <c r="Q119" s="614">
        <v>20</v>
      </c>
    </row>
    <row r="120" spans="1:19" ht="14.5" x14ac:dyDescent="0.3">
      <c r="E120" s="134" t="str">
        <v>Batteries</v>
      </c>
      <c r="F120" s="134" t="str">
        <v>Growth</v>
      </c>
      <c r="G120" s="137" t="s">
        <v>171</v>
      </c>
      <c r="H120" s="641"/>
      <c r="I120" s="439" t="str">
        <f t="shared" si="11"/>
        <v/>
      </c>
      <c r="J120" s="612"/>
      <c r="K120" s="616">
        <v>0</v>
      </c>
      <c r="L120" s="617">
        <v>0</v>
      </c>
      <c r="M120" s="614">
        <v>100</v>
      </c>
      <c r="N120" s="614">
        <v>100</v>
      </c>
      <c r="O120" s="614">
        <v>100</v>
      </c>
      <c r="P120" s="614">
        <v>100</v>
      </c>
      <c r="Q120" s="614">
        <v>100</v>
      </c>
    </row>
    <row r="121" spans="1:19" ht="37.5" x14ac:dyDescent="0.3">
      <c r="E121" s="134" t="str">
        <v>Access Points</v>
      </c>
      <c r="F121" s="134" t="str">
        <v>Replacements - faults and failures</v>
      </c>
      <c r="G121" s="137" t="s">
        <v>172</v>
      </c>
      <c r="H121" s="641">
        <v>0.05</v>
      </c>
      <c r="I121" s="439" t="str">
        <f t="shared" si="11"/>
        <v>Auto-Calculated in next table</v>
      </c>
      <c r="J121" s="612"/>
      <c r="K121" s="616"/>
      <c r="L121" s="617"/>
      <c r="M121" s="614">
        <v>380.5</v>
      </c>
      <c r="N121" s="615">
        <v>380.5</v>
      </c>
      <c r="O121" s="615"/>
      <c r="P121" s="615"/>
      <c r="Q121" s="615"/>
    </row>
    <row r="122" spans="1:19" ht="37.5" x14ac:dyDescent="0.3">
      <c r="E122" s="134" t="str">
        <v>Batteries</v>
      </c>
      <c r="F122" s="134" t="str">
        <v>Replacements - faults and failures</v>
      </c>
      <c r="G122" s="137" t="s">
        <v>172</v>
      </c>
      <c r="H122" s="641">
        <v>0.03</v>
      </c>
      <c r="I122" s="439" t="str">
        <f t="shared" si="11"/>
        <v>Auto-Calculated in next table</v>
      </c>
      <c r="J122" s="612"/>
      <c r="K122" s="616"/>
      <c r="L122" s="617">
        <v>3.4499999999999997</v>
      </c>
      <c r="M122" s="614">
        <v>3.5550919754479602</v>
      </c>
      <c r="N122" s="615">
        <v>3.83257153821424</v>
      </c>
      <c r="O122" s="615">
        <v>4.0636596146197848</v>
      </c>
      <c r="P122" s="615">
        <v>4.3057287847348844</v>
      </c>
      <c r="Q122" s="615">
        <v>4.5749809258427172</v>
      </c>
    </row>
    <row r="123" spans="1:19" x14ac:dyDescent="0.3">
      <c r="E123" s="134">
        <v>0</v>
      </c>
      <c r="F123" s="134">
        <v>0</v>
      </c>
      <c r="G123" s="137"/>
      <c r="H123" s="645"/>
      <c r="I123" s="439" t="str">
        <f t="shared" si="11"/>
        <v/>
      </c>
      <c r="J123" s="612"/>
      <c r="K123" s="616"/>
      <c r="L123" s="617"/>
      <c r="M123" s="614"/>
      <c r="N123" s="615"/>
      <c r="O123" s="615"/>
      <c r="P123" s="615"/>
      <c r="Q123" s="615"/>
    </row>
    <row r="124" spans="1:19" x14ac:dyDescent="0.3">
      <c r="E124" s="134">
        <v>0</v>
      </c>
      <c r="F124" s="134">
        <v>0</v>
      </c>
      <c r="G124" s="137"/>
      <c r="H124" s="645"/>
      <c r="I124" s="439" t="str">
        <f t="shared" si="11"/>
        <v/>
      </c>
      <c r="J124" s="612"/>
      <c r="K124" s="616"/>
      <c r="L124" s="617"/>
      <c r="M124" s="614"/>
      <c r="N124" s="615"/>
      <c r="O124" s="615"/>
      <c r="P124" s="615"/>
      <c r="Q124" s="615"/>
    </row>
    <row r="125" spans="1:19" x14ac:dyDescent="0.3">
      <c r="E125" s="134">
        <v>0</v>
      </c>
      <c r="F125" s="134">
        <v>0</v>
      </c>
      <c r="G125" s="137"/>
      <c r="H125" s="645"/>
      <c r="I125" s="439" t="str">
        <f t="shared" si="11"/>
        <v/>
      </c>
      <c r="J125" s="612"/>
      <c r="K125" s="616"/>
      <c r="L125" s="617"/>
      <c r="M125" s="614"/>
      <c r="N125" s="615"/>
      <c r="O125" s="615"/>
      <c r="P125" s="615"/>
      <c r="Q125" s="615"/>
    </row>
    <row r="126" spans="1:19" x14ac:dyDescent="0.3">
      <c r="E126" s="134">
        <v>0</v>
      </c>
      <c r="F126" s="134">
        <v>0</v>
      </c>
      <c r="G126" s="137"/>
      <c r="H126" s="645"/>
      <c r="I126" s="439" t="str">
        <f t="shared" si="11"/>
        <v/>
      </c>
      <c r="J126" s="612"/>
      <c r="K126" s="616"/>
      <c r="L126" s="617"/>
      <c r="M126" s="614"/>
      <c r="N126" s="615"/>
      <c r="O126" s="615"/>
      <c r="P126" s="615"/>
      <c r="Q126" s="615"/>
    </row>
    <row r="127" spans="1:19" x14ac:dyDescent="0.3">
      <c r="E127" s="134">
        <v>0</v>
      </c>
      <c r="F127" s="134">
        <v>0</v>
      </c>
      <c r="G127" s="137"/>
      <c r="H127" s="645"/>
      <c r="I127" s="439" t="str">
        <f t="shared" si="11"/>
        <v/>
      </c>
      <c r="J127" s="612"/>
      <c r="K127" s="616"/>
      <c r="L127" s="617"/>
      <c r="M127" s="614"/>
      <c r="N127" s="615"/>
      <c r="O127" s="615"/>
      <c r="P127" s="615"/>
      <c r="Q127" s="615"/>
    </row>
    <row r="128" spans="1:19" x14ac:dyDescent="0.3">
      <c r="E128" s="134">
        <v>0</v>
      </c>
      <c r="F128" s="134">
        <v>0</v>
      </c>
      <c r="G128" s="137"/>
      <c r="H128" s="645"/>
      <c r="I128" s="439" t="str">
        <f t="shared" si="11"/>
        <v/>
      </c>
      <c r="J128" s="612"/>
      <c r="K128" s="616"/>
      <c r="L128" s="617"/>
      <c r="M128" s="614"/>
      <c r="N128" s="615"/>
      <c r="O128" s="615"/>
      <c r="P128" s="615"/>
      <c r="Q128" s="615"/>
    </row>
    <row r="129" spans="2:17" x14ac:dyDescent="0.3">
      <c r="E129" s="134">
        <v>0</v>
      </c>
      <c r="F129" s="134">
        <v>0</v>
      </c>
      <c r="G129" s="137"/>
      <c r="H129" s="645"/>
      <c r="I129" s="439" t="str">
        <f t="shared" si="11"/>
        <v/>
      </c>
      <c r="J129" s="612"/>
      <c r="K129" s="612"/>
      <c r="L129" s="617"/>
      <c r="M129" s="614"/>
      <c r="N129" s="615"/>
      <c r="O129" s="615"/>
      <c r="P129" s="615"/>
      <c r="Q129" s="615"/>
    </row>
    <row r="130" spans="2:17" x14ac:dyDescent="0.3">
      <c r="E130" s="134">
        <v>0</v>
      </c>
      <c r="F130" s="134">
        <v>0</v>
      </c>
      <c r="G130" s="137"/>
      <c r="H130" s="645"/>
      <c r="I130" s="439" t="str">
        <f t="shared" si="11"/>
        <v/>
      </c>
      <c r="J130" s="612"/>
      <c r="K130" s="612"/>
      <c r="L130" s="617"/>
      <c r="M130" s="614"/>
      <c r="N130" s="615"/>
      <c r="O130" s="615"/>
      <c r="P130" s="615"/>
      <c r="Q130" s="615"/>
    </row>
    <row r="131" spans="2:17" x14ac:dyDescent="0.3">
      <c r="E131" s="134">
        <v>0</v>
      </c>
      <c r="F131" s="134">
        <v>0</v>
      </c>
      <c r="G131" s="137"/>
      <c r="H131" s="645"/>
      <c r="I131" s="439" t="str">
        <f t="shared" si="11"/>
        <v/>
      </c>
      <c r="J131" s="612"/>
      <c r="K131" s="612"/>
      <c r="L131" s="617"/>
      <c r="M131" s="614"/>
      <c r="N131" s="615"/>
      <c r="O131" s="615"/>
      <c r="P131" s="615"/>
      <c r="Q131" s="615"/>
    </row>
    <row r="132" spans="2:17" x14ac:dyDescent="0.3">
      <c r="E132" s="134">
        <v>0</v>
      </c>
      <c r="F132" s="134">
        <v>0</v>
      </c>
      <c r="G132" s="137"/>
      <c r="H132" s="645"/>
      <c r="I132" s="439" t="str">
        <f t="shared" si="11"/>
        <v/>
      </c>
      <c r="J132" s="612"/>
      <c r="K132" s="612"/>
      <c r="L132" s="617"/>
      <c r="M132" s="614"/>
      <c r="N132" s="615"/>
      <c r="O132" s="615"/>
      <c r="P132" s="615"/>
      <c r="Q132" s="615"/>
    </row>
    <row r="133" spans="2:17" x14ac:dyDescent="0.3">
      <c r="E133" s="134">
        <v>0</v>
      </c>
      <c r="F133" s="134">
        <v>0</v>
      </c>
      <c r="G133" s="137"/>
      <c r="H133" s="645"/>
      <c r="I133" s="439" t="str">
        <f t="shared" si="11"/>
        <v/>
      </c>
      <c r="J133" s="612"/>
      <c r="K133" s="612"/>
      <c r="L133" s="617"/>
      <c r="M133" s="614"/>
      <c r="N133" s="615"/>
      <c r="O133" s="615"/>
      <c r="P133" s="615"/>
      <c r="Q133" s="615"/>
    </row>
    <row r="134" spans="2:17" x14ac:dyDescent="0.3">
      <c r="E134" s="134">
        <v>0</v>
      </c>
      <c r="F134" s="134">
        <v>0</v>
      </c>
      <c r="G134" s="137"/>
      <c r="H134" s="645"/>
      <c r="I134" s="439" t="str">
        <f t="shared" si="11"/>
        <v/>
      </c>
      <c r="J134" s="612"/>
      <c r="K134" s="612"/>
      <c r="L134" s="617"/>
      <c r="M134" s="614"/>
      <c r="N134" s="615"/>
      <c r="O134" s="615"/>
      <c r="P134" s="615"/>
      <c r="Q134" s="615"/>
    </row>
    <row r="135" spans="2:17" x14ac:dyDescent="0.3">
      <c r="E135" s="134">
        <v>0</v>
      </c>
      <c r="F135" s="134">
        <v>0</v>
      </c>
      <c r="G135" s="137"/>
      <c r="H135" s="645"/>
      <c r="I135" s="439" t="str">
        <f t="shared" si="11"/>
        <v/>
      </c>
      <c r="J135" s="612"/>
      <c r="K135" s="612"/>
      <c r="L135" s="617"/>
      <c r="M135" s="614"/>
      <c r="N135" s="615"/>
      <c r="O135" s="615"/>
      <c r="P135" s="615"/>
      <c r="Q135" s="615"/>
    </row>
    <row r="136" spans="2:17" ht="13.5" thickBot="1" x14ac:dyDescent="0.35">
      <c r="E136" s="134">
        <v>0</v>
      </c>
      <c r="F136" s="134">
        <v>0</v>
      </c>
      <c r="G136" s="138"/>
      <c r="H136" s="645"/>
      <c r="I136" s="439" t="str">
        <f t="shared" si="11"/>
        <v/>
      </c>
      <c r="J136" s="612"/>
      <c r="K136" s="612"/>
      <c r="L136" s="617"/>
      <c r="M136" s="614"/>
      <c r="N136" s="615"/>
      <c r="O136" s="615"/>
      <c r="P136" s="615"/>
      <c r="Q136" s="615"/>
    </row>
    <row r="137" spans="2:17" x14ac:dyDescent="0.3">
      <c r="I137"/>
      <c r="J137"/>
      <c r="K137"/>
      <c r="L137"/>
    </row>
    <row r="138" spans="2:17" x14ac:dyDescent="0.3">
      <c r="B138" s="104" t="s">
        <v>8</v>
      </c>
      <c r="C138" s="92" t="s">
        <v>213</v>
      </c>
      <c r="I138"/>
      <c r="J138"/>
      <c r="K138"/>
      <c r="L138"/>
    </row>
    <row r="139" spans="2:17" outlineLevel="1" x14ac:dyDescent="0.3">
      <c r="I139"/>
      <c r="J139"/>
      <c r="K139"/>
      <c r="L139"/>
    </row>
    <row r="140" spans="2:17" outlineLevel="1" x14ac:dyDescent="0.3">
      <c r="C140" s="88" t="s">
        <v>19</v>
      </c>
      <c r="D140" s="88" t="s">
        <v>215</v>
      </c>
      <c r="I140"/>
      <c r="J140"/>
      <c r="K140"/>
      <c r="L140"/>
      <c r="M140" s="687" t="s">
        <v>232</v>
      </c>
      <c r="N140" s="687"/>
      <c r="O140" s="687"/>
      <c r="P140" s="687"/>
      <c r="Q140" s="687"/>
    </row>
    <row r="141" spans="2:17" outlineLevel="1" x14ac:dyDescent="0.3">
      <c r="E141" s="135" t="s">
        <v>161</v>
      </c>
      <c r="F141" s="135" t="s">
        <v>160</v>
      </c>
      <c r="G141" s="135" t="s">
        <v>164</v>
      </c>
      <c r="H141" s="350" t="s">
        <v>163</v>
      </c>
      <c r="J141" s="122" t="str">
        <f t="shared" ref="J141:K141" si="12">J$68</f>
        <v>2017-18</v>
      </c>
      <c r="K141" s="122" t="str">
        <f t="shared" si="12"/>
        <v>2018-19</v>
      </c>
      <c r="L141" s="149" t="str">
        <f t="shared" ref="L141:Q141" si="13">L$68</f>
        <v>2019-20</v>
      </c>
      <c r="M141" s="122" t="str">
        <f t="shared" si="13"/>
        <v>2020-21</v>
      </c>
      <c r="N141" s="122" t="str">
        <f t="shared" si="13"/>
        <v>2021-22</v>
      </c>
      <c r="O141" s="122" t="str">
        <f t="shared" si="13"/>
        <v>2022-23</v>
      </c>
      <c r="P141" s="122" t="str">
        <f t="shared" si="13"/>
        <v>2023-24</v>
      </c>
      <c r="Q141" s="122" t="str">
        <f t="shared" si="13"/>
        <v>2024-25</v>
      </c>
    </row>
    <row r="142" spans="2:17" ht="25" outlineLevel="1" x14ac:dyDescent="0.3">
      <c r="E142" s="140" t="str" cm="1">
        <f t="array" ref="E142:F161">ICC_AllocFields</f>
        <v>Access Points</v>
      </c>
      <c r="F142" s="140" t="str">
        <v>Growth</v>
      </c>
      <c r="G142" s="140" t="str">
        <f t="shared" ref="G142:G161" si="14">G117</f>
        <v>Proportionate to meter population</v>
      </c>
      <c r="H142" s="646">
        <f t="shared" ref="H142:H161" si="15">IFERROR(IF(G142="Enter annual volume","N/A",H117),"")</f>
        <v>1.0000000000000001E-5</v>
      </c>
      <c r="I142" s="89"/>
      <c r="J142" s="89"/>
      <c r="K142" s="139"/>
      <c r="L142" s="450">
        <f>IF($G142="Proportionate to meter population",$H142*'Input | Meters Vols &amp; Costs'!Q$424,
IF($G142="Proportionate to population of equipment type",$H142*INDEX(K$188:K$202,MATCH($E142,$E$97:$E$111,0)),L117))</f>
        <v>4.1965000000000003</v>
      </c>
      <c r="M142" s="449">
        <f>IF($G142="Proportionate to meter population",$H142*'Input | Meters Vols &amp; Costs'!R$424,
IF($G142="Proportionate to population of equipment type",$H142*INDEX(L$188:L$202,MATCH($E142,$E$97:$E$111,0)),M117))</f>
        <v>4.2365000000000004</v>
      </c>
      <c r="N142" s="139">
        <f>IF($G142="Proportionate to meter population",$H142*'Input | Meters Vols &amp; Costs'!S$424,
IF($G142="Proportionate to population of equipment type",$H142*INDEX(M$188:M$202,MATCH($E142,$E$97:$E$111,0)),N117))</f>
        <v>4.2765000000000004</v>
      </c>
      <c r="O142" s="139">
        <f>IF($G142="Proportionate to meter population",$H142*'Input | Meters Vols &amp; Costs'!T$424,
IF($G142="Proportionate to population of equipment type",$H142*INDEX(N$188:N$202,MATCH($E142,$E$97:$E$111,0)),O117))</f>
        <v>4.3165000000000004</v>
      </c>
      <c r="P142" s="139">
        <f>IF($G142="Proportionate to meter population",$H142*'Input | Meters Vols &amp; Costs'!U$424,
IF($G142="Proportionate to population of equipment type",$H142*INDEX(O$188:O$202,MATCH($E142,$E$97:$E$111,0)),P117))</f>
        <v>4.3565000000000005</v>
      </c>
      <c r="Q142" s="139">
        <f>IF($G142="Proportionate to meter population",$H142*'Input | Meters Vols &amp; Costs'!V$424,
IF($G142="Proportionate to population of equipment type",$H142*INDEX(P$188:P$202,MATCH($E142,$E$97:$E$111,0)),Q117))</f>
        <v>4.3565000000000005</v>
      </c>
    </row>
    <row r="143" spans="2:17" outlineLevel="1" x14ac:dyDescent="0.3">
      <c r="E143" s="140" t="str">
        <v>Relays</v>
      </c>
      <c r="F143" s="140" t="str">
        <v>Growth</v>
      </c>
      <c r="G143" s="140" t="str">
        <f t="shared" si="14"/>
        <v>Enter annual volume</v>
      </c>
      <c r="H143" s="646" t="str">
        <f t="shared" si="15"/>
        <v>N/A</v>
      </c>
      <c r="I143" s="89"/>
      <c r="J143" s="89"/>
      <c r="K143" s="139">
        <f>IF($G143="Proportionate to meter population",$H143*'Input | Meters Vols &amp; Costs'!P$424,
IF($G143="Proportionate to population of equipment type",$H143*INDEX(J$188:J$202,MATCH($E143,$E$97:$E$111,0)),K118))</f>
        <v>0</v>
      </c>
      <c r="L143" s="450">
        <f>IF($G143="Proportionate to meter population",$H143*'Input | Meters Vols &amp; Costs'!Q$424,
IF($G143="Proportionate to population of equipment type",$H143*INDEX(K$188:K$202,MATCH($E143,$E$97:$E$111,0)),L118))</f>
        <v>0</v>
      </c>
      <c r="M143" s="449">
        <f>IF($G143="Proportionate to meter population",$H143*'Input | Meters Vols &amp; Costs'!R$424,
IF($G143="Proportionate to population of equipment type",$H143*INDEX(L$188:L$202,MATCH($E143,$E$97:$E$111,0)),M118))</f>
        <v>15</v>
      </c>
      <c r="N143" s="139">
        <f>IF($G143="Proportionate to meter population",$H143*'Input | Meters Vols &amp; Costs'!S$424,
IF($G143="Proportionate to population of equipment type",$H143*INDEX(M$188:M$202,MATCH($E143,$E$97:$E$111,0)),N118))</f>
        <v>15</v>
      </c>
      <c r="O143" s="139">
        <f>IF($G143="Proportionate to meter population",$H143*'Input | Meters Vols &amp; Costs'!T$424,
IF($G143="Proportionate to population of equipment type",$H143*INDEX(N$188:N$202,MATCH($E143,$E$97:$E$111,0)),O118))</f>
        <v>15</v>
      </c>
      <c r="P143" s="139">
        <f>IF($G143="Proportionate to meter population",$H143*'Input | Meters Vols &amp; Costs'!U$424,
IF($G143="Proportionate to population of equipment type",$H143*INDEX(O$188:O$202,MATCH($E143,$E$97:$E$111,0)),P118))</f>
        <v>15</v>
      </c>
      <c r="Q143" s="139">
        <f>IF($G143="Proportionate to meter population",$H143*'Input | Meters Vols &amp; Costs'!V$424,
IF($G143="Proportionate to population of equipment type",$H143*INDEX(P$188:P$202,MATCH($E143,$E$97:$E$111,0)),Q118))</f>
        <v>15</v>
      </c>
    </row>
    <row r="144" spans="2:17" outlineLevel="1" x14ac:dyDescent="0.3">
      <c r="E144" s="140" t="str">
        <v>Antennas</v>
      </c>
      <c r="F144" s="140" t="str">
        <v>Growth</v>
      </c>
      <c r="G144" s="140" t="str">
        <f t="shared" si="14"/>
        <v>Enter annual volume</v>
      </c>
      <c r="H144" s="646" t="str">
        <f t="shared" si="15"/>
        <v>N/A</v>
      </c>
      <c r="I144" s="89"/>
      <c r="J144" s="89"/>
      <c r="K144" s="139">
        <f>IF($G144="Proportionate to meter population",$H144*'Input | Meters Vols &amp; Costs'!P$424,
IF($G144="Proportionate to population of equipment type",$H144*INDEX(J$188:J$202,MATCH($E144,$E$97:$E$111,0)),K119))</f>
        <v>0</v>
      </c>
      <c r="L144" s="450">
        <f>IF($G144="Proportionate to meter population",$H144*'Input | Meters Vols &amp; Costs'!Q$424,
IF($G144="Proportionate to population of equipment type",$H144*INDEX(K$188:K$202,MATCH($E144,$E$97:$E$111,0)),L119))</f>
        <v>0</v>
      </c>
      <c r="M144" s="449">
        <f>IF($G144="Proportionate to meter population",$H144*'Input | Meters Vols &amp; Costs'!R$424,
IF($G144="Proportionate to population of equipment type",$H144*INDEX(L$188:L$202,MATCH($E144,$E$97:$E$111,0)),M119))</f>
        <v>20</v>
      </c>
      <c r="N144" s="139">
        <f>IF($G144="Proportionate to meter population",$H144*'Input | Meters Vols &amp; Costs'!S$424,
IF($G144="Proportionate to population of equipment type",$H144*INDEX(M$188:M$202,MATCH($E144,$E$97:$E$111,0)),N119))</f>
        <v>20</v>
      </c>
      <c r="O144" s="139">
        <f>IF($G144="Proportionate to meter population",$H144*'Input | Meters Vols &amp; Costs'!T$424,
IF($G144="Proportionate to population of equipment type",$H144*INDEX(N$188:N$202,MATCH($E144,$E$97:$E$111,0)),O119))</f>
        <v>20</v>
      </c>
      <c r="P144" s="139">
        <f>IF($G144="Proportionate to meter population",$H144*'Input | Meters Vols &amp; Costs'!U$424,
IF($G144="Proportionate to population of equipment type",$H144*INDEX(O$188:O$202,MATCH($E144,$E$97:$E$111,0)),P119))</f>
        <v>20</v>
      </c>
      <c r="Q144" s="139">
        <f>IF($G144="Proportionate to meter population",$H144*'Input | Meters Vols &amp; Costs'!V$424,
IF($G144="Proportionate to population of equipment type",$H144*INDEX(P$188:P$202,MATCH($E144,$E$97:$E$111,0)),Q119))</f>
        <v>20</v>
      </c>
    </row>
    <row r="145" spans="5:19" outlineLevel="1" x14ac:dyDescent="0.3">
      <c r="E145" s="140" t="str">
        <v>Batteries</v>
      </c>
      <c r="F145" s="140" t="str">
        <v>Growth</v>
      </c>
      <c r="G145" s="140" t="str">
        <f t="shared" si="14"/>
        <v>Enter annual volume</v>
      </c>
      <c r="H145" s="646" t="str">
        <f t="shared" si="15"/>
        <v>N/A</v>
      </c>
      <c r="I145" s="89"/>
      <c r="J145" s="89"/>
      <c r="K145" s="139">
        <f>IF($G145="Proportionate to meter population",$H145*'Input | Meters Vols &amp; Costs'!P$424,
IF($G145="Proportionate to population of equipment type",$H145*INDEX(J$188:J$202,MATCH($E145,$E$97:$E$111,0)),K120))</f>
        <v>0</v>
      </c>
      <c r="L145" s="450">
        <f>IF($G145="Proportionate to meter population",$H145*'Input | Meters Vols &amp; Costs'!Q$424,
IF($G145="Proportionate to population of equipment type",$H145*INDEX(K$188:K$202,MATCH($E145,$E$97:$E$111,0)),L120))</f>
        <v>0</v>
      </c>
      <c r="M145" s="449">
        <f>IF($G145="Proportionate to meter population",$H145*'Input | Meters Vols &amp; Costs'!R$424,
IF($G145="Proportionate to population of equipment type",$H145*INDEX(L$188:L$202,MATCH($E145,$E$97:$E$111,0)),M120))</f>
        <v>100</v>
      </c>
      <c r="N145" s="139">
        <f>IF($G145="Proportionate to meter population",$H145*'Input | Meters Vols &amp; Costs'!S$424,
IF($G145="Proportionate to population of equipment type",$H145*INDEX(M$188:M$202,MATCH($E145,$E$97:$E$111,0)),N120))</f>
        <v>100</v>
      </c>
      <c r="O145" s="139">
        <f>IF($G145="Proportionate to meter population",$H145*'Input | Meters Vols &amp; Costs'!T$424,
IF($G145="Proportionate to population of equipment type",$H145*INDEX(N$188:N$202,MATCH($E145,$E$97:$E$111,0)),O120))</f>
        <v>100</v>
      </c>
      <c r="P145" s="139">
        <f>IF($G145="Proportionate to meter population",$H145*'Input | Meters Vols &amp; Costs'!U$424,
IF($G145="Proportionate to population of equipment type",$H145*INDEX(O$188:O$202,MATCH($E145,$E$97:$E$111,0)),P120))</f>
        <v>100</v>
      </c>
      <c r="Q145" s="139">
        <f>IF($G145="Proportionate to meter population",$H145*'Input | Meters Vols &amp; Costs'!V$424,
IF($G145="Proportionate to population of equipment type",$H145*INDEX(P$188:P$202,MATCH($E145,$E$97:$E$111,0)),Q120))</f>
        <v>100</v>
      </c>
    </row>
    <row r="146" spans="5:19" ht="37.5" outlineLevel="1" x14ac:dyDescent="0.3">
      <c r="E146" s="140" t="str">
        <v>Access Points</v>
      </c>
      <c r="F146" s="140" t="str">
        <v>Replacements - faults and failures</v>
      </c>
      <c r="G146" s="140" t="str">
        <f t="shared" si="14"/>
        <v>Proportionate to population of equipment type</v>
      </c>
      <c r="H146" s="646">
        <f t="shared" si="15"/>
        <v>0.05</v>
      </c>
      <c r="I146" s="89"/>
      <c r="J146" s="89"/>
      <c r="K146" s="139">
        <f>IF($G146="Proportionate to meter population",$H146*'Input | Meters Vols &amp; Costs'!P$424,
IF($G146="Proportionate to population of equipment type",$H146*INDEX(J$188:J$202,MATCH($E146,$E$97:$E$111,0)),K121))</f>
        <v>0</v>
      </c>
      <c r="L146" s="450">
        <f>IF($G146="Proportionate to meter population",$H146*'Input | Meters Vols &amp; Costs'!Q$424,
IF($G146="Proportionate to population of equipment type",$H146*INDEX(K$188:K$202,MATCH($E146,$E$97:$E$111,0)),L121))</f>
        <v>5</v>
      </c>
      <c r="M146" s="449">
        <f>IF($G146="Proportionate to meter population",$H146*'Input | Meters Vols &amp; Costs'!R$424,
IF($G146="Proportionate to population of equipment type",$H146*INDEX(L$188:L$202,MATCH($E146,$E$97:$E$111,0)),M121))</f>
        <v>5.25</v>
      </c>
      <c r="N146" s="139">
        <f>IF($G146="Proportionate to meter population",$H146*'Input | Meters Vols &amp; Costs'!S$424,
IF($G146="Proportionate to population of equipment type",$H146*INDEX(M$188:M$202,MATCH($E146,$E$97:$E$111,0)),N121))</f>
        <v>5.5</v>
      </c>
      <c r="O146" s="139">
        <f>IF($G146="Proportionate to meter population",$H146*'Input | Meters Vols &amp; Costs'!T$424,
IF($G146="Proportionate to population of equipment type",$H146*INDEX(N$188:N$202,MATCH($E146,$E$97:$E$111,0)),O121))</f>
        <v>5.75</v>
      </c>
      <c r="P146" s="139">
        <f>IF($G146="Proportionate to meter population",$H146*'Input | Meters Vols &amp; Costs'!U$424,
IF($G146="Proportionate to population of equipment type",$H146*INDEX(O$188:O$202,MATCH($E146,$E$97:$E$111,0)),P121))</f>
        <v>6</v>
      </c>
      <c r="Q146" s="139">
        <f>IF($G146="Proportionate to meter population",$H146*'Input | Meters Vols &amp; Costs'!V$424,
IF($G146="Proportionate to population of equipment type",$H146*INDEX(P$188:P$202,MATCH($E146,$E$97:$E$111,0)),Q121))</f>
        <v>6.25</v>
      </c>
    </row>
    <row r="147" spans="5:19" ht="37.5" outlineLevel="1" x14ac:dyDescent="0.3">
      <c r="E147" s="140" t="str">
        <v>Batteries</v>
      </c>
      <c r="F147" s="140" t="str">
        <v>Replacements - faults and failures</v>
      </c>
      <c r="G147" s="140" t="str">
        <f t="shared" si="14"/>
        <v>Proportionate to population of equipment type</v>
      </c>
      <c r="H147" s="646">
        <f t="shared" si="15"/>
        <v>0.03</v>
      </c>
      <c r="I147" s="89"/>
      <c r="J147" s="89"/>
      <c r="K147" s="139">
        <f>IF($G147="Proportionate to meter population",$H147*'Input | Meters Vols &amp; Costs'!P$424,
IF($G147="Proportionate to population of equipment type",$H147*INDEX(J$188:J$202,MATCH($E147,$E$97:$E$111,0)),K122))</f>
        <v>0</v>
      </c>
      <c r="L147" s="450">
        <f>IF($G147="Proportionate to meter population",$H147*'Input | Meters Vols &amp; Costs'!Q$424,
IF($G147="Proportionate to population of equipment type",$H147*INDEX(K$188:K$202,MATCH($E147,$E$97:$E$111,0)),L122))</f>
        <v>18</v>
      </c>
      <c r="M147" s="449">
        <f>IF($G147="Proportionate to meter population",$H147*'Input | Meters Vols &amp; Costs'!R$424,
IF($G147="Proportionate to population of equipment type",$H147*INDEX(L$188:L$202,MATCH($E147,$E$97:$E$111,0)),M122))</f>
        <v>18</v>
      </c>
      <c r="N147" s="139">
        <f>IF($G147="Proportionate to meter population",$H147*'Input | Meters Vols &amp; Costs'!S$424,
IF($G147="Proportionate to population of equipment type",$H147*INDEX(M$188:M$202,MATCH($E147,$E$97:$E$111,0)),N122))</f>
        <v>21</v>
      </c>
      <c r="O147" s="139">
        <f>IF($G147="Proportionate to meter population",$H147*'Input | Meters Vols &amp; Costs'!T$424,
IF($G147="Proportionate to population of equipment type",$H147*INDEX(N$188:N$202,MATCH($E147,$E$97:$E$111,0)),O122))</f>
        <v>24</v>
      </c>
      <c r="P147" s="139">
        <f>IF($G147="Proportionate to meter population",$H147*'Input | Meters Vols &amp; Costs'!U$424,
IF($G147="Proportionate to population of equipment type",$H147*INDEX(O$188:O$202,MATCH($E147,$E$97:$E$111,0)),P122))</f>
        <v>27</v>
      </c>
      <c r="Q147" s="139">
        <f>IF($G147="Proportionate to meter population",$H147*'Input | Meters Vols &amp; Costs'!V$424,
IF($G147="Proportionate to population of equipment type",$H147*INDEX(P$188:P$202,MATCH($E147,$E$97:$E$111,0)),Q122))</f>
        <v>30</v>
      </c>
    </row>
    <row r="148" spans="5:19" outlineLevel="1" x14ac:dyDescent="0.3">
      <c r="E148" s="140">
        <v>0</v>
      </c>
      <c r="F148" s="140">
        <v>0</v>
      </c>
      <c r="G148" s="140">
        <f t="shared" si="14"/>
        <v>0</v>
      </c>
      <c r="H148" s="646">
        <f t="shared" si="15"/>
        <v>0</v>
      </c>
      <c r="I148" s="89"/>
      <c r="J148" s="89"/>
      <c r="K148" s="139">
        <f>IF($G148="Proportionate to meter population",$H148*'Input | Meters Vols &amp; Costs'!P$424,
IF($G148="Proportionate to population of equipment type",$H148*INDEX(J$188:J$202,MATCH($E148,$E$97:$E$111,0)),K123))</f>
        <v>0</v>
      </c>
      <c r="L148" s="450">
        <f>IF($G148="Proportionate to meter population",$H148*'Input | Meters Vols &amp; Costs'!Q$424,
IF($G148="Proportionate to population of equipment type",$H148*INDEX(K$188:K$202,MATCH($E148,$E$97:$E$111,0)),L123))</f>
        <v>0</v>
      </c>
      <c r="M148" s="449">
        <f>IF($G148="Proportionate to meter population",$H148*'Input | Meters Vols &amp; Costs'!R$424,
IF($G148="Proportionate to population of equipment type",$H148*INDEX(L$188:L$202,MATCH($E148,$E$97:$E$111,0)),M123))</f>
        <v>0</v>
      </c>
      <c r="N148" s="139">
        <f>IF($G148="Proportionate to meter population",$H148*'Input | Meters Vols &amp; Costs'!S$424,
IF($G148="Proportionate to population of equipment type",$H148*INDEX(M$188:M$202,MATCH($E148,$E$97:$E$111,0)),N123))</f>
        <v>0</v>
      </c>
      <c r="O148" s="139">
        <f>IF($G148="Proportionate to meter population",$H148*'Input | Meters Vols &amp; Costs'!T$424,
IF($G148="Proportionate to population of equipment type",$H148*INDEX(N$188:N$202,MATCH($E148,$E$97:$E$111,0)),O123))</f>
        <v>0</v>
      </c>
      <c r="P148" s="139">
        <f>IF($G148="Proportionate to meter population",$H148*'Input | Meters Vols &amp; Costs'!U$424,
IF($G148="Proportionate to population of equipment type",$H148*INDEX(O$188:O$202,MATCH($E148,$E$97:$E$111,0)),P123))</f>
        <v>0</v>
      </c>
      <c r="Q148" s="139">
        <f>IF($G148="Proportionate to meter population",$H148*'Input | Meters Vols &amp; Costs'!V$424,
IF($G148="Proportionate to population of equipment type",$H148*INDEX(P$188:P$202,MATCH($E148,$E$97:$E$111,0)),Q123))</f>
        <v>0</v>
      </c>
    </row>
    <row r="149" spans="5:19" outlineLevel="1" x14ac:dyDescent="0.3">
      <c r="E149" s="140">
        <v>0</v>
      </c>
      <c r="F149" s="140">
        <v>0</v>
      </c>
      <c r="G149" s="140">
        <f t="shared" si="14"/>
        <v>0</v>
      </c>
      <c r="H149" s="646">
        <f t="shared" si="15"/>
        <v>0</v>
      </c>
      <c r="I149" s="89"/>
      <c r="J149" s="89"/>
      <c r="K149" s="139">
        <f>IF($G149="Proportionate to meter population",$H149*'Input | Meters Vols &amp; Costs'!P$424,
IF($G149="Proportionate to population of equipment type",$H149*INDEX(J$188:J$202,MATCH($E149,$E$97:$E$111,0)),K124))</f>
        <v>0</v>
      </c>
      <c r="L149" s="450">
        <f>IF($G149="Proportionate to meter population",$H149*'Input | Meters Vols &amp; Costs'!Q$424,
IF($G149="Proportionate to population of equipment type",$H149*INDEX(K$188:K$202,MATCH($E149,$E$97:$E$111,0)),L124))</f>
        <v>0</v>
      </c>
      <c r="M149" s="449">
        <f>IF($G149="Proportionate to meter population",$H149*'Input | Meters Vols &amp; Costs'!R$424,
IF($G149="Proportionate to population of equipment type",$H149*INDEX(L$188:L$202,MATCH($E149,$E$97:$E$111,0)),M124))</f>
        <v>0</v>
      </c>
      <c r="N149" s="139">
        <f>IF($G149="Proportionate to meter population",$H149*'Input | Meters Vols &amp; Costs'!S$424,
IF($G149="Proportionate to population of equipment type",$H149*INDEX(M$188:M$202,MATCH($E149,$E$97:$E$111,0)),N124))</f>
        <v>0</v>
      </c>
      <c r="O149" s="139">
        <f>IF($G149="Proportionate to meter population",$H149*'Input | Meters Vols &amp; Costs'!T$424,
IF($G149="Proportionate to population of equipment type",$H149*INDEX(N$188:N$202,MATCH($E149,$E$97:$E$111,0)),O124))</f>
        <v>0</v>
      </c>
      <c r="P149" s="139">
        <f>IF($G149="Proportionate to meter population",$H149*'Input | Meters Vols &amp; Costs'!U$424,
IF($G149="Proportionate to population of equipment type",$H149*INDEX(O$188:O$202,MATCH($E149,$E$97:$E$111,0)),P124))</f>
        <v>0</v>
      </c>
      <c r="Q149" s="139">
        <f>IF($G149="Proportionate to meter population",$H149*'Input | Meters Vols &amp; Costs'!V$424,
IF($G149="Proportionate to population of equipment type",$H149*INDEX(P$188:P$202,MATCH($E149,$E$97:$E$111,0)),Q124))</f>
        <v>0</v>
      </c>
    </row>
    <row r="150" spans="5:19" outlineLevel="1" x14ac:dyDescent="0.3">
      <c r="E150" s="140">
        <v>0</v>
      </c>
      <c r="F150" s="140">
        <v>0</v>
      </c>
      <c r="G150" s="140">
        <f t="shared" si="14"/>
        <v>0</v>
      </c>
      <c r="H150" s="646">
        <f t="shared" si="15"/>
        <v>0</v>
      </c>
      <c r="I150" s="89"/>
      <c r="J150" s="89"/>
      <c r="K150" s="139">
        <f>IF($G150="Proportionate to meter population",$H150*'Input | Meters Vols &amp; Costs'!P$424,
IF($G150="Proportionate to population of equipment type",$H150*INDEX(J$188:J$202,MATCH($E150,$E$97:$E$111,0)),K125))</f>
        <v>0</v>
      </c>
      <c r="L150" s="450">
        <f>IF($G150="Proportionate to meter population",$H150*'Input | Meters Vols &amp; Costs'!Q$424,
IF($G150="Proportionate to population of equipment type",$H150*INDEX(K$188:K$202,MATCH($E150,$E$97:$E$111,0)),L125))</f>
        <v>0</v>
      </c>
      <c r="M150" s="449">
        <f>IF($G150="Proportionate to meter population",$H150*'Input | Meters Vols &amp; Costs'!R$424,
IF($G150="Proportionate to population of equipment type",$H150*INDEX(L$188:L$202,MATCH($E150,$E$97:$E$111,0)),M125))</f>
        <v>0</v>
      </c>
      <c r="N150" s="139">
        <f>IF($G150="Proportionate to meter population",$H150*'Input | Meters Vols &amp; Costs'!S$424,
IF($G150="Proportionate to population of equipment type",$H150*INDEX(M$188:M$202,MATCH($E150,$E$97:$E$111,0)),N125))</f>
        <v>0</v>
      </c>
      <c r="O150" s="139">
        <f>IF($G150="Proportionate to meter population",$H150*'Input | Meters Vols &amp; Costs'!T$424,
IF($G150="Proportionate to population of equipment type",$H150*INDEX(N$188:N$202,MATCH($E150,$E$97:$E$111,0)),O125))</f>
        <v>0</v>
      </c>
      <c r="P150" s="139">
        <f>IF($G150="Proportionate to meter population",$H150*'Input | Meters Vols &amp; Costs'!U$424,
IF($G150="Proportionate to population of equipment type",$H150*INDEX(O$188:O$202,MATCH($E150,$E$97:$E$111,0)),P125))</f>
        <v>0</v>
      </c>
      <c r="Q150" s="139">
        <f>IF($G150="Proportionate to meter population",$H150*'Input | Meters Vols &amp; Costs'!V$424,
IF($G150="Proportionate to population of equipment type",$H150*INDEX(P$188:P$202,MATCH($E150,$E$97:$E$111,0)),Q125))</f>
        <v>0</v>
      </c>
    </row>
    <row r="151" spans="5:19" outlineLevel="1" x14ac:dyDescent="0.3">
      <c r="E151" s="140">
        <v>0</v>
      </c>
      <c r="F151" s="140">
        <v>0</v>
      </c>
      <c r="G151" s="140">
        <f t="shared" si="14"/>
        <v>0</v>
      </c>
      <c r="H151" s="646">
        <f t="shared" si="15"/>
        <v>0</v>
      </c>
      <c r="I151" s="89"/>
      <c r="J151" s="89"/>
      <c r="K151" s="139">
        <f>IF($G151="Proportionate to meter population",$H151*'Input | Meters Vols &amp; Costs'!P$424,
IF($G151="Proportionate to population of equipment type",$H151*INDEX(J$188:J$202,MATCH($E151,$E$97:$E$111,0)),K126))</f>
        <v>0</v>
      </c>
      <c r="L151" s="450">
        <f>IF($G151="Proportionate to meter population",$H151*'Input | Meters Vols &amp; Costs'!Q$424,
IF($G151="Proportionate to population of equipment type",$H151*INDEX(K$188:K$202,MATCH($E151,$E$97:$E$111,0)),L126))</f>
        <v>0</v>
      </c>
      <c r="M151" s="449">
        <f>IF($G151="Proportionate to meter population",$H151*'Input | Meters Vols &amp; Costs'!R$424,
IF($G151="Proportionate to population of equipment type",$H151*INDEX(L$188:L$202,MATCH($E151,$E$97:$E$111,0)),M126))</f>
        <v>0</v>
      </c>
      <c r="N151" s="139">
        <f>IF($G151="Proportionate to meter population",$H151*'Input | Meters Vols &amp; Costs'!S$424,
IF($G151="Proportionate to population of equipment type",$H151*INDEX(M$188:M$202,MATCH($E151,$E$97:$E$111,0)),N126))</f>
        <v>0</v>
      </c>
      <c r="O151" s="139">
        <f>IF($G151="Proportionate to meter population",$H151*'Input | Meters Vols &amp; Costs'!T$424,
IF($G151="Proportionate to population of equipment type",$H151*INDEX(N$188:N$202,MATCH($E151,$E$97:$E$111,0)),O126))</f>
        <v>0</v>
      </c>
      <c r="P151" s="139">
        <f>IF($G151="Proportionate to meter population",$H151*'Input | Meters Vols &amp; Costs'!U$424,
IF($G151="Proportionate to population of equipment type",$H151*INDEX(O$188:O$202,MATCH($E151,$E$97:$E$111,0)),P126))</f>
        <v>0</v>
      </c>
      <c r="Q151" s="139">
        <f>IF($G151="Proportionate to meter population",$H151*'Input | Meters Vols &amp; Costs'!V$424,
IF($G151="Proportionate to population of equipment type",$H151*INDEX(P$188:P$202,MATCH($E151,$E$97:$E$111,0)),Q126))</f>
        <v>0</v>
      </c>
    </row>
    <row r="152" spans="5:19" outlineLevel="1" x14ac:dyDescent="0.3">
      <c r="E152" s="140">
        <v>0</v>
      </c>
      <c r="F152" s="140">
        <v>0</v>
      </c>
      <c r="G152" s="140">
        <f t="shared" si="14"/>
        <v>0</v>
      </c>
      <c r="H152" s="646">
        <f t="shared" si="15"/>
        <v>0</v>
      </c>
      <c r="I152" s="89"/>
      <c r="J152" s="89"/>
      <c r="K152" s="139">
        <f>IF($G152="Proportionate to meter population",$H152*'Input | Meters Vols &amp; Costs'!P$424,
IF($G152="Proportionate to population of equipment type",$H152*INDEX(J$188:J$202,MATCH($E152,$E$97:$E$111,0)),K127))</f>
        <v>0</v>
      </c>
      <c r="L152" s="450">
        <f>IF($G152="Proportionate to meter population",$H152*'Input | Meters Vols &amp; Costs'!Q$424,
IF($G152="Proportionate to population of equipment type",$H152*INDEX(K$188:K$202,MATCH($E152,$E$97:$E$111,0)),L127))</f>
        <v>0</v>
      </c>
      <c r="M152" s="449">
        <f>IF($G152="Proportionate to meter population",$H152*'Input | Meters Vols &amp; Costs'!R$424,
IF($G152="Proportionate to population of equipment type",$H152*INDEX(L$188:L$202,MATCH($E152,$E$97:$E$111,0)),M127))</f>
        <v>0</v>
      </c>
      <c r="N152" s="139">
        <f>IF($G152="Proportionate to meter population",$H152*'Input | Meters Vols &amp; Costs'!S$424,
IF($G152="Proportionate to population of equipment type",$H152*INDEX(M$188:M$202,MATCH($E152,$E$97:$E$111,0)),N127))</f>
        <v>0</v>
      </c>
      <c r="O152" s="139">
        <f>IF($G152="Proportionate to meter population",$H152*'Input | Meters Vols &amp; Costs'!T$424,
IF($G152="Proportionate to population of equipment type",$H152*INDEX(N$188:N$202,MATCH($E152,$E$97:$E$111,0)),O127))</f>
        <v>0</v>
      </c>
      <c r="P152" s="139">
        <f>IF($G152="Proportionate to meter population",$H152*'Input | Meters Vols &amp; Costs'!U$424,
IF($G152="Proportionate to population of equipment type",$H152*INDEX(O$188:O$202,MATCH($E152,$E$97:$E$111,0)),P127))</f>
        <v>0</v>
      </c>
      <c r="Q152" s="139">
        <f>IF($G152="Proportionate to meter population",$H152*'Input | Meters Vols &amp; Costs'!V$424,
IF($G152="Proportionate to population of equipment type",$H152*INDEX(P$188:P$202,MATCH($E152,$E$97:$E$111,0)),Q127))</f>
        <v>0</v>
      </c>
    </row>
    <row r="153" spans="5:19" outlineLevel="1" x14ac:dyDescent="0.3">
      <c r="E153" s="140">
        <v>0</v>
      </c>
      <c r="F153" s="140">
        <v>0</v>
      </c>
      <c r="G153" s="140">
        <f t="shared" si="14"/>
        <v>0</v>
      </c>
      <c r="H153" s="646">
        <f t="shared" si="15"/>
        <v>0</v>
      </c>
      <c r="I153" s="89"/>
      <c r="J153" s="89"/>
      <c r="K153" s="139">
        <f>IF($G153="Proportionate to meter population",$H153*'Input | Meters Vols &amp; Costs'!P$424,
IF($G153="Proportionate to population of equipment type",$H153*INDEX(J$188:J$202,MATCH($E153,$E$97:$E$111,0)),K128))</f>
        <v>0</v>
      </c>
      <c r="L153" s="450">
        <f>IF($G153="Proportionate to meter population",$H153*'Input | Meters Vols &amp; Costs'!Q$424,
IF($G153="Proportionate to population of equipment type",$H153*INDEX(K$188:K$202,MATCH($E153,$E$97:$E$111,0)),L128))</f>
        <v>0</v>
      </c>
      <c r="M153" s="449">
        <f>IF($G153="Proportionate to meter population",$H153*'Input | Meters Vols &amp; Costs'!R$424,
IF($G153="Proportionate to population of equipment type",$H153*INDEX(L$188:L$202,MATCH($E153,$E$97:$E$111,0)),M128))</f>
        <v>0</v>
      </c>
      <c r="N153" s="139">
        <f>IF($G153="Proportionate to meter population",$H153*'Input | Meters Vols &amp; Costs'!S$424,
IF($G153="Proportionate to population of equipment type",$H153*INDEX(M$188:M$202,MATCH($E153,$E$97:$E$111,0)),N128))</f>
        <v>0</v>
      </c>
      <c r="O153" s="139">
        <f>IF($G153="Proportionate to meter population",$H153*'Input | Meters Vols &amp; Costs'!T$424,
IF($G153="Proportionate to population of equipment type",$H153*INDEX(N$188:N$202,MATCH($E153,$E$97:$E$111,0)),O128))</f>
        <v>0</v>
      </c>
      <c r="P153" s="139">
        <f>IF($G153="Proportionate to meter population",$H153*'Input | Meters Vols &amp; Costs'!U$424,
IF($G153="Proportionate to population of equipment type",$H153*INDEX(O$188:O$202,MATCH($E153,$E$97:$E$111,0)),P128))</f>
        <v>0</v>
      </c>
      <c r="Q153" s="139">
        <f>IF($G153="Proportionate to meter population",$H153*'Input | Meters Vols &amp; Costs'!V$424,
IF($G153="Proportionate to population of equipment type",$H153*INDEX(P$188:P$202,MATCH($E153,$E$97:$E$111,0)),Q128))</f>
        <v>0</v>
      </c>
    </row>
    <row r="154" spans="5:19" outlineLevel="1" x14ac:dyDescent="0.3">
      <c r="E154" s="140">
        <v>0</v>
      </c>
      <c r="F154" s="140">
        <v>0</v>
      </c>
      <c r="G154" s="140">
        <f t="shared" si="14"/>
        <v>0</v>
      </c>
      <c r="H154" s="646">
        <f t="shared" si="15"/>
        <v>0</v>
      </c>
      <c r="I154" s="89"/>
      <c r="J154" s="89"/>
      <c r="K154" s="139">
        <f>IF($G154="Proportionate to meter population",$H154*'Input | Meters Vols &amp; Costs'!P$424,
IF($G154="Proportionate to population of equipment type",$H154*INDEX(J$188:J$202,MATCH($E154,$E$97:$E$111,0)),K129))</f>
        <v>0</v>
      </c>
      <c r="L154" s="450">
        <f>IF($G154="Proportionate to meter population",$H154*'Input | Meters Vols &amp; Costs'!Q$424,
IF($G154="Proportionate to population of equipment type",$H154*INDEX(K$188:K$202,MATCH($E154,$E$97:$E$111,0)),L129))</f>
        <v>0</v>
      </c>
      <c r="M154" s="449">
        <f>IF($G154="Proportionate to meter population",$H154*'Input | Meters Vols &amp; Costs'!R$424,
IF($G154="Proportionate to population of equipment type",$H154*INDEX(L$188:L$202,MATCH($E154,$E$97:$E$111,0)),M129))</f>
        <v>0</v>
      </c>
      <c r="N154" s="139">
        <f>IF($G154="Proportionate to meter population",$H154*'Input | Meters Vols &amp; Costs'!S$424,
IF($G154="Proportionate to population of equipment type",$H154*INDEX(M$188:M$202,MATCH($E154,$E$97:$E$111,0)),N129))</f>
        <v>0</v>
      </c>
      <c r="O154" s="139">
        <f>IF($G154="Proportionate to meter population",$H154*'Input | Meters Vols &amp; Costs'!T$424,
IF($G154="Proportionate to population of equipment type",$H154*INDEX(N$188:N$202,MATCH($E154,$E$97:$E$111,0)),O129))</f>
        <v>0</v>
      </c>
      <c r="P154" s="139">
        <f>IF($G154="Proportionate to meter population",$H154*'Input | Meters Vols &amp; Costs'!U$424,
IF($G154="Proportionate to population of equipment type",$H154*INDEX(O$188:O$202,MATCH($E154,$E$97:$E$111,0)),P129))</f>
        <v>0</v>
      </c>
      <c r="Q154" s="139">
        <f>IF($G154="Proportionate to meter population",$H154*'Input | Meters Vols &amp; Costs'!V$424,
IF($G154="Proportionate to population of equipment type",$H154*INDEX(P$188:P$202,MATCH($E154,$E$97:$E$111,0)),Q129))</f>
        <v>0</v>
      </c>
    </row>
    <row r="155" spans="5:19" outlineLevel="1" x14ac:dyDescent="0.3">
      <c r="E155" s="140">
        <v>0</v>
      </c>
      <c r="F155" s="140">
        <v>0</v>
      </c>
      <c r="G155" s="140">
        <f t="shared" si="14"/>
        <v>0</v>
      </c>
      <c r="H155" s="646">
        <f t="shared" si="15"/>
        <v>0</v>
      </c>
      <c r="I155" s="89"/>
      <c r="J155" s="89"/>
      <c r="K155" s="139">
        <f>IF($G155="Proportionate to meter population",$H155*'Input | Meters Vols &amp; Costs'!P$424,
IF($G155="Proportionate to population of equipment type",$H155*INDEX(J$188:J$202,MATCH($E155,$E$97:$E$111,0)),K130))</f>
        <v>0</v>
      </c>
      <c r="L155" s="450">
        <f>IF($G155="Proportionate to meter population",$H155*'Input | Meters Vols &amp; Costs'!Q$424,
IF($G155="Proportionate to population of equipment type",$H155*INDEX(K$188:K$202,MATCH($E155,$E$97:$E$111,0)),L130))</f>
        <v>0</v>
      </c>
      <c r="M155" s="449">
        <f>IF($G155="Proportionate to meter population",$H155*'Input | Meters Vols &amp; Costs'!R$424,
IF($G155="Proportionate to population of equipment type",$H155*INDEX(L$188:L$202,MATCH($E155,$E$97:$E$111,0)),M130))</f>
        <v>0</v>
      </c>
      <c r="N155" s="139">
        <f>IF($G155="Proportionate to meter population",$H155*'Input | Meters Vols &amp; Costs'!S$424,
IF($G155="Proportionate to population of equipment type",$H155*INDEX(M$188:M$202,MATCH($E155,$E$97:$E$111,0)),N130))</f>
        <v>0</v>
      </c>
      <c r="O155" s="139">
        <f>IF($G155="Proportionate to meter population",$H155*'Input | Meters Vols &amp; Costs'!T$424,
IF($G155="Proportionate to population of equipment type",$H155*INDEX(N$188:N$202,MATCH($E155,$E$97:$E$111,0)),O130))</f>
        <v>0</v>
      </c>
      <c r="P155" s="139">
        <f>IF($G155="Proportionate to meter population",$H155*'Input | Meters Vols &amp; Costs'!U$424,
IF($G155="Proportionate to population of equipment type",$H155*INDEX(O$188:O$202,MATCH($E155,$E$97:$E$111,0)),P130))</f>
        <v>0</v>
      </c>
      <c r="Q155" s="139">
        <f>IF($G155="Proportionate to meter population",$H155*'Input | Meters Vols &amp; Costs'!V$424,
IF($G155="Proportionate to population of equipment type",$H155*INDEX(P$188:P$202,MATCH($E155,$E$97:$E$111,0)),Q130))</f>
        <v>0</v>
      </c>
    </row>
    <row r="156" spans="5:19" outlineLevel="1" x14ac:dyDescent="0.3">
      <c r="E156" s="140">
        <v>0</v>
      </c>
      <c r="F156" s="140">
        <v>0</v>
      </c>
      <c r="G156" s="140">
        <f t="shared" si="14"/>
        <v>0</v>
      </c>
      <c r="H156" s="646">
        <f t="shared" si="15"/>
        <v>0</v>
      </c>
      <c r="I156" s="89"/>
      <c r="J156" s="89"/>
      <c r="K156" s="139">
        <f>IF($G156="Proportionate to meter population",$H156*'Input | Meters Vols &amp; Costs'!P$424,
IF($G156="Proportionate to population of equipment type",$H156*INDEX(J$188:J$202,MATCH($E156,$E$97:$E$111,0)),K131))</f>
        <v>0</v>
      </c>
      <c r="L156" s="450">
        <f>IF($G156="Proportionate to meter population",$H156*'Input | Meters Vols &amp; Costs'!Q$424,
IF($G156="Proportionate to population of equipment type",$H156*INDEX(K$188:K$202,MATCH($E156,$E$97:$E$111,0)),L131))</f>
        <v>0</v>
      </c>
      <c r="M156" s="449">
        <f>IF($G156="Proportionate to meter population",$H156*'Input | Meters Vols &amp; Costs'!R$424,
IF($G156="Proportionate to population of equipment type",$H156*INDEX(L$188:L$202,MATCH($E156,$E$97:$E$111,0)),M131))</f>
        <v>0</v>
      </c>
      <c r="N156" s="139">
        <f>IF($G156="Proportionate to meter population",$H156*'Input | Meters Vols &amp; Costs'!S$424,
IF($G156="Proportionate to population of equipment type",$H156*INDEX(M$188:M$202,MATCH($E156,$E$97:$E$111,0)),N131))</f>
        <v>0</v>
      </c>
      <c r="O156" s="139">
        <f>IF($G156="Proportionate to meter population",$H156*'Input | Meters Vols &amp; Costs'!T$424,
IF($G156="Proportionate to population of equipment type",$H156*INDEX(N$188:N$202,MATCH($E156,$E$97:$E$111,0)),O131))</f>
        <v>0</v>
      </c>
      <c r="P156" s="139">
        <f>IF($G156="Proportionate to meter population",$H156*'Input | Meters Vols &amp; Costs'!U$424,
IF($G156="Proportionate to population of equipment type",$H156*INDEX(O$188:O$202,MATCH($E156,$E$97:$E$111,0)),P131))</f>
        <v>0</v>
      </c>
      <c r="Q156" s="139">
        <f>IF($G156="Proportionate to meter population",$H156*'Input | Meters Vols &amp; Costs'!V$424,
IF($G156="Proportionate to population of equipment type",$H156*INDEX(P$188:P$202,MATCH($E156,$E$97:$E$111,0)),Q131))</f>
        <v>0</v>
      </c>
    </row>
    <row r="157" spans="5:19" outlineLevel="1" x14ac:dyDescent="0.3">
      <c r="E157" s="140">
        <v>0</v>
      </c>
      <c r="F157" s="140">
        <v>0</v>
      </c>
      <c r="G157" s="140">
        <f t="shared" si="14"/>
        <v>0</v>
      </c>
      <c r="H157" s="646">
        <f t="shared" si="15"/>
        <v>0</v>
      </c>
      <c r="I157" s="89"/>
      <c r="J157" s="89"/>
      <c r="K157" s="139">
        <f>IF($G157="Proportionate to meter population",$H157*'Input | Meters Vols &amp; Costs'!P$424,
IF($G157="Proportionate to population of equipment type",$H157*INDEX(J$188:J$202,MATCH($E157,$E$97:$E$111,0)),K132))</f>
        <v>0</v>
      </c>
      <c r="L157" s="450">
        <f>IF($G157="Proportionate to meter population",$H157*'Input | Meters Vols &amp; Costs'!Q$424,
IF($G157="Proportionate to population of equipment type",$H157*INDEX(K$188:K$202,MATCH($E157,$E$97:$E$111,0)),L132))</f>
        <v>0</v>
      </c>
      <c r="M157" s="449">
        <f>IF($G157="Proportionate to meter population",$H157*'Input | Meters Vols &amp; Costs'!R$424,
IF($G157="Proportionate to population of equipment type",$H157*INDEX(L$188:L$202,MATCH($E157,$E$97:$E$111,0)),M132))</f>
        <v>0</v>
      </c>
      <c r="N157" s="139">
        <f>IF($G157="Proportionate to meter population",$H157*'Input | Meters Vols &amp; Costs'!S$424,
IF($G157="Proportionate to population of equipment type",$H157*INDEX(M$188:M$202,MATCH($E157,$E$97:$E$111,0)),N132))</f>
        <v>0</v>
      </c>
      <c r="O157" s="139">
        <f>IF($G157="Proportionate to meter population",$H157*'Input | Meters Vols &amp; Costs'!T$424,
IF($G157="Proportionate to population of equipment type",$H157*INDEX(N$188:N$202,MATCH($E157,$E$97:$E$111,0)),O132))</f>
        <v>0</v>
      </c>
      <c r="P157" s="139">
        <f>IF($G157="Proportionate to meter population",$H157*'Input | Meters Vols &amp; Costs'!U$424,
IF($G157="Proportionate to population of equipment type",$H157*INDEX(O$188:O$202,MATCH($E157,$E$97:$E$111,0)),P132))</f>
        <v>0</v>
      </c>
      <c r="Q157" s="139">
        <f>IF($G157="Proportionate to meter population",$H157*'Input | Meters Vols &amp; Costs'!V$424,
IF($G157="Proportionate to population of equipment type",$H157*INDEX(P$188:P$202,MATCH($E157,$E$97:$E$111,0)),Q132))</f>
        <v>0</v>
      </c>
    </row>
    <row r="158" spans="5:19" outlineLevel="1" x14ac:dyDescent="0.3">
      <c r="E158" s="140">
        <v>0</v>
      </c>
      <c r="F158" s="140">
        <v>0</v>
      </c>
      <c r="G158" s="140">
        <f t="shared" si="14"/>
        <v>0</v>
      </c>
      <c r="H158" s="646">
        <f t="shared" si="15"/>
        <v>0</v>
      </c>
      <c r="I158" s="89"/>
      <c r="J158" s="89"/>
      <c r="K158" s="139">
        <f>IF($G158="Proportionate to meter population",$H158*'Input | Meters Vols &amp; Costs'!P$424,
IF($G158="Proportionate to population of equipment type",$H158*INDEX(J$188:J$202,MATCH($E158,$E$97:$E$111,0)),K133))</f>
        <v>0</v>
      </c>
      <c r="L158" s="450">
        <f>IF($G158="Proportionate to meter population",$H158*'Input | Meters Vols &amp; Costs'!Q$424,
IF($G158="Proportionate to population of equipment type",$H158*INDEX(K$188:K$202,MATCH($E158,$E$97:$E$111,0)),L133))</f>
        <v>0</v>
      </c>
      <c r="M158" s="449">
        <f>IF($G158="Proportionate to meter population",$H158*'Input | Meters Vols &amp; Costs'!R$424,
IF($G158="Proportionate to population of equipment type",$H158*INDEX(L$188:L$202,MATCH($E158,$E$97:$E$111,0)),M133))</f>
        <v>0</v>
      </c>
      <c r="N158" s="139">
        <f>IF($G158="Proportionate to meter population",$H158*'Input | Meters Vols &amp; Costs'!S$424,
IF($G158="Proportionate to population of equipment type",$H158*INDEX(M$188:M$202,MATCH($E158,$E$97:$E$111,0)),N133))</f>
        <v>0</v>
      </c>
      <c r="O158" s="139">
        <f>IF($G158="Proportionate to meter population",$H158*'Input | Meters Vols &amp; Costs'!T$424,
IF($G158="Proportionate to population of equipment type",$H158*INDEX(N$188:N$202,MATCH($E158,$E$97:$E$111,0)),O133))</f>
        <v>0</v>
      </c>
      <c r="P158" s="139">
        <f>IF($G158="Proportionate to meter population",$H158*'Input | Meters Vols &amp; Costs'!U$424,
IF($G158="Proportionate to population of equipment type",$H158*INDEX(O$188:O$202,MATCH($E158,$E$97:$E$111,0)),P133))</f>
        <v>0</v>
      </c>
      <c r="Q158" s="139">
        <f>IF($G158="Proportionate to meter population",$H158*'Input | Meters Vols &amp; Costs'!V$424,
IF($G158="Proportionate to population of equipment type",$H158*INDEX(P$188:P$202,MATCH($E158,$E$97:$E$111,0)),Q133))</f>
        <v>0</v>
      </c>
    </row>
    <row r="159" spans="5:19" outlineLevel="1" x14ac:dyDescent="0.3">
      <c r="E159" s="140">
        <v>0</v>
      </c>
      <c r="F159" s="140">
        <v>0</v>
      </c>
      <c r="G159" s="140">
        <f t="shared" si="14"/>
        <v>0</v>
      </c>
      <c r="H159" s="646">
        <f t="shared" si="15"/>
        <v>0</v>
      </c>
      <c r="I159" s="89"/>
      <c r="J159" s="89"/>
      <c r="K159" s="139">
        <f>IF($G159="Proportionate to meter population",$H159*'Input | Meters Vols &amp; Costs'!P$424,
IF($G159="Proportionate to population of equipment type",$H159*INDEX(J$188:J$202,MATCH($E159,$E$97:$E$111,0)),K134))</f>
        <v>0</v>
      </c>
      <c r="L159" s="450">
        <f>IF($G159="Proportionate to meter population",$H159*'Input | Meters Vols &amp; Costs'!Q$424,
IF($G159="Proportionate to population of equipment type",$H159*INDEX(K$188:K$202,MATCH($E159,$E$97:$E$111,0)),L134))</f>
        <v>0</v>
      </c>
      <c r="M159" s="449">
        <f>IF($G159="Proportionate to meter population",$H159*'Input | Meters Vols &amp; Costs'!R$424,
IF($G159="Proportionate to population of equipment type",$H159*INDEX(L$188:L$202,MATCH($E159,$E$97:$E$111,0)),M134))</f>
        <v>0</v>
      </c>
      <c r="N159" s="139">
        <f>IF($G159="Proportionate to meter population",$H159*'Input | Meters Vols &amp; Costs'!S$424,
IF($G159="Proportionate to population of equipment type",$H159*INDEX(M$188:M$202,MATCH($E159,$E$97:$E$111,0)),N134))</f>
        <v>0</v>
      </c>
      <c r="O159" s="139">
        <f>IF($G159="Proportionate to meter population",$H159*'Input | Meters Vols &amp; Costs'!T$424,
IF($G159="Proportionate to population of equipment type",$H159*INDEX(N$188:N$202,MATCH($E159,$E$97:$E$111,0)),O134))</f>
        <v>0</v>
      </c>
      <c r="P159" s="139">
        <f>IF($G159="Proportionate to meter population",$H159*'Input | Meters Vols &amp; Costs'!U$424,
IF($G159="Proportionate to population of equipment type",$H159*INDEX(O$188:O$202,MATCH($E159,$E$97:$E$111,0)),P134))</f>
        <v>0</v>
      </c>
      <c r="Q159" s="139">
        <f>IF($G159="Proportionate to meter population",$H159*'Input | Meters Vols &amp; Costs'!V$424,
IF($G159="Proportionate to population of equipment type",$H159*INDEX(P$188:P$202,MATCH($E159,$E$97:$E$111,0)),Q134))</f>
        <v>0</v>
      </c>
      <c r="S159" s="89"/>
    </row>
    <row r="160" spans="5:19" outlineLevel="1" x14ac:dyDescent="0.3">
      <c r="E160" s="140">
        <v>0</v>
      </c>
      <c r="F160" s="140">
        <v>0</v>
      </c>
      <c r="G160" s="140">
        <f t="shared" si="14"/>
        <v>0</v>
      </c>
      <c r="H160" s="646">
        <f t="shared" si="15"/>
        <v>0</v>
      </c>
      <c r="I160" s="89"/>
      <c r="J160" s="89"/>
      <c r="K160" s="139">
        <f>IF($G160="Proportionate to meter population",$H160*'Input | Meters Vols &amp; Costs'!P$424,
IF($G160="Proportionate to population of equipment type",$H160*INDEX(J$188:J$202,MATCH($E160,$E$97:$E$111,0)),K135))</f>
        <v>0</v>
      </c>
      <c r="L160" s="450">
        <f>IF($G160="Proportionate to meter population",$H160*'Input | Meters Vols &amp; Costs'!Q$424,
IF($G160="Proportionate to population of equipment type",$H160*INDEX(K$188:K$202,MATCH($E160,$E$97:$E$111,0)),L135))</f>
        <v>0</v>
      </c>
      <c r="M160" s="449">
        <f>IF($G160="Proportionate to meter population",$H160*'Input | Meters Vols &amp; Costs'!R$424,
IF($G160="Proportionate to population of equipment type",$H160*INDEX(L$188:L$202,MATCH($E160,$E$97:$E$111,0)),M135))</f>
        <v>0</v>
      </c>
      <c r="N160" s="139">
        <f>IF($G160="Proportionate to meter population",$H160*'Input | Meters Vols &amp; Costs'!S$424,
IF($G160="Proportionate to population of equipment type",$H160*INDEX(M$188:M$202,MATCH($E160,$E$97:$E$111,0)),N135))</f>
        <v>0</v>
      </c>
      <c r="O160" s="139">
        <f>IF($G160="Proportionate to meter population",$H160*'Input | Meters Vols &amp; Costs'!T$424,
IF($G160="Proportionate to population of equipment type",$H160*INDEX(N$188:N$202,MATCH($E160,$E$97:$E$111,0)),O135))</f>
        <v>0</v>
      </c>
      <c r="P160" s="139">
        <f>IF($G160="Proportionate to meter population",$H160*'Input | Meters Vols &amp; Costs'!U$424,
IF($G160="Proportionate to population of equipment type",$H160*INDEX(O$188:O$202,MATCH($E160,$E$97:$E$111,0)),P135))</f>
        <v>0</v>
      </c>
      <c r="Q160" s="139">
        <f>IF($G160="Proportionate to meter population",$H160*'Input | Meters Vols &amp; Costs'!V$424,
IF($G160="Proportionate to population of equipment type",$H160*INDEX(P$188:P$202,MATCH($E160,$E$97:$E$111,0)),Q135))</f>
        <v>0</v>
      </c>
      <c r="S160" s="89"/>
    </row>
    <row r="161" spans="3:19" outlineLevel="1" x14ac:dyDescent="0.3">
      <c r="E161" s="140">
        <v>0</v>
      </c>
      <c r="F161" s="140">
        <v>0</v>
      </c>
      <c r="G161" s="140">
        <f t="shared" si="14"/>
        <v>0</v>
      </c>
      <c r="H161" s="646">
        <f t="shared" si="15"/>
        <v>0</v>
      </c>
      <c r="I161" s="89"/>
      <c r="J161" s="89"/>
      <c r="K161" s="139">
        <f>IF($G161="Proportionate to meter population",$H161*'Input | Meters Vols &amp; Costs'!P$424,
IF($G161="Proportionate to population of equipment type",$H161*INDEX(J$188:J$202,MATCH($E161,$E$97:$E$111,0)),K136))</f>
        <v>0</v>
      </c>
      <c r="L161" s="450">
        <f>IF($G161="Proportionate to meter population",$H161*'Input | Meters Vols &amp; Costs'!Q$424,
IF($G161="Proportionate to population of equipment type",$H161*INDEX(K$188:K$202,MATCH($E161,$E$97:$E$111,0)),L136))</f>
        <v>0</v>
      </c>
      <c r="M161" s="449">
        <f>IF($G161="Proportionate to meter population",$H161*'Input | Meters Vols &amp; Costs'!R$424,
IF($G161="Proportionate to population of equipment type",$H161*INDEX(L$188:L$202,MATCH($E161,$E$97:$E$111,0)),M136))</f>
        <v>0</v>
      </c>
      <c r="N161" s="139">
        <f>IF($G161="Proportionate to meter population",$H161*'Input | Meters Vols &amp; Costs'!S$424,
IF($G161="Proportionate to population of equipment type",$H161*INDEX(M$188:M$202,MATCH($E161,$E$97:$E$111,0)),N136))</f>
        <v>0</v>
      </c>
      <c r="O161" s="139">
        <f>IF($G161="Proportionate to meter population",$H161*'Input | Meters Vols &amp; Costs'!T$424,
IF($G161="Proportionate to population of equipment type",$H161*INDEX(N$188:N$202,MATCH($E161,$E$97:$E$111,0)),O136))</f>
        <v>0</v>
      </c>
      <c r="P161" s="139">
        <f>IF($G161="Proportionate to meter population",$H161*'Input | Meters Vols &amp; Costs'!U$424,
IF($G161="Proportionate to population of equipment type",$H161*INDEX(O$188:O$202,MATCH($E161,$E$97:$E$111,0)),P136))</f>
        <v>0</v>
      </c>
      <c r="Q161" s="139">
        <f>IF($G161="Proportionate to meter population",$H161*'Input | Meters Vols &amp; Costs'!V$424,
IF($G161="Proportionate to population of equipment type",$H161*INDEX(P$188:P$202,MATCH($E161,$E$97:$E$111,0)),Q136))</f>
        <v>0</v>
      </c>
      <c r="S161" s="89"/>
    </row>
    <row r="162" spans="3:19" outlineLevel="1" x14ac:dyDescent="0.3">
      <c r="H162"/>
      <c r="I162"/>
      <c r="J162"/>
      <c r="K162"/>
      <c r="L162"/>
      <c r="S162" s="89"/>
    </row>
    <row r="163" spans="3:19" outlineLevel="1" x14ac:dyDescent="0.3">
      <c r="C163" s="88" t="s">
        <v>20</v>
      </c>
      <c r="D163" s="88" t="s">
        <v>216</v>
      </c>
      <c r="H163"/>
      <c r="I163"/>
      <c r="J163"/>
      <c r="K163"/>
      <c r="L163"/>
      <c r="M163" s="687" t="s">
        <v>232</v>
      </c>
      <c r="N163" s="687"/>
      <c r="O163" s="687"/>
      <c r="P163" s="687"/>
      <c r="Q163" s="687"/>
      <c r="S163" s="89"/>
    </row>
    <row r="164" spans="3:19" outlineLevel="1" x14ac:dyDescent="0.3">
      <c r="E164" s="135" t="s">
        <v>161</v>
      </c>
      <c r="F164" s="135" t="s">
        <v>160</v>
      </c>
      <c r="G164" s="135" t="s">
        <v>164</v>
      </c>
      <c r="H164" s="350" t="s">
        <v>163</v>
      </c>
      <c r="J164" s="122" t="str">
        <f t="shared" ref="J164:K164" si="16">J$68</f>
        <v>2017-18</v>
      </c>
      <c r="K164" s="122" t="str">
        <f t="shared" si="16"/>
        <v>2018-19</v>
      </c>
      <c r="L164" s="149" t="str">
        <f t="shared" ref="L164:Q164" si="17">L$68</f>
        <v>2019-20</v>
      </c>
      <c r="M164" s="122" t="str">
        <f t="shared" si="17"/>
        <v>2020-21</v>
      </c>
      <c r="N164" s="122" t="str">
        <f t="shared" si="17"/>
        <v>2021-22</v>
      </c>
      <c r="O164" s="122" t="str">
        <f t="shared" si="17"/>
        <v>2022-23</v>
      </c>
      <c r="P164" s="122" t="str">
        <f t="shared" si="17"/>
        <v>2023-24</v>
      </c>
      <c r="Q164" s="122" t="str">
        <f t="shared" si="17"/>
        <v>2024-25</v>
      </c>
    </row>
    <row r="165" spans="3:19" ht="25" outlineLevel="1" x14ac:dyDescent="0.3">
      <c r="E165" s="140" t="str" cm="1">
        <f t="array" ref="E165:F184">ICC_AllocFields</f>
        <v>Access Points</v>
      </c>
      <c r="F165" s="140" t="str">
        <v>Growth</v>
      </c>
      <c r="G165" s="140" t="str">
        <f t="shared" ref="G165:H184" si="18">G142</f>
        <v>Proportionate to meter population</v>
      </c>
      <c r="H165" s="646">
        <f t="shared" si="18"/>
        <v>1.0000000000000001E-5</v>
      </c>
      <c r="I165" s="89"/>
      <c r="J165"/>
      <c r="K165" s="139">
        <f t="shared" ref="K165:Q174" si="19">IFERROR(ROUNDUP(K142*INDEX(ICC_Calc_PopImpact,MATCH($F142,ICC_Action,0)),0),0)</f>
        <v>0</v>
      </c>
      <c r="L165" s="450">
        <f t="shared" si="19"/>
        <v>5</v>
      </c>
      <c r="M165" s="449">
        <f t="shared" si="19"/>
        <v>5</v>
      </c>
      <c r="N165" s="139">
        <f t="shared" si="19"/>
        <v>5</v>
      </c>
      <c r="O165" s="139">
        <f t="shared" si="19"/>
        <v>5</v>
      </c>
      <c r="P165" s="139">
        <f t="shared" si="19"/>
        <v>5</v>
      </c>
      <c r="Q165" s="139">
        <f t="shared" si="19"/>
        <v>5</v>
      </c>
    </row>
    <row r="166" spans="3:19" outlineLevel="1" x14ac:dyDescent="0.3">
      <c r="E166" s="140" t="str">
        <v>Relays</v>
      </c>
      <c r="F166" s="140" t="str">
        <v>Growth</v>
      </c>
      <c r="G166" s="140" t="str">
        <f t="shared" si="18"/>
        <v>Enter annual volume</v>
      </c>
      <c r="H166" s="646" t="str">
        <f t="shared" si="18"/>
        <v>N/A</v>
      </c>
      <c r="I166" s="89"/>
      <c r="J166"/>
      <c r="K166" s="139">
        <f t="shared" si="19"/>
        <v>0</v>
      </c>
      <c r="L166" s="450">
        <f t="shared" si="19"/>
        <v>0</v>
      </c>
      <c r="M166" s="449">
        <f t="shared" si="19"/>
        <v>15</v>
      </c>
      <c r="N166" s="139">
        <f t="shared" si="19"/>
        <v>15</v>
      </c>
      <c r="O166" s="139">
        <f t="shared" si="19"/>
        <v>15</v>
      </c>
      <c r="P166" s="139">
        <f t="shared" si="19"/>
        <v>15</v>
      </c>
      <c r="Q166" s="139">
        <f t="shared" si="19"/>
        <v>15</v>
      </c>
    </row>
    <row r="167" spans="3:19" outlineLevel="1" x14ac:dyDescent="0.3">
      <c r="E167" s="140" t="str">
        <v>Antennas</v>
      </c>
      <c r="F167" s="140" t="str">
        <v>Growth</v>
      </c>
      <c r="G167" s="140" t="str">
        <f t="shared" si="18"/>
        <v>Enter annual volume</v>
      </c>
      <c r="H167" s="646" t="str">
        <f t="shared" si="18"/>
        <v>N/A</v>
      </c>
      <c r="I167" s="89"/>
      <c r="J167"/>
      <c r="K167" s="139">
        <f t="shared" si="19"/>
        <v>0</v>
      </c>
      <c r="L167" s="450">
        <f t="shared" si="19"/>
        <v>0</v>
      </c>
      <c r="M167" s="449">
        <f t="shared" si="19"/>
        <v>20</v>
      </c>
      <c r="N167" s="139">
        <f t="shared" si="19"/>
        <v>20</v>
      </c>
      <c r="O167" s="139">
        <f t="shared" si="19"/>
        <v>20</v>
      </c>
      <c r="P167" s="139">
        <f t="shared" si="19"/>
        <v>20</v>
      </c>
      <c r="Q167" s="139">
        <f t="shared" si="19"/>
        <v>20</v>
      </c>
    </row>
    <row r="168" spans="3:19" outlineLevel="1" x14ac:dyDescent="0.3">
      <c r="E168" s="140" t="str">
        <v>Batteries</v>
      </c>
      <c r="F168" s="140" t="str">
        <v>Growth</v>
      </c>
      <c r="G168" s="140" t="str">
        <f t="shared" si="18"/>
        <v>Enter annual volume</v>
      </c>
      <c r="H168" s="646" t="str">
        <f t="shared" si="18"/>
        <v>N/A</v>
      </c>
      <c r="I168" s="89"/>
      <c r="J168"/>
      <c r="K168" s="139">
        <f t="shared" si="19"/>
        <v>0</v>
      </c>
      <c r="L168" s="450">
        <f t="shared" si="19"/>
        <v>0</v>
      </c>
      <c r="M168" s="449">
        <f t="shared" si="19"/>
        <v>100</v>
      </c>
      <c r="N168" s="139">
        <f t="shared" si="19"/>
        <v>100</v>
      </c>
      <c r="O168" s="139">
        <f t="shared" si="19"/>
        <v>100</v>
      </c>
      <c r="P168" s="139">
        <f t="shared" si="19"/>
        <v>100</v>
      </c>
      <c r="Q168" s="139">
        <f t="shared" si="19"/>
        <v>100</v>
      </c>
    </row>
    <row r="169" spans="3:19" ht="37.5" outlineLevel="1" x14ac:dyDescent="0.3">
      <c r="E169" s="140" t="str">
        <v>Access Points</v>
      </c>
      <c r="F169" s="140" t="str">
        <v>Replacements - faults and failures</v>
      </c>
      <c r="G169" s="140" t="str">
        <f t="shared" si="18"/>
        <v>Proportionate to population of equipment type</v>
      </c>
      <c r="H169" s="646">
        <f t="shared" si="18"/>
        <v>0.05</v>
      </c>
      <c r="I169" s="89"/>
      <c r="J169"/>
      <c r="K169" s="139">
        <f t="shared" si="19"/>
        <v>0</v>
      </c>
      <c r="L169" s="450">
        <f t="shared" si="19"/>
        <v>0</v>
      </c>
      <c r="M169" s="449">
        <f t="shared" si="19"/>
        <v>0</v>
      </c>
      <c r="N169" s="139">
        <f t="shared" si="19"/>
        <v>0</v>
      </c>
      <c r="O169" s="139">
        <f t="shared" si="19"/>
        <v>0</v>
      </c>
      <c r="P169" s="139">
        <f t="shared" si="19"/>
        <v>0</v>
      </c>
      <c r="Q169" s="139">
        <f t="shared" si="19"/>
        <v>0</v>
      </c>
    </row>
    <row r="170" spans="3:19" ht="37.5" outlineLevel="1" x14ac:dyDescent="0.3">
      <c r="E170" s="140" t="str">
        <v>Batteries</v>
      </c>
      <c r="F170" s="140" t="str">
        <v>Replacements - faults and failures</v>
      </c>
      <c r="G170" s="140" t="str">
        <f t="shared" si="18"/>
        <v>Proportionate to population of equipment type</v>
      </c>
      <c r="H170" s="646">
        <f t="shared" si="18"/>
        <v>0.03</v>
      </c>
      <c r="I170" s="89"/>
      <c r="J170"/>
      <c r="K170" s="139">
        <f t="shared" si="19"/>
        <v>0</v>
      </c>
      <c r="L170" s="450">
        <f t="shared" si="19"/>
        <v>0</v>
      </c>
      <c r="M170" s="449">
        <f t="shared" si="19"/>
        <v>0</v>
      </c>
      <c r="N170" s="139">
        <f t="shared" si="19"/>
        <v>0</v>
      </c>
      <c r="O170" s="139">
        <f t="shared" si="19"/>
        <v>0</v>
      </c>
      <c r="P170" s="139">
        <f t="shared" si="19"/>
        <v>0</v>
      </c>
      <c r="Q170" s="139">
        <f t="shared" si="19"/>
        <v>0</v>
      </c>
    </row>
    <row r="171" spans="3:19" outlineLevel="1" x14ac:dyDescent="0.3">
      <c r="E171" s="140">
        <v>0</v>
      </c>
      <c r="F171" s="140">
        <v>0</v>
      </c>
      <c r="G171" s="140">
        <f t="shared" si="18"/>
        <v>0</v>
      </c>
      <c r="H171" s="646">
        <f t="shared" si="18"/>
        <v>0</v>
      </c>
      <c r="I171" s="89"/>
      <c r="J171"/>
      <c r="K171" s="139">
        <f t="shared" si="19"/>
        <v>0</v>
      </c>
      <c r="L171" s="450">
        <f t="shared" si="19"/>
        <v>0</v>
      </c>
      <c r="M171" s="449">
        <f t="shared" si="19"/>
        <v>0</v>
      </c>
      <c r="N171" s="139">
        <f t="shared" si="19"/>
        <v>0</v>
      </c>
      <c r="O171" s="139">
        <f t="shared" si="19"/>
        <v>0</v>
      </c>
      <c r="P171" s="139">
        <f t="shared" si="19"/>
        <v>0</v>
      </c>
      <c r="Q171" s="139">
        <f t="shared" si="19"/>
        <v>0</v>
      </c>
    </row>
    <row r="172" spans="3:19" outlineLevel="1" x14ac:dyDescent="0.3">
      <c r="E172" s="140">
        <v>0</v>
      </c>
      <c r="F172" s="140">
        <v>0</v>
      </c>
      <c r="G172" s="140">
        <f t="shared" si="18"/>
        <v>0</v>
      </c>
      <c r="H172" s="646">
        <f t="shared" si="18"/>
        <v>0</v>
      </c>
      <c r="I172" s="89"/>
      <c r="J172"/>
      <c r="K172" s="139">
        <f t="shared" si="19"/>
        <v>0</v>
      </c>
      <c r="L172" s="450">
        <f t="shared" si="19"/>
        <v>0</v>
      </c>
      <c r="M172" s="449">
        <f t="shared" si="19"/>
        <v>0</v>
      </c>
      <c r="N172" s="139">
        <f t="shared" si="19"/>
        <v>0</v>
      </c>
      <c r="O172" s="139">
        <f t="shared" si="19"/>
        <v>0</v>
      </c>
      <c r="P172" s="139">
        <f t="shared" si="19"/>
        <v>0</v>
      </c>
      <c r="Q172" s="139">
        <f t="shared" si="19"/>
        <v>0</v>
      </c>
    </row>
    <row r="173" spans="3:19" outlineLevel="1" x14ac:dyDescent="0.3">
      <c r="E173" s="140">
        <v>0</v>
      </c>
      <c r="F173" s="140">
        <v>0</v>
      </c>
      <c r="G173" s="140">
        <f t="shared" si="18"/>
        <v>0</v>
      </c>
      <c r="H173" s="646">
        <f t="shared" si="18"/>
        <v>0</v>
      </c>
      <c r="I173" s="89"/>
      <c r="J173"/>
      <c r="K173" s="139">
        <f t="shared" si="19"/>
        <v>0</v>
      </c>
      <c r="L173" s="450">
        <f t="shared" si="19"/>
        <v>0</v>
      </c>
      <c r="M173" s="449">
        <f t="shared" si="19"/>
        <v>0</v>
      </c>
      <c r="N173" s="139">
        <f t="shared" si="19"/>
        <v>0</v>
      </c>
      <c r="O173" s="139">
        <f t="shared" si="19"/>
        <v>0</v>
      </c>
      <c r="P173" s="139">
        <f t="shared" si="19"/>
        <v>0</v>
      </c>
      <c r="Q173" s="139">
        <f t="shared" si="19"/>
        <v>0</v>
      </c>
    </row>
    <row r="174" spans="3:19" outlineLevel="1" x14ac:dyDescent="0.3">
      <c r="E174" s="140">
        <v>0</v>
      </c>
      <c r="F174" s="140">
        <v>0</v>
      </c>
      <c r="G174" s="140">
        <f t="shared" si="18"/>
        <v>0</v>
      </c>
      <c r="H174" s="646">
        <f t="shared" si="18"/>
        <v>0</v>
      </c>
      <c r="I174" s="89"/>
      <c r="J174"/>
      <c r="K174" s="139">
        <f t="shared" si="19"/>
        <v>0</v>
      </c>
      <c r="L174" s="450">
        <f t="shared" si="19"/>
        <v>0</v>
      </c>
      <c r="M174" s="449">
        <f t="shared" si="19"/>
        <v>0</v>
      </c>
      <c r="N174" s="139">
        <f t="shared" si="19"/>
        <v>0</v>
      </c>
      <c r="O174" s="139">
        <f t="shared" si="19"/>
        <v>0</v>
      </c>
      <c r="P174" s="139">
        <f t="shared" si="19"/>
        <v>0</v>
      </c>
      <c r="Q174" s="139">
        <f t="shared" si="19"/>
        <v>0</v>
      </c>
    </row>
    <row r="175" spans="3:19" outlineLevel="1" x14ac:dyDescent="0.3">
      <c r="E175" s="140">
        <v>0</v>
      </c>
      <c r="F175" s="140">
        <v>0</v>
      </c>
      <c r="G175" s="140">
        <f t="shared" si="18"/>
        <v>0</v>
      </c>
      <c r="H175" s="646">
        <f t="shared" si="18"/>
        <v>0</v>
      </c>
      <c r="I175" s="89"/>
      <c r="J175"/>
      <c r="K175" s="139">
        <f t="shared" ref="K175:Q184" si="20">IFERROR(ROUNDUP(K152*INDEX(ICC_Calc_PopImpact,MATCH($F152,ICC_Action,0)),0),0)</f>
        <v>0</v>
      </c>
      <c r="L175" s="450">
        <f t="shared" si="20"/>
        <v>0</v>
      </c>
      <c r="M175" s="449">
        <f t="shared" si="20"/>
        <v>0</v>
      </c>
      <c r="N175" s="139">
        <f t="shared" si="20"/>
        <v>0</v>
      </c>
      <c r="O175" s="139">
        <f t="shared" si="20"/>
        <v>0</v>
      </c>
      <c r="P175" s="139">
        <f t="shared" si="20"/>
        <v>0</v>
      </c>
      <c r="Q175" s="139">
        <f t="shared" si="20"/>
        <v>0</v>
      </c>
    </row>
    <row r="176" spans="3:19" outlineLevel="1" x14ac:dyDescent="0.3">
      <c r="E176" s="140">
        <v>0</v>
      </c>
      <c r="F176" s="140">
        <v>0</v>
      </c>
      <c r="G176" s="140">
        <f t="shared" si="18"/>
        <v>0</v>
      </c>
      <c r="H176" s="646">
        <f t="shared" si="18"/>
        <v>0</v>
      </c>
      <c r="I176" s="89"/>
      <c r="J176"/>
      <c r="K176" s="139">
        <f t="shared" si="20"/>
        <v>0</v>
      </c>
      <c r="L176" s="450">
        <f t="shared" si="20"/>
        <v>0</v>
      </c>
      <c r="M176" s="449">
        <f t="shared" si="20"/>
        <v>0</v>
      </c>
      <c r="N176" s="139">
        <f t="shared" si="20"/>
        <v>0</v>
      </c>
      <c r="O176" s="139">
        <f t="shared" si="20"/>
        <v>0</v>
      </c>
      <c r="P176" s="139">
        <f t="shared" si="20"/>
        <v>0</v>
      </c>
      <c r="Q176" s="139">
        <f t="shared" si="20"/>
        <v>0</v>
      </c>
    </row>
    <row r="177" spans="3:19" outlineLevel="1" x14ac:dyDescent="0.3">
      <c r="E177" s="140">
        <v>0</v>
      </c>
      <c r="F177" s="140">
        <v>0</v>
      </c>
      <c r="G177" s="140">
        <f t="shared" si="18"/>
        <v>0</v>
      </c>
      <c r="H177" s="646">
        <f t="shared" si="18"/>
        <v>0</v>
      </c>
      <c r="I177" s="89"/>
      <c r="J177"/>
      <c r="K177" s="139">
        <f t="shared" si="20"/>
        <v>0</v>
      </c>
      <c r="L177" s="450">
        <f t="shared" si="20"/>
        <v>0</v>
      </c>
      <c r="M177" s="449">
        <f t="shared" si="20"/>
        <v>0</v>
      </c>
      <c r="N177" s="139">
        <f t="shared" si="20"/>
        <v>0</v>
      </c>
      <c r="O177" s="139">
        <f t="shared" si="20"/>
        <v>0</v>
      </c>
      <c r="P177" s="139">
        <f t="shared" si="20"/>
        <v>0</v>
      </c>
      <c r="Q177" s="139">
        <f t="shared" si="20"/>
        <v>0</v>
      </c>
    </row>
    <row r="178" spans="3:19" outlineLevel="1" x14ac:dyDescent="0.3">
      <c r="E178" s="140">
        <v>0</v>
      </c>
      <c r="F178" s="140">
        <v>0</v>
      </c>
      <c r="G178" s="140">
        <f t="shared" si="18"/>
        <v>0</v>
      </c>
      <c r="H178" s="646">
        <f t="shared" si="18"/>
        <v>0</v>
      </c>
      <c r="I178" s="89"/>
      <c r="J178"/>
      <c r="K178" s="139">
        <f t="shared" si="20"/>
        <v>0</v>
      </c>
      <c r="L178" s="450">
        <f t="shared" si="20"/>
        <v>0</v>
      </c>
      <c r="M178" s="449">
        <f t="shared" si="20"/>
        <v>0</v>
      </c>
      <c r="N178" s="139">
        <f t="shared" si="20"/>
        <v>0</v>
      </c>
      <c r="O178" s="139">
        <f t="shared" si="20"/>
        <v>0</v>
      </c>
      <c r="P178" s="139">
        <f t="shared" si="20"/>
        <v>0</v>
      </c>
      <c r="Q178" s="139">
        <f t="shared" si="20"/>
        <v>0</v>
      </c>
    </row>
    <row r="179" spans="3:19" outlineLevel="1" x14ac:dyDescent="0.3">
      <c r="E179" s="140">
        <v>0</v>
      </c>
      <c r="F179" s="140">
        <v>0</v>
      </c>
      <c r="G179" s="140">
        <f t="shared" si="18"/>
        <v>0</v>
      </c>
      <c r="H179" s="646">
        <f t="shared" si="18"/>
        <v>0</v>
      </c>
      <c r="I179" s="89"/>
      <c r="J179"/>
      <c r="K179" s="139">
        <f t="shared" si="20"/>
        <v>0</v>
      </c>
      <c r="L179" s="450">
        <f t="shared" si="20"/>
        <v>0</v>
      </c>
      <c r="M179" s="449">
        <f t="shared" si="20"/>
        <v>0</v>
      </c>
      <c r="N179" s="139">
        <f t="shared" si="20"/>
        <v>0</v>
      </c>
      <c r="O179" s="139">
        <f t="shared" si="20"/>
        <v>0</v>
      </c>
      <c r="P179" s="139">
        <f t="shared" si="20"/>
        <v>0</v>
      </c>
      <c r="Q179" s="139">
        <f t="shared" si="20"/>
        <v>0</v>
      </c>
    </row>
    <row r="180" spans="3:19" outlineLevel="1" x14ac:dyDescent="0.3">
      <c r="E180" s="140">
        <v>0</v>
      </c>
      <c r="F180" s="140">
        <v>0</v>
      </c>
      <c r="G180" s="140">
        <f t="shared" si="18"/>
        <v>0</v>
      </c>
      <c r="H180" s="646">
        <f t="shared" si="18"/>
        <v>0</v>
      </c>
      <c r="I180" s="89"/>
      <c r="J180"/>
      <c r="K180" s="139">
        <f t="shared" si="20"/>
        <v>0</v>
      </c>
      <c r="L180" s="450">
        <f t="shared" si="20"/>
        <v>0</v>
      </c>
      <c r="M180" s="449">
        <f t="shared" si="20"/>
        <v>0</v>
      </c>
      <c r="N180" s="139">
        <f t="shared" si="20"/>
        <v>0</v>
      </c>
      <c r="O180" s="139">
        <f t="shared" si="20"/>
        <v>0</v>
      </c>
      <c r="P180" s="139">
        <f t="shared" si="20"/>
        <v>0</v>
      </c>
      <c r="Q180" s="139">
        <f t="shared" si="20"/>
        <v>0</v>
      </c>
    </row>
    <row r="181" spans="3:19" outlineLevel="1" x14ac:dyDescent="0.3">
      <c r="E181" s="140">
        <v>0</v>
      </c>
      <c r="F181" s="140">
        <v>0</v>
      </c>
      <c r="G181" s="140">
        <f t="shared" si="18"/>
        <v>0</v>
      </c>
      <c r="H181" s="646">
        <f t="shared" si="18"/>
        <v>0</v>
      </c>
      <c r="I181" s="89"/>
      <c r="J181"/>
      <c r="K181" s="139">
        <f t="shared" si="20"/>
        <v>0</v>
      </c>
      <c r="L181" s="450">
        <f t="shared" si="20"/>
        <v>0</v>
      </c>
      <c r="M181" s="449">
        <f t="shared" si="20"/>
        <v>0</v>
      </c>
      <c r="N181" s="139">
        <f t="shared" si="20"/>
        <v>0</v>
      </c>
      <c r="O181" s="139">
        <f t="shared" si="20"/>
        <v>0</v>
      </c>
      <c r="P181" s="139">
        <f t="shared" si="20"/>
        <v>0</v>
      </c>
      <c r="Q181" s="139">
        <f t="shared" si="20"/>
        <v>0</v>
      </c>
    </row>
    <row r="182" spans="3:19" outlineLevel="1" x14ac:dyDescent="0.3">
      <c r="E182" s="140">
        <v>0</v>
      </c>
      <c r="F182" s="140">
        <v>0</v>
      </c>
      <c r="G182" s="140">
        <f t="shared" si="18"/>
        <v>0</v>
      </c>
      <c r="H182" s="646">
        <f t="shared" si="18"/>
        <v>0</v>
      </c>
      <c r="I182" s="89"/>
      <c r="J182"/>
      <c r="K182" s="139">
        <f t="shared" si="20"/>
        <v>0</v>
      </c>
      <c r="L182" s="450">
        <f t="shared" si="20"/>
        <v>0</v>
      </c>
      <c r="M182" s="449">
        <f t="shared" si="20"/>
        <v>0</v>
      </c>
      <c r="N182" s="139">
        <f t="shared" si="20"/>
        <v>0</v>
      </c>
      <c r="O182" s="139">
        <f t="shared" si="20"/>
        <v>0</v>
      </c>
      <c r="P182" s="139">
        <f t="shared" si="20"/>
        <v>0</v>
      </c>
      <c r="Q182" s="139">
        <f t="shared" si="20"/>
        <v>0</v>
      </c>
      <c r="S182" s="89"/>
    </row>
    <row r="183" spans="3:19" outlineLevel="1" x14ac:dyDescent="0.3">
      <c r="E183" s="140">
        <v>0</v>
      </c>
      <c r="F183" s="140">
        <v>0</v>
      </c>
      <c r="G183" s="140">
        <f t="shared" si="18"/>
        <v>0</v>
      </c>
      <c r="H183" s="646">
        <f t="shared" si="18"/>
        <v>0</v>
      </c>
      <c r="I183" s="89"/>
      <c r="J183"/>
      <c r="K183" s="139">
        <f t="shared" si="20"/>
        <v>0</v>
      </c>
      <c r="L183" s="450">
        <f t="shared" si="20"/>
        <v>0</v>
      </c>
      <c r="M183" s="449">
        <f t="shared" si="20"/>
        <v>0</v>
      </c>
      <c r="N183" s="139">
        <f t="shared" si="20"/>
        <v>0</v>
      </c>
      <c r="O183" s="139">
        <f t="shared" si="20"/>
        <v>0</v>
      </c>
      <c r="P183" s="139">
        <f t="shared" si="20"/>
        <v>0</v>
      </c>
      <c r="Q183" s="139">
        <f t="shared" si="20"/>
        <v>0</v>
      </c>
      <c r="S183" s="89"/>
    </row>
    <row r="184" spans="3:19" outlineLevel="1" x14ac:dyDescent="0.3">
      <c r="E184" s="140">
        <v>0</v>
      </c>
      <c r="F184" s="140">
        <v>0</v>
      </c>
      <c r="G184" s="140">
        <f t="shared" si="18"/>
        <v>0</v>
      </c>
      <c r="H184" s="646">
        <f t="shared" si="18"/>
        <v>0</v>
      </c>
      <c r="I184" s="89"/>
      <c r="J184"/>
      <c r="K184" s="139">
        <f t="shared" si="20"/>
        <v>0</v>
      </c>
      <c r="L184" s="450">
        <f t="shared" si="20"/>
        <v>0</v>
      </c>
      <c r="M184" s="449">
        <f t="shared" si="20"/>
        <v>0</v>
      </c>
      <c r="N184" s="139">
        <f t="shared" si="20"/>
        <v>0</v>
      </c>
      <c r="O184" s="139">
        <f t="shared" si="20"/>
        <v>0</v>
      </c>
      <c r="P184" s="139">
        <f t="shared" si="20"/>
        <v>0</v>
      </c>
      <c r="Q184" s="139">
        <f t="shared" si="20"/>
        <v>0</v>
      </c>
      <c r="S184" s="89"/>
    </row>
    <row r="185" spans="3:19" outlineLevel="1" x14ac:dyDescent="0.3">
      <c r="S185" s="89"/>
    </row>
    <row r="186" spans="3:19" outlineLevel="1" x14ac:dyDescent="0.3">
      <c r="C186" s="88" t="s">
        <v>21</v>
      </c>
      <c r="D186" s="88" t="s">
        <v>214</v>
      </c>
      <c r="M186" s="687" t="s">
        <v>232</v>
      </c>
      <c r="N186" s="687"/>
      <c r="O186" s="687"/>
      <c r="P186" s="687"/>
      <c r="Q186" s="687"/>
      <c r="S186" s="89"/>
    </row>
    <row r="187" spans="3:19" outlineLevel="1" x14ac:dyDescent="0.3">
      <c r="E187" s="121" t="s">
        <v>161</v>
      </c>
      <c r="F187" s="122" t="s">
        <v>6</v>
      </c>
      <c r="J187" s="122" t="str">
        <f>J$68</f>
        <v>2017-18</v>
      </c>
      <c r="K187" s="122" t="str">
        <f t="shared" ref="K187:Q187" si="21">K$68</f>
        <v>2018-19</v>
      </c>
      <c r="L187" s="149" t="str">
        <f t="shared" si="21"/>
        <v>2019-20</v>
      </c>
      <c r="M187" s="122" t="str">
        <f t="shared" si="21"/>
        <v>2020-21</v>
      </c>
      <c r="N187" s="122" t="str">
        <f t="shared" si="21"/>
        <v>2021-22</v>
      </c>
      <c r="O187" s="122" t="str">
        <f t="shared" si="21"/>
        <v>2022-23</v>
      </c>
      <c r="P187" s="122" t="str">
        <f t="shared" si="21"/>
        <v>2023-24</v>
      </c>
      <c r="Q187" s="122" t="str">
        <f t="shared" si="21"/>
        <v>2024-25</v>
      </c>
      <c r="S187" s="89"/>
    </row>
    <row r="188" spans="3:19" outlineLevel="1" x14ac:dyDescent="0.3">
      <c r="E188" s="199" t="str" cm="1">
        <f t="array" ref="E188:E202">ICC_EquipType</f>
        <v>Access Points</v>
      </c>
      <c r="F188" s="454" t="s">
        <v>18</v>
      </c>
      <c r="J188" s="141">
        <f t="shared" ref="J188:L202" si="22">IF(J$187=Capex_BaseYear,$G97,
IF(K$187=Capex_BaseYear,0,I188+SUMIFS(J$165:J$184,$E$165:$E$184,$E188)))</f>
        <v>0</v>
      </c>
      <c r="K188" s="141">
        <f t="shared" si="22"/>
        <v>100</v>
      </c>
      <c r="L188" s="451">
        <f t="shared" si="22"/>
        <v>105</v>
      </c>
      <c r="M188" s="223">
        <f t="shared" ref="M188:Q202" si="23">L188+SUMIFS(M$165:M$184,$E$165:$E$184,$E188)</f>
        <v>110</v>
      </c>
      <c r="N188" s="143">
        <f t="shared" si="23"/>
        <v>115</v>
      </c>
      <c r="O188" s="143">
        <f t="shared" si="23"/>
        <v>120</v>
      </c>
      <c r="P188" s="143">
        <f t="shared" si="23"/>
        <v>125</v>
      </c>
      <c r="Q188" s="143">
        <f t="shared" si="23"/>
        <v>130</v>
      </c>
      <c r="S188" s="89"/>
    </row>
    <row r="189" spans="3:19" outlineLevel="1" x14ac:dyDescent="0.3">
      <c r="E189" s="199" t="str">
        <v>Relays</v>
      </c>
      <c r="F189" s="454" t="s">
        <v>18</v>
      </c>
      <c r="J189" s="141">
        <f t="shared" si="22"/>
        <v>0</v>
      </c>
      <c r="K189" s="141">
        <f t="shared" si="22"/>
        <v>500</v>
      </c>
      <c r="L189" s="451">
        <f t="shared" si="22"/>
        <v>500</v>
      </c>
      <c r="M189" s="223">
        <f t="shared" si="23"/>
        <v>515</v>
      </c>
      <c r="N189" s="143">
        <f t="shared" si="23"/>
        <v>530</v>
      </c>
      <c r="O189" s="143">
        <f t="shared" si="23"/>
        <v>545</v>
      </c>
      <c r="P189" s="143">
        <f t="shared" si="23"/>
        <v>560</v>
      </c>
      <c r="Q189" s="143">
        <f t="shared" si="23"/>
        <v>575</v>
      </c>
      <c r="S189" s="89"/>
    </row>
    <row r="190" spans="3:19" outlineLevel="1" x14ac:dyDescent="0.3">
      <c r="E190" s="199" t="str">
        <v>Antennas</v>
      </c>
      <c r="F190" s="454" t="s">
        <v>18</v>
      </c>
      <c r="J190" s="141">
        <f t="shared" si="22"/>
        <v>0</v>
      </c>
      <c r="K190" s="141">
        <f t="shared" si="22"/>
        <v>800</v>
      </c>
      <c r="L190" s="451">
        <f t="shared" si="22"/>
        <v>800</v>
      </c>
      <c r="M190" s="223">
        <f t="shared" si="23"/>
        <v>820</v>
      </c>
      <c r="N190" s="143">
        <f t="shared" si="23"/>
        <v>840</v>
      </c>
      <c r="O190" s="143">
        <f t="shared" si="23"/>
        <v>860</v>
      </c>
      <c r="P190" s="143">
        <f t="shared" si="23"/>
        <v>880</v>
      </c>
      <c r="Q190" s="143">
        <f t="shared" si="23"/>
        <v>900</v>
      </c>
      <c r="S190" s="89"/>
    </row>
    <row r="191" spans="3:19" outlineLevel="1" x14ac:dyDescent="0.3">
      <c r="E191" s="199" t="str">
        <v>Batteries</v>
      </c>
      <c r="F191" s="454" t="s">
        <v>18</v>
      </c>
      <c r="J191" s="141">
        <f t="shared" si="22"/>
        <v>0</v>
      </c>
      <c r="K191" s="141">
        <f t="shared" si="22"/>
        <v>600</v>
      </c>
      <c r="L191" s="451">
        <f t="shared" si="22"/>
        <v>600</v>
      </c>
      <c r="M191" s="223">
        <f t="shared" si="23"/>
        <v>700</v>
      </c>
      <c r="N191" s="143">
        <f t="shared" si="23"/>
        <v>800</v>
      </c>
      <c r="O191" s="143">
        <f t="shared" si="23"/>
        <v>900</v>
      </c>
      <c r="P191" s="143">
        <f t="shared" si="23"/>
        <v>1000</v>
      </c>
      <c r="Q191" s="143">
        <f t="shared" si="23"/>
        <v>1100</v>
      </c>
      <c r="S191" s="89"/>
    </row>
    <row r="192" spans="3:19" outlineLevel="1" x14ac:dyDescent="0.3">
      <c r="E192" s="199" t="str">
        <v>Modems</v>
      </c>
      <c r="F192" s="454" t="s">
        <v>18</v>
      </c>
      <c r="J192" s="141">
        <f t="shared" si="22"/>
        <v>0</v>
      </c>
      <c r="K192" s="141">
        <f t="shared" si="22"/>
        <v>800</v>
      </c>
      <c r="L192" s="451">
        <f t="shared" si="22"/>
        <v>800</v>
      </c>
      <c r="M192" s="223">
        <f t="shared" si="23"/>
        <v>800</v>
      </c>
      <c r="N192" s="143">
        <f t="shared" si="23"/>
        <v>800</v>
      </c>
      <c r="O192" s="143">
        <f t="shared" si="23"/>
        <v>800</v>
      </c>
      <c r="P192" s="143">
        <f t="shared" si="23"/>
        <v>800</v>
      </c>
      <c r="Q192" s="143">
        <f t="shared" si="23"/>
        <v>800</v>
      </c>
      <c r="S192" s="89"/>
    </row>
    <row r="193" spans="5:19" outlineLevel="1" x14ac:dyDescent="0.3">
      <c r="E193" s="199">
        <v>0</v>
      </c>
      <c r="F193" s="454" t="s">
        <v>18</v>
      </c>
      <c r="J193" s="141">
        <f t="shared" si="22"/>
        <v>0</v>
      </c>
      <c r="K193" s="141">
        <f t="shared" si="22"/>
        <v>0</v>
      </c>
      <c r="L193" s="451">
        <f t="shared" si="22"/>
        <v>0</v>
      </c>
      <c r="M193" s="223">
        <f t="shared" si="23"/>
        <v>0</v>
      </c>
      <c r="N193" s="143">
        <f t="shared" si="23"/>
        <v>0</v>
      </c>
      <c r="O193" s="143">
        <f t="shared" si="23"/>
        <v>0</v>
      </c>
      <c r="P193" s="143">
        <f t="shared" si="23"/>
        <v>0</v>
      </c>
      <c r="Q193" s="143">
        <f t="shared" si="23"/>
        <v>0</v>
      </c>
      <c r="S193" s="89"/>
    </row>
    <row r="194" spans="5:19" outlineLevel="1" x14ac:dyDescent="0.3">
      <c r="E194" s="199">
        <v>0</v>
      </c>
      <c r="F194" s="454" t="s">
        <v>18</v>
      </c>
      <c r="J194" s="141">
        <f t="shared" si="22"/>
        <v>0</v>
      </c>
      <c r="K194" s="141">
        <f t="shared" si="22"/>
        <v>0</v>
      </c>
      <c r="L194" s="451">
        <f t="shared" si="22"/>
        <v>0</v>
      </c>
      <c r="M194" s="223">
        <f t="shared" si="23"/>
        <v>0</v>
      </c>
      <c r="N194" s="143">
        <f t="shared" si="23"/>
        <v>0</v>
      </c>
      <c r="O194" s="143">
        <f t="shared" si="23"/>
        <v>0</v>
      </c>
      <c r="P194" s="143">
        <f t="shared" si="23"/>
        <v>0</v>
      </c>
      <c r="Q194" s="143">
        <f t="shared" si="23"/>
        <v>0</v>
      </c>
      <c r="S194" s="89"/>
    </row>
    <row r="195" spans="5:19" outlineLevel="1" x14ac:dyDescent="0.3">
      <c r="E195" s="199">
        <v>0</v>
      </c>
      <c r="F195" s="454" t="s">
        <v>18</v>
      </c>
      <c r="J195" s="141">
        <f t="shared" si="22"/>
        <v>0</v>
      </c>
      <c r="K195" s="141">
        <f t="shared" si="22"/>
        <v>0</v>
      </c>
      <c r="L195" s="451">
        <f t="shared" si="22"/>
        <v>0</v>
      </c>
      <c r="M195" s="223">
        <f t="shared" si="23"/>
        <v>0</v>
      </c>
      <c r="N195" s="143">
        <f t="shared" si="23"/>
        <v>0</v>
      </c>
      <c r="O195" s="143">
        <f t="shared" si="23"/>
        <v>0</v>
      </c>
      <c r="P195" s="143">
        <f t="shared" si="23"/>
        <v>0</v>
      </c>
      <c r="Q195" s="143">
        <f t="shared" si="23"/>
        <v>0</v>
      </c>
      <c r="S195" s="89"/>
    </row>
    <row r="196" spans="5:19" outlineLevel="1" x14ac:dyDescent="0.3">
      <c r="E196" s="199">
        <v>0</v>
      </c>
      <c r="F196" s="454" t="s">
        <v>18</v>
      </c>
      <c r="J196" s="141">
        <f t="shared" si="22"/>
        <v>0</v>
      </c>
      <c r="K196" s="141">
        <f t="shared" si="22"/>
        <v>0</v>
      </c>
      <c r="L196" s="451">
        <f t="shared" si="22"/>
        <v>0</v>
      </c>
      <c r="M196" s="223">
        <f t="shared" si="23"/>
        <v>0</v>
      </c>
      <c r="N196" s="143">
        <f t="shared" si="23"/>
        <v>0</v>
      </c>
      <c r="O196" s="143">
        <f t="shared" si="23"/>
        <v>0</v>
      </c>
      <c r="P196" s="143">
        <f t="shared" si="23"/>
        <v>0</v>
      </c>
      <c r="Q196" s="143">
        <f t="shared" si="23"/>
        <v>0</v>
      </c>
      <c r="S196" s="89"/>
    </row>
    <row r="197" spans="5:19" outlineLevel="1" x14ac:dyDescent="0.3">
      <c r="E197" s="199">
        <v>0</v>
      </c>
      <c r="F197" s="454" t="s">
        <v>18</v>
      </c>
      <c r="J197" s="141">
        <f t="shared" si="22"/>
        <v>0</v>
      </c>
      <c r="K197" s="141">
        <f t="shared" si="22"/>
        <v>0</v>
      </c>
      <c r="L197" s="451">
        <f t="shared" si="22"/>
        <v>0</v>
      </c>
      <c r="M197" s="223">
        <f t="shared" si="23"/>
        <v>0</v>
      </c>
      <c r="N197" s="143">
        <f t="shared" si="23"/>
        <v>0</v>
      </c>
      <c r="O197" s="143">
        <f t="shared" si="23"/>
        <v>0</v>
      </c>
      <c r="P197" s="143">
        <f t="shared" si="23"/>
        <v>0</v>
      </c>
      <c r="Q197" s="143">
        <f t="shared" si="23"/>
        <v>0</v>
      </c>
      <c r="S197" s="89"/>
    </row>
    <row r="198" spans="5:19" outlineLevel="1" x14ac:dyDescent="0.3">
      <c r="E198" s="199">
        <v>0</v>
      </c>
      <c r="F198" s="454" t="s">
        <v>18</v>
      </c>
      <c r="J198" s="141">
        <f t="shared" si="22"/>
        <v>0</v>
      </c>
      <c r="K198" s="141">
        <f t="shared" si="22"/>
        <v>0</v>
      </c>
      <c r="L198" s="451">
        <f t="shared" si="22"/>
        <v>0</v>
      </c>
      <c r="M198" s="223">
        <f t="shared" si="23"/>
        <v>0</v>
      </c>
      <c r="N198" s="143">
        <f t="shared" si="23"/>
        <v>0</v>
      </c>
      <c r="O198" s="143">
        <f t="shared" si="23"/>
        <v>0</v>
      </c>
      <c r="P198" s="143">
        <f t="shared" si="23"/>
        <v>0</v>
      </c>
      <c r="Q198" s="143">
        <f t="shared" si="23"/>
        <v>0</v>
      </c>
      <c r="S198" s="89"/>
    </row>
    <row r="199" spans="5:19" outlineLevel="1" x14ac:dyDescent="0.3">
      <c r="E199" s="199">
        <v>0</v>
      </c>
      <c r="F199" s="454" t="s">
        <v>18</v>
      </c>
      <c r="J199" s="141">
        <f t="shared" si="22"/>
        <v>0</v>
      </c>
      <c r="K199" s="141">
        <f t="shared" si="22"/>
        <v>0</v>
      </c>
      <c r="L199" s="451">
        <f t="shared" si="22"/>
        <v>0</v>
      </c>
      <c r="M199" s="223">
        <f t="shared" si="23"/>
        <v>0</v>
      </c>
      <c r="N199" s="143">
        <f t="shared" si="23"/>
        <v>0</v>
      </c>
      <c r="O199" s="143">
        <f t="shared" si="23"/>
        <v>0</v>
      </c>
      <c r="P199" s="143">
        <f t="shared" si="23"/>
        <v>0</v>
      </c>
      <c r="Q199" s="143">
        <f t="shared" si="23"/>
        <v>0</v>
      </c>
      <c r="S199" s="89"/>
    </row>
    <row r="200" spans="5:19" outlineLevel="1" x14ac:dyDescent="0.3">
      <c r="E200" s="199">
        <v>0</v>
      </c>
      <c r="F200" s="454" t="s">
        <v>18</v>
      </c>
      <c r="J200" s="141">
        <f t="shared" si="22"/>
        <v>0</v>
      </c>
      <c r="K200" s="141">
        <f t="shared" si="22"/>
        <v>0</v>
      </c>
      <c r="L200" s="451">
        <f t="shared" si="22"/>
        <v>0</v>
      </c>
      <c r="M200" s="223">
        <f t="shared" si="23"/>
        <v>0</v>
      </c>
      <c r="N200" s="143">
        <f t="shared" si="23"/>
        <v>0</v>
      </c>
      <c r="O200" s="143">
        <f t="shared" si="23"/>
        <v>0</v>
      </c>
      <c r="P200" s="143">
        <f t="shared" si="23"/>
        <v>0</v>
      </c>
      <c r="Q200" s="143">
        <f t="shared" si="23"/>
        <v>0</v>
      </c>
      <c r="S200" s="89"/>
    </row>
    <row r="201" spans="5:19" outlineLevel="1" x14ac:dyDescent="0.3">
      <c r="E201" s="199">
        <v>0</v>
      </c>
      <c r="F201" s="454" t="s">
        <v>18</v>
      </c>
      <c r="J201" s="141">
        <f t="shared" si="22"/>
        <v>0</v>
      </c>
      <c r="K201" s="141">
        <f t="shared" si="22"/>
        <v>0</v>
      </c>
      <c r="L201" s="451">
        <f t="shared" si="22"/>
        <v>0</v>
      </c>
      <c r="M201" s="223">
        <f t="shared" si="23"/>
        <v>0</v>
      </c>
      <c r="N201" s="143">
        <f t="shared" si="23"/>
        <v>0</v>
      </c>
      <c r="O201" s="143">
        <f t="shared" si="23"/>
        <v>0</v>
      </c>
      <c r="P201" s="143">
        <f t="shared" si="23"/>
        <v>0</v>
      </c>
      <c r="Q201" s="143">
        <f t="shared" si="23"/>
        <v>0</v>
      </c>
      <c r="S201" s="89"/>
    </row>
    <row r="202" spans="5:19" outlineLevel="1" x14ac:dyDescent="0.3">
      <c r="E202" s="199">
        <v>0</v>
      </c>
      <c r="F202" s="454" t="s">
        <v>18</v>
      </c>
      <c r="J202" s="141">
        <f t="shared" si="22"/>
        <v>0</v>
      </c>
      <c r="K202" s="141">
        <f t="shared" si="22"/>
        <v>0</v>
      </c>
      <c r="L202" s="451">
        <f t="shared" si="22"/>
        <v>0</v>
      </c>
      <c r="M202" s="223">
        <f t="shared" si="23"/>
        <v>0</v>
      </c>
      <c r="N202" s="143">
        <f t="shared" si="23"/>
        <v>0</v>
      </c>
      <c r="O202" s="143">
        <f t="shared" si="23"/>
        <v>0</v>
      </c>
      <c r="P202" s="143">
        <f t="shared" si="23"/>
        <v>0</v>
      </c>
      <c r="Q202" s="143">
        <f t="shared" si="23"/>
        <v>0</v>
      </c>
      <c r="S202" s="89"/>
    </row>
    <row r="203" spans="5:19" outlineLevel="1" x14ac:dyDescent="0.3">
      <c r="S203" s="89"/>
    </row>
    <row r="204" spans="5:19" outlineLevel="1" x14ac:dyDescent="0.3">
      <c r="S204" s="89"/>
    </row>
    <row r="205" spans="5:19" outlineLevel="1" x14ac:dyDescent="0.3">
      <c r="S205" s="89"/>
    </row>
    <row r="206" spans="5:19" outlineLevel="1" x14ac:dyDescent="0.3">
      <c r="S206" s="89"/>
    </row>
    <row r="207" spans="5:19" x14ac:dyDescent="0.3">
      <c r="S207" s="89"/>
    </row>
  </sheetData>
  <mergeCells count="13">
    <mergeCell ref="M140:Q140"/>
    <mergeCell ref="M163:Q163"/>
    <mergeCell ref="M186:Q186"/>
    <mergeCell ref="A6:L6"/>
    <mergeCell ref="A39:L39"/>
    <mergeCell ref="A93:L93"/>
    <mergeCell ref="A113:L113"/>
    <mergeCell ref="M67:Q67"/>
    <mergeCell ref="M80:Q80"/>
    <mergeCell ref="G42:K42"/>
    <mergeCell ref="G43:H43"/>
    <mergeCell ref="I43:K43"/>
    <mergeCell ref="M115:Q115"/>
  </mergeCells>
  <phoneticPr fontId="28" type="noConversion"/>
  <conditionalFormatting sqref="H117:H136">
    <cfRule type="expression" dxfId="2" priority="5">
      <formula>$G117="Enter annual volume"</formula>
    </cfRule>
  </conditionalFormatting>
  <conditionalFormatting sqref="K117:Q136">
    <cfRule type="expression" dxfId="1" priority="4">
      <formula>$G117&lt;&gt;"Enter annual volume"</formula>
    </cfRule>
  </conditionalFormatting>
  <conditionalFormatting sqref="J117:L136 J142:L161 J165:L184">
    <cfRule type="expression" dxfId="0" priority="1">
      <formula>J$116&lt;=Capex_BaseYear</formula>
    </cfRule>
  </conditionalFormatting>
  <dataValidations count="2">
    <dataValidation type="list" allowBlank="1" showInputMessage="1" showErrorMessage="1" sqref="E45:E64" xr:uid="{7843F393-93F7-4E13-B9E2-06E1FC9D02BA}">
      <formula1>ICC_EquipType</formula1>
    </dataValidation>
    <dataValidation type="list" allowBlank="1" showInputMessage="1" showErrorMessage="1" sqref="F45:F64" xr:uid="{E1FD7C14-9BB1-4532-B366-111880F3CE90}">
      <formula1>ICC_Action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CC57038-CFAA-4405-8A87-7A753C9776D4}">
          <x14:formula1>
            <xm:f>'Lookup|Tables'!$D$125:$D$126</xm:f>
          </x14:formula1>
          <xm:sqref>J45:J64</xm:sqref>
        </x14:dataValidation>
        <x14:dataValidation type="list" allowBlank="1" showInputMessage="1" showErrorMessage="1" xr:uid="{7A556C9E-1A1D-4B6D-B89E-40BF1142C0E0}">
          <x14:formula1>
            <xm:f>'Lookup|Tables'!$D$87:$D$89</xm:f>
          </x14:formula1>
          <xm:sqref>F28:F37</xm:sqref>
        </x14:dataValidation>
        <x14:dataValidation type="list" allowBlank="1" showInputMessage="1" showErrorMessage="1" xr:uid="{E78D381E-0AEE-4D82-AAE5-4F1DDFA3173B}">
          <x14:formula1>
            <xm:f>'Lookup|Tables'!$D$94:$D$96</xm:f>
          </x14:formula1>
          <xm:sqref>G117:G136 G142:G161 G165:G184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C80B5-421D-4E13-B0C2-B7403E2F9825}">
  <sheetPr codeName="Sheet16">
    <tabColor rgb="FFFFC000"/>
  </sheetPr>
  <dimension ref="A1:AJ145"/>
  <sheetViews>
    <sheetView showGridLines="0" topLeftCell="N1" zoomScaleNormal="100" workbookViewId="0">
      <pane ySplit="3" topLeftCell="A4" activePane="bottomLeft" state="frozen"/>
      <selection pane="bottomLeft" activeCell="U33" sqref="U33"/>
    </sheetView>
  </sheetViews>
  <sheetFormatPr defaultColWidth="0" defaultRowHeight="12.5" zeroHeight="1" outlineLevelRow="2" x14ac:dyDescent="0.25"/>
  <cols>
    <col min="1" max="1" width="1.26953125" customWidth="1"/>
    <col min="2" max="2" width="1.81640625" customWidth="1"/>
    <col min="3" max="3" width="3.453125" customWidth="1"/>
    <col min="4" max="4" width="3.7265625" customWidth="1"/>
    <col min="5" max="5" width="4.1796875" customWidth="1"/>
    <col min="6" max="6" width="21.81640625" customWidth="1"/>
    <col min="7" max="7" width="21.26953125" hidden="1" customWidth="1"/>
    <col min="8" max="8" width="19" hidden="1" customWidth="1"/>
    <col min="9" max="9" width="14.7265625" hidden="1" customWidth="1"/>
    <col min="10" max="10" width="22" hidden="1" customWidth="1"/>
    <col min="11" max="11" width="15.26953125" hidden="1" customWidth="1"/>
    <col min="12" max="12" width="19" customWidth="1"/>
    <col min="13" max="13" width="17.453125" customWidth="1"/>
    <col min="14" max="14" width="13.7265625" customWidth="1"/>
    <col min="15" max="21" width="15" customWidth="1"/>
    <col min="22" max="22" width="11.453125" bestFit="1" customWidth="1"/>
    <col min="23" max="24" width="9.1796875" customWidth="1"/>
    <col min="25" max="30" width="9.1796875" hidden="1" customWidth="1"/>
    <col min="31" max="36" width="0" hidden="1" customWidth="1"/>
    <col min="37" max="16384" width="9.1796875" hidden="1"/>
  </cols>
  <sheetData>
    <row r="1" spans="1:24" ht="25.9" customHeight="1" x14ac:dyDescent="0.25">
      <c r="A1" s="67"/>
      <c r="B1" s="67" t="str">
        <f>'Input|General'!B1&amp;" v"&amp;'Input|General'!$D$2</f>
        <v>AER Metering Opex &amp; Capex Forecasting Model DRAFT v1</v>
      </c>
      <c r="C1" s="67"/>
      <c r="D1" s="67"/>
      <c r="E1" s="67"/>
      <c r="F1" s="6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" x14ac:dyDescent="0.25">
      <c r="A2" s="55"/>
      <c r="B2" s="68" t="str" cm="1">
        <f t="array" aca="1" ref="B2" ca="1">MID(CELL("filename",A1),FIND("]",CELL("filename",A1))+1,255)</f>
        <v>Calc | Capex Meters</v>
      </c>
      <c r="C2" s="55"/>
      <c r="D2" s="55"/>
      <c r="E2" s="55"/>
      <c r="F2" s="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" x14ac:dyDescent="0.25">
      <c r="A3" s="55"/>
      <c r="B3" s="68"/>
      <c r="C3" s="55"/>
      <c r="D3" s="55"/>
      <c r="E3" s="55"/>
      <c r="F3" s="5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/>
    <row r="5" spans="1:24" s="201" customFormat="1" ht="13" x14ac:dyDescent="0.3">
      <c r="A5" s="145"/>
      <c r="B5" s="266" t="s">
        <v>26</v>
      </c>
      <c r="C5" s="266"/>
      <c r="D5" s="266"/>
      <c r="E5" s="266"/>
      <c r="F5" s="266"/>
      <c r="G5" s="266"/>
      <c r="H5" s="266"/>
      <c r="I5" s="266"/>
      <c r="J5" s="266"/>
      <c r="K5" s="266"/>
      <c r="L5" s="178"/>
      <c r="M5" s="178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</row>
    <row r="6" spans="1:24" s="201" customFormat="1" x14ac:dyDescent="0.25"/>
    <row r="7" spans="1:24" s="201" customFormat="1" x14ac:dyDescent="0.25"/>
    <row r="8" spans="1:24" s="201" customFormat="1" ht="13" x14ac:dyDescent="0.3">
      <c r="C8" s="201" t="s">
        <v>7</v>
      </c>
      <c r="D8" s="202" t="s">
        <v>315</v>
      </c>
    </row>
    <row r="9" spans="1:24" s="201" customFormat="1" ht="13" outlineLevel="1" x14ac:dyDescent="0.3">
      <c r="D9" s="202"/>
    </row>
    <row r="10" spans="1:24" s="201" customFormat="1" outlineLevel="1" x14ac:dyDescent="0.25">
      <c r="D10" s="201" t="s">
        <v>19</v>
      </c>
      <c r="E10" s="201" t="s">
        <v>312</v>
      </c>
      <c r="N10" s="228"/>
    </row>
    <row r="11" spans="1:24" s="201" customFormat="1" ht="13" outlineLevel="2" x14ac:dyDescent="0.25">
      <c r="E11" s="700" t="s">
        <v>146</v>
      </c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</row>
    <row r="12" spans="1:24" s="201" customFormat="1" ht="13" outlineLevel="2" x14ac:dyDescent="0.25">
      <c r="F12" s="121" t="str">
        <f>I_MeterTypes[[#Headers],[Meter Type]]</f>
        <v>Meter Type</v>
      </c>
      <c r="G12" s="121" t="str">
        <f>I_MeterTypes[[#Headers],[RIN Subcategory 1]]</f>
        <v>RIN Subcategory 1</v>
      </c>
      <c r="H12" s="121" t="str">
        <f>I_MeterTypes[[#Headers],[RIN Subcategory 2]]</f>
        <v>RIN Subcategory 2</v>
      </c>
      <c r="I12" s="121" t="str">
        <f>I_MeterTypes[[#Headers],[AER Type]]</f>
        <v>AER Type</v>
      </c>
      <c r="J12" s="121" t="str">
        <f>I_MeterTypes[[#Headers],[RIN Subcategory 3]]</f>
        <v>RIN Subcategory 3</v>
      </c>
      <c r="K12" s="121" t="str">
        <f>I_MeterTypes[[#Headers],[Meter Code]]</f>
        <v>Meter Code</v>
      </c>
      <c r="L12" s="121" t="s">
        <v>6</v>
      </c>
      <c r="M12" s="121" t="s">
        <v>118</v>
      </c>
      <c r="O12" s="122" t="str">
        <f>'Input | Meters Vols &amp; Costs'!O$168</f>
        <v>2018-19</v>
      </c>
      <c r="P12" s="149" t="str">
        <f>'Input | Meters Vols &amp; Costs'!P$168</f>
        <v>2019-20</v>
      </c>
      <c r="Q12" s="122" t="str">
        <f>'Input | Meters Vols &amp; Costs'!Q$168</f>
        <v>2020-21</v>
      </c>
      <c r="R12" s="122" t="str">
        <f>'Input | Meters Vols &amp; Costs'!R$168</f>
        <v>2021-22</v>
      </c>
      <c r="S12" s="122" t="str">
        <f>'Input | Meters Vols &amp; Costs'!S$168</f>
        <v>2022-23</v>
      </c>
      <c r="T12" s="122" t="str">
        <f>'Input | Meters Vols &amp; Costs'!T$168</f>
        <v>2023-24</v>
      </c>
      <c r="U12" s="122" t="str">
        <f>'Input | Meters Vols &amp; Costs'!U$168</f>
        <v>2024-25</v>
      </c>
      <c r="V12" s="124" t="s">
        <v>17</v>
      </c>
    </row>
    <row r="13" spans="1:24" s="201" customFormat="1" ht="13" outlineLevel="2" x14ac:dyDescent="0.25">
      <c r="F13" s="213" t="str" cm="1">
        <f t="array" ref="F13:F27">I_MeterTypes[Meter Type]</f>
        <v>AMI - Single Phase, single element</v>
      </c>
      <c r="G13" s="213" t="str" cm="1">
        <f t="array" ref="G13:G27">I_MeterTypes[RIN Subcategory 1]</f>
        <v>Single Phase Meter Population</v>
      </c>
      <c r="H13" s="213" t="str" cm="1">
        <f t="array" ref="H13:H27">I_MeterTypes[RIN Subcategory 2]</f>
        <v>Other</v>
      </c>
      <c r="I13" s="213" t="str" cm="1">
        <f t="array" ref="I13:I27">I_MeterTypes[AER Type]</f>
        <v>Meter Type 4</v>
      </c>
      <c r="J13" s="213" t="str" cm="1">
        <f t="array" ref="J13:J27">I_MeterTypes[RIN Subcategory 3]</f>
        <v>Single phase single element - AMI</v>
      </c>
      <c r="K13" s="213" t="str" cm="1">
        <f t="array" ref="K13:K27">I_MeterTypes[Meter Code]</f>
        <v>AMI 1ph 1e</v>
      </c>
      <c r="L13" s="221" t="s">
        <v>85</v>
      </c>
      <c r="M13" s="222">
        <f t="shared" ref="M13:M28" si="0">Basis_Capex</f>
        <v>43617</v>
      </c>
      <c r="N13" s="228"/>
      <c r="O13" s="150" cm="1">
        <f t="array" ref="O13:U27">INDEX(ICM_LabourCost,,1)*ICM_Vol1+
INDEX(ICM_LabourCost,,2)*ICM_Vol2+
INDEX(ICM_LabourCost,,3)*ICM_Vol3+
INDEX(ICM_LabourCost,,4)*ICM_Vol4+
INDEX(ICM_LabourCost,,5)*ICM_Vol5+
INDEX(ICM_LabourCost,,6)*ICM_Vol6+
INDEX(ICM_LabourCost,,7)*ICM_Vol7+
INDEX(ICM_LabourCost,,8)*ICM_Vol8+
INDEX(ICM_LabourCost,,9)*ICM_Vol9+
INDEX(ICM_LabourCost,,10)*ICM_Vol10</f>
        <v>0</v>
      </c>
      <c r="P13" s="150">
        <v>2450000</v>
      </c>
      <c r="Q13" s="459">
        <v>2450000</v>
      </c>
      <c r="R13" s="150">
        <v>2450000</v>
      </c>
      <c r="S13" s="150">
        <v>2450000</v>
      </c>
      <c r="T13" s="150">
        <v>2450000</v>
      </c>
      <c r="U13" s="452">
        <v>2450000</v>
      </c>
      <c r="V13" s="246">
        <f t="shared" ref="V13:V27" si="1">SUM(N13:U13)</f>
        <v>14700000</v>
      </c>
    </row>
    <row r="14" spans="1:24" s="201" customFormat="1" ht="13" outlineLevel="2" x14ac:dyDescent="0.25">
      <c r="F14" s="213" t="str">
        <v>AMI - Single Phase, two element</v>
      </c>
      <c r="G14" s="213" t="str">
        <v>Single Phase Meter Population</v>
      </c>
      <c r="H14" s="213" t="str">
        <v>Other</v>
      </c>
      <c r="I14" s="213" t="str">
        <v>Meter Type 4</v>
      </c>
      <c r="J14" s="218" t="str">
        <v>Single phase two element with contactor - AMI</v>
      </c>
      <c r="K14" s="218" t="str">
        <v>AMI 1ph 2e</v>
      </c>
      <c r="L14" s="221" t="s">
        <v>85</v>
      </c>
      <c r="M14" s="222">
        <f t="shared" si="0"/>
        <v>43617</v>
      </c>
      <c r="N14" s="228"/>
      <c r="O14" s="150">
        <v>0</v>
      </c>
      <c r="P14" s="150">
        <v>0</v>
      </c>
      <c r="Q14" s="459">
        <v>0</v>
      </c>
      <c r="R14" s="150">
        <v>0</v>
      </c>
      <c r="S14" s="150">
        <v>0</v>
      </c>
      <c r="T14" s="150">
        <v>0</v>
      </c>
      <c r="U14" s="452">
        <v>0</v>
      </c>
      <c r="V14" s="246">
        <f t="shared" si="1"/>
        <v>0</v>
      </c>
    </row>
    <row r="15" spans="1:24" s="201" customFormat="1" ht="13" outlineLevel="2" x14ac:dyDescent="0.25">
      <c r="F15" s="213" t="str">
        <v>AMI - 3 Phase DC</v>
      </c>
      <c r="G15" s="213" t="str">
        <v>Multi Phase Meter Population</v>
      </c>
      <c r="H15" s="213" t="str">
        <v>Direct Connect Meter Population</v>
      </c>
      <c r="I15" s="213" t="str">
        <v>Meter Type 4</v>
      </c>
      <c r="J15" s="218" t="str">
        <v>Three phase - AMI</v>
      </c>
      <c r="K15" s="218" t="str">
        <v>AMI 3ph DC</v>
      </c>
      <c r="L15" s="221" t="s">
        <v>85</v>
      </c>
      <c r="M15" s="222">
        <f t="shared" si="0"/>
        <v>43617</v>
      </c>
      <c r="N15" s="228"/>
      <c r="O15" s="150">
        <v>0</v>
      </c>
      <c r="P15" s="150">
        <v>0</v>
      </c>
      <c r="Q15" s="459">
        <v>0</v>
      </c>
      <c r="R15" s="150">
        <v>0</v>
      </c>
      <c r="S15" s="150">
        <v>0</v>
      </c>
      <c r="T15" s="150">
        <v>0</v>
      </c>
      <c r="U15" s="452">
        <v>0</v>
      </c>
      <c r="V15" s="246">
        <f t="shared" si="1"/>
        <v>0</v>
      </c>
    </row>
    <row r="16" spans="1:24" s="201" customFormat="1" ht="13" outlineLevel="2" x14ac:dyDescent="0.25">
      <c r="F16" s="213" t="str">
        <v>AMI 3Ph CT</v>
      </c>
      <c r="G16" s="213" t="str">
        <v>Multi Phase Meter Population</v>
      </c>
      <c r="H16" s="213" t="str">
        <v>Current Transformer Connected Meter Population</v>
      </c>
      <c r="I16" s="213" t="str">
        <v>Meter Type 4</v>
      </c>
      <c r="J16" s="218">
        <v>0</v>
      </c>
      <c r="K16" s="218" t="str">
        <v>AMI 3ph CT</v>
      </c>
      <c r="L16" s="221" t="s">
        <v>85</v>
      </c>
      <c r="M16" s="222">
        <f t="shared" si="0"/>
        <v>43617</v>
      </c>
      <c r="N16" s="228"/>
      <c r="O16" s="150">
        <v>0</v>
      </c>
      <c r="P16" s="150">
        <v>0</v>
      </c>
      <c r="Q16" s="459">
        <v>0</v>
      </c>
      <c r="R16" s="150">
        <v>0</v>
      </c>
      <c r="S16" s="150">
        <v>0</v>
      </c>
      <c r="T16" s="150">
        <v>0</v>
      </c>
      <c r="U16" s="452">
        <v>0</v>
      </c>
      <c r="V16" s="246">
        <f t="shared" si="1"/>
        <v>0</v>
      </c>
    </row>
    <row r="17" spans="5:22" s="201" customFormat="1" ht="13" outlineLevel="2" x14ac:dyDescent="0.25">
      <c r="F17" s="213" t="str">
        <v>Non AMI - Type 5 Locally read Interval - Single Phase</v>
      </c>
      <c r="G17" s="213" t="str">
        <v>Single Phase Meter Population</v>
      </c>
      <c r="H17" s="213" t="str">
        <v>Direct Connect Meter Population</v>
      </c>
      <c r="I17" s="213" t="str">
        <v>Meter Type 5</v>
      </c>
      <c r="J17" s="218">
        <v>0</v>
      </c>
      <c r="K17" s="218" t="str">
        <v>INT 1ph</v>
      </c>
      <c r="L17" s="221" t="s">
        <v>85</v>
      </c>
      <c r="M17" s="222">
        <f t="shared" si="0"/>
        <v>43617</v>
      </c>
      <c r="N17" s="228"/>
      <c r="O17" s="150">
        <v>0</v>
      </c>
      <c r="P17" s="150">
        <v>0</v>
      </c>
      <c r="Q17" s="459">
        <v>0</v>
      </c>
      <c r="R17" s="150">
        <v>0</v>
      </c>
      <c r="S17" s="150">
        <v>0</v>
      </c>
      <c r="T17" s="150">
        <v>0</v>
      </c>
      <c r="U17" s="452">
        <v>0</v>
      </c>
      <c r="V17" s="246">
        <f t="shared" si="1"/>
        <v>0</v>
      </c>
    </row>
    <row r="18" spans="5:22" s="201" customFormat="1" ht="13" outlineLevel="2" x14ac:dyDescent="0.25">
      <c r="F18" s="213" t="str">
        <v>Non AMI - Type 5 Locally read Interval - 3 Phase</v>
      </c>
      <c r="G18" s="213" t="str">
        <v>Single Phase Meter Population</v>
      </c>
      <c r="H18" s="213" t="str">
        <v>Direct Connect Meter Population</v>
      </c>
      <c r="I18" s="213" t="str">
        <v>Meter Type 5</v>
      </c>
      <c r="J18" s="218">
        <v>0</v>
      </c>
      <c r="K18" s="218" t="str">
        <v>INT 3ph</v>
      </c>
      <c r="L18" s="221" t="s">
        <v>85</v>
      </c>
      <c r="M18" s="222">
        <f t="shared" si="0"/>
        <v>43617</v>
      </c>
      <c r="N18" s="228"/>
      <c r="O18" s="150">
        <v>0</v>
      </c>
      <c r="P18" s="150">
        <v>0</v>
      </c>
      <c r="Q18" s="459">
        <v>0</v>
      </c>
      <c r="R18" s="150">
        <v>0</v>
      </c>
      <c r="S18" s="150">
        <v>0</v>
      </c>
      <c r="T18" s="150">
        <v>0</v>
      </c>
      <c r="U18" s="452">
        <v>0</v>
      </c>
      <c r="V18" s="246">
        <f t="shared" si="1"/>
        <v>0</v>
      </c>
    </row>
    <row r="19" spans="5:22" s="201" customFormat="1" ht="13" outlineLevel="2" x14ac:dyDescent="0.25">
      <c r="F19" s="213" t="str">
        <v>Non AMI - Type 5 Locally read Interval - 3 Phase - CT</v>
      </c>
      <c r="G19" s="213" t="str">
        <v>Multi Phase Meter Population</v>
      </c>
      <c r="H19" s="213" t="str">
        <v>Current Transformer Connected Meter Population</v>
      </c>
      <c r="I19" s="213" t="str">
        <v>Meter Type 5</v>
      </c>
      <c r="J19" s="218">
        <v>0</v>
      </c>
      <c r="K19" s="218" t="str">
        <v>INT 3ph CT</v>
      </c>
      <c r="L19" s="221" t="s">
        <v>85</v>
      </c>
      <c r="M19" s="222">
        <f t="shared" si="0"/>
        <v>43617</v>
      </c>
      <c r="N19" s="228"/>
      <c r="O19" s="150">
        <v>0</v>
      </c>
      <c r="P19" s="150">
        <v>0</v>
      </c>
      <c r="Q19" s="459">
        <v>0</v>
      </c>
      <c r="R19" s="150">
        <v>0</v>
      </c>
      <c r="S19" s="150">
        <v>0</v>
      </c>
      <c r="T19" s="150">
        <v>0</v>
      </c>
      <c r="U19" s="452">
        <v>0</v>
      </c>
      <c r="V19" s="246">
        <f t="shared" si="1"/>
        <v>0</v>
      </c>
    </row>
    <row r="20" spans="5:22" s="201" customFormat="1" ht="13" outlineLevel="2" x14ac:dyDescent="0.25">
      <c r="F20" s="213" t="str">
        <v>Non AMI - Type 6 Locally read Accumulation - Single Phase</v>
      </c>
      <c r="G20" s="213" t="str">
        <v>Multi Phase Meter Population</v>
      </c>
      <c r="H20" s="213" t="str">
        <v>Direct Connect Meter Population</v>
      </c>
      <c r="I20" s="213" t="str">
        <v>Meter Type 6</v>
      </c>
      <c r="J20" s="218">
        <v>0</v>
      </c>
      <c r="K20" s="218" t="str">
        <v>ACC 1ph</v>
      </c>
      <c r="L20" s="221" t="s">
        <v>85</v>
      </c>
      <c r="M20" s="222">
        <f t="shared" si="0"/>
        <v>43617</v>
      </c>
      <c r="N20" s="228"/>
      <c r="O20" s="150">
        <v>0</v>
      </c>
      <c r="P20" s="150">
        <v>0</v>
      </c>
      <c r="Q20" s="459">
        <v>0</v>
      </c>
      <c r="R20" s="150">
        <v>0</v>
      </c>
      <c r="S20" s="150">
        <v>0</v>
      </c>
      <c r="T20" s="150">
        <v>0</v>
      </c>
      <c r="U20" s="452">
        <v>0</v>
      </c>
      <c r="V20" s="246">
        <f t="shared" si="1"/>
        <v>0</v>
      </c>
    </row>
    <row r="21" spans="5:22" s="201" customFormat="1" ht="13" outlineLevel="2" x14ac:dyDescent="0.25">
      <c r="F21" s="213" t="str">
        <v>Non AMI - Type 6 Locally read Accumulation - 3 Phase</v>
      </c>
      <c r="G21" s="213">
        <v>0</v>
      </c>
      <c r="H21" s="213" t="str">
        <v>Direct Connect Meter Population</v>
      </c>
      <c r="I21" s="213" t="str">
        <v>Meter Type 6</v>
      </c>
      <c r="J21" s="218">
        <v>0</v>
      </c>
      <c r="K21" s="218" t="str">
        <v>ACC 3ph</v>
      </c>
      <c r="L21" s="221" t="s">
        <v>85</v>
      </c>
      <c r="M21" s="222">
        <f t="shared" si="0"/>
        <v>43617</v>
      </c>
      <c r="N21" s="228"/>
      <c r="O21" s="150">
        <v>0</v>
      </c>
      <c r="P21" s="150">
        <v>0</v>
      </c>
      <c r="Q21" s="459">
        <v>0</v>
      </c>
      <c r="R21" s="150">
        <v>0</v>
      </c>
      <c r="S21" s="150">
        <v>0</v>
      </c>
      <c r="T21" s="150">
        <v>0</v>
      </c>
      <c r="U21" s="452">
        <v>0</v>
      </c>
      <c r="V21" s="246">
        <f t="shared" si="1"/>
        <v>0</v>
      </c>
    </row>
    <row r="22" spans="5:22" s="201" customFormat="1" ht="13" outlineLevel="2" x14ac:dyDescent="0.25">
      <c r="F22" s="213">
        <v>0</v>
      </c>
      <c r="G22" s="213">
        <v>0</v>
      </c>
      <c r="H22" s="213">
        <v>0</v>
      </c>
      <c r="I22" s="213">
        <v>0</v>
      </c>
      <c r="J22" s="218">
        <v>0</v>
      </c>
      <c r="K22" s="218">
        <v>0</v>
      </c>
      <c r="L22" s="221" t="s">
        <v>85</v>
      </c>
      <c r="M22" s="222">
        <f t="shared" si="0"/>
        <v>43617</v>
      </c>
      <c r="N22" s="228"/>
      <c r="O22" s="150">
        <v>0</v>
      </c>
      <c r="P22" s="150">
        <v>0</v>
      </c>
      <c r="Q22" s="459">
        <v>0</v>
      </c>
      <c r="R22" s="150">
        <v>0</v>
      </c>
      <c r="S22" s="150">
        <v>0</v>
      </c>
      <c r="T22" s="150">
        <v>0</v>
      </c>
      <c r="U22" s="452">
        <v>0</v>
      </c>
      <c r="V22" s="246">
        <f t="shared" si="1"/>
        <v>0</v>
      </c>
    </row>
    <row r="23" spans="5:22" s="201" customFormat="1" ht="13" outlineLevel="2" x14ac:dyDescent="0.25">
      <c r="F23" s="213">
        <v>0</v>
      </c>
      <c r="G23" s="213">
        <v>0</v>
      </c>
      <c r="H23" s="213">
        <v>0</v>
      </c>
      <c r="I23" s="213">
        <v>0</v>
      </c>
      <c r="J23" s="218">
        <v>0</v>
      </c>
      <c r="K23" s="218">
        <v>0</v>
      </c>
      <c r="L23" s="221" t="s">
        <v>85</v>
      </c>
      <c r="M23" s="222">
        <f t="shared" si="0"/>
        <v>43617</v>
      </c>
      <c r="N23" s="228"/>
      <c r="O23" s="150">
        <v>0</v>
      </c>
      <c r="P23" s="150">
        <v>0</v>
      </c>
      <c r="Q23" s="459">
        <v>0</v>
      </c>
      <c r="R23" s="150">
        <v>0</v>
      </c>
      <c r="S23" s="150">
        <v>0</v>
      </c>
      <c r="T23" s="150">
        <v>0</v>
      </c>
      <c r="U23" s="452">
        <v>0</v>
      </c>
      <c r="V23" s="246">
        <f t="shared" si="1"/>
        <v>0</v>
      </c>
    </row>
    <row r="24" spans="5:22" s="201" customFormat="1" ht="13" outlineLevel="2" x14ac:dyDescent="0.25">
      <c r="F24" s="213">
        <v>0</v>
      </c>
      <c r="G24" s="213">
        <v>0</v>
      </c>
      <c r="H24" s="213">
        <v>0</v>
      </c>
      <c r="I24" s="213">
        <v>0</v>
      </c>
      <c r="J24" s="218">
        <v>0</v>
      </c>
      <c r="K24" s="218">
        <v>0</v>
      </c>
      <c r="L24" s="221" t="s">
        <v>85</v>
      </c>
      <c r="M24" s="222">
        <f t="shared" si="0"/>
        <v>43617</v>
      </c>
      <c r="N24" s="228"/>
      <c r="O24" s="150">
        <v>0</v>
      </c>
      <c r="P24" s="150">
        <v>0</v>
      </c>
      <c r="Q24" s="459">
        <v>0</v>
      </c>
      <c r="R24" s="150">
        <v>0</v>
      </c>
      <c r="S24" s="150">
        <v>0</v>
      </c>
      <c r="T24" s="150">
        <v>0</v>
      </c>
      <c r="U24" s="452">
        <v>0</v>
      </c>
      <c r="V24" s="246">
        <f t="shared" si="1"/>
        <v>0</v>
      </c>
    </row>
    <row r="25" spans="5:22" s="201" customFormat="1" ht="13" outlineLevel="2" x14ac:dyDescent="0.25">
      <c r="F25" s="213">
        <v>0</v>
      </c>
      <c r="G25" s="213">
        <v>0</v>
      </c>
      <c r="H25" s="213">
        <v>0</v>
      </c>
      <c r="I25" s="213">
        <v>0</v>
      </c>
      <c r="J25" s="218">
        <v>0</v>
      </c>
      <c r="K25" s="218">
        <v>0</v>
      </c>
      <c r="L25" s="221" t="s">
        <v>85</v>
      </c>
      <c r="M25" s="222">
        <f t="shared" si="0"/>
        <v>43617</v>
      </c>
      <c r="N25" s="228"/>
      <c r="O25" s="150">
        <v>0</v>
      </c>
      <c r="P25" s="150">
        <v>0</v>
      </c>
      <c r="Q25" s="459">
        <v>0</v>
      </c>
      <c r="R25" s="150">
        <v>0</v>
      </c>
      <c r="S25" s="150">
        <v>0</v>
      </c>
      <c r="T25" s="150">
        <v>0</v>
      </c>
      <c r="U25" s="452">
        <v>0</v>
      </c>
      <c r="V25" s="246">
        <f t="shared" si="1"/>
        <v>0</v>
      </c>
    </row>
    <row r="26" spans="5:22" s="201" customFormat="1" ht="13" outlineLevel="2" x14ac:dyDescent="0.25">
      <c r="F26" s="213">
        <v>0</v>
      </c>
      <c r="G26" s="213">
        <v>0</v>
      </c>
      <c r="H26" s="213">
        <v>0</v>
      </c>
      <c r="I26" s="213">
        <v>0</v>
      </c>
      <c r="J26" s="218">
        <v>0</v>
      </c>
      <c r="K26" s="218">
        <v>0</v>
      </c>
      <c r="L26" s="221" t="s">
        <v>85</v>
      </c>
      <c r="M26" s="222">
        <f t="shared" si="0"/>
        <v>43617</v>
      </c>
      <c r="N26" s="228"/>
      <c r="O26" s="150">
        <v>0</v>
      </c>
      <c r="P26" s="150">
        <v>0</v>
      </c>
      <c r="Q26" s="459">
        <v>0</v>
      </c>
      <c r="R26" s="150">
        <v>0</v>
      </c>
      <c r="S26" s="150">
        <v>0</v>
      </c>
      <c r="T26" s="150">
        <v>0</v>
      </c>
      <c r="U26" s="452">
        <v>0</v>
      </c>
      <c r="V26" s="246">
        <f t="shared" si="1"/>
        <v>0</v>
      </c>
    </row>
    <row r="27" spans="5:22" s="201" customFormat="1" ht="13" outlineLevel="2" x14ac:dyDescent="0.25">
      <c r="F27" s="213">
        <v>0</v>
      </c>
      <c r="G27" s="213">
        <v>0</v>
      </c>
      <c r="H27" s="213">
        <v>0</v>
      </c>
      <c r="I27" s="213">
        <v>0</v>
      </c>
      <c r="J27" s="218">
        <v>0</v>
      </c>
      <c r="K27" s="218">
        <v>0</v>
      </c>
      <c r="L27" s="221" t="s">
        <v>85</v>
      </c>
      <c r="M27" s="222">
        <f t="shared" si="0"/>
        <v>43617</v>
      </c>
      <c r="N27" s="228"/>
      <c r="O27" s="150">
        <v>0</v>
      </c>
      <c r="P27" s="150">
        <v>0</v>
      </c>
      <c r="Q27" s="459">
        <v>0</v>
      </c>
      <c r="R27" s="150">
        <v>0</v>
      </c>
      <c r="S27" s="150">
        <v>0</v>
      </c>
      <c r="T27" s="150">
        <v>0</v>
      </c>
      <c r="U27" s="452">
        <v>0</v>
      </c>
      <c r="V27" s="246">
        <f t="shared" si="1"/>
        <v>0</v>
      </c>
    </row>
    <row r="28" spans="5:22" s="201" customFormat="1" ht="13" outlineLevel="2" x14ac:dyDescent="0.25">
      <c r="F28" s="151" t="s">
        <v>17</v>
      </c>
      <c r="G28" s="151"/>
      <c r="H28" s="151"/>
      <c r="I28" s="151"/>
      <c r="J28" s="151"/>
      <c r="K28" s="151"/>
      <c r="L28" s="247" t="s">
        <v>85</v>
      </c>
      <c r="M28" s="152">
        <f t="shared" si="0"/>
        <v>43617</v>
      </c>
      <c r="N28" s="228"/>
      <c r="O28" s="154">
        <f t="shared" ref="O28:P28" si="2">SUM(O13:O26)</f>
        <v>0</v>
      </c>
      <c r="P28" s="430">
        <f t="shared" si="2"/>
        <v>2450000</v>
      </c>
      <c r="Q28" s="480">
        <f t="shared" ref="Q28:U28" si="3">SUM(Q13:Q27)</f>
        <v>2450000</v>
      </c>
      <c r="R28" s="248">
        <f t="shared" si="3"/>
        <v>2450000</v>
      </c>
      <c r="S28" s="248">
        <f t="shared" si="3"/>
        <v>2450000</v>
      </c>
      <c r="T28" s="248">
        <f t="shared" si="3"/>
        <v>2450000</v>
      </c>
      <c r="U28" s="248">
        <f t="shared" si="3"/>
        <v>2450000</v>
      </c>
      <c r="V28" s="233">
        <f>SUM(Q28:U28)</f>
        <v>12250000</v>
      </c>
    </row>
    <row r="29" spans="5:22" outlineLevel="2" x14ac:dyDescent="0.25"/>
    <row r="30" spans="5:22" s="201" customFormat="1" outlineLevel="1" x14ac:dyDescent="0.25">
      <c r="N30" s="228"/>
    </row>
    <row r="31" spans="5:22" s="201" customFormat="1" ht="13" outlineLevel="1" x14ac:dyDescent="0.25">
      <c r="E31" s="699" t="s">
        <v>154</v>
      </c>
      <c r="F31" s="699"/>
      <c r="G31" s="699"/>
      <c r="H31" s="699"/>
      <c r="I31" s="699"/>
      <c r="J31" s="699"/>
      <c r="K31" s="699"/>
      <c r="L31" s="699"/>
      <c r="M31" s="699"/>
      <c r="N31" s="699"/>
      <c r="O31" s="699"/>
      <c r="P31" s="699"/>
      <c r="Q31" s="699"/>
      <c r="R31" s="699"/>
      <c r="S31" s="699"/>
      <c r="T31" s="699"/>
      <c r="U31" s="699"/>
      <c r="V31" s="699"/>
    </row>
    <row r="32" spans="5:22" s="201" customFormat="1" ht="13" outlineLevel="1" x14ac:dyDescent="0.25">
      <c r="F32" s="121" t="str">
        <f>I_MeterTypes[[#Headers],[Meter Type]]</f>
        <v>Meter Type</v>
      </c>
      <c r="G32" s="121" t="str">
        <f>I_MeterTypes[[#Headers],[RIN Subcategory 1]]</f>
        <v>RIN Subcategory 1</v>
      </c>
      <c r="H32" s="121" t="str">
        <f>I_MeterTypes[[#Headers],[RIN Subcategory 2]]</f>
        <v>RIN Subcategory 2</v>
      </c>
      <c r="I32" s="121" t="str">
        <f>I_MeterTypes[[#Headers],[AER Type]]</f>
        <v>AER Type</v>
      </c>
      <c r="J32" s="121" t="str">
        <f>I_MeterTypes[[#Headers],[RIN Subcategory 3]]</f>
        <v>RIN Subcategory 3</v>
      </c>
      <c r="K32" s="121" t="str">
        <f>I_MeterTypes[[#Headers],[Meter Code]]</f>
        <v>Meter Code</v>
      </c>
      <c r="L32" s="121" t="s">
        <v>6</v>
      </c>
      <c r="M32" s="121" t="s">
        <v>118</v>
      </c>
      <c r="O32" s="122" t="str">
        <f>O$12</f>
        <v>2018-19</v>
      </c>
      <c r="P32" s="149" t="str">
        <f t="shared" ref="P32:U32" si="4">P$12</f>
        <v>2019-20</v>
      </c>
      <c r="Q32" s="122" t="str">
        <f t="shared" si="4"/>
        <v>2020-21</v>
      </c>
      <c r="R32" s="122" t="str">
        <f t="shared" si="4"/>
        <v>2021-22</v>
      </c>
      <c r="S32" s="122" t="str">
        <f t="shared" si="4"/>
        <v>2022-23</v>
      </c>
      <c r="T32" s="122" t="str">
        <f t="shared" si="4"/>
        <v>2023-24</v>
      </c>
      <c r="U32" s="122" t="str">
        <f t="shared" si="4"/>
        <v>2024-25</v>
      </c>
      <c r="V32" s="124" t="s">
        <v>17</v>
      </c>
    </row>
    <row r="33" spans="6:24" s="201" customFormat="1" ht="13" outlineLevel="1" x14ac:dyDescent="0.25">
      <c r="F33" s="213" t="str" cm="1">
        <f t="array" ref="F33:F47">I_MeterTypes[Meter Type]</f>
        <v>AMI - Single Phase, single element</v>
      </c>
      <c r="G33" s="213" t="str" cm="1">
        <f t="array" ref="G33:G47">I_MeterTypes[RIN Subcategory 1]</f>
        <v>Single Phase Meter Population</v>
      </c>
      <c r="H33" s="213" t="str" cm="1">
        <f t="array" ref="H33:H47">I_MeterTypes[RIN Subcategory 2]</f>
        <v>Other</v>
      </c>
      <c r="I33" s="213" t="str" cm="1">
        <f t="array" ref="I33:I47">I_MeterTypes[AER Type]</f>
        <v>Meter Type 4</v>
      </c>
      <c r="J33" s="213" t="str" cm="1">
        <f t="array" ref="J33:J47">I_MeterTypes[RIN Subcategory 3]</f>
        <v>Single phase single element - AMI</v>
      </c>
      <c r="K33" s="213" t="str" cm="1">
        <f t="array" ref="K33:K47">I_MeterTypes[Meter Code]</f>
        <v>AMI 1ph 1e</v>
      </c>
      <c r="L33" s="221" t="s">
        <v>85</v>
      </c>
      <c r="M33" s="222">
        <f t="shared" ref="M33:M48" si="5">Basis_Capex</f>
        <v>43617</v>
      </c>
      <c r="O33" s="150">
        <f>IF('Input | Meters Vols &amp; Costs'!$P$77="Yes",'Input| Prices'!J$51,1)*O13</f>
        <v>0</v>
      </c>
      <c r="P33" s="150">
        <f>IF('Input | Meters Vols &amp; Costs'!$P$77="Yes",'Input| Prices'!K$51,1)*P13</f>
        <v>2462064.5489449138</v>
      </c>
      <c r="Q33" s="459">
        <f>IF('Input | Meters Vols &amp; Costs'!$P$77="Yes",'Input| Prices'!L$51,1)*Q13</f>
        <v>2486772.0127358148</v>
      </c>
      <c r="R33" s="150">
        <f>IF('Input | Meters Vols &amp; Costs'!$P$77="Yes",'Input| Prices'!M$51,1)*R13</f>
        <v>2503251.5088603506</v>
      </c>
      <c r="S33" s="150">
        <f>IF('Input | Meters Vols &amp; Costs'!$P$77="Yes",'Input| Prices'!N$51,1)*S13</f>
        <v>2518499.4889109577</v>
      </c>
      <c r="T33" s="150">
        <f>IF('Input | Meters Vols &amp; Costs'!$P$77="Yes",'Input| Prices'!O$51,1)*T13</f>
        <v>2536954.367937326</v>
      </c>
      <c r="U33" s="452">
        <f>IF('Input | Meters Vols &amp; Costs'!$P$77="Yes",'Input| Prices'!P$51,1)*U13</f>
        <v>2561079.4549180218</v>
      </c>
      <c r="V33" s="246">
        <f t="shared" ref="V33:V47" si="6">SUM(N33:U33)</f>
        <v>15068621.382307384</v>
      </c>
    </row>
    <row r="34" spans="6:24" s="201" customFormat="1" ht="13" outlineLevel="1" x14ac:dyDescent="0.25">
      <c r="F34" s="213" t="str">
        <v>AMI - Single Phase, two element</v>
      </c>
      <c r="G34" s="213" t="str">
        <v>Single Phase Meter Population</v>
      </c>
      <c r="H34" s="213" t="str">
        <v>Other</v>
      </c>
      <c r="I34" s="213" t="str">
        <v>Meter Type 4</v>
      </c>
      <c r="J34" s="218" t="str">
        <v>Single phase two element with contactor - AMI</v>
      </c>
      <c r="K34" s="218" t="str">
        <v>AMI 1ph 2e</v>
      </c>
      <c r="L34" s="221" t="s">
        <v>85</v>
      </c>
      <c r="M34" s="222">
        <f t="shared" si="5"/>
        <v>43617</v>
      </c>
      <c r="O34" s="150">
        <f>IF('Input | Meters Vols &amp; Costs'!$P$77="Yes",'Input| Prices'!J$51,1)*O14</f>
        <v>0</v>
      </c>
      <c r="P34" s="150">
        <f>IF('Input | Meters Vols &amp; Costs'!$P$77="Yes",'Input| Prices'!K$51,1)*P14</f>
        <v>0</v>
      </c>
      <c r="Q34" s="459">
        <f>IF('Input | Meters Vols &amp; Costs'!$P$77="Yes",'Input| Prices'!L$51,1)*Q14</f>
        <v>0</v>
      </c>
      <c r="R34" s="150">
        <f>IF('Input | Meters Vols &amp; Costs'!$P$77="Yes",'Input| Prices'!M$51,1)*R14</f>
        <v>0</v>
      </c>
      <c r="S34" s="150">
        <f>IF('Input | Meters Vols &amp; Costs'!$P$77="Yes",'Input| Prices'!N$51,1)*S14</f>
        <v>0</v>
      </c>
      <c r="T34" s="150">
        <f>IF('Input | Meters Vols &amp; Costs'!$P$77="Yes",'Input| Prices'!O$51,1)*T14</f>
        <v>0</v>
      </c>
      <c r="U34" s="452">
        <f>IF('Input | Meters Vols &amp; Costs'!$P$77="Yes",'Input| Prices'!P$51,1)*U14</f>
        <v>0</v>
      </c>
      <c r="V34" s="246">
        <f t="shared" si="6"/>
        <v>0</v>
      </c>
    </row>
    <row r="35" spans="6:24" s="201" customFormat="1" ht="13" outlineLevel="1" x14ac:dyDescent="0.25">
      <c r="F35" s="213" t="str">
        <v>AMI - 3 Phase DC</v>
      </c>
      <c r="G35" s="213" t="str">
        <v>Multi Phase Meter Population</v>
      </c>
      <c r="H35" s="213" t="str">
        <v>Direct Connect Meter Population</v>
      </c>
      <c r="I35" s="213" t="str">
        <v>Meter Type 4</v>
      </c>
      <c r="J35" s="218" t="str">
        <v>Three phase - AMI</v>
      </c>
      <c r="K35" s="218" t="str">
        <v>AMI 3ph DC</v>
      </c>
      <c r="L35" s="221" t="s">
        <v>85</v>
      </c>
      <c r="M35" s="222">
        <f t="shared" si="5"/>
        <v>43617</v>
      </c>
      <c r="O35" s="150">
        <f>IF('Input | Meters Vols &amp; Costs'!$P$77="Yes",'Input| Prices'!J$51,1)*O15</f>
        <v>0</v>
      </c>
      <c r="P35" s="150">
        <f>IF('Input | Meters Vols &amp; Costs'!$P$77="Yes",'Input| Prices'!K$51,1)*P15</f>
        <v>0</v>
      </c>
      <c r="Q35" s="459">
        <f>IF('Input | Meters Vols &amp; Costs'!$P$77="Yes",'Input| Prices'!L$51,1)*Q15</f>
        <v>0</v>
      </c>
      <c r="R35" s="150">
        <f>IF('Input | Meters Vols &amp; Costs'!$P$77="Yes",'Input| Prices'!M$51,1)*R15</f>
        <v>0</v>
      </c>
      <c r="S35" s="150">
        <f>IF('Input | Meters Vols &amp; Costs'!$P$77="Yes",'Input| Prices'!N$51,1)*S15</f>
        <v>0</v>
      </c>
      <c r="T35" s="150">
        <f>IF('Input | Meters Vols &amp; Costs'!$P$77="Yes",'Input| Prices'!O$51,1)*T15</f>
        <v>0</v>
      </c>
      <c r="U35" s="452">
        <f>IF('Input | Meters Vols &amp; Costs'!$P$77="Yes",'Input| Prices'!P$51,1)*U15</f>
        <v>0</v>
      </c>
      <c r="V35" s="246">
        <f t="shared" si="6"/>
        <v>0</v>
      </c>
    </row>
    <row r="36" spans="6:24" s="201" customFormat="1" ht="13" outlineLevel="1" x14ac:dyDescent="0.25">
      <c r="F36" s="213" t="str">
        <v>AMI 3Ph CT</v>
      </c>
      <c r="G36" s="213" t="str">
        <v>Multi Phase Meter Population</v>
      </c>
      <c r="H36" s="213" t="str">
        <v>Current Transformer Connected Meter Population</v>
      </c>
      <c r="I36" s="213" t="str">
        <v>Meter Type 4</v>
      </c>
      <c r="J36" s="218">
        <v>0</v>
      </c>
      <c r="K36" s="218" t="str">
        <v>AMI 3ph CT</v>
      </c>
      <c r="L36" s="221" t="s">
        <v>85</v>
      </c>
      <c r="M36" s="222">
        <f t="shared" si="5"/>
        <v>43617</v>
      </c>
      <c r="O36" s="150">
        <f>IF('Input | Meters Vols &amp; Costs'!$P$77="Yes",'Input| Prices'!J$51,1)*O16</f>
        <v>0</v>
      </c>
      <c r="P36" s="150">
        <f>IF('Input | Meters Vols &amp; Costs'!$P$77="Yes",'Input| Prices'!K$51,1)*P16</f>
        <v>0</v>
      </c>
      <c r="Q36" s="459">
        <f>IF('Input | Meters Vols &amp; Costs'!$P$77="Yes",'Input| Prices'!L$51,1)*Q16</f>
        <v>0</v>
      </c>
      <c r="R36" s="150">
        <f>IF('Input | Meters Vols &amp; Costs'!$P$77="Yes",'Input| Prices'!M$51,1)*R16</f>
        <v>0</v>
      </c>
      <c r="S36" s="150">
        <f>IF('Input | Meters Vols &amp; Costs'!$P$77="Yes",'Input| Prices'!N$51,1)*S16</f>
        <v>0</v>
      </c>
      <c r="T36" s="150">
        <f>IF('Input | Meters Vols &amp; Costs'!$P$77="Yes",'Input| Prices'!O$51,1)*T16</f>
        <v>0</v>
      </c>
      <c r="U36" s="452">
        <f>IF('Input | Meters Vols &amp; Costs'!$P$77="Yes",'Input| Prices'!P$51,1)*U16</f>
        <v>0</v>
      </c>
      <c r="V36" s="246">
        <f t="shared" si="6"/>
        <v>0</v>
      </c>
    </row>
    <row r="37" spans="6:24" s="201" customFormat="1" ht="13" outlineLevel="1" x14ac:dyDescent="0.25">
      <c r="F37" s="213" t="str">
        <v>Non AMI - Type 5 Locally read Interval - Single Phase</v>
      </c>
      <c r="G37" s="213" t="str">
        <v>Single Phase Meter Population</v>
      </c>
      <c r="H37" s="213" t="str">
        <v>Direct Connect Meter Population</v>
      </c>
      <c r="I37" s="213" t="str">
        <v>Meter Type 5</v>
      </c>
      <c r="J37" s="218">
        <v>0</v>
      </c>
      <c r="K37" s="218" t="str">
        <v>INT 1ph</v>
      </c>
      <c r="L37" s="221" t="s">
        <v>85</v>
      </c>
      <c r="M37" s="222">
        <f t="shared" si="5"/>
        <v>43617</v>
      </c>
      <c r="O37" s="150">
        <f>IF('Input | Meters Vols &amp; Costs'!$P$77="Yes",'Input| Prices'!J$51,1)*O17</f>
        <v>0</v>
      </c>
      <c r="P37" s="150">
        <f>IF('Input | Meters Vols &amp; Costs'!$P$77="Yes",'Input| Prices'!K$51,1)*P17</f>
        <v>0</v>
      </c>
      <c r="Q37" s="459">
        <f>IF('Input | Meters Vols &amp; Costs'!$P$77="Yes",'Input| Prices'!L$51,1)*Q17</f>
        <v>0</v>
      </c>
      <c r="R37" s="150">
        <f>IF('Input | Meters Vols &amp; Costs'!$P$77="Yes",'Input| Prices'!M$51,1)*R17</f>
        <v>0</v>
      </c>
      <c r="S37" s="150">
        <f>IF('Input | Meters Vols &amp; Costs'!$P$77="Yes",'Input| Prices'!N$51,1)*S17</f>
        <v>0</v>
      </c>
      <c r="T37" s="150">
        <f>IF('Input | Meters Vols &amp; Costs'!$P$77="Yes",'Input| Prices'!O$51,1)*T17</f>
        <v>0</v>
      </c>
      <c r="U37" s="452">
        <f>IF('Input | Meters Vols &amp; Costs'!$P$77="Yes",'Input| Prices'!P$51,1)*U17</f>
        <v>0</v>
      </c>
      <c r="V37" s="246">
        <f t="shared" si="6"/>
        <v>0</v>
      </c>
    </row>
    <row r="38" spans="6:24" s="201" customFormat="1" ht="13" outlineLevel="1" x14ac:dyDescent="0.25">
      <c r="F38" s="213" t="str">
        <v>Non AMI - Type 5 Locally read Interval - 3 Phase</v>
      </c>
      <c r="G38" s="213" t="str">
        <v>Single Phase Meter Population</v>
      </c>
      <c r="H38" s="213" t="str">
        <v>Direct Connect Meter Population</v>
      </c>
      <c r="I38" s="213" t="str">
        <v>Meter Type 5</v>
      </c>
      <c r="J38" s="218">
        <v>0</v>
      </c>
      <c r="K38" s="218" t="str">
        <v>INT 3ph</v>
      </c>
      <c r="L38" s="221" t="s">
        <v>85</v>
      </c>
      <c r="M38" s="222">
        <f t="shared" si="5"/>
        <v>43617</v>
      </c>
      <c r="O38" s="150">
        <f>IF('Input | Meters Vols &amp; Costs'!$P$77="Yes",'Input| Prices'!J$51,1)*O18</f>
        <v>0</v>
      </c>
      <c r="P38" s="150">
        <f>IF('Input | Meters Vols &amp; Costs'!$P$77="Yes",'Input| Prices'!K$51,1)*P18</f>
        <v>0</v>
      </c>
      <c r="Q38" s="459">
        <f>IF('Input | Meters Vols &amp; Costs'!$P$77="Yes",'Input| Prices'!L$51,1)*Q18</f>
        <v>0</v>
      </c>
      <c r="R38" s="150">
        <f>IF('Input | Meters Vols &amp; Costs'!$P$77="Yes",'Input| Prices'!M$51,1)*R18</f>
        <v>0</v>
      </c>
      <c r="S38" s="150">
        <f>IF('Input | Meters Vols &amp; Costs'!$P$77="Yes",'Input| Prices'!N$51,1)*S18</f>
        <v>0</v>
      </c>
      <c r="T38" s="150">
        <f>IF('Input | Meters Vols &amp; Costs'!$P$77="Yes",'Input| Prices'!O$51,1)*T18</f>
        <v>0</v>
      </c>
      <c r="U38" s="452">
        <f>IF('Input | Meters Vols &amp; Costs'!$P$77="Yes",'Input| Prices'!P$51,1)*U18</f>
        <v>0</v>
      </c>
      <c r="V38" s="246">
        <f t="shared" si="6"/>
        <v>0</v>
      </c>
    </row>
    <row r="39" spans="6:24" s="201" customFormat="1" ht="13" outlineLevel="1" x14ac:dyDescent="0.25">
      <c r="F39" s="213" t="str">
        <v>Non AMI - Type 5 Locally read Interval - 3 Phase - CT</v>
      </c>
      <c r="G39" s="213" t="str">
        <v>Multi Phase Meter Population</v>
      </c>
      <c r="H39" s="213" t="str">
        <v>Current Transformer Connected Meter Population</v>
      </c>
      <c r="I39" s="213" t="str">
        <v>Meter Type 5</v>
      </c>
      <c r="J39" s="218">
        <v>0</v>
      </c>
      <c r="K39" s="218" t="str">
        <v>INT 3ph CT</v>
      </c>
      <c r="L39" s="221" t="s">
        <v>85</v>
      </c>
      <c r="M39" s="222">
        <f t="shared" si="5"/>
        <v>43617</v>
      </c>
      <c r="O39" s="150">
        <f>IF('Input | Meters Vols &amp; Costs'!$P$77="Yes",'Input| Prices'!J$51,1)*O19</f>
        <v>0</v>
      </c>
      <c r="P39" s="150">
        <f>IF('Input | Meters Vols &amp; Costs'!$P$77="Yes",'Input| Prices'!K$51,1)*P19</f>
        <v>0</v>
      </c>
      <c r="Q39" s="459">
        <f>IF('Input | Meters Vols &amp; Costs'!$P$77="Yes",'Input| Prices'!L$51,1)*Q19</f>
        <v>0</v>
      </c>
      <c r="R39" s="150">
        <f>IF('Input | Meters Vols &amp; Costs'!$P$77="Yes",'Input| Prices'!M$51,1)*R19</f>
        <v>0</v>
      </c>
      <c r="S39" s="150">
        <f>IF('Input | Meters Vols &amp; Costs'!$P$77="Yes",'Input| Prices'!N$51,1)*S19</f>
        <v>0</v>
      </c>
      <c r="T39" s="150">
        <f>IF('Input | Meters Vols &amp; Costs'!$P$77="Yes",'Input| Prices'!O$51,1)*T19</f>
        <v>0</v>
      </c>
      <c r="U39" s="452">
        <f>IF('Input | Meters Vols &amp; Costs'!$P$77="Yes",'Input| Prices'!P$51,1)*U19</f>
        <v>0</v>
      </c>
      <c r="V39" s="246">
        <f t="shared" si="6"/>
        <v>0</v>
      </c>
    </row>
    <row r="40" spans="6:24" s="201" customFormat="1" ht="13" outlineLevel="1" x14ac:dyDescent="0.25">
      <c r="F40" s="213" t="str">
        <v>Non AMI - Type 6 Locally read Accumulation - Single Phase</v>
      </c>
      <c r="G40" s="213" t="str">
        <v>Multi Phase Meter Population</v>
      </c>
      <c r="H40" s="213" t="str">
        <v>Direct Connect Meter Population</v>
      </c>
      <c r="I40" s="213" t="str">
        <v>Meter Type 6</v>
      </c>
      <c r="J40" s="218">
        <v>0</v>
      </c>
      <c r="K40" s="218" t="str">
        <v>ACC 1ph</v>
      </c>
      <c r="L40" s="221" t="s">
        <v>85</v>
      </c>
      <c r="M40" s="222">
        <f t="shared" si="5"/>
        <v>43617</v>
      </c>
      <c r="N40" s="249"/>
      <c r="O40" s="150">
        <f>IF('Input | Meters Vols &amp; Costs'!$P$77="Yes",'Input| Prices'!J$51,1)*O20</f>
        <v>0</v>
      </c>
      <c r="P40" s="150">
        <f>IF('Input | Meters Vols &amp; Costs'!$P$77="Yes",'Input| Prices'!K$51,1)*P20</f>
        <v>0</v>
      </c>
      <c r="Q40" s="459">
        <f>IF('Input | Meters Vols &amp; Costs'!$P$77="Yes",'Input| Prices'!L$51,1)*Q20</f>
        <v>0</v>
      </c>
      <c r="R40" s="150">
        <f>IF('Input | Meters Vols &amp; Costs'!$P$77="Yes",'Input| Prices'!M$51,1)*R20</f>
        <v>0</v>
      </c>
      <c r="S40" s="150">
        <f>IF('Input | Meters Vols &amp; Costs'!$P$77="Yes",'Input| Prices'!N$51,1)*S20</f>
        <v>0</v>
      </c>
      <c r="T40" s="150">
        <f>IF('Input | Meters Vols &amp; Costs'!$P$77="Yes",'Input| Prices'!O$51,1)*T20</f>
        <v>0</v>
      </c>
      <c r="U40" s="452">
        <f>IF('Input | Meters Vols &amp; Costs'!$P$77="Yes",'Input| Prices'!P$51,1)*U20</f>
        <v>0</v>
      </c>
      <c r="V40" s="246">
        <f t="shared" si="6"/>
        <v>0</v>
      </c>
    </row>
    <row r="41" spans="6:24" s="201" customFormat="1" ht="13" outlineLevel="1" x14ac:dyDescent="0.25">
      <c r="F41" s="213" t="str">
        <v>Non AMI - Type 6 Locally read Accumulation - 3 Phase</v>
      </c>
      <c r="G41" s="213">
        <v>0</v>
      </c>
      <c r="H41" s="213" t="str">
        <v>Direct Connect Meter Population</v>
      </c>
      <c r="I41" s="213" t="str">
        <v>Meter Type 6</v>
      </c>
      <c r="J41" s="218">
        <v>0</v>
      </c>
      <c r="K41" s="218" t="str">
        <v>ACC 3ph</v>
      </c>
      <c r="L41" s="221" t="s">
        <v>85</v>
      </c>
      <c r="M41" s="222">
        <f t="shared" si="5"/>
        <v>43617</v>
      </c>
      <c r="N41" s="249"/>
      <c r="O41" s="150">
        <f>IF('Input | Meters Vols &amp; Costs'!$P$77="Yes",'Input| Prices'!J$51,1)*O21</f>
        <v>0</v>
      </c>
      <c r="P41" s="150">
        <f>IF('Input | Meters Vols &amp; Costs'!$P$77="Yes",'Input| Prices'!K$51,1)*P21</f>
        <v>0</v>
      </c>
      <c r="Q41" s="459">
        <f>IF('Input | Meters Vols &amp; Costs'!$P$77="Yes",'Input| Prices'!L$51,1)*Q21</f>
        <v>0</v>
      </c>
      <c r="R41" s="150">
        <f>IF('Input | Meters Vols &amp; Costs'!$P$77="Yes",'Input| Prices'!M$51,1)*R21</f>
        <v>0</v>
      </c>
      <c r="S41" s="150">
        <f>IF('Input | Meters Vols &amp; Costs'!$P$77="Yes",'Input| Prices'!N$51,1)*S21</f>
        <v>0</v>
      </c>
      <c r="T41" s="150">
        <f>IF('Input | Meters Vols &amp; Costs'!$P$77="Yes",'Input| Prices'!O$51,1)*T21</f>
        <v>0</v>
      </c>
      <c r="U41" s="452">
        <f>IF('Input | Meters Vols &amp; Costs'!$P$77="Yes",'Input| Prices'!P$51,1)*U21</f>
        <v>0</v>
      </c>
      <c r="V41" s="246">
        <f t="shared" si="6"/>
        <v>0</v>
      </c>
    </row>
    <row r="42" spans="6:24" s="201" customFormat="1" ht="13" outlineLevel="1" x14ac:dyDescent="0.25">
      <c r="F42" s="213">
        <v>0</v>
      </c>
      <c r="G42" s="213">
        <v>0</v>
      </c>
      <c r="H42" s="213">
        <v>0</v>
      </c>
      <c r="I42" s="213">
        <v>0</v>
      </c>
      <c r="J42" s="218">
        <v>0</v>
      </c>
      <c r="K42" s="218">
        <v>0</v>
      </c>
      <c r="L42" s="221" t="s">
        <v>85</v>
      </c>
      <c r="M42" s="222">
        <f t="shared" si="5"/>
        <v>43617</v>
      </c>
      <c r="N42" s="249"/>
      <c r="O42" s="150">
        <f>IF('Input | Meters Vols &amp; Costs'!$P$77="Yes",'Input| Prices'!J$51,1)*O22</f>
        <v>0</v>
      </c>
      <c r="P42" s="150">
        <f>IF('Input | Meters Vols &amp; Costs'!$P$77="Yes",'Input| Prices'!K$51,1)*P22</f>
        <v>0</v>
      </c>
      <c r="Q42" s="459">
        <f>IF('Input | Meters Vols &amp; Costs'!$P$77="Yes",'Input| Prices'!L$51,1)*Q22</f>
        <v>0</v>
      </c>
      <c r="R42" s="150">
        <f>IF('Input | Meters Vols &amp; Costs'!$P$77="Yes",'Input| Prices'!M$51,1)*R22</f>
        <v>0</v>
      </c>
      <c r="S42" s="150">
        <f>IF('Input | Meters Vols &amp; Costs'!$P$77="Yes",'Input| Prices'!N$51,1)*S22</f>
        <v>0</v>
      </c>
      <c r="T42" s="150">
        <f>IF('Input | Meters Vols &amp; Costs'!$P$77="Yes",'Input| Prices'!O$51,1)*T22</f>
        <v>0</v>
      </c>
      <c r="U42" s="452">
        <f>IF('Input | Meters Vols &amp; Costs'!$P$77="Yes",'Input| Prices'!P$51,1)*U22</f>
        <v>0</v>
      </c>
      <c r="V42" s="246">
        <f t="shared" si="6"/>
        <v>0</v>
      </c>
    </row>
    <row r="43" spans="6:24" s="201" customFormat="1" ht="13" outlineLevel="1" x14ac:dyDescent="0.25">
      <c r="F43" s="213">
        <v>0</v>
      </c>
      <c r="G43" s="213">
        <v>0</v>
      </c>
      <c r="H43" s="213">
        <v>0</v>
      </c>
      <c r="I43" s="213">
        <v>0</v>
      </c>
      <c r="J43" s="218">
        <v>0</v>
      </c>
      <c r="K43" s="218">
        <v>0</v>
      </c>
      <c r="L43" s="221" t="s">
        <v>85</v>
      </c>
      <c r="M43" s="222">
        <f t="shared" si="5"/>
        <v>43617</v>
      </c>
      <c r="N43" s="249"/>
      <c r="O43" s="150">
        <f>IF('Input | Meters Vols &amp; Costs'!$P$77="Yes",'Input| Prices'!J$51,1)*O23</f>
        <v>0</v>
      </c>
      <c r="P43" s="150">
        <f>IF('Input | Meters Vols &amp; Costs'!$P$77="Yes",'Input| Prices'!K$51,1)*P23</f>
        <v>0</v>
      </c>
      <c r="Q43" s="459">
        <f>IF('Input | Meters Vols &amp; Costs'!$P$77="Yes",'Input| Prices'!L$51,1)*Q23</f>
        <v>0</v>
      </c>
      <c r="R43" s="150">
        <f>IF('Input | Meters Vols &amp; Costs'!$P$77="Yes",'Input| Prices'!M$51,1)*R23</f>
        <v>0</v>
      </c>
      <c r="S43" s="150">
        <f>IF('Input | Meters Vols &amp; Costs'!$P$77="Yes",'Input| Prices'!N$51,1)*S23</f>
        <v>0</v>
      </c>
      <c r="T43" s="150">
        <f>IF('Input | Meters Vols &amp; Costs'!$P$77="Yes",'Input| Prices'!O$51,1)*T23</f>
        <v>0</v>
      </c>
      <c r="U43" s="452">
        <f>IF('Input | Meters Vols &amp; Costs'!$P$77="Yes",'Input| Prices'!P$51,1)*U23</f>
        <v>0</v>
      </c>
      <c r="V43" s="246">
        <f t="shared" si="6"/>
        <v>0</v>
      </c>
    </row>
    <row r="44" spans="6:24" s="201" customFormat="1" ht="13" outlineLevel="1" x14ac:dyDescent="0.25">
      <c r="F44" s="213">
        <v>0</v>
      </c>
      <c r="G44" s="213">
        <v>0</v>
      </c>
      <c r="H44" s="213">
        <v>0</v>
      </c>
      <c r="I44" s="213">
        <v>0</v>
      </c>
      <c r="J44" s="218">
        <v>0</v>
      </c>
      <c r="K44" s="218">
        <v>0</v>
      </c>
      <c r="L44" s="221" t="s">
        <v>85</v>
      </c>
      <c r="M44" s="222">
        <f t="shared" si="5"/>
        <v>43617</v>
      </c>
      <c r="N44" s="249"/>
      <c r="O44" s="150">
        <f>IF('Input | Meters Vols &amp; Costs'!$P$77="Yes",'Input| Prices'!J$51,1)*O24</f>
        <v>0</v>
      </c>
      <c r="P44" s="150">
        <f>IF('Input | Meters Vols &amp; Costs'!$P$77="Yes",'Input| Prices'!K$51,1)*P24</f>
        <v>0</v>
      </c>
      <c r="Q44" s="459">
        <f>IF('Input | Meters Vols &amp; Costs'!$P$77="Yes",'Input| Prices'!L$51,1)*Q24</f>
        <v>0</v>
      </c>
      <c r="R44" s="150">
        <f>IF('Input | Meters Vols &amp; Costs'!$P$77="Yes",'Input| Prices'!M$51,1)*R24</f>
        <v>0</v>
      </c>
      <c r="S44" s="150">
        <f>IF('Input | Meters Vols &amp; Costs'!$P$77="Yes",'Input| Prices'!N$51,1)*S24</f>
        <v>0</v>
      </c>
      <c r="T44" s="150">
        <f>IF('Input | Meters Vols &amp; Costs'!$P$77="Yes",'Input| Prices'!O$51,1)*T24</f>
        <v>0</v>
      </c>
      <c r="U44" s="452">
        <f>IF('Input | Meters Vols &amp; Costs'!$P$77="Yes",'Input| Prices'!P$51,1)*U24</f>
        <v>0</v>
      </c>
      <c r="V44" s="246">
        <f t="shared" si="6"/>
        <v>0</v>
      </c>
    </row>
    <row r="45" spans="6:24" s="201" customFormat="1" ht="13" outlineLevel="1" x14ac:dyDescent="0.25">
      <c r="F45" s="213">
        <v>0</v>
      </c>
      <c r="G45" s="213">
        <v>0</v>
      </c>
      <c r="H45" s="213">
        <v>0</v>
      </c>
      <c r="I45" s="213">
        <v>0</v>
      </c>
      <c r="J45" s="218">
        <v>0</v>
      </c>
      <c r="K45" s="218">
        <v>0</v>
      </c>
      <c r="L45" s="221" t="s">
        <v>85</v>
      </c>
      <c r="M45" s="222">
        <f t="shared" si="5"/>
        <v>43617</v>
      </c>
      <c r="N45" s="249"/>
      <c r="O45" s="150">
        <f>IF('Input | Meters Vols &amp; Costs'!$P$77="Yes",'Input| Prices'!J$51,1)*O25</f>
        <v>0</v>
      </c>
      <c r="P45" s="150">
        <f>IF('Input | Meters Vols &amp; Costs'!$P$77="Yes",'Input| Prices'!K$51,1)*P25</f>
        <v>0</v>
      </c>
      <c r="Q45" s="459">
        <f>IF('Input | Meters Vols &amp; Costs'!$P$77="Yes",'Input| Prices'!L$51,1)*Q25</f>
        <v>0</v>
      </c>
      <c r="R45" s="150">
        <f>IF('Input | Meters Vols &amp; Costs'!$P$77="Yes",'Input| Prices'!M$51,1)*R25</f>
        <v>0</v>
      </c>
      <c r="S45" s="150">
        <f>IF('Input | Meters Vols &amp; Costs'!$P$77="Yes",'Input| Prices'!N$51,1)*S25</f>
        <v>0</v>
      </c>
      <c r="T45" s="150">
        <f>IF('Input | Meters Vols &amp; Costs'!$P$77="Yes",'Input| Prices'!O$51,1)*T25</f>
        <v>0</v>
      </c>
      <c r="U45" s="452">
        <f>IF('Input | Meters Vols &amp; Costs'!$P$77="Yes",'Input| Prices'!P$51,1)*U25</f>
        <v>0</v>
      </c>
      <c r="V45" s="246">
        <f t="shared" si="6"/>
        <v>0</v>
      </c>
    </row>
    <row r="46" spans="6:24" s="201" customFormat="1" ht="13" outlineLevel="1" x14ac:dyDescent="0.25">
      <c r="F46" s="213">
        <v>0</v>
      </c>
      <c r="G46" s="213">
        <v>0</v>
      </c>
      <c r="H46" s="213">
        <v>0</v>
      </c>
      <c r="I46" s="213">
        <v>0</v>
      </c>
      <c r="J46" s="218">
        <v>0</v>
      </c>
      <c r="K46" s="218">
        <v>0</v>
      </c>
      <c r="L46" s="221" t="s">
        <v>85</v>
      </c>
      <c r="M46" s="222">
        <f t="shared" si="5"/>
        <v>43617</v>
      </c>
      <c r="N46" s="249"/>
      <c r="O46" s="150">
        <f>IF('Input | Meters Vols &amp; Costs'!$P$77="Yes",'Input| Prices'!J$51,1)*O26</f>
        <v>0</v>
      </c>
      <c r="P46" s="150">
        <f>IF('Input | Meters Vols &amp; Costs'!$P$77="Yes",'Input| Prices'!K$51,1)*P26</f>
        <v>0</v>
      </c>
      <c r="Q46" s="459">
        <f>IF('Input | Meters Vols &amp; Costs'!$P$77="Yes",'Input| Prices'!L$51,1)*Q26</f>
        <v>0</v>
      </c>
      <c r="R46" s="150">
        <f>IF('Input | Meters Vols &amp; Costs'!$P$77="Yes",'Input| Prices'!M$51,1)*R26</f>
        <v>0</v>
      </c>
      <c r="S46" s="150">
        <f>IF('Input | Meters Vols &amp; Costs'!$P$77="Yes",'Input| Prices'!N$51,1)*S26</f>
        <v>0</v>
      </c>
      <c r="T46" s="150">
        <f>IF('Input | Meters Vols &amp; Costs'!$P$77="Yes",'Input| Prices'!O$51,1)*T26</f>
        <v>0</v>
      </c>
      <c r="U46" s="452">
        <f>IF('Input | Meters Vols &amp; Costs'!$P$77="Yes",'Input| Prices'!P$51,1)*U26</f>
        <v>0</v>
      </c>
      <c r="V46" s="246">
        <f t="shared" si="6"/>
        <v>0</v>
      </c>
    </row>
    <row r="47" spans="6:24" s="201" customFormat="1" ht="13" outlineLevel="1" x14ac:dyDescent="0.25">
      <c r="F47" s="213">
        <v>0</v>
      </c>
      <c r="G47" s="213">
        <v>0</v>
      </c>
      <c r="H47" s="213">
        <v>0</v>
      </c>
      <c r="I47" s="213">
        <v>0</v>
      </c>
      <c r="J47" s="218">
        <v>0</v>
      </c>
      <c r="K47" s="218">
        <v>0</v>
      </c>
      <c r="L47" s="221" t="s">
        <v>85</v>
      </c>
      <c r="M47" s="222">
        <f t="shared" si="5"/>
        <v>43617</v>
      </c>
      <c r="N47" s="249"/>
      <c r="O47" s="150">
        <f>IF('Input | Meters Vols &amp; Costs'!$P$77="Yes",'Input| Prices'!J$51,1)*O27</f>
        <v>0</v>
      </c>
      <c r="P47" s="150">
        <f>IF('Input | Meters Vols &amp; Costs'!$P$77="Yes",'Input| Prices'!K$51,1)*P27</f>
        <v>0</v>
      </c>
      <c r="Q47" s="459">
        <f>IF('Input | Meters Vols &amp; Costs'!$P$77="Yes",'Input| Prices'!L$51,1)*Q27</f>
        <v>0</v>
      </c>
      <c r="R47" s="150">
        <f>IF('Input | Meters Vols &amp; Costs'!$P$77="Yes",'Input| Prices'!M$51,1)*R27</f>
        <v>0</v>
      </c>
      <c r="S47" s="150">
        <f>IF('Input | Meters Vols &amp; Costs'!$P$77="Yes",'Input| Prices'!N$51,1)*S27</f>
        <v>0</v>
      </c>
      <c r="T47" s="150">
        <f>IF('Input | Meters Vols &amp; Costs'!$P$77="Yes",'Input| Prices'!O$51,1)*T27</f>
        <v>0</v>
      </c>
      <c r="U47" s="452">
        <f>IF('Input | Meters Vols &amp; Costs'!$P$77="Yes",'Input| Prices'!P$51,1)*U27</f>
        <v>0</v>
      </c>
      <c r="V47" s="246">
        <f t="shared" si="6"/>
        <v>0</v>
      </c>
    </row>
    <row r="48" spans="6:24" s="201" customFormat="1" ht="13" outlineLevel="1" x14ac:dyDescent="0.25">
      <c r="F48" s="242" t="s">
        <v>17</v>
      </c>
      <c r="G48" s="243"/>
      <c r="H48" s="243"/>
      <c r="I48" s="243"/>
      <c r="J48" s="243"/>
      <c r="K48" s="244"/>
      <c r="L48" s="247" t="s">
        <v>85</v>
      </c>
      <c r="M48" s="152">
        <f t="shared" si="5"/>
        <v>43617</v>
      </c>
      <c r="N48" s="249"/>
      <c r="O48" s="154">
        <f t="shared" ref="O48:U48" si="7">SUM(O33:O47)</f>
        <v>0</v>
      </c>
      <c r="P48" s="462">
        <f t="shared" si="7"/>
        <v>2462064.5489449138</v>
      </c>
      <c r="Q48" s="480">
        <f t="shared" si="7"/>
        <v>2486772.0127358148</v>
      </c>
      <c r="R48" s="248">
        <f t="shared" si="7"/>
        <v>2503251.5088603506</v>
      </c>
      <c r="S48" s="248">
        <f t="shared" si="7"/>
        <v>2518499.4889109577</v>
      </c>
      <c r="T48" s="248">
        <f t="shared" si="7"/>
        <v>2536954.367937326</v>
      </c>
      <c r="U48" s="248">
        <f t="shared" si="7"/>
        <v>2561079.4549180218</v>
      </c>
      <c r="V48" s="233">
        <f>SUM(Q48:U48)</f>
        <v>12606556.833362471</v>
      </c>
      <c r="X48" s="200">
        <f>(V48=SUM('Calc | Meters Detail'!V28,'Calc | Meters Detail'!V48,'Calc | Meters Detail'!V68,'Calc | Meters Detail'!V88,'Calc | Meters Detail'!V108,'Calc | Meters Detail'!V128,'Calc | Meters Detail'!V148,'Calc | Meters Detail'!V168,'Calc | Meters Detail'!V188,'Calc | Meters Detail'!V208))/1</f>
        <v>1</v>
      </c>
    </row>
    <row r="49" spans="4:24" s="201" customFormat="1" ht="13" outlineLevel="1" x14ac:dyDescent="0.25">
      <c r="O49" s="200">
        <f>(O48='Calc | Meters Detail'!O228)/1</f>
        <v>1</v>
      </c>
      <c r="P49" s="200">
        <f>(P48='Calc | Meters Detail'!P228)/1</f>
        <v>1</v>
      </c>
      <c r="Q49" s="200">
        <f>(Q48='Calc | Meters Detail'!Q228)/1</f>
        <v>1</v>
      </c>
      <c r="R49" s="200">
        <f>(R48='Calc | Meters Detail'!R228)/1</f>
        <v>1</v>
      </c>
      <c r="S49" s="200">
        <f>(S48='Calc | Meters Detail'!S228)/1</f>
        <v>1</v>
      </c>
      <c r="T49" s="200">
        <f>(T48='Calc | Meters Detail'!T228)/1</f>
        <v>1</v>
      </c>
      <c r="U49" s="200">
        <f>(U48='Calc | Meters Detail'!U228)/1</f>
        <v>1</v>
      </c>
      <c r="V49" s="200">
        <f>(V48='Calc | Meters Detail'!V228)/1</f>
        <v>1</v>
      </c>
      <c r="W49" s="250"/>
      <c r="X49" s="200">
        <f>PRODUCT(O49:U49)</f>
        <v>1</v>
      </c>
    </row>
    <row r="50" spans="4:24" s="201" customFormat="1" outlineLevel="1" x14ac:dyDescent="0.25">
      <c r="O50" s="391"/>
      <c r="P50" s="391"/>
      <c r="Q50" s="391"/>
      <c r="R50" s="391"/>
      <c r="S50" s="391"/>
      <c r="T50" s="391"/>
      <c r="U50" s="391"/>
      <c r="X50" s="251"/>
    </row>
    <row r="51" spans="4:24" s="201" customFormat="1" outlineLevel="1" x14ac:dyDescent="0.25">
      <c r="D51" s="201" t="s">
        <v>20</v>
      </c>
      <c r="E51" s="201" t="s">
        <v>313</v>
      </c>
    </row>
    <row r="52" spans="4:24" s="201" customFormat="1" ht="13" outlineLevel="1" x14ac:dyDescent="0.25">
      <c r="F52" s="121" t="str">
        <f>I_MeterTypes[[#Headers],[Meter Type]]</f>
        <v>Meter Type</v>
      </c>
      <c r="G52" s="121" t="str">
        <f>I_MeterTypes[[#Headers],[RIN Subcategory 1]]</f>
        <v>RIN Subcategory 1</v>
      </c>
      <c r="H52" s="121" t="str">
        <f>I_MeterTypes[[#Headers],[RIN Subcategory 2]]</f>
        <v>RIN Subcategory 2</v>
      </c>
      <c r="I52" s="121" t="str">
        <f>I_MeterTypes[[#Headers],[AER Type]]</f>
        <v>AER Type</v>
      </c>
      <c r="J52" s="121" t="str">
        <f>I_MeterTypes[[#Headers],[RIN Subcategory 3]]</f>
        <v>RIN Subcategory 3</v>
      </c>
      <c r="K52" s="121" t="str">
        <f>I_MeterTypes[[#Headers],[Meter Code]]</f>
        <v>Meter Code</v>
      </c>
      <c r="L52" s="121" t="s">
        <v>6</v>
      </c>
      <c r="M52" s="121" t="s">
        <v>118</v>
      </c>
      <c r="N52" s="252"/>
      <c r="O52" s="122" t="str">
        <f>O$12</f>
        <v>2018-19</v>
      </c>
      <c r="P52" s="149" t="str">
        <f t="shared" ref="P52:U52" si="8">P$12</f>
        <v>2019-20</v>
      </c>
      <c r="Q52" s="122" t="str">
        <f t="shared" si="8"/>
        <v>2020-21</v>
      </c>
      <c r="R52" s="122" t="str">
        <f t="shared" si="8"/>
        <v>2021-22</v>
      </c>
      <c r="S52" s="122" t="str">
        <f t="shared" si="8"/>
        <v>2022-23</v>
      </c>
      <c r="T52" s="122" t="str">
        <f t="shared" si="8"/>
        <v>2023-24</v>
      </c>
      <c r="U52" s="122" t="str">
        <f t="shared" si="8"/>
        <v>2024-25</v>
      </c>
      <c r="V52" s="124" t="s">
        <v>17</v>
      </c>
    </row>
    <row r="53" spans="4:24" s="201" customFormat="1" ht="13" outlineLevel="1" x14ac:dyDescent="0.25">
      <c r="F53" s="213" t="str" cm="1">
        <f t="array" ref="F53:F67">I_MeterTypes[Meter Type]</f>
        <v>AMI - Single Phase, single element</v>
      </c>
      <c r="G53" s="213" t="str" cm="1">
        <f t="array" ref="G53:G67">I_MeterTypes[RIN Subcategory 1]</f>
        <v>Single Phase Meter Population</v>
      </c>
      <c r="H53" s="213" t="str" cm="1">
        <f t="array" ref="H53:H67">I_MeterTypes[RIN Subcategory 2]</f>
        <v>Other</v>
      </c>
      <c r="I53" s="213" t="str" cm="1">
        <f t="array" ref="I53:I67">I_MeterTypes[AER Type]</f>
        <v>Meter Type 4</v>
      </c>
      <c r="J53" s="213" t="str" cm="1">
        <f t="array" ref="J53:J67">I_MeterTypes[RIN Subcategory 3]</f>
        <v>Single phase single element - AMI</v>
      </c>
      <c r="K53" s="213" t="str" cm="1">
        <f t="array" ref="K53:K67">I_MeterTypes[Meter Code]</f>
        <v>AMI 1ph 1e</v>
      </c>
      <c r="L53" s="221" t="s">
        <v>85</v>
      </c>
      <c r="M53" s="222">
        <f t="shared" ref="M53:M68" si="9">Basis_Capex</f>
        <v>43617</v>
      </c>
      <c r="O53" s="150" cm="1">
        <f t="array" ref="O53:U67">ICM_AddMetReq*ICM_UnitCost</f>
        <v>0</v>
      </c>
      <c r="P53" s="150">
        <v>2385000</v>
      </c>
      <c r="Q53" s="459">
        <v>2385000</v>
      </c>
      <c r="R53" s="150">
        <v>2385000</v>
      </c>
      <c r="S53" s="150">
        <v>2385000</v>
      </c>
      <c r="T53" s="150">
        <v>2385000</v>
      </c>
      <c r="U53" s="452">
        <v>2385000</v>
      </c>
      <c r="V53" s="246">
        <f t="shared" ref="V53:V67" si="10">SUM(N53:U53)</f>
        <v>14310000</v>
      </c>
    </row>
    <row r="54" spans="4:24" s="201" customFormat="1" ht="13" outlineLevel="1" x14ac:dyDescent="0.25">
      <c r="F54" s="213" t="str">
        <v>AMI - Single Phase, two element</v>
      </c>
      <c r="G54" s="213" t="str">
        <v>Single Phase Meter Population</v>
      </c>
      <c r="H54" s="213" t="str">
        <v>Other</v>
      </c>
      <c r="I54" s="213" t="str">
        <v>Meter Type 4</v>
      </c>
      <c r="J54" s="218" t="str">
        <v>Single phase two element with contactor - AMI</v>
      </c>
      <c r="K54" s="218" t="str">
        <v>AMI 1ph 2e</v>
      </c>
      <c r="L54" s="221" t="s">
        <v>85</v>
      </c>
      <c r="M54" s="222">
        <f t="shared" si="9"/>
        <v>43617</v>
      </c>
      <c r="O54" s="150">
        <v>0</v>
      </c>
      <c r="P54" s="150">
        <v>0</v>
      </c>
      <c r="Q54" s="459">
        <v>0</v>
      </c>
      <c r="R54" s="150">
        <v>0</v>
      </c>
      <c r="S54" s="150">
        <v>0</v>
      </c>
      <c r="T54" s="150">
        <v>0</v>
      </c>
      <c r="U54" s="452">
        <v>0</v>
      </c>
      <c r="V54" s="246">
        <f t="shared" si="10"/>
        <v>0</v>
      </c>
    </row>
    <row r="55" spans="4:24" s="201" customFormat="1" ht="13" outlineLevel="1" x14ac:dyDescent="0.25">
      <c r="F55" s="213" t="str">
        <v>AMI - 3 Phase DC</v>
      </c>
      <c r="G55" s="213" t="str">
        <v>Multi Phase Meter Population</v>
      </c>
      <c r="H55" s="213" t="str">
        <v>Direct Connect Meter Population</v>
      </c>
      <c r="I55" s="213" t="str">
        <v>Meter Type 4</v>
      </c>
      <c r="J55" s="218" t="str">
        <v>Three phase - AMI</v>
      </c>
      <c r="K55" s="218" t="str">
        <v>AMI 3ph DC</v>
      </c>
      <c r="L55" s="221" t="s">
        <v>85</v>
      </c>
      <c r="M55" s="222">
        <f t="shared" si="9"/>
        <v>43617</v>
      </c>
      <c r="O55" s="150">
        <v>0</v>
      </c>
      <c r="P55" s="150">
        <v>0</v>
      </c>
      <c r="Q55" s="459">
        <v>0</v>
      </c>
      <c r="R55" s="150">
        <v>0</v>
      </c>
      <c r="S55" s="150">
        <v>0</v>
      </c>
      <c r="T55" s="150">
        <v>0</v>
      </c>
      <c r="U55" s="452">
        <v>0</v>
      </c>
      <c r="V55" s="246">
        <f t="shared" si="10"/>
        <v>0</v>
      </c>
    </row>
    <row r="56" spans="4:24" s="201" customFormat="1" ht="13" outlineLevel="1" x14ac:dyDescent="0.25">
      <c r="F56" s="213" t="str">
        <v>AMI 3Ph CT</v>
      </c>
      <c r="G56" s="213" t="str">
        <v>Multi Phase Meter Population</v>
      </c>
      <c r="H56" s="213" t="str">
        <v>Current Transformer Connected Meter Population</v>
      </c>
      <c r="I56" s="213" t="str">
        <v>Meter Type 4</v>
      </c>
      <c r="J56" s="218">
        <v>0</v>
      </c>
      <c r="K56" s="218" t="str">
        <v>AMI 3ph CT</v>
      </c>
      <c r="L56" s="221" t="s">
        <v>85</v>
      </c>
      <c r="M56" s="222">
        <f t="shared" si="9"/>
        <v>43617</v>
      </c>
      <c r="O56" s="150">
        <v>0</v>
      </c>
      <c r="P56" s="150">
        <v>0</v>
      </c>
      <c r="Q56" s="459">
        <v>0</v>
      </c>
      <c r="R56" s="150">
        <v>0</v>
      </c>
      <c r="S56" s="150">
        <v>0</v>
      </c>
      <c r="T56" s="150">
        <v>0</v>
      </c>
      <c r="U56" s="452">
        <v>0</v>
      </c>
      <c r="V56" s="246">
        <f t="shared" si="10"/>
        <v>0</v>
      </c>
    </row>
    <row r="57" spans="4:24" s="201" customFormat="1" ht="13" outlineLevel="1" x14ac:dyDescent="0.25">
      <c r="F57" s="213" t="str">
        <v>Non AMI - Type 5 Locally read Interval - Single Phase</v>
      </c>
      <c r="G57" s="213" t="str">
        <v>Single Phase Meter Population</v>
      </c>
      <c r="H57" s="213" t="str">
        <v>Direct Connect Meter Population</v>
      </c>
      <c r="I57" s="213" t="str">
        <v>Meter Type 5</v>
      </c>
      <c r="J57" s="218">
        <v>0</v>
      </c>
      <c r="K57" s="218" t="str">
        <v>INT 1ph</v>
      </c>
      <c r="L57" s="221" t="s">
        <v>85</v>
      </c>
      <c r="M57" s="222">
        <f t="shared" si="9"/>
        <v>43617</v>
      </c>
      <c r="O57" s="150">
        <v>0</v>
      </c>
      <c r="P57" s="150">
        <v>0</v>
      </c>
      <c r="Q57" s="459">
        <v>0</v>
      </c>
      <c r="R57" s="150">
        <v>0</v>
      </c>
      <c r="S57" s="150">
        <v>0</v>
      </c>
      <c r="T57" s="150">
        <v>0</v>
      </c>
      <c r="U57" s="452">
        <v>0</v>
      </c>
      <c r="V57" s="246">
        <f t="shared" si="10"/>
        <v>0</v>
      </c>
    </row>
    <row r="58" spans="4:24" s="201" customFormat="1" ht="13" outlineLevel="1" x14ac:dyDescent="0.25">
      <c r="F58" s="213" t="str">
        <v>Non AMI - Type 5 Locally read Interval - 3 Phase</v>
      </c>
      <c r="G58" s="213" t="str">
        <v>Single Phase Meter Population</v>
      </c>
      <c r="H58" s="213" t="str">
        <v>Direct Connect Meter Population</v>
      </c>
      <c r="I58" s="213" t="str">
        <v>Meter Type 5</v>
      </c>
      <c r="J58" s="218">
        <v>0</v>
      </c>
      <c r="K58" s="218" t="str">
        <v>INT 3ph</v>
      </c>
      <c r="L58" s="221" t="s">
        <v>85</v>
      </c>
      <c r="M58" s="222">
        <f t="shared" si="9"/>
        <v>43617</v>
      </c>
      <c r="O58" s="150">
        <v>0</v>
      </c>
      <c r="P58" s="150">
        <v>0</v>
      </c>
      <c r="Q58" s="459">
        <v>0</v>
      </c>
      <c r="R58" s="150">
        <v>0</v>
      </c>
      <c r="S58" s="150">
        <v>0</v>
      </c>
      <c r="T58" s="150">
        <v>0</v>
      </c>
      <c r="U58" s="452">
        <v>0</v>
      </c>
      <c r="V58" s="246">
        <f t="shared" si="10"/>
        <v>0</v>
      </c>
    </row>
    <row r="59" spans="4:24" s="201" customFormat="1" ht="13" outlineLevel="1" x14ac:dyDescent="0.25">
      <c r="F59" s="213" t="str">
        <v>Non AMI - Type 5 Locally read Interval - 3 Phase - CT</v>
      </c>
      <c r="G59" s="213" t="str">
        <v>Multi Phase Meter Population</v>
      </c>
      <c r="H59" s="213" t="str">
        <v>Current Transformer Connected Meter Population</v>
      </c>
      <c r="I59" s="213" t="str">
        <v>Meter Type 5</v>
      </c>
      <c r="J59" s="218">
        <v>0</v>
      </c>
      <c r="K59" s="218" t="str">
        <v>INT 3ph CT</v>
      </c>
      <c r="L59" s="221" t="s">
        <v>85</v>
      </c>
      <c r="M59" s="222">
        <f t="shared" si="9"/>
        <v>43617</v>
      </c>
      <c r="O59" s="150">
        <v>0</v>
      </c>
      <c r="P59" s="150">
        <v>0</v>
      </c>
      <c r="Q59" s="459">
        <v>0</v>
      </c>
      <c r="R59" s="150">
        <v>0</v>
      </c>
      <c r="S59" s="150">
        <v>0</v>
      </c>
      <c r="T59" s="150">
        <v>0</v>
      </c>
      <c r="U59" s="452">
        <v>0</v>
      </c>
      <c r="V59" s="246">
        <f t="shared" si="10"/>
        <v>0</v>
      </c>
    </row>
    <row r="60" spans="4:24" s="201" customFormat="1" ht="13" outlineLevel="1" x14ac:dyDescent="0.25">
      <c r="F60" s="213" t="str">
        <v>Non AMI - Type 6 Locally read Accumulation - Single Phase</v>
      </c>
      <c r="G60" s="213" t="str">
        <v>Multi Phase Meter Population</v>
      </c>
      <c r="H60" s="213" t="str">
        <v>Direct Connect Meter Population</v>
      </c>
      <c r="I60" s="213" t="str">
        <v>Meter Type 6</v>
      </c>
      <c r="J60" s="218">
        <v>0</v>
      </c>
      <c r="K60" s="218" t="str">
        <v>ACC 1ph</v>
      </c>
      <c r="L60" s="221" t="s">
        <v>85</v>
      </c>
      <c r="M60" s="222">
        <f t="shared" si="9"/>
        <v>43617</v>
      </c>
      <c r="O60" s="150">
        <v>0</v>
      </c>
      <c r="P60" s="150">
        <v>0</v>
      </c>
      <c r="Q60" s="459">
        <v>0</v>
      </c>
      <c r="R60" s="150">
        <v>0</v>
      </c>
      <c r="S60" s="150">
        <v>0</v>
      </c>
      <c r="T60" s="150">
        <v>0</v>
      </c>
      <c r="U60" s="452">
        <v>0</v>
      </c>
      <c r="V60" s="246">
        <f t="shared" si="10"/>
        <v>0</v>
      </c>
    </row>
    <row r="61" spans="4:24" s="201" customFormat="1" ht="13" outlineLevel="1" x14ac:dyDescent="0.25">
      <c r="F61" s="213" t="str">
        <v>Non AMI - Type 6 Locally read Accumulation - 3 Phase</v>
      </c>
      <c r="G61" s="213">
        <v>0</v>
      </c>
      <c r="H61" s="213" t="str">
        <v>Direct Connect Meter Population</v>
      </c>
      <c r="I61" s="213" t="str">
        <v>Meter Type 6</v>
      </c>
      <c r="J61" s="218">
        <v>0</v>
      </c>
      <c r="K61" s="218" t="str">
        <v>ACC 3ph</v>
      </c>
      <c r="L61" s="221" t="s">
        <v>85</v>
      </c>
      <c r="M61" s="222">
        <f t="shared" si="9"/>
        <v>43617</v>
      </c>
      <c r="O61" s="150">
        <v>0</v>
      </c>
      <c r="P61" s="150">
        <v>0</v>
      </c>
      <c r="Q61" s="459">
        <v>0</v>
      </c>
      <c r="R61" s="150">
        <v>0</v>
      </c>
      <c r="S61" s="150">
        <v>0</v>
      </c>
      <c r="T61" s="150">
        <v>0</v>
      </c>
      <c r="U61" s="452">
        <v>0</v>
      </c>
      <c r="V61" s="246">
        <f t="shared" si="10"/>
        <v>0</v>
      </c>
    </row>
    <row r="62" spans="4:24" s="201" customFormat="1" ht="13" outlineLevel="1" x14ac:dyDescent="0.25">
      <c r="F62" s="213">
        <v>0</v>
      </c>
      <c r="G62" s="213">
        <v>0</v>
      </c>
      <c r="H62" s="213">
        <v>0</v>
      </c>
      <c r="I62" s="213">
        <v>0</v>
      </c>
      <c r="J62" s="218">
        <v>0</v>
      </c>
      <c r="K62" s="218">
        <v>0</v>
      </c>
      <c r="L62" s="221" t="s">
        <v>85</v>
      </c>
      <c r="M62" s="222">
        <f t="shared" si="9"/>
        <v>43617</v>
      </c>
      <c r="O62" s="150">
        <v>0</v>
      </c>
      <c r="P62" s="150">
        <v>0</v>
      </c>
      <c r="Q62" s="459">
        <v>0</v>
      </c>
      <c r="R62" s="150">
        <v>0</v>
      </c>
      <c r="S62" s="150">
        <v>0</v>
      </c>
      <c r="T62" s="150">
        <v>0</v>
      </c>
      <c r="U62" s="452">
        <v>0</v>
      </c>
      <c r="V62" s="246">
        <f t="shared" si="10"/>
        <v>0</v>
      </c>
    </row>
    <row r="63" spans="4:24" s="201" customFormat="1" ht="13" outlineLevel="1" x14ac:dyDescent="0.25">
      <c r="F63" s="213">
        <v>0</v>
      </c>
      <c r="G63" s="213">
        <v>0</v>
      </c>
      <c r="H63" s="213">
        <v>0</v>
      </c>
      <c r="I63" s="213">
        <v>0</v>
      </c>
      <c r="J63" s="218">
        <v>0</v>
      </c>
      <c r="K63" s="218">
        <v>0</v>
      </c>
      <c r="L63" s="221" t="s">
        <v>85</v>
      </c>
      <c r="M63" s="222">
        <f t="shared" si="9"/>
        <v>43617</v>
      </c>
      <c r="O63" s="150">
        <v>0</v>
      </c>
      <c r="P63" s="150">
        <v>0</v>
      </c>
      <c r="Q63" s="459">
        <v>0</v>
      </c>
      <c r="R63" s="150">
        <v>0</v>
      </c>
      <c r="S63" s="150">
        <v>0</v>
      </c>
      <c r="T63" s="150">
        <v>0</v>
      </c>
      <c r="U63" s="452">
        <v>0</v>
      </c>
      <c r="V63" s="246">
        <f t="shared" si="10"/>
        <v>0</v>
      </c>
    </row>
    <row r="64" spans="4:24" s="201" customFormat="1" ht="13" outlineLevel="1" x14ac:dyDescent="0.25">
      <c r="F64" s="213">
        <v>0</v>
      </c>
      <c r="G64" s="213">
        <v>0</v>
      </c>
      <c r="H64" s="213">
        <v>0</v>
      </c>
      <c r="I64" s="213">
        <v>0</v>
      </c>
      <c r="J64" s="218">
        <v>0</v>
      </c>
      <c r="K64" s="218">
        <v>0</v>
      </c>
      <c r="L64" s="221" t="s">
        <v>85</v>
      </c>
      <c r="M64" s="222">
        <f t="shared" si="9"/>
        <v>43617</v>
      </c>
      <c r="O64" s="150">
        <v>0</v>
      </c>
      <c r="P64" s="150">
        <v>0</v>
      </c>
      <c r="Q64" s="459">
        <v>0</v>
      </c>
      <c r="R64" s="150">
        <v>0</v>
      </c>
      <c r="S64" s="150">
        <v>0</v>
      </c>
      <c r="T64" s="150">
        <v>0</v>
      </c>
      <c r="U64" s="452">
        <v>0</v>
      </c>
      <c r="V64" s="246">
        <f t="shared" si="10"/>
        <v>0</v>
      </c>
    </row>
    <row r="65" spans="4:24" s="201" customFormat="1" ht="13" outlineLevel="1" x14ac:dyDescent="0.25">
      <c r="F65" s="213">
        <v>0</v>
      </c>
      <c r="G65" s="213">
        <v>0</v>
      </c>
      <c r="H65" s="213">
        <v>0</v>
      </c>
      <c r="I65" s="213">
        <v>0</v>
      </c>
      <c r="J65" s="218">
        <v>0</v>
      </c>
      <c r="K65" s="218">
        <v>0</v>
      </c>
      <c r="L65" s="221" t="s">
        <v>85</v>
      </c>
      <c r="M65" s="222">
        <f t="shared" si="9"/>
        <v>43617</v>
      </c>
      <c r="O65" s="150">
        <v>0</v>
      </c>
      <c r="P65" s="150">
        <v>0</v>
      </c>
      <c r="Q65" s="459">
        <v>0</v>
      </c>
      <c r="R65" s="150">
        <v>0</v>
      </c>
      <c r="S65" s="150">
        <v>0</v>
      </c>
      <c r="T65" s="150">
        <v>0</v>
      </c>
      <c r="U65" s="452">
        <v>0</v>
      </c>
      <c r="V65" s="246">
        <f t="shared" si="10"/>
        <v>0</v>
      </c>
    </row>
    <row r="66" spans="4:24" s="201" customFormat="1" ht="13" outlineLevel="1" x14ac:dyDescent="0.25">
      <c r="F66" s="213">
        <v>0</v>
      </c>
      <c r="G66" s="213">
        <v>0</v>
      </c>
      <c r="H66" s="213">
        <v>0</v>
      </c>
      <c r="I66" s="213">
        <v>0</v>
      </c>
      <c r="J66" s="218">
        <v>0</v>
      </c>
      <c r="K66" s="218">
        <v>0</v>
      </c>
      <c r="L66" s="221" t="s">
        <v>85</v>
      </c>
      <c r="M66" s="222">
        <f t="shared" si="9"/>
        <v>43617</v>
      </c>
      <c r="O66" s="150">
        <v>0</v>
      </c>
      <c r="P66" s="150">
        <v>0</v>
      </c>
      <c r="Q66" s="459">
        <v>0</v>
      </c>
      <c r="R66" s="150">
        <v>0</v>
      </c>
      <c r="S66" s="150">
        <v>0</v>
      </c>
      <c r="T66" s="150">
        <v>0</v>
      </c>
      <c r="U66" s="452">
        <v>0</v>
      </c>
      <c r="V66" s="246">
        <f t="shared" si="10"/>
        <v>0</v>
      </c>
    </row>
    <row r="67" spans="4:24" s="201" customFormat="1" ht="13" outlineLevel="1" x14ac:dyDescent="0.25">
      <c r="F67" s="213">
        <v>0</v>
      </c>
      <c r="G67" s="213">
        <v>0</v>
      </c>
      <c r="H67" s="213">
        <v>0</v>
      </c>
      <c r="I67" s="213">
        <v>0</v>
      </c>
      <c r="J67" s="218">
        <v>0</v>
      </c>
      <c r="K67" s="218">
        <v>0</v>
      </c>
      <c r="L67" s="221" t="s">
        <v>85</v>
      </c>
      <c r="M67" s="222">
        <f t="shared" si="9"/>
        <v>43617</v>
      </c>
      <c r="O67" s="150">
        <v>0</v>
      </c>
      <c r="P67" s="150">
        <v>0</v>
      </c>
      <c r="Q67" s="459">
        <v>0</v>
      </c>
      <c r="R67" s="150">
        <v>0</v>
      </c>
      <c r="S67" s="150">
        <v>0</v>
      </c>
      <c r="T67" s="150">
        <v>0</v>
      </c>
      <c r="U67" s="452">
        <v>0</v>
      </c>
      <c r="V67" s="246">
        <f t="shared" si="10"/>
        <v>0</v>
      </c>
    </row>
    <row r="68" spans="4:24" s="201" customFormat="1" ht="13" outlineLevel="1" x14ac:dyDescent="0.25">
      <c r="F68" s="151" t="s">
        <v>17</v>
      </c>
      <c r="G68" s="151"/>
      <c r="H68" s="151"/>
      <c r="I68" s="151"/>
      <c r="J68" s="151"/>
      <c r="K68" s="151"/>
      <c r="L68" s="247" t="s">
        <v>85</v>
      </c>
      <c r="M68" s="253">
        <f t="shared" si="9"/>
        <v>43617</v>
      </c>
      <c r="N68" s="228"/>
      <c r="O68" s="154">
        <f t="shared" ref="O68:U68" si="11">SUM(O53:O67)</f>
        <v>0</v>
      </c>
      <c r="P68" s="462">
        <f t="shared" si="11"/>
        <v>2385000</v>
      </c>
      <c r="Q68" s="480">
        <f t="shared" si="11"/>
        <v>2385000</v>
      </c>
      <c r="R68" s="248">
        <f t="shared" si="11"/>
        <v>2385000</v>
      </c>
      <c r="S68" s="248">
        <f t="shared" si="11"/>
        <v>2385000</v>
      </c>
      <c r="T68" s="248">
        <f t="shared" si="11"/>
        <v>2385000</v>
      </c>
      <c r="U68" s="248">
        <f t="shared" si="11"/>
        <v>2385000</v>
      </c>
      <c r="V68" s="233">
        <f>SUM(Q68:U68)</f>
        <v>11925000</v>
      </c>
      <c r="X68" s="200">
        <f>(V68=SUM('Calc | Meters Detail'!V259,'Calc | Meters Detail'!V279,'Calc | Meters Detail'!V299,'Calc | Meters Detail'!V319,'Calc | Meters Detail'!V339,'Calc | Meters Detail'!V359,'Calc | Meters Detail'!V379,'Calc | Meters Detail'!V399,'Calc | Meters Detail'!V419,'Calc | Meters Detail'!V439))/1</f>
        <v>1</v>
      </c>
    </row>
    <row r="69" spans="4:24" s="201" customFormat="1" ht="13" x14ac:dyDescent="0.25">
      <c r="O69" s="200">
        <f>(O68='Calc | Meters Detail'!O459)/1</f>
        <v>1</v>
      </c>
      <c r="P69" s="200">
        <f>(P68='Calc | Meters Detail'!P459)/1</f>
        <v>1</v>
      </c>
      <c r="Q69" s="200">
        <f>(Q68='Calc | Meters Detail'!Q459)/1</f>
        <v>1</v>
      </c>
      <c r="R69" s="200">
        <f>(R68='Calc | Meters Detail'!R459)/1</f>
        <v>1</v>
      </c>
      <c r="S69" s="200">
        <f>(S68='Calc | Meters Detail'!S459)/1</f>
        <v>1</v>
      </c>
      <c r="T69" s="200">
        <f>(T68='Calc | Meters Detail'!T459)/1</f>
        <v>1</v>
      </c>
      <c r="U69" s="200">
        <f>(U68='Calc | Meters Detail'!U459)/1</f>
        <v>1</v>
      </c>
      <c r="X69" s="200">
        <f>PRODUCT(O69:U69)</f>
        <v>1</v>
      </c>
    </row>
    <row r="70" spans="4:24" s="201" customFormat="1" outlineLevel="1" x14ac:dyDescent="0.25"/>
    <row r="71" spans="4:24" s="201" customFormat="1" outlineLevel="1" x14ac:dyDescent="0.25">
      <c r="D71" s="201" t="s">
        <v>21</v>
      </c>
      <c r="E71" s="201" t="s">
        <v>314</v>
      </c>
    </row>
    <row r="72" spans="4:24" s="201" customFormat="1" ht="13" outlineLevel="1" x14ac:dyDescent="0.25">
      <c r="F72" s="121" t="str">
        <f>I_MeterTypes[[#Headers],[Meter Type]]</f>
        <v>Meter Type</v>
      </c>
      <c r="G72" s="121" t="str">
        <f>I_MeterTypes[[#Headers],[RIN Subcategory 1]]</f>
        <v>RIN Subcategory 1</v>
      </c>
      <c r="H72" s="121" t="str">
        <f>I_MeterTypes[[#Headers],[RIN Subcategory 2]]</f>
        <v>RIN Subcategory 2</v>
      </c>
      <c r="I72" s="121" t="str">
        <f>I_MeterTypes[[#Headers],[AER Type]]</f>
        <v>AER Type</v>
      </c>
      <c r="J72" s="121" t="str">
        <f>I_MeterTypes[[#Headers],[RIN Subcategory 3]]</f>
        <v>RIN Subcategory 3</v>
      </c>
      <c r="K72" s="121" t="str">
        <f>I_MeterTypes[[#Headers],[Meter Code]]</f>
        <v>Meter Code</v>
      </c>
      <c r="L72" s="121" t="s">
        <v>6</v>
      </c>
      <c r="M72" s="121" t="s">
        <v>118</v>
      </c>
      <c r="O72" s="122" t="str">
        <f>O$12</f>
        <v>2018-19</v>
      </c>
      <c r="P72" s="149" t="str">
        <f t="shared" ref="P72:U72" si="12">P$12</f>
        <v>2019-20</v>
      </c>
      <c r="Q72" s="122" t="str">
        <f t="shared" si="12"/>
        <v>2020-21</v>
      </c>
      <c r="R72" s="122" t="str">
        <f t="shared" si="12"/>
        <v>2021-22</v>
      </c>
      <c r="S72" s="122" t="str">
        <f t="shared" si="12"/>
        <v>2022-23</v>
      </c>
      <c r="T72" s="122" t="str">
        <f t="shared" si="12"/>
        <v>2023-24</v>
      </c>
      <c r="U72" s="122" t="str">
        <f t="shared" si="12"/>
        <v>2024-25</v>
      </c>
      <c r="V72" s="124" t="s">
        <v>17</v>
      </c>
    </row>
    <row r="73" spans="4:24" s="201" customFormat="1" ht="13" outlineLevel="1" x14ac:dyDescent="0.25">
      <c r="F73" s="213" t="str" cm="1">
        <f t="array" ref="F73:F87">I_MeterTypes[Meter Type]</f>
        <v>AMI - Single Phase, single element</v>
      </c>
      <c r="G73" s="213" t="str" cm="1">
        <f t="array" ref="G73:G87">I_MeterTypes[RIN Subcategory 1]</f>
        <v>Single Phase Meter Population</v>
      </c>
      <c r="H73" s="213" t="str" cm="1">
        <f t="array" ref="H73:H87">I_MeterTypes[RIN Subcategory 2]</f>
        <v>Other</v>
      </c>
      <c r="I73" s="213" t="str" cm="1">
        <f t="array" ref="I73:I87">I_MeterTypes[AER Type]</f>
        <v>Meter Type 4</v>
      </c>
      <c r="J73" s="213" t="str" cm="1">
        <f t="array" ref="J73:J87">I_MeterTypes[RIN Subcategory 3]</f>
        <v>Single phase single element - AMI</v>
      </c>
      <c r="K73" s="213" t="str" cm="1">
        <f t="array" ref="K73:K87">I_MeterTypes[Meter Code]</f>
        <v>AMI 1ph 1e</v>
      </c>
      <c r="L73" s="221" t="s">
        <v>85</v>
      </c>
      <c r="M73" s="222">
        <f t="shared" ref="M73:M88" si="13">Basis_Capex</f>
        <v>43617</v>
      </c>
      <c r="O73" s="150">
        <f t="shared" ref="O73:U87" si="14">O33+O53</f>
        <v>0</v>
      </c>
      <c r="P73" s="150">
        <f t="shared" si="14"/>
        <v>4847064.5489449138</v>
      </c>
      <c r="Q73" s="459">
        <f t="shared" si="14"/>
        <v>4871772.0127358148</v>
      </c>
      <c r="R73" s="150">
        <f t="shared" si="14"/>
        <v>4888251.5088603506</v>
      </c>
      <c r="S73" s="150">
        <f t="shared" si="14"/>
        <v>4903499.4889109582</v>
      </c>
      <c r="T73" s="150">
        <f t="shared" si="14"/>
        <v>4921954.3679373264</v>
      </c>
      <c r="U73" s="452">
        <f t="shared" si="14"/>
        <v>4946079.4549180213</v>
      </c>
      <c r="V73" s="246">
        <f t="shared" ref="V73:V87" si="15">SUM(N73:U73)</f>
        <v>29378621.382307388</v>
      </c>
    </row>
    <row r="74" spans="4:24" s="201" customFormat="1" ht="13" outlineLevel="1" x14ac:dyDescent="0.25">
      <c r="F74" s="213" t="str">
        <v>AMI - Single Phase, two element</v>
      </c>
      <c r="G74" s="213" t="str">
        <v>Single Phase Meter Population</v>
      </c>
      <c r="H74" s="213" t="str">
        <v>Other</v>
      </c>
      <c r="I74" s="213" t="str">
        <v>Meter Type 4</v>
      </c>
      <c r="J74" s="218" t="str">
        <v>Single phase two element with contactor - AMI</v>
      </c>
      <c r="K74" s="218" t="str">
        <v>AMI 1ph 2e</v>
      </c>
      <c r="L74" s="221" t="s">
        <v>85</v>
      </c>
      <c r="M74" s="222">
        <f t="shared" si="13"/>
        <v>43617</v>
      </c>
      <c r="O74" s="150">
        <f t="shared" si="14"/>
        <v>0</v>
      </c>
      <c r="P74" s="150">
        <f t="shared" si="14"/>
        <v>0</v>
      </c>
      <c r="Q74" s="459">
        <f t="shared" si="14"/>
        <v>0</v>
      </c>
      <c r="R74" s="150">
        <f t="shared" si="14"/>
        <v>0</v>
      </c>
      <c r="S74" s="150">
        <f t="shared" si="14"/>
        <v>0</v>
      </c>
      <c r="T74" s="150">
        <f t="shared" si="14"/>
        <v>0</v>
      </c>
      <c r="U74" s="452">
        <f t="shared" si="14"/>
        <v>0</v>
      </c>
      <c r="V74" s="246">
        <f t="shared" si="15"/>
        <v>0</v>
      </c>
    </row>
    <row r="75" spans="4:24" s="201" customFormat="1" ht="13" outlineLevel="1" x14ac:dyDescent="0.25">
      <c r="F75" s="213" t="str">
        <v>AMI - 3 Phase DC</v>
      </c>
      <c r="G75" s="213" t="str">
        <v>Multi Phase Meter Population</v>
      </c>
      <c r="H75" s="213" t="str">
        <v>Direct Connect Meter Population</v>
      </c>
      <c r="I75" s="213" t="str">
        <v>Meter Type 4</v>
      </c>
      <c r="J75" s="218" t="str">
        <v>Three phase - AMI</v>
      </c>
      <c r="K75" s="218" t="str">
        <v>AMI 3ph DC</v>
      </c>
      <c r="L75" s="221" t="s">
        <v>85</v>
      </c>
      <c r="M75" s="222">
        <f t="shared" si="13"/>
        <v>43617</v>
      </c>
      <c r="O75" s="150">
        <f t="shared" si="14"/>
        <v>0</v>
      </c>
      <c r="P75" s="150">
        <f t="shared" si="14"/>
        <v>0</v>
      </c>
      <c r="Q75" s="459">
        <f t="shared" si="14"/>
        <v>0</v>
      </c>
      <c r="R75" s="150">
        <f t="shared" si="14"/>
        <v>0</v>
      </c>
      <c r="S75" s="150">
        <f t="shared" si="14"/>
        <v>0</v>
      </c>
      <c r="T75" s="150">
        <f t="shared" si="14"/>
        <v>0</v>
      </c>
      <c r="U75" s="452">
        <f t="shared" si="14"/>
        <v>0</v>
      </c>
      <c r="V75" s="246">
        <f t="shared" si="15"/>
        <v>0</v>
      </c>
    </row>
    <row r="76" spans="4:24" s="201" customFormat="1" ht="13" outlineLevel="1" x14ac:dyDescent="0.25">
      <c r="F76" s="213" t="str">
        <v>AMI 3Ph CT</v>
      </c>
      <c r="G76" s="213" t="str">
        <v>Multi Phase Meter Population</v>
      </c>
      <c r="H76" s="213" t="str">
        <v>Current Transformer Connected Meter Population</v>
      </c>
      <c r="I76" s="213" t="str">
        <v>Meter Type 4</v>
      </c>
      <c r="J76" s="218">
        <v>0</v>
      </c>
      <c r="K76" s="218" t="str">
        <v>AMI 3ph CT</v>
      </c>
      <c r="L76" s="221" t="s">
        <v>85</v>
      </c>
      <c r="M76" s="222">
        <f t="shared" si="13"/>
        <v>43617</v>
      </c>
      <c r="O76" s="150">
        <f t="shared" si="14"/>
        <v>0</v>
      </c>
      <c r="P76" s="150">
        <f t="shared" si="14"/>
        <v>0</v>
      </c>
      <c r="Q76" s="459">
        <f t="shared" si="14"/>
        <v>0</v>
      </c>
      <c r="R76" s="150">
        <f t="shared" si="14"/>
        <v>0</v>
      </c>
      <c r="S76" s="150">
        <f t="shared" si="14"/>
        <v>0</v>
      </c>
      <c r="T76" s="150">
        <f t="shared" si="14"/>
        <v>0</v>
      </c>
      <c r="U76" s="452">
        <f t="shared" si="14"/>
        <v>0</v>
      </c>
      <c r="V76" s="246">
        <f t="shared" si="15"/>
        <v>0</v>
      </c>
    </row>
    <row r="77" spans="4:24" s="201" customFormat="1" ht="13" outlineLevel="1" x14ac:dyDescent="0.25">
      <c r="F77" s="213" t="str">
        <v>Non AMI - Type 5 Locally read Interval - Single Phase</v>
      </c>
      <c r="G77" s="213" t="str">
        <v>Single Phase Meter Population</v>
      </c>
      <c r="H77" s="213" t="str">
        <v>Direct Connect Meter Population</v>
      </c>
      <c r="I77" s="213" t="str">
        <v>Meter Type 5</v>
      </c>
      <c r="J77" s="218">
        <v>0</v>
      </c>
      <c r="K77" s="218" t="str">
        <v>INT 1ph</v>
      </c>
      <c r="L77" s="221" t="s">
        <v>85</v>
      </c>
      <c r="M77" s="222">
        <f t="shared" si="13"/>
        <v>43617</v>
      </c>
      <c r="O77" s="150">
        <f t="shared" si="14"/>
        <v>0</v>
      </c>
      <c r="P77" s="150">
        <f t="shared" si="14"/>
        <v>0</v>
      </c>
      <c r="Q77" s="459">
        <f t="shared" si="14"/>
        <v>0</v>
      </c>
      <c r="R77" s="150">
        <f t="shared" si="14"/>
        <v>0</v>
      </c>
      <c r="S77" s="150">
        <f t="shared" si="14"/>
        <v>0</v>
      </c>
      <c r="T77" s="150">
        <f t="shared" si="14"/>
        <v>0</v>
      </c>
      <c r="U77" s="452">
        <f t="shared" si="14"/>
        <v>0</v>
      </c>
      <c r="V77" s="246">
        <f t="shared" si="15"/>
        <v>0</v>
      </c>
    </row>
    <row r="78" spans="4:24" s="201" customFormat="1" ht="13" outlineLevel="1" x14ac:dyDescent="0.25">
      <c r="F78" s="213" t="str">
        <v>Non AMI - Type 5 Locally read Interval - 3 Phase</v>
      </c>
      <c r="G78" s="213" t="str">
        <v>Single Phase Meter Population</v>
      </c>
      <c r="H78" s="213" t="str">
        <v>Direct Connect Meter Population</v>
      </c>
      <c r="I78" s="213" t="str">
        <v>Meter Type 5</v>
      </c>
      <c r="J78" s="218">
        <v>0</v>
      </c>
      <c r="K78" s="218" t="str">
        <v>INT 3ph</v>
      </c>
      <c r="L78" s="221" t="s">
        <v>85</v>
      </c>
      <c r="M78" s="222">
        <f t="shared" si="13"/>
        <v>43617</v>
      </c>
      <c r="O78" s="150">
        <f t="shared" si="14"/>
        <v>0</v>
      </c>
      <c r="P78" s="150">
        <f t="shared" si="14"/>
        <v>0</v>
      </c>
      <c r="Q78" s="459">
        <f t="shared" si="14"/>
        <v>0</v>
      </c>
      <c r="R78" s="150">
        <f t="shared" si="14"/>
        <v>0</v>
      </c>
      <c r="S78" s="150">
        <f t="shared" si="14"/>
        <v>0</v>
      </c>
      <c r="T78" s="150">
        <f t="shared" si="14"/>
        <v>0</v>
      </c>
      <c r="U78" s="452">
        <f t="shared" si="14"/>
        <v>0</v>
      </c>
      <c r="V78" s="246">
        <f t="shared" si="15"/>
        <v>0</v>
      </c>
    </row>
    <row r="79" spans="4:24" s="201" customFormat="1" ht="13" outlineLevel="1" x14ac:dyDescent="0.25">
      <c r="F79" s="213" t="str">
        <v>Non AMI - Type 5 Locally read Interval - 3 Phase - CT</v>
      </c>
      <c r="G79" s="213" t="str">
        <v>Multi Phase Meter Population</v>
      </c>
      <c r="H79" s="213" t="str">
        <v>Current Transformer Connected Meter Population</v>
      </c>
      <c r="I79" s="213" t="str">
        <v>Meter Type 5</v>
      </c>
      <c r="J79" s="218">
        <v>0</v>
      </c>
      <c r="K79" s="218" t="str">
        <v>INT 3ph CT</v>
      </c>
      <c r="L79" s="221" t="s">
        <v>85</v>
      </c>
      <c r="M79" s="222">
        <f t="shared" si="13"/>
        <v>43617</v>
      </c>
      <c r="O79" s="150">
        <f t="shared" si="14"/>
        <v>0</v>
      </c>
      <c r="P79" s="150">
        <f t="shared" si="14"/>
        <v>0</v>
      </c>
      <c r="Q79" s="459">
        <f t="shared" si="14"/>
        <v>0</v>
      </c>
      <c r="R79" s="150">
        <f t="shared" si="14"/>
        <v>0</v>
      </c>
      <c r="S79" s="150">
        <f t="shared" si="14"/>
        <v>0</v>
      </c>
      <c r="T79" s="150">
        <f t="shared" si="14"/>
        <v>0</v>
      </c>
      <c r="U79" s="452">
        <f t="shared" si="14"/>
        <v>0</v>
      </c>
      <c r="V79" s="246">
        <f t="shared" si="15"/>
        <v>0</v>
      </c>
    </row>
    <row r="80" spans="4:24" s="201" customFormat="1" ht="13" outlineLevel="1" x14ac:dyDescent="0.25">
      <c r="F80" s="213" t="str">
        <v>Non AMI - Type 6 Locally read Accumulation - Single Phase</v>
      </c>
      <c r="G80" s="213" t="str">
        <v>Multi Phase Meter Population</v>
      </c>
      <c r="H80" s="213" t="str">
        <v>Direct Connect Meter Population</v>
      </c>
      <c r="I80" s="213" t="str">
        <v>Meter Type 6</v>
      </c>
      <c r="J80" s="218">
        <v>0</v>
      </c>
      <c r="K80" s="218" t="str">
        <v>ACC 1ph</v>
      </c>
      <c r="L80" s="221" t="s">
        <v>85</v>
      </c>
      <c r="M80" s="222">
        <f t="shared" si="13"/>
        <v>43617</v>
      </c>
      <c r="O80" s="150">
        <f t="shared" si="14"/>
        <v>0</v>
      </c>
      <c r="P80" s="150">
        <f t="shared" si="14"/>
        <v>0</v>
      </c>
      <c r="Q80" s="459">
        <f t="shared" si="14"/>
        <v>0</v>
      </c>
      <c r="R80" s="150">
        <f t="shared" si="14"/>
        <v>0</v>
      </c>
      <c r="S80" s="150">
        <f t="shared" si="14"/>
        <v>0</v>
      </c>
      <c r="T80" s="150">
        <f t="shared" si="14"/>
        <v>0</v>
      </c>
      <c r="U80" s="452">
        <f t="shared" si="14"/>
        <v>0</v>
      </c>
      <c r="V80" s="246">
        <f t="shared" si="15"/>
        <v>0</v>
      </c>
    </row>
    <row r="81" spans="3:24" s="201" customFormat="1" ht="13" outlineLevel="1" x14ac:dyDescent="0.25">
      <c r="F81" s="213" t="str">
        <v>Non AMI - Type 6 Locally read Accumulation - 3 Phase</v>
      </c>
      <c r="G81" s="213">
        <v>0</v>
      </c>
      <c r="H81" s="213" t="str">
        <v>Direct Connect Meter Population</v>
      </c>
      <c r="I81" s="213" t="str">
        <v>Meter Type 6</v>
      </c>
      <c r="J81" s="218">
        <v>0</v>
      </c>
      <c r="K81" s="218" t="str">
        <v>ACC 3ph</v>
      </c>
      <c r="L81" s="221" t="s">
        <v>85</v>
      </c>
      <c r="M81" s="222">
        <f t="shared" si="13"/>
        <v>43617</v>
      </c>
      <c r="O81" s="150">
        <f t="shared" si="14"/>
        <v>0</v>
      </c>
      <c r="P81" s="150">
        <f t="shared" si="14"/>
        <v>0</v>
      </c>
      <c r="Q81" s="459">
        <f t="shared" si="14"/>
        <v>0</v>
      </c>
      <c r="R81" s="150">
        <f t="shared" si="14"/>
        <v>0</v>
      </c>
      <c r="S81" s="150">
        <f t="shared" si="14"/>
        <v>0</v>
      </c>
      <c r="T81" s="150">
        <f t="shared" si="14"/>
        <v>0</v>
      </c>
      <c r="U81" s="452">
        <f t="shared" si="14"/>
        <v>0</v>
      </c>
      <c r="V81" s="246">
        <f t="shared" si="15"/>
        <v>0</v>
      </c>
    </row>
    <row r="82" spans="3:24" s="201" customFormat="1" ht="13" outlineLevel="1" x14ac:dyDescent="0.25">
      <c r="F82" s="213">
        <v>0</v>
      </c>
      <c r="G82" s="213">
        <v>0</v>
      </c>
      <c r="H82" s="213">
        <v>0</v>
      </c>
      <c r="I82" s="213">
        <v>0</v>
      </c>
      <c r="J82" s="218">
        <v>0</v>
      </c>
      <c r="K82" s="218">
        <v>0</v>
      </c>
      <c r="L82" s="221" t="s">
        <v>85</v>
      </c>
      <c r="M82" s="222">
        <f t="shared" si="13"/>
        <v>43617</v>
      </c>
      <c r="N82" s="254"/>
      <c r="O82" s="150">
        <f t="shared" si="14"/>
        <v>0</v>
      </c>
      <c r="P82" s="150">
        <f t="shared" si="14"/>
        <v>0</v>
      </c>
      <c r="Q82" s="459">
        <f t="shared" si="14"/>
        <v>0</v>
      </c>
      <c r="R82" s="150">
        <f t="shared" si="14"/>
        <v>0</v>
      </c>
      <c r="S82" s="150">
        <f t="shared" si="14"/>
        <v>0</v>
      </c>
      <c r="T82" s="150">
        <f t="shared" si="14"/>
        <v>0</v>
      </c>
      <c r="U82" s="452">
        <f t="shared" si="14"/>
        <v>0</v>
      </c>
      <c r="V82" s="246">
        <f t="shared" si="15"/>
        <v>0</v>
      </c>
    </row>
    <row r="83" spans="3:24" s="201" customFormat="1" ht="13" outlineLevel="1" x14ac:dyDescent="0.25">
      <c r="F83" s="213">
        <v>0</v>
      </c>
      <c r="G83" s="213">
        <v>0</v>
      </c>
      <c r="H83" s="213">
        <v>0</v>
      </c>
      <c r="I83" s="213">
        <v>0</v>
      </c>
      <c r="J83" s="218">
        <v>0</v>
      </c>
      <c r="K83" s="218">
        <v>0</v>
      </c>
      <c r="L83" s="221" t="s">
        <v>85</v>
      </c>
      <c r="M83" s="222">
        <f t="shared" si="13"/>
        <v>43617</v>
      </c>
      <c r="N83" s="228"/>
      <c r="O83" s="150">
        <f t="shared" si="14"/>
        <v>0</v>
      </c>
      <c r="P83" s="150">
        <f t="shared" si="14"/>
        <v>0</v>
      </c>
      <c r="Q83" s="459">
        <f t="shared" si="14"/>
        <v>0</v>
      </c>
      <c r="R83" s="150">
        <f t="shared" si="14"/>
        <v>0</v>
      </c>
      <c r="S83" s="150">
        <f t="shared" si="14"/>
        <v>0</v>
      </c>
      <c r="T83" s="150">
        <f t="shared" si="14"/>
        <v>0</v>
      </c>
      <c r="U83" s="452">
        <f t="shared" si="14"/>
        <v>0</v>
      </c>
      <c r="V83" s="246">
        <f t="shared" si="15"/>
        <v>0</v>
      </c>
    </row>
    <row r="84" spans="3:24" s="201" customFormat="1" ht="13" outlineLevel="1" x14ac:dyDescent="0.25">
      <c r="F84" s="213">
        <v>0</v>
      </c>
      <c r="G84" s="213">
        <v>0</v>
      </c>
      <c r="H84" s="213">
        <v>0</v>
      </c>
      <c r="I84" s="213">
        <v>0</v>
      </c>
      <c r="J84" s="218">
        <v>0</v>
      </c>
      <c r="K84" s="218">
        <v>0</v>
      </c>
      <c r="L84" s="221" t="s">
        <v>85</v>
      </c>
      <c r="M84" s="222">
        <f t="shared" si="13"/>
        <v>43617</v>
      </c>
      <c r="N84" s="228"/>
      <c r="O84" s="150">
        <f t="shared" si="14"/>
        <v>0</v>
      </c>
      <c r="P84" s="150">
        <f t="shared" si="14"/>
        <v>0</v>
      </c>
      <c r="Q84" s="459">
        <f t="shared" si="14"/>
        <v>0</v>
      </c>
      <c r="R84" s="150">
        <f t="shared" si="14"/>
        <v>0</v>
      </c>
      <c r="S84" s="150">
        <f t="shared" si="14"/>
        <v>0</v>
      </c>
      <c r="T84" s="150">
        <f t="shared" si="14"/>
        <v>0</v>
      </c>
      <c r="U84" s="452">
        <f t="shared" si="14"/>
        <v>0</v>
      </c>
      <c r="V84" s="246">
        <f t="shared" si="15"/>
        <v>0</v>
      </c>
    </row>
    <row r="85" spans="3:24" s="201" customFormat="1" ht="13" outlineLevel="1" x14ac:dyDescent="0.25">
      <c r="F85" s="213">
        <v>0</v>
      </c>
      <c r="G85" s="213">
        <v>0</v>
      </c>
      <c r="H85" s="213">
        <v>0</v>
      </c>
      <c r="I85" s="213">
        <v>0</v>
      </c>
      <c r="J85" s="218">
        <v>0</v>
      </c>
      <c r="K85" s="218">
        <v>0</v>
      </c>
      <c r="L85" s="221" t="s">
        <v>85</v>
      </c>
      <c r="M85" s="222">
        <f t="shared" si="13"/>
        <v>43617</v>
      </c>
      <c r="N85" s="228"/>
      <c r="O85" s="150">
        <f t="shared" si="14"/>
        <v>0</v>
      </c>
      <c r="P85" s="150">
        <f t="shared" si="14"/>
        <v>0</v>
      </c>
      <c r="Q85" s="459">
        <f t="shared" si="14"/>
        <v>0</v>
      </c>
      <c r="R85" s="150">
        <f t="shared" si="14"/>
        <v>0</v>
      </c>
      <c r="S85" s="150">
        <f t="shared" si="14"/>
        <v>0</v>
      </c>
      <c r="T85" s="150">
        <f t="shared" si="14"/>
        <v>0</v>
      </c>
      <c r="U85" s="452">
        <f t="shared" si="14"/>
        <v>0</v>
      </c>
      <c r="V85" s="246">
        <f t="shared" si="15"/>
        <v>0</v>
      </c>
    </row>
    <row r="86" spans="3:24" s="201" customFormat="1" ht="13" outlineLevel="1" x14ac:dyDescent="0.25">
      <c r="F86" s="213">
        <v>0</v>
      </c>
      <c r="G86" s="213">
        <v>0</v>
      </c>
      <c r="H86" s="213">
        <v>0</v>
      </c>
      <c r="I86" s="213">
        <v>0</v>
      </c>
      <c r="J86" s="218">
        <v>0</v>
      </c>
      <c r="K86" s="218">
        <v>0</v>
      </c>
      <c r="L86" s="221" t="s">
        <v>85</v>
      </c>
      <c r="M86" s="222">
        <f t="shared" si="13"/>
        <v>43617</v>
      </c>
      <c r="N86" s="228"/>
      <c r="O86" s="150">
        <f t="shared" si="14"/>
        <v>0</v>
      </c>
      <c r="P86" s="150">
        <f t="shared" si="14"/>
        <v>0</v>
      </c>
      <c r="Q86" s="459">
        <f t="shared" si="14"/>
        <v>0</v>
      </c>
      <c r="R86" s="150">
        <f t="shared" si="14"/>
        <v>0</v>
      </c>
      <c r="S86" s="150">
        <f t="shared" si="14"/>
        <v>0</v>
      </c>
      <c r="T86" s="150">
        <f t="shared" si="14"/>
        <v>0</v>
      </c>
      <c r="U86" s="452">
        <f t="shared" si="14"/>
        <v>0</v>
      </c>
      <c r="V86" s="246">
        <f t="shared" si="15"/>
        <v>0</v>
      </c>
    </row>
    <row r="87" spans="3:24" s="201" customFormat="1" ht="13" outlineLevel="1" x14ac:dyDescent="0.25">
      <c r="F87" s="255">
        <v>0</v>
      </c>
      <c r="G87" s="255">
        <v>0</v>
      </c>
      <c r="H87" s="255">
        <v>0</v>
      </c>
      <c r="I87" s="255">
        <v>0</v>
      </c>
      <c r="J87" s="256">
        <v>0</v>
      </c>
      <c r="K87" s="256">
        <v>0</v>
      </c>
      <c r="L87" s="221" t="s">
        <v>85</v>
      </c>
      <c r="M87" s="222">
        <f t="shared" si="13"/>
        <v>43617</v>
      </c>
      <c r="N87" s="228"/>
      <c r="O87" s="150">
        <f t="shared" si="14"/>
        <v>0</v>
      </c>
      <c r="P87" s="150">
        <f t="shared" si="14"/>
        <v>0</v>
      </c>
      <c r="Q87" s="459">
        <f t="shared" si="14"/>
        <v>0</v>
      </c>
      <c r="R87" s="150">
        <f t="shared" si="14"/>
        <v>0</v>
      </c>
      <c r="S87" s="150">
        <f t="shared" si="14"/>
        <v>0</v>
      </c>
      <c r="T87" s="150">
        <f t="shared" si="14"/>
        <v>0</v>
      </c>
      <c r="U87" s="452">
        <f t="shared" si="14"/>
        <v>0</v>
      </c>
      <c r="V87" s="246">
        <f t="shared" si="15"/>
        <v>0</v>
      </c>
    </row>
    <row r="88" spans="3:24" s="201" customFormat="1" ht="13" outlineLevel="1" x14ac:dyDescent="0.25">
      <c r="F88" s="242" t="s">
        <v>17</v>
      </c>
      <c r="G88" s="243"/>
      <c r="H88" s="243"/>
      <c r="I88" s="243"/>
      <c r="J88" s="243"/>
      <c r="K88" s="244"/>
      <c r="L88" s="247" t="s">
        <v>85</v>
      </c>
      <c r="M88" s="152">
        <f t="shared" si="13"/>
        <v>43617</v>
      </c>
      <c r="N88" s="228"/>
      <c r="O88" s="154">
        <f t="shared" ref="O88:P88" si="16">SUM(O73:O86)</f>
        <v>0</v>
      </c>
      <c r="P88" s="430">
        <f t="shared" si="16"/>
        <v>4847064.5489449138</v>
      </c>
      <c r="Q88" s="480">
        <f t="shared" ref="Q88:U88" si="17">SUM(Q73:Q86)</f>
        <v>4871772.0127358148</v>
      </c>
      <c r="R88" s="248">
        <f t="shared" si="17"/>
        <v>4888251.5088603506</v>
      </c>
      <c r="S88" s="248">
        <f t="shared" si="17"/>
        <v>4903499.4889109582</v>
      </c>
      <c r="T88" s="248">
        <f t="shared" si="17"/>
        <v>4921954.3679373264</v>
      </c>
      <c r="U88" s="248">
        <f t="shared" si="17"/>
        <v>4946079.4549180213</v>
      </c>
      <c r="V88" s="233">
        <f>SUM(Q88:U88)</f>
        <v>24531556.833362468</v>
      </c>
      <c r="X88" s="200">
        <f>(V68=SUM('Calc | Meters Detail'!V259,'Calc | Meters Detail'!V279,'Calc | Meters Detail'!V299,'Calc | Meters Detail'!V319,'Calc | Meters Detail'!V339,'Calc | Meters Detail'!V359,'Calc | Meters Detail'!V379,'Calc | Meters Detail'!V399,'Calc | Meters Detail'!V419,'Calc | Meters Detail'!V439))/1</f>
        <v>1</v>
      </c>
    </row>
    <row r="89" spans="3:24" s="201" customFormat="1" outlineLevel="1" x14ac:dyDescent="0.25">
      <c r="N89" s="228"/>
    </row>
    <row r="90" spans="3:24" s="201" customFormat="1" ht="13" x14ac:dyDescent="0.3">
      <c r="C90" s="201" t="s">
        <v>8</v>
      </c>
      <c r="D90" s="202" t="s">
        <v>311</v>
      </c>
    </row>
    <row r="91" spans="3:24" s="201" customFormat="1" outlineLevel="1" x14ac:dyDescent="0.25"/>
    <row r="92" spans="3:24" s="201" customFormat="1" outlineLevel="1" x14ac:dyDescent="0.25">
      <c r="D92" s="201" t="s">
        <v>19</v>
      </c>
      <c r="E92" s="201" t="s">
        <v>316</v>
      </c>
    </row>
    <row r="93" spans="3:24" s="201" customFormat="1" ht="13" outlineLevel="1" x14ac:dyDescent="0.25">
      <c r="F93" s="121" t="str">
        <f>I_MeterTypes[[#Headers],[Meter Type]]</f>
        <v>Meter Type</v>
      </c>
      <c r="G93" s="121" t="str">
        <f>I_MeterTypes[[#Headers],[RIN Subcategory 1]]</f>
        <v>RIN Subcategory 1</v>
      </c>
      <c r="H93" s="121" t="str">
        <f>I_MeterTypes[[#Headers],[RIN Subcategory 2]]</f>
        <v>RIN Subcategory 2</v>
      </c>
      <c r="I93" s="121" t="str">
        <f>I_MeterTypes[[#Headers],[AER Type]]</f>
        <v>AER Type</v>
      </c>
      <c r="J93" s="121" t="str">
        <f>I_MeterTypes[[#Headers],[RIN Subcategory 3]]</f>
        <v>RIN Subcategory 3</v>
      </c>
      <c r="K93" s="121" t="str">
        <f>I_MeterTypes[[#Headers],[Meter Code]]</f>
        <v>Meter Code</v>
      </c>
      <c r="L93" s="121" t="s">
        <v>6</v>
      </c>
      <c r="M93" s="121" t="s">
        <v>118</v>
      </c>
      <c r="O93" s="122" t="str">
        <f>O$12</f>
        <v>2018-19</v>
      </c>
      <c r="P93" s="149" t="str">
        <f t="shared" ref="P93:U93" si="18">P$12</f>
        <v>2019-20</v>
      </c>
      <c r="Q93" s="122" t="str">
        <f t="shared" si="18"/>
        <v>2020-21</v>
      </c>
      <c r="R93" s="122" t="str">
        <f t="shared" si="18"/>
        <v>2021-22</v>
      </c>
      <c r="S93" s="122" t="str">
        <f t="shared" si="18"/>
        <v>2022-23</v>
      </c>
      <c r="T93" s="122" t="str">
        <f t="shared" si="18"/>
        <v>2023-24</v>
      </c>
      <c r="U93" s="122" t="str">
        <f t="shared" si="18"/>
        <v>2024-25</v>
      </c>
      <c r="V93" s="124" t="s">
        <v>17</v>
      </c>
    </row>
    <row r="94" spans="3:24" s="201" customFormat="1" ht="13" outlineLevel="1" x14ac:dyDescent="0.25">
      <c r="F94" s="213" t="str" cm="1">
        <f t="array" ref="F94:F108">I_MeterTypes[Meter Type]</f>
        <v>AMI - Single Phase, single element</v>
      </c>
      <c r="G94" s="213" t="str" cm="1">
        <f t="array" ref="G94:G108">I_MeterTypes[RIN Subcategory 1]</f>
        <v>Single Phase Meter Population</v>
      </c>
      <c r="H94" s="213" t="str" cm="1">
        <f t="array" ref="H94:H108">I_MeterTypes[RIN Subcategory 2]</f>
        <v>Other</v>
      </c>
      <c r="I94" s="213" t="str" cm="1">
        <f t="array" ref="I94:I108">I_MeterTypes[AER Type]</f>
        <v>Meter Type 4</v>
      </c>
      <c r="J94" s="213" t="str" cm="1">
        <f t="array" ref="J94:J108">I_MeterTypes[RIN Subcategory 3]</f>
        <v>Single phase single element - AMI</v>
      </c>
      <c r="K94" s="213" t="str" cm="1">
        <f t="array" ref="K94:K108">I_MeterTypes[Meter Code]</f>
        <v>AMI 1ph 1e</v>
      </c>
      <c r="L94" s="221" t="s">
        <v>85</v>
      </c>
      <c r="M94" s="222">
        <f t="shared" ref="M94:M109" si="19">Basis_Capex</f>
        <v>43617</v>
      </c>
      <c r="O94" s="150" cm="1">
        <f t="array" ref="O94:U108">'Input | Meters Vols &amp; Costs'!J29*ICM_D_TC1+
'Input | Meters Vols &amp; Costs'!J30*ICM_D_TC2+
'Input | Meters Vols &amp; Costs'!J31*ICM_D_TC3+
'Input | Meters Vols &amp; Costs'!J32*ICM_D_TC4+
'Input | Meters Vols &amp; Costs'!J33*ICM_D_TC5+
'Input | Meters Vols &amp; Costs'!J34*ICM_D_TC6+
'Input | Meters Vols &amp; Costs'!J35*ICM_D_TC7+
'Input | Meters Vols &amp; Costs'!J36*ICM_D_TC8+
'Input | Meters Vols &amp; Costs'!J37*ICM_D_TC9+
'Input | Meters Vols &amp; Costs'!J38*ICM_D_TC10</f>
        <v>0</v>
      </c>
      <c r="P94" s="150">
        <v>0</v>
      </c>
      <c r="Q94" s="459">
        <v>0</v>
      </c>
      <c r="R94" s="150">
        <v>0</v>
      </c>
      <c r="S94" s="150">
        <v>0</v>
      </c>
      <c r="T94" s="150">
        <v>0</v>
      </c>
      <c r="U94" s="452">
        <v>0</v>
      </c>
      <c r="V94" s="246">
        <f t="shared" ref="V94:V108" si="20">SUM(N94:U94)</f>
        <v>0</v>
      </c>
    </row>
    <row r="95" spans="3:24" s="201" customFormat="1" ht="13" outlineLevel="1" x14ac:dyDescent="0.25">
      <c r="F95" s="213" t="str">
        <v>AMI - Single Phase, two element</v>
      </c>
      <c r="G95" s="213" t="str">
        <v>Single Phase Meter Population</v>
      </c>
      <c r="H95" s="213" t="str">
        <v>Other</v>
      </c>
      <c r="I95" s="213" t="str">
        <v>Meter Type 4</v>
      </c>
      <c r="J95" s="218" t="str">
        <v>Single phase two element with contactor - AMI</v>
      </c>
      <c r="K95" s="218" t="str">
        <v>AMI 1ph 2e</v>
      </c>
      <c r="L95" s="221" t="s">
        <v>85</v>
      </c>
      <c r="M95" s="222">
        <f t="shared" si="19"/>
        <v>43617</v>
      </c>
      <c r="O95" s="150">
        <v>0</v>
      </c>
      <c r="P95" s="150">
        <v>0</v>
      </c>
      <c r="Q95" s="459">
        <v>0</v>
      </c>
      <c r="R95" s="150">
        <v>0</v>
      </c>
      <c r="S95" s="150">
        <v>0</v>
      </c>
      <c r="T95" s="150">
        <v>0</v>
      </c>
      <c r="U95" s="452">
        <v>0</v>
      </c>
      <c r="V95" s="246">
        <f t="shared" si="20"/>
        <v>0</v>
      </c>
    </row>
    <row r="96" spans="3:24" s="201" customFormat="1" ht="13" outlineLevel="1" x14ac:dyDescent="0.25">
      <c r="F96" s="213" t="str">
        <v>AMI - 3 Phase DC</v>
      </c>
      <c r="G96" s="213" t="str">
        <v>Multi Phase Meter Population</v>
      </c>
      <c r="H96" s="213" t="str">
        <v>Direct Connect Meter Population</v>
      </c>
      <c r="I96" s="213" t="str">
        <v>Meter Type 4</v>
      </c>
      <c r="J96" s="218" t="str">
        <v>Three phase - AMI</v>
      </c>
      <c r="K96" s="218" t="str">
        <v>AMI 3ph DC</v>
      </c>
      <c r="L96" s="221" t="s">
        <v>85</v>
      </c>
      <c r="M96" s="222">
        <f t="shared" si="19"/>
        <v>43617</v>
      </c>
      <c r="O96" s="150">
        <v>0</v>
      </c>
      <c r="P96" s="150">
        <v>0</v>
      </c>
      <c r="Q96" s="459">
        <v>0</v>
      </c>
      <c r="R96" s="150">
        <v>0</v>
      </c>
      <c r="S96" s="150">
        <v>0</v>
      </c>
      <c r="T96" s="150">
        <v>0</v>
      </c>
      <c r="U96" s="452">
        <v>0</v>
      </c>
      <c r="V96" s="246">
        <f t="shared" si="20"/>
        <v>0</v>
      </c>
    </row>
    <row r="97" spans="4:22" s="201" customFormat="1" ht="13" outlineLevel="1" x14ac:dyDescent="0.25">
      <c r="F97" s="213" t="str">
        <v>AMI 3Ph CT</v>
      </c>
      <c r="G97" s="213" t="str">
        <v>Multi Phase Meter Population</v>
      </c>
      <c r="H97" s="213" t="str">
        <v>Current Transformer Connected Meter Population</v>
      </c>
      <c r="I97" s="213" t="str">
        <v>Meter Type 4</v>
      </c>
      <c r="J97" s="218">
        <v>0</v>
      </c>
      <c r="K97" s="218" t="str">
        <v>AMI 3ph CT</v>
      </c>
      <c r="L97" s="221" t="s">
        <v>85</v>
      </c>
      <c r="M97" s="222">
        <f t="shared" si="19"/>
        <v>43617</v>
      </c>
      <c r="O97" s="150">
        <v>0</v>
      </c>
      <c r="P97" s="150">
        <v>0</v>
      </c>
      <c r="Q97" s="459">
        <v>0</v>
      </c>
      <c r="R97" s="150">
        <v>0</v>
      </c>
      <c r="S97" s="150">
        <v>0</v>
      </c>
      <c r="T97" s="150">
        <v>0</v>
      </c>
      <c r="U97" s="452">
        <v>0</v>
      </c>
      <c r="V97" s="246">
        <f t="shared" si="20"/>
        <v>0</v>
      </c>
    </row>
    <row r="98" spans="4:22" s="201" customFormat="1" ht="13" outlineLevel="1" x14ac:dyDescent="0.25">
      <c r="F98" s="213" t="str">
        <v>Non AMI - Type 5 Locally read Interval - Single Phase</v>
      </c>
      <c r="G98" s="213" t="str">
        <v>Single Phase Meter Population</v>
      </c>
      <c r="H98" s="213" t="str">
        <v>Direct Connect Meter Population</v>
      </c>
      <c r="I98" s="213" t="str">
        <v>Meter Type 5</v>
      </c>
      <c r="J98" s="218">
        <v>0</v>
      </c>
      <c r="K98" s="218" t="str">
        <v>INT 1ph</v>
      </c>
      <c r="L98" s="221" t="s">
        <v>85</v>
      </c>
      <c r="M98" s="222">
        <f t="shared" si="19"/>
        <v>43617</v>
      </c>
      <c r="O98" s="150">
        <v>0</v>
      </c>
      <c r="P98" s="150">
        <v>0</v>
      </c>
      <c r="Q98" s="459">
        <v>0</v>
      </c>
      <c r="R98" s="150">
        <v>0</v>
      </c>
      <c r="S98" s="150">
        <v>0</v>
      </c>
      <c r="T98" s="150">
        <v>0</v>
      </c>
      <c r="U98" s="452">
        <v>0</v>
      </c>
      <c r="V98" s="246">
        <f t="shared" si="20"/>
        <v>0</v>
      </c>
    </row>
    <row r="99" spans="4:22" s="201" customFormat="1" ht="13" outlineLevel="1" x14ac:dyDescent="0.25">
      <c r="F99" s="213" t="str">
        <v>Non AMI - Type 5 Locally read Interval - 3 Phase</v>
      </c>
      <c r="G99" s="213" t="str">
        <v>Single Phase Meter Population</v>
      </c>
      <c r="H99" s="213" t="str">
        <v>Direct Connect Meter Population</v>
      </c>
      <c r="I99" s="213" t="str">
        <v>Meter Type 5</v>
      </c>
      <c r="J99" s="218">
        <v>0</v>
      </c>
      <c r="K99" s="218" t="str">
        <v>INT 3ph</v>
      </c>
      <c r="L99" s="221" t="s">
        <v>85</v>
      </c>
      <c r="M99" s="222">
        <f t="shared" si="19"/>
        <v>43617</v>
      </c>
      <c r="O99" s="150">
        <v>0</v>
      </c>
      <c r="P99" s="150">
        <v>0</v>
      </c>
      <c r="Q99" s="459">
        <v>0</v>
      </c>
      <c r="R99" s="150">
        <v>0</v>
      </c>
      <c r="S99" s="150">
        <v>0</v>
      </c>
      <c r="T99" s="150">
        <v>0</v>
      </c>
      <c r="U99" s="452">
        <v>0</v>
      </c>
      <c r="V99" s="246">
        <f t="shared" si="20"/>
        <v>0</v>
      </c>
    </row>
    <row r="100" spans="4:22" s="201" customFormat="1" ht="13" outlineLevel="1" x14ac:dyDescent="0.25">
      <c r="F100" s="213" t="str">
        <v>Non AMI - Type 5 Locally read Interval - 3 Phase - CT</v>
      </c>
      <c r="G100" s="213" t="str">
        <v>Multi Phase Meter Population</v>
      </c>
      <c r="H100" s="213" t="str">
        <v>Current Transformer Connected Meter Population</v>
      </c>
      <c r="I100" s="213" t="str">
        <v>Meter Type 5</v>
      </c>
      <c r="J100" s="218">
        <v>0</v>
      </c>
      <c r="K100" s="218" t="str">
        <v>INT 3ph CT</v>
      </c>
      <c r="L100" s="221" t="s">
        <v>85</v>
      </c>
      <c r="M100" s="222">
        <f t="shared" si="19"/>
        <v>43617</v>
      </c>
      <c r="O100" s="150">
        <v>0</v>
      </c>
      <c r="P100" s="150">
        <v>0</v>
      </c>
      <c r="Q100" s="459">
        <v>0</v>
      </c>
      <c r="R100" s="150">
        <v>0</v>
      </c>
      <c r="S100" s="150">
        <v>0</v>
      </c>
      <c r="T100" s="150">
        <v>0</v>
      </c>
      <c r="U100" s="452">
        <v>0</v>
      </c>
      <c r="V100" s="246">
        <f t="shared" si="20"/>
        <v>0</v>
      </c>
    </row>
    <row r="101" spans="4:22" s="201" customFormat="1" ht="13" outlineLevel="1" x14ac:dyDescent="0.25">
      <c r="F101" s="213" t="str">
        <v>Non AMI - Type 6 Locally read Accumulation - Single Phase</v>
      </c>
      <c r="G101" s="213" t="str">
        <v>Multi Phase Meter Population</v>
      </c>
      <c r="H101" s="213" t="str">
        <v>Direct Connect Meter Population</v>
      </c>
      <c r="I101" s="213" t="str">
        <v>Meter Type 6</v>
      </c>
      <c r="J101" s="218">
        <v>0</v>
      </c>
      <c r="K101" s="218" t="str">
        <v>ACC 1ph</v>
      </c>
      <c r="L101" s="221" t="s">
        <v>85</v>
      </c>
      <c r="M101" s="222">
        <f t="shared" si="19"/>
        <v>43617</v>
      </c>
      <c r="O101" s="150">
        <v>0</v>
      </c>
      <c r="P101" s="150">
        <v>0</v>
      </c>
      <c r="Q101" s="459">
        <v>0</v>
      </c>
      <c r="R101" s="150">
        <v>0</v>
      </c>
      <c r="S101" s="150">
        <v>0</v>
      </c>
      <c r="T101" s="150">
        <v>0</v>
      </c>
      <c r="U101" s="452">
        <v>0</v>
      </c>
      <c r="V101" s="246">
        <f t="shared" si="20"/>
        <v>0</v>
      </c>
    </row>
    <row r="102" spans="4:22" s="201" customFormat="1" ht="13" outlineLevel="1" x14ac:dyDescent="0.25">
      <c r="F102" s="213" t="str">
        <v>Non AMI - Type 6 Locally read Accumulation - 3 Phase</v>
      </c>
      <c r="G102" s="213">
        <v>0</v>
      </c>
      <c r="H102" s="213" t="str">
        <v>Direct Connect Meter Population</v>
      </c>
      <c r="I102" s="213" t="str">
        <v>Meter Type 6</v>
      </c>
      <c r="J102" s="218">
        <v>0</v>
      </c>
      <c r="K102" s="218" t="str">
        <v>ACC 3ph</v>
      </c>
      <c r="L102" s="221" t="s">
        <v>85</v>
      </c>
      <c r="M102" s="222">
        <f t="shared" si="19"/>
        <v>43617</v>
      </c>
      <c r="O102" s="150">
        <v>0</v>
      </c>
      <c r="P102" s="150">
        <v>0</v>
      </c>
      <c r="Q102" s="459">
        <v>0</v>
      </c>
      <c r="R102" s="150">
        <v>0</v>
      </c>
      <c r="S102" s="150">
        <v>0</v>
      </c>
      <c r="T102" s="150">
        <v>0</v>
      </c>
      <c r="U102" s="452">
        <v>0</v>
      </c>
      <c r="V102" s="246">
        <f t="shared" si="20"/>
        <v>0</v>
      </c>
    </row>
    <row r="103" spans="4:22" s="201" customFormat="1" ht="13" outlineLevel="1" x14ac:dyDescent="0.25">
      <c r="F103" s="213">
        <v>0</v>
      </c>
      <c r="G103" s="213">
        <v>0</v>
      </c>
      <c r="H103" s="213">
        <v>0</v>
      </c>
      <c r="I103" s="213">
        <v>0</v>
      </c>
      <c r="J103" s="218">
        <v>0</v>
      </c>
      <c r="K103" s="218">
        <v>0</v>
      </c>
      <c r="L103" s="221" t="s">
        <v>85</v>
      </c>
      <c r="M103" s="222">
        <f t="shared" si="19"/>
        <v>43617</v>
      </c>
      <c r="O103" s="150">
        <v>0</v>
      </c>
      <c r="P103" s="150">
        <v>0</v>
      </c>
      <c r="Q103" s="459">
        <v>0</v>
      </c>
      <c r="R103" s="150">
        <v>0</v>
      </c>
      <c r="S103" s="150">
        <v>0</v>
      </c>
      <c r="T103" s="150">
        <v>0</v>
      </c>
      <c r="U103" s="452">
        <v>0</v>
      </c>
      <c r="V103" s="246">
        <f t="shared" si="20"/>
        <v>0</v>
      </c>
    </row>
    <row r="104" spans="4:22" s="201" customFormat="1" ht="13" outlineLevel="1" x14ac:dyDescent="0.25">
      <c r="F104" s="213">
        <v>0</v>
      </c>
      <c r="G104" s="213">
        <v>0</v>
      </c>
      <c r="H104" s="213">
        <v>0</v>
      </c>
      <c r="I104" s="213">
        <v>0</v>
      </c>
      <c r="J104" s="218">
        <v>0</v>
      </c>
      <c r="K104" s="218">
        <v>0</v>
      </c>
      <c r="L104" s="221" t="s">
        <v>85</v>
      </c>
      <c r="M104" s="222">
        <f t="shared" si="19"/>
        <v>43617</v>
      </c>
      <c r="O104" s="150">
        <v>0</v>
      </c>
      <c r="P104" s="150">
        <v>0</v>
      </c>
      <c r="Q104" s="459">
        <v>0</v>
      </c>
      <c r="R104" s="150">
        <v>0</v>
      </c>
      <c r="S104" s="150">
        <v>0</v>
      </c>
      <c r="T104" s="150">
        <v>0</v>
      </c>
      <c r="U104" s="452">
        <v>0</v>
      </c>
      <c r="V104" s="246">
        <f t="shared" si="20"/>
        <v>0</v>
      </c>
    </row>
    <row r="105" spans="4:22" s="201" customFormat="1" ht="13" outlineLevel="1" x14ac:dyDescent="0.25">
      <c r="F105" s="213">
        <v>0</v>
      </c>
      <c r="G105" s="213">
        <v>0</v>
      </c>
      <c r="H105" s="213">
        <v>0</v>
      </c>
      <c r="I105" s="213">
        <v>0</v>
      </c>
      <c r="J105" s="218">
        <v>0</v>
      </c>
      <c r="K105" s="218">
        <v>0</v>
      </c>
      <c r="L105" s="221" t="s">
        <v>85</v>
      </c>
      <c r="M105" s="222">
        <f t="shared" si="19"/>
        <v>43617</v>
      </c>
      <c r="O105" s="150">
        <v>0</v>
      </c>
      <c r="P105" s="150">
        <v>0</v>
      </c>
      <c r="Q105" s="459">
        <v>0</v>
      </c>
      <c r="R105" s="150">
        <v>0</v>
      </c>
      <c r="S105" s="150">
        <v>0</v>
      </c>
      <c r="T105" s="150">
        <v>0</v>
      </c>
      <c r="U105" s="452">
        <v>0</v>
      </c>
      <c r="V105" s="246">
        <f t="shared" si="20"/>
        <v>0</v>
      </c>
    </row>
    <row r="106" spans="4:22" s="201" customFormat="1" ht="13" outlineLevel="1" x14ac:dyDescent="0.25">
      <c r="F106" s="213">
        <v>0</v>
      </c>
      <c r="G106" s="213">
        <v>0</v>
      </c>
      <c r="H106" s="213">
        <v>0</v>
      </c>
      <c r="I106" s="213">
        <v>0</v>
      </c>
      <c r="J106" s="218">
        <v>0</v>
      </c>
      <c r="K106" s="218">
        <v>0</v>
      </c>
      <c r="L106" s="221" t="s">
        <v>85</v>
      </c>
      <c r="M106" s="222">
        <f t="shared" si="19"/>
        <v>43617</v>
      </c>
      <c r="N106" s="249"/>
      <c r="O106" s="150">
        <v>0</v>
      </c>
      <c r="P106" s="150">
        <v>0</v>
      </c>
      <c r="Q106" s="459">
        <v>0</v>
      </c>
      <c r="R106" s="150">
        <v>0</v>
      </c>
      <c r="S106" s="150">
        <v>0</v>
      </c>
      <c r="T106" s="150">
        <v>0</v>
      </c>
      <c r="U106" s="452">
        <v>0</v>
      </c>
      <c r="V106" s="246">
        <f t="shared" si="20"/>
        <v>0</v>
      </c>
    </row>
    <row r="107" spans="4:22" s="201" customFormat="1" ht="13" outlineLevel="1" x14ac:dyDescent="0.25">
      <c r="F107" s="213">
        <v>0</v>
      </c>
      <c r="G107" s="213">
        <v>0</v>
      </c>
      <c r="H107" s="213">
        <v>0</v>
      </c>
      <c r="I107" s="213">
        <v>0</v>
      </c>
      <c r="J107" s="218">
        <v>0</v>
      </c>
      <c r="K107" s="218">
        <v>0</v>
      </c>
      <c r="L107" s="221" t="s">
        <v>85</v>
      </c>
      <c r="M107" s="222">
        <f t="shared" si="19"/>
        <v>43617</v>
      </c>
      <c r="N107" s="249"/>
      <c r="O107" s="150">
        <v>0</v>
      </c>
      <c r="P107" s="150">
        <v>0</v>
      </c>
      <c r="Q107" s="459">
        <v>0</v>
      </c>
      <c r="R107" s="150">
        <v>0</v>
      </c>
      <c r="S107" s="150">
        <v>0</v>
      </c>
      <c r="T107" s="150">
        <v>0</v>
      </c>
      <c r="U107" s="452">
        <v>0</v>
      </c>
      <c r="V107" s="246">
        <f t="shared" si="20"/>
        <v>0</v>
      </c>
    </row>
    <row r="108" spans="4:22" s="201" customFormat="1" ht="13" outlineLevel="1" x14ac:dyDescent="0.25">
      <c r="F108" s="255">
        <v>0</v>
      </c>
      <c r="G108" s="255">
        <v>0</v>
      </c>
      <c r="H108" s="255">
        <v>0</v>
      </c>
      <c r="I108" s="255">
        <v>0</v>
      </c>
      <c r="J108" s="256">
        <v>0</v>
      </c>
      <c r="K108" s="256">
        <v>0</v>
      </c>
      <c r="L108" s="221" t="s">
        <v>85</v>
      </c>
      <c r="M108" s="222">
        <f t="shared" si="19"/>
        <v>43617</v>
      </c>
      <c r="N108" s="249"/>
      <c r="O108" s="150">
        <v>0</v>
      </c>
      <c r="P108" s="150">
        <v>0</v>
      </c>
      <c r="Q108" s="459">
        <v>0</v>
      </c>
      <c r="R108" s="150">
        <v>0</v>
      </c>
      <c r="S108" s="150">
        <v>0</v>
      </c>
      <c r="T108" s="150">
        <v>0</v>
      </c>
      <c r="U108" s="452">
        <v>0</v>
      </c>
      <c r="V108" s="246">
        <f t="shared" si="20"/>
        <v>0</v>
      </c>
    </row>
    <row r="109" spans="4:22" s="201" customFormat="1" ht="13" outlineLevel="1" x14ac:dyDescent="0.25">
      <c r="F109" s="242" t="s">
        <v>17</v>
      </c>
      <c r="G109" s="243"/>
      <c r="H109" s="243"/>
      <c r="I109" s="243"/>
      <c r="J109" s="243"/>
      <c r="K109" s="244"/>
      <c r="L109" s="247" t="s">
        <v>85</v>
      </c>
      <c r="M109" s="152">
        <f t="shared" si="19"/>
        <v>43617</v>
      </c>
      <c r="N109" s="249"/>
      <c r="O109" s="154">
        <f t="shared" ref="O109:U109" si="21">SUM(O94:O107)</f>
        <v>0</v>
      </c>
      <c r="P109" s="430">
        <f t="shared" si="21"/>
        <v>0</v>
      </c>
      <c r="Q109" s="480">
        <f t="shared" si="21"/>
        <v>0</v>
      </c>
      <c r="R109" s="248">
        <f t="shared" si="21"/>
        <v>0</v>
      </c>
      <c r="S109" s="248">
        <f t="shared" si="21"/>
        <v>0</v>
      </c>
      <c r="T109" s="248">
        <f t="shared" si="21"/>
        <v>0</v>
      </c>
      <c r="U109" s="248">
        <f t="shared" si="21"/>
        <v>0</v>
      </c>
      <c r="V109" s="233">
        <f>SUM(O109:U109)</f>
        <v>0</v>
      </c>
    </row>
    <row r="110" spans="4:22" s="201" customFormat="1" outlineLevel="1" x14ac:dyDescent="0.25">
      <c r="N110" s="249"/>
    </row>
    <row r="111" spans="4:22" s="201" customFormat="1" outlineLevel="1" x14ac:dyDescent="0.25">
      <c r="N111" s="249"/>
    </row>
    <row r="112" spans="4:22" s="201" customFormat="1" outlineLevel="1" x14ac:dyDescent="0.25">
      <c r="D112" s="201" t="s">
        <v>20</v>
      </c>
      <c r="E112" s="201" t="s">
        <v>317</v>
      </c>
    </row>
    <row r="113" spans="6:22" s="201" customFormat="1" ht="13" outlineLevel="1" x14ac:dyDescent="0.25">
      <c r="F113" s="121" t="str">
        <f>I_MeterTypes[[#Headers],[Meter Type]]</f>
        <v>Meter Type</v>
      </c>
      <c r="G113" s="121" t="str">
        <f>I_MeterTypes[[#Headers],[RIN Subcategory 1]]</f>
        <v>RIN Subcategory 1</v>
      </c>
      <c r="H113" s="121" t="str">
        <f>I_MeterTypes[[#Headers],[RIN Subcategory 2]]</f>
        <v>RIN Subcategory 2</v>
      </c>
      <c r="I113" s="121" t="str">
        <f>I_MeterTypes[[#Headers],[AER Type]]</f>
        <v>AER Type</v>
      </c>
      <c r="J113" s="121" t="str">
        <f>I_MeterTypes[[#Headers],[RIN Subcategory 3]]</f>
        <v>RIN Subcategory 3</v>
      </c>
      <c r="K113" s="121" t="str">
        <f>I_MeterTypes[[#Headers],[Meter Code]]</f>
        <v>Meter Code</v>
      </c>
      <c r="L113" s="121" t="s">
        <v>6</v>
      </c>
      <c r="M113" s="121" t="s">
        <v>118</v>
      </c>
      <c r="O113" s="122" t="str">
        <f>O$12</f>
        <v>2018-19</v>
      </c>
      <c r="P113" s="149" t="str">
        <f t="shared" ref="P113:U113" si="22">P$12</f>
        <v>2019-20</v>
      </c>
      <c r="Q113" s="122" t="str">
        <f t="shared" si="22"/>
        <v>2020-21</v>
      </c>
      <c r="R113" s="122" t="str">
        <f t="shared" si="22"/>
        <v>2021-22</v>
      </c>
      <c r="S113" s="122" t="str">
        <f t="shared" si="22"/>
        <v>2022-23</v>
      </c>
      <c r="T113" s="122" t="str">
        <f t="shared" si="22"/>
        <v>2023-24</v>
      </c>
      <c r="U113" s="122" t="str">
        <f t="shared" si="22"/>
        <v>2024-25</v>
      </c>
      <c r="V113" s="124" t="s">
        <v>17</v>
      </c>
    </row>
    <row r="114" spans="6:22" s="201" customFormat="1" ht="13" outlineLevel="1" x14ac:dyDescent="0.25">
      <c r="F114" s="213" t="str" cm="1">
        <f t="array" ref="F114:F128">I_MeterTypes[Meter Type]</f>
        <v>AMI - Single Phase, single element</v>
      </c>
      <c r="G114" s="213" t="str" cm="1">
        <f t="array" ref="G114:G128">I_MeterTypes[RIN Subcategory 1]</f>
        <v>Single Phase Meter Population</v>
      </c>
      <c r="H114" s="213" t="str" cm="1">
        <f t="array" ref="H114:H128">I_MeterTypes[RIN Subcategory 2]</f>
        <v>Other</v>
      </c>
      <c r="I114" s="213" t="str" cm="1">
        <f t="array" ref="I114:I128">I_MeterTypes[AER Type]</f>
        <v>Meter Type 4</v>
      </c>
      <c r="J114" s="213" t="str" cm="1">
        <f t="array" ref="J114:J128">I_MeterTypes[RIN Subcategory 3]</f>
        <v>Single phase single element - AMI</v>
      </c>
      <c r="K114" s="213" t="str" cm="1">
        <f t="array" ref="K114:K128">I_MeterTypes[Meter Code]</f>
        <v>AMI 1ph 1e</v>
      </c>
      <c r="L114" s="221" t="s">
        <v>85</v>
      </c>
      <c r="M114" s="222">
        <f t="shared" ref="M114:M129" si="23">Basis_Capex</f>
        <v>43617</v>
      </c>
      <c r="O114" s="150" cm="1">
        <f t="array" ref="O114:U128">(1-'Input | Meters Vols &amp; Costs'!J29)*ICM_D_TC1+
(1-'Input | Meters Vols &amp; Costs'!J30)*ICM_D_TC2+
(1-'Input | Meters Vols &amp; Costs'!J31)*ICM_D_TC3+
(1-'Input | Meters Vols &amp; Costs'!J32)*ICM_D_TC4+
(1-'Input | Meters Vols &amp; Costs'!J33)*ICM_D_TC5+
(1-'Input | Meters Vols &amp; Costs'!J34)*ICM_D_TC6+
(1-'Input | Meters Vols &amp; Costs'!J35)*ICM_D_TC7+
(1-'Input | Meters Vols &amp; Costs'!J36)*ICM_D_TC8+
(1-'Input | Meters Vols &amp; Costs'!J37)*ICM_D_TC9+
(1-'Input | Meters Vols &amp; Costs'!J38)*ICM_D_TC10</f>
        <v>0</v>
      </c>
      <c r="P114" s="150">
        <v>4847064.5489449138</v>
      </c>
      <c r="Q114" s="459">
        <v>4871772.0127358148</v>
      </c>
      <c r="R114" s="150">
        <v>4888251.5088603506</v>
      </c>
      <c r="S114" s="150">
        <v>4903499.4889109572</v>
      </c>
      <c r="T114" s="150">
        <v>4921954.3679373255</v>
      </c>
      <c r="U114" s="452">
        <v>4946079.4549180213</v>
      </c>
      <c r="V114" s="246">
        <f>SUM(N114:U114)</f>
        <v>29378621.382307388</v>
      </c>
    </row>
    <row r="115" spans="6:22" s="201" customFormat="1" ht="13" outlineLevel="1" x14ac:dyDescent="0.25">
      <c r="F115" s="213" t="str">
        <v>AMI - Single Phase, two element</v>
      </c>
      <c r="G115" s="213" t="str">
        <v>Single Phase Meter Population</v>
      </c>
      <c r="H115" s="213" t="str">
        <v>Other</v>
      </c>
      <c r="I115" s="213" t="str">
        <v>Meter Type 4</v>
      </c>
      <c r="J115" s="218" t="str">
        <v>Single phase two element with contactor - AMI</v>
      </c>
      <c r="K115" s="218" t="str">
        <v>AMI 1ph 2e</v>
      </c>
      <c r="L115" s="221" t="s">
        <v>85</v>
      </c>
      <c r="M115" s="222">
        <f t="shared" si="23"/>
        <v>43617</v>
      </c>
      <c r="O115" s="150">
        <v>0</v>
      </c>
      <c r="P115" s="150">
        <v>0</v>
      </c>
      <c r="Q115" s="459">
        <v>0</v>
      </c>
      <c r="R115" s="150">
        <v>0</v>
      </c>
      <c r="S115" s="150">
        <v>0</v>
      </c>
      <c r="T115" s="150">
        <v>0</v>
      </c>
      <c r="U115" s="452">
        <v>0</v>
      </c>
      <c r="V115" s="246">
        <f t="shared" ref="V115:V128" si="24">SUM(N115:U115)</f>
        <v>0</v>
      </c>
    </row>
    <row r="116" spans="6:22" s="201" customFormat="1" ht="13" outlineLevel="1" x14ac:dyDescent="0.25">
      <c r="F116" s="213" t="str">
        <v>AMI - 3 Phase DC</v>
      </c>
      <c r="G116" s="213" t="str">
        <v>Multi Phase Meter Population</v>
      </c>
      <c r="H116" s="213" t="str">
        <v>Direct Connect Meter Population</v>
      </c>
      <c r="I116" s="213" t="str">
        <v>Meter Type 4</v>
      </c>
      <c r="J116" s="218" t="str">
        <v>Three phase - AMI</v>
      </c>
      <c r="K116" s="218" t="str">
        <v>AMI 3ph DC</v>
      </c>
      <c r="L116" s="221" t="s">
        <v>85</v>
      </c>
      <c r="M116" s="222">
        <f t="shared" si="23"/>
        <v>43617</v>
      </c>
      <c r="O116" s="150">
        <v>0</v>
      </c>
      <c r="P116" s="150">
        <v>0</v>
      </c>
      <c r="Q116" s="459">
        <v>0</v>
      </c>
      <c r="R116" s="150">
        <v>0</v>
      </c>
      <c r="S116" s="150">
        <v>0</v>
      </c>
      <c r="T116" s="150">
        <v>0</v>
      </c>
      <c r="U116" s="452">
        <v>0</v>
      </c>
      <c r="V116" s="246">
        <f t="shared" si="24"/>
        <v>0</v>
      </c>
    </row>
    <row r="117" spans="6:22" s="201" customFormat="1" ht="13" outlineLevel="1" x14ac:dyDescent="0.25">
      <c r="F117" s="213" t="str">
        <v>AMI 3Ph CT</v>
      </c>
      <c r="G117" s="213" t="str">
        <v>Multi Phase Meter Population</v>
      </c>
      <c r="H117" s="213" t="str">
        <v>Current Transformer Connected Meter Population</v>
      </c>
      <c r="I117" s="213" t="str">
        <v>Meter Type 4</v>
      </c>
      <c r="J117" s="218">
        <v>0</v>
      </c>
      <c r="K117" s="218" t="str">
        <v>AMI 3ph CT</v>
      </c>
      <c r="L117" s="221" t="s">
        <v>85</v>
      </c>
      <c r="M117" s="222">
        <f t="shared" si="23"/>
        <v>43617</v>
      </c>
      <c r="O117" s="150">
        <v>0</v>
      </c>
      <c r="P117" s="150">
        <v>0</v>
      </c>
      <c r="Q117" s="459">
        <v>0</v>
      </c>
      <c r="R117" s="150">
        <v>0</v>
      </c>
      <c r="S117" s="150">
        <v>0</v>
      </c>
      <c r="T117" s="150">
        <v>0</v>
      </c>
      <c r="U117" s="452">
        <v>0</v>
      </c>
      <c r="V117" s="246">
        <f t="shared" si="24"/>
        <v>0</v>
      </c>
    </row>
    <row r="118" spans="6:22" s="201" customFormat="1" ht="13" outlineLevel="1" x14ac:dyDescent="0.25">
      <c r="F118" s="213" t="str">
        <v>Non AMI - Type 5 Locally read Interval - Single Phase</v>
      </c>
      <c r="G118" s="213" t="str">
        <v>Single Phase Meter Population</v>
      </c>
      <c r="H118" s="213" t="str">
        <v>Direct Connect Meter Population</v>
      </c>
      <c r="I118" s="213" t="str">
        <v>Meter Type 5</v>
      </c>
      <c r="J118" s="218">
        <v>0</v>
      </c>
      <c r="K118" s="218" t="str">
        <v>INT 1ph</v>
      </c>
      <c r="L118" s="221" t="s">
        <v>85</v>
      </c>
      <c r="M118" s="222">
        <f t="shared" si="23"/>
        <v>43617</v>
      </c>
      <c r="O118" s="150">
        <v>0</v>
      </c>
      <c r="P118" s="150">
        <v>0</v>
      </c>
      <c r="Q118" s="459">
        <v>0</v>
      </c>
      <c r="R118" s="150">
        <v>0</v>
      </c>
      <c r="S118" s="150">
        <v>0</v>
      </c>
      <c r="T118" s="150">
        <v>0</v>
      </c>
      <c r="U118" s="452">
        <v>0</v>
      </c>
      <c r="V118" s="246">
        <f t="shared" si="24"/>
        <v>0</v>
      </c>
    </row>
    <row r="119" spans="6:22" s="201" customFormat="1" ht="13" outlineLevel="1" x14ac:dyDescent="0.25">
      <c r="F119" s="213" t="str">
        <v>Non AMI - Type 5 Locally read Interval - 3 Phase</v>
      </c>
      <c r="G119" s="213" t="str">
        <v>Single Phase Meter Population</v>
      </c>
      <c r="H119" s="213" t="str">
        <v>Direct Connect Meter Population</v>
      </c>
      <c r="I119" s="213" t="str">
        <v>Meter Type 5</v>
      </c>
      <c r="J119" s="218">
        <v>0</v>
      </c>
      <c r="K119" s="218" t="str">
        <v>INT 3ph</v>
      </c>
      <c r="L119" s="221" t="s">
        <v>85</v>
      </c>
      <c r="M119" s="222">
        <f t="shared" si="23"/>
        <v>43617</v>
      </c>
      <c r="O119" s="150">
        <v>0</v>
      </c>
      <c r="P119" s="150">
        <v>0</v>
      </c>
      <c r="Q119" s="459">
        <v>0</v>
      </c>
      <c r="R119" s="150">
        <v>0</v>
      </c>
      <c r="S119" s="150">
        <v>0</v>
      </c>
      <c r="T119" s="150">
        <v>0</v>
      </c>
      <c r="U119" s="452">
        <v>0</v>
      </c>
      <c r="V119" s="246">
        <f t="shared" si="24"/>
        <v>0</v>
      </c>
    </row>
    <row r="120" spans="6:22" s="201" customFormat="1" ht="13" outlineLevel="1" x14ac:dyDescent="0.25">
      <c r="F120" s="213" t="str">
        <v>Non AMI - Type 5 Locally read Interval - 3 Phase - CT</v>
      </c>
      <c r="G120" s="213" t="str">
        <v>Multi Phase Meter Population</v>
      </c>
      <c r="H120" s="213" t="str">
        <v>Current Transformer Connected Meter Population</v>
      </c>
      <c r="I120" s="213" t="str">
        <v>Meter Type 5</v>
      </c>
      <c r="J120" s="218">
        <v>0</v>
      </c>
      <c r="K120" s="218" t="str">
        <v>INT 3ph CT</v>
      </c>
      <c r="L120" s="221" t="s">
        <v>85</v>
      </c>
      <c r="M120" s="222">
        <f t="shared" si="23"/>
        <v>43617</v>
      </c>
      <c r="O120" s="150">
        <v>0</v>
      </c>
      <c r="P120" s="150">
        <v>0</v>
      </c>
      <c r="Q120" s="459">
        <v>0</v>
      </c>
      <c r="R120" s="150">
        <v>0</v>
      </c>
      <c r="S120" s="150">
        <v>0</v>
      </c>
      <c r="T120" s="150">
        <v>0</v>
      </c>
      <c r="U120" s="452">
        <v>0</v>
      </c>
      <c r="V120" s="246">
        <f t="shared" si="24"/>
        <v>0</v>
      </c>
    </row>
    <row r="121" spans="6:22" s="201" customFormat="1" ht="13" outlineLevel="1" x14ac:dyDescent="0.25">
      <c r="F121" s="213" t="str">
        <v>Non AMI - Type 6 Locally read Accumulation - Single Phase</v>
      </c>
      <c r="G121" s="213" t="str">
        <v>Multi Phase Meter Population</v>
      </c>
      <c r="H121" s="213" t="str">
        <v>Direct Connect Meter Population</v>
      </c>
      <c r="I121" s="213" t="str">
        <v>Meter Type 6</v>
      </c>
      <c r="J121" s="218">
        <v>0</v>
      </c>
      <c r="K121" s="218" t="str">
        <v>ACC 1ph</v>
      </c>
      <c r="L121" s="221" t="s">
        <v>85</v>
      </c>
      <c r="M121" s="222">
        <f t="shared" si="23"/>
        <v>43617</v>
      </c>
      <c r="O121" s="150">
        <v>0</v>
      </c>
      <c r="P121" s="150">
        <v>0</v>
      </c>
      <c r="Q121" s="459">
        <v>0</v>
      </c>
      <c r="R121" s="150">
        <v>0</v>
      </c>
      <c r="S121" s="150">
        <v>0</v>
      </c>
      <c r="T121" s="150">
        <v>0</v>
      </c>
      <c r="U121" s="452">
        <v>0</v>
      </c>
      <c r="V121" s="246">
        <f t="shared" si="24"/>
        <v>0</v>
      </c>
    </row>
    <row r="122" spans="6:22" s="201" customFormat="1" ht="13" outlineLevel="1" x14ac:dyDescent="0.25">
      <c r="F122" s="213" t="str">
        <v>Non AMI - Type 6 Locally read Accumulation - 3 Phase</v>
      </c>
      <c r="G122" s="213">
        <v>0</v>
      </c>
      <c r="H122" s="213" t="str">
        <v>Direct Connect Meter Population</v>
      </c>
      <c r="I122" s="213" t="str">
        <v>Meter Type 6</v>
      </c>
      <c r="J122" s="218">
        <v>0</v>
      </c>
      <c r="K122" s="218" t="str">
        <v>ACC 3ph</v>
      </c>
      <c r="L122" s="221" t="s">
        <v>85</v>
      </c>
      <c r="M122" s="222">
        <f t="shared" si="23"/>
        <v>43617</v>
      </c>
      <c r="O122" s="150">
        <v>0</v>
      </c>
      <c r="P122" s="150">
        <v>0</v>
      </c>
      <c r="Q122" s="459">
        <v>0</v>
      </c>
      <c r="R122" s="150">
        <v>0</v>
      </c>
      <c r="S122" s="150">
        <v>0</v>
      </c>
      <c r="T122" s="150">
        <v>0</v>
      </c>
      <c r="U122" s="452">
        <v>0</v>
      </c>
      <c r="V122" s="246">
        <f t="shared" si="24"/>
        <v>0</v>
      </c>
    </row>
    <row r="123" spans="6:22" s="201" customFormat="1" ht="13" outlineLevel="1" x14ac:dyDescent="0.25">
      <c r="F123" s="213">
        <v>0</v>
      </c>
      <c r="G123" s="213">
        <v>0</v>
      </c>
      <c r="H123" s="213">
        <v>0</v>
      </c>
      <c r="I123" s="213">
        <v>0</v>
      </c>
      <c r="J123" s="218">
        <v>0</v>
      </c>
      <c r="K123" s="218">
        <v>0</v>
      </c>
      <c r="L123" s="221" t="s">
        <v>85</v>
      </c>
      <c r="M123" s="222">
        <f t="shared" si="23"/>
        <v>43617</v>
      </c>
      <c r="O123" s="150">
        <v>0</v>
      </c>
      <c r="P123" s="150">
        <v>0</v>
      </c>
      <c r="Q123" s="459">
        <v>0</v>
      </c>
      <c r="R123" s="150">
        <v>0</v>
      </c>
      <c r="S123" s="150">
        <v>0</v>
      </c>
      <c r="T123" s="150">
        <v>0</v>
      </c>
      <c r="U123" s="452">
        <v>0</v>
      </c>
      <c r="V123" s="246">
        <f t="shared" si="24"/>
        <v>0</v>
      </c>
    </row>
    <row r="124" spans="6:22" s="201" customFormat="1" ht="13" outlineLevel="1" x14ac:dyDescent="0.25">
      <c r="F124" s="213">
        <v>0</v>
      </c>
      <c r="G124" s="213">
        <v>0</v>
      </c>
      <c r="H124" s="213">
        <v>0</v>
      </c>
      <c r="I124" s="213">
        <v>0</v>
      </c>
      <c r="J124" s="218">
        <v>0</v>
      </c>
      <c r="K124" s="218">
        <v>0</v>
      </c>
      <c r="L124" s="221" t="s">
        <v>85</v>
      </c>
      <c r="M124" s="222">
        <f t="shared" si="23"/>
        <v>43617</v>
      </c>
      <c r="O124" s="150">
        <v>0</v>
      </c>
      <c r="P124" s="150">
        <v>0</v>
      </c>
      <c r="Q124" s="459">
        <v>0</v>
      </c>
      <c r="R124" s="150">
        <v>0</v>
      </c>
      <c r="S124" s="150">
        <v>0</v>
      </c>
      <c r="T124" s="150">
        <v>0</v>
      </c>
      <c r="U124" s="452">
        <v>0</v>
      </c>
      <c r="V124" s="246">
        <f t="shared" si="24"/>
        <v>0</v>
      </c>
    </row>
    <row r="125" spans="6:22" s="201" customFormat="1" ht="13" outlineLevel="1" x14ac:dyDescent="0.25">
      <c r="F125" s="213">
        <v>0</v>
      </c>
      <c r="G125" s="213">
        <v>0</v>
      </c>
      <c r="H125" s="213">
        <v>0</v>
      </c>
      <c r="I125" s="213">
        <v>0</v>
      </c>
      <c r="J125" s="218">
        <v>0</v>
      </c>
      <c r="K125" s="218">
        <v>0</v>
      </c>
      <c r="L125" s="221" t="s">
        <v>85</v>
      </c>
      <c r="M125" s="222">
        <f t="shared" si="23"/>
        <v>43617</v>
      </c>
      <c r="O125" s="150">
        <v>0</v>
      </c>
      <c r="P125" s="150">
        <v>0</v>
      </c>
      <c r="Q125" s="459">
        <v>0</v>
      </c>
      <c r="R125" s="150">
        <v>0</v>
      </c>
      <c r="S125" s="150">
        <v>0</v>
      </c>
      <c r="T125" s="150">
        <v>0</v>
      </c>
      <c r="U125" s="452">
        <v>0</v>
      </c>
      <c r="V125" s="246">
        <f t="shared" si="24"/>
        <v>0</v>
      </c>
    </row>
    <row r="126" spans="6:22" s="201" customFormat="1" ht="13" outlineLevel="1" x14ac:dyDescent="0.25">
      <c r="F126" s="213">
        <v>0</v>
      </c>
      <c r="G126" s="213">
        <v>0</v>
      </c>
      <c r="H126" s="213">
        <v>0</v>
      </c>
      <c r="I126" s="213">
        <v>0</v>
      </c>
      <c r="J126" s="218">
        <v>0</v>
      </c>
      <c r="K126" s="218">
        <v>0</v>
      </c>
      <c r="L126" s="221" t="s">
        <v>85</v>
      </c>
      <c r="M126" s="222">
        <f t="shared" si="23"/>
        <v>43617</v>
      </c>
      <c r="O126" s="150">
        <v>0</v>
      </c>
      <c r="P126" s="150">
        <v>0</v>
      </c>
      <c r="Q126" s="459">
        <v>0</v>
      </c>
      <c r="R126" s="150">
        <v>0</v>
      </c>
      <c r="S126" s="150">
        <v>0</v>
      </c>
      <c r="T126" s="150">
        <v>0</v>
      </c>
      <c r="U126" s="452">
        <v>0</v>
      </c>
      <c r="V126" s="246">
        <f t="shared" si="24"/>
        <v>0</v>
      </c>
    </row>
    <row r="127" spans="6:22" s="201" customFormat="1" ht="13" outlineLevel="1" x14ac:dyDescent="0.25">
      <c r="F127" s="213">
        <v>0</v>
      </c>
      <c r="G127" s="213">
        <v>0</v>
      </c>
      <c r="H127" s="213">
        <v>0</v>
      </c>
      <c r="I127" s="213">
        <v>0</v>
      </c>
      <c r="J127" s="218">
        <v>0</v>
      </c>
      <c r="K127" s="218">
        <v>0</v>
      </c>
      <c r="L127" s="221" t="s">
        <v>85</v>
      </c>
      <c r="M127" s="222">
        <f t="shared" si="23"/>
        <v>43617</v>
      </c>
      <c r="N127" s="249"/>
      <c r="O127" s="150">
        <v>0</v>
      </c>
      <c r="P127" s="150">
        <v>0</v>
      </c>
      <c r="Q127" s="459">
        <v>0</v>
      </c>
      <c r="R127" s="150">
        <v>0</v>
      </c>
      <c r="S127" s="150">
        <v>0</v>
      </c>
      <c r="T127" s="150">
        <v>0</v>
      </c>
      <c r="U127" s="452">
        <v>0</v>
      </c>
      <c r="V127" s="246">
        <f t="shared" si="24"/>
        <v>0</v>
      </c>
    </row>
    <row r="128" spans="6:22" s="201" customFormat="1" ht="13" outlineLevel="1" x14ac:dyDescent="0.25">
      <c r="F128" s="255">
        <v>0</v>
      </c>
      <c r="G128" s="255">
        <v>0</v>
      </c>
      <c r="H128" s="255">
        <v>0</v>
      </c>
      <c r="I128" s="255">
        <v>0</v>
      </c>
      <c r="J128" s="256">
        <v>0</v>
      </c>
      <c r="K128" s="256">
        <v>0</v>
      </c>
      <c r="L128" s="221" t="s">
        <v>85</v>
      </c>
      <c r="M128" s="222">
        <f t="shared" si="23"/>
        <v>43617</v>
      </c>
      <c r="N128" s="249"/>
      <c r="O128" s="150">
        <v>0</v>
      </c>
      <c r="P128" s="150">
        <v>0</v>
      </c>
      <c r="Q128" s="459">
        <v>0</v>
      </c>
      <c r="R128" s="150">
        <v>0</v>
      </c>
      <c r="S128" s="150">
        <v>0</v>
      </c>
      <c r="T128" s="150">
        <v>0</v>
      </c>
      <c r="U128" s="452">
        <v>0</v>
      </c>
      <c r="V128" s="246">
        <f t="shared" si="24"/>
        <v>0</v>
      </c>
    </row>
    <row r="129" spans="1:24" s="201" customFormat="1" ht="13" outlineLevel="1" x14ac:dyDescent="0.25">
      <c r="F129" s="242" t="s">
        <v>17</v>
      </c>
      <c r="G129" s="243"/>
      <c r="H129" s="243"/>
      <c r="I129" s="243"/>
      <c r="J129" s="243"/>
      <c r="K129" s="244"/>
      <c r="L129" s="247" t="s">
        <v>85</v>
      </c>
      <c r="M129" s="152">
        <f t="shared" si="23"/>
        <v>43617</v>
      </c>
      <c r="N129" s="249"/>
      <c r="O129" s="154">
        <f t="shared" ref="O129:S129" si="25">SUM(O114:O127)</f>
        <v>0</v>
      </c>
      <c r="P129" s="430">
        <f t="shared" si="25"/>
        <v>4847064.5489449138</v>
      </c>
      <c r="Q129" s="480">
        <f t="shared" si="25"/>
        <v>4871772.0127358148</v>
      </c>
      <c r="R129" s="248">
        <f t="shared" si="25"/>
        <v>4888251.5088603506</v>
      </c>
      <c r="S129" s="248">
        <f t="shared" si="25"/>
        <v>4903499.4889109572</v>
      </c>
      <c r="T129" s="248">
        <f>SUM(T114:T127)</f>
        <v>4921954.3679373255</v>
      </c>
      <c r="U129" s="248">
        <f>SUM(U114:U127)</f>
        <v>4946079.4549180213</v>
      </c>
      <c r="V129" s="233">
        <f>SUM(Q129:U129)</f>
        <v>24531556.833362468</v>
      </c>
      <c r="X129" s="200">
        <f>(V129+V109=V88)/1</f>
        <v>1</v>
      </c>
    </row>
    <row r="130" spans="1:24" s="201" customFormat="1" outlineLevel="1" x14ac:dyDescent="0.25">
      <c r="N130" s="249"/>
    </row>
    <row r="131" spans="1:24" s="201" customFormat="1" outlineLevel="1" x14ac:dyDescent="0.25">
      <c r="N131" s="249"/>
    </row>
    <row r="132" spans="1:24" x14ac:dyDescent="0.25"/>
    <row r="133" spans="1:24" x14ac:dyDescent="0.25"/>
    <row r="134" spans="1:24" s="201" customFormat="1" ht="13" x14ac:dyDescent="0.3">
      <c r="A134" s="266" t="s">
        <v>280</v>
      </c>
      <c r="B134" s="266"/>
      <c r="C134" s="266"/>
      <c r="D134" s="266"/>
      <c r="E134" s="266"/>
      <c r="F134" s="266"/>
      <c r="G134" s="266"/>
      <c r="H134" s="266"/>
      <c r="I134" s="266"/>
      <c r="J134" s="266"/>
      <c r="K134" s="178"/>
      <c r="L134" s="178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1:24" s="201" customFormat="1" x14ac:dyDescent="0.25">
      <c r="N135" s="228"/>
    </row>
    <row r="136" spans="1:24" s="201" customFormat="1" x14ac:dyDescent="0.25">
      <c r="N136" s="228"/>
    </row>
    <row r="137" spans="1:24" s="201" customFormat="1" ht="13" x14ac:dyDescent="0.3">
      <c r="D137" s="202" t="s">
        <v>299</v>
      </c>
      <c r="N137" s="228"/>
      <c r="O137"/>
      <c r="P137"/>
    </row>
    <row r="138" spans="1:24" s="201" customFormat="1" ht="13" x14ac:dyDescent="0.25">
      <c r="F138" s="121" t="s">
        <v>301</v>
      </c>
      <c r="G138" s="121"/>
      <c r="H138" s="121"/>
      <c r="I138" s="121"/>
      <c r="J138" s="121"/>
      <c r="K138" s="121"/>
      <c r="L138" s="121" t="s">
        <v>6</v>
      </c>
      <c r="M138" s="121" t="s">
        <v>118</v>
      </c>
      <c r="N138"/>
      <c r="O138"/>
      <c r="P138"/>
      <c r="Q138" s="272" t="str">
        <f>'Input | Meters Vols &amp; Costs'!Q$168</f>
        <v>2020-21</v>
      </c>
      <c r="R138" s="124" t="str">
        <f>'Input | Meters Vols &amp; Costs'!R$168</f>
        <v>2021-22</v>
      </c>
      <c r="S138" s="124" t="str">
        <f>'Input | Meters Vols &amp; Costs'!S$168</f>
        <v>2022-23</v>
      </c>
      <c r="T138" s="124" t="str">
        <f>'Input | Meters Vols &amp; Costs'!T$168</f>
        <v>2023-24</v>
      </c>
      <c r="U138" s="124" t="str">
        <f>'Input | Meters Vols &amp; Costs'!U$168</f>
        <v>2024-25</v>
      </c>
      <c r="V138" s="124" t="s">
        <v>17</v>
      </c>
    </row>
    <row r="139" spans="1:24" s="201" customFormat="1" ht="13" x14ac:dyDescent="0.25">
      <c r="F139" s="276" t="s">
        <v>190</v>
      </c>
      <c r="L139" s="618" t="s">
        <v>85</v>
      </c>
      <c r="M139" s="619">
        <f>Basis_Capex</f>
        <v>43617</v>
      </c>
      <c r="N139"/>
      <c r="O139"/>
      <c r="P139"/>
      <c r="Q139" s="273">
        <f>'Input | Meters Vols &amp; Costs'!Q55*
IF('Input | Meters Vols &amp; Costs'!$L55="$millions",10^6,IF('Input | Meters Vols &amp; Costs'!$L55="$000",10^3,1))/IF($M139="$millions",10^6,IF($M139="$000",10^3,1))</f>
        <v>246088.60063679074</v>
      </c>
      <c r="R139" s="273">
        <f>'Input | Meters Vols &amp; Costs'!R55*
IF('Input | Meters Vols &amp; Costs'!$L55="$millions",10^6,IF('Input | Meters Vols &amp; Costs'!$L55="$000",10^3,1))/IF($M139="$millions",10^6,IF($M139="$000",10^3,1))</f>
        <v>246912.57544301753</v>
      </c>
      <c r="S139" s="273">
        <f>'Input | Meters Vols &amp; Costs'!S55*
IF('Input | Meters Vols &amp; Costs'!$L55="$millions",10^6,IF('Input | Meters Vols &amp; Costs'!$L55="$000",10^3,1))/IF($M139="$millions",10^6,IF($M139="$000",10^3,1))</f>
        <v>245174.97444554788</v>
      </c>
      <c r="T139" s="273">
        <f>'Input | Meters Vols &amp; Costs'!T55*
IF('Input | Meters Vols &amp; Costs'!$L55="$millions",10^6,IF('Input | Meters Vols &amp; Costs'!$L55="$000",10^3,1))/IF($M139="$millions",10^6,IF($M139="$000",10^3,1))</f>
        <v>246097.71839686629</v>
      </c>
      <c r="U139" s="273">
        <f>'Input | Meters Vols &amp; Costs'!U55*
IF('Input | Meters Vols &amp; Costs'!$L55="$millions",10^6,IF('Input | Meters Vols &amp; Costs'!$L55="$000",10^3,1))/IF($M139="$millions",10^6,IF($M139="$000",10^3,1))</f>
        <v>247303.97274590109</v>
      </c>
      <c r="V139" s="231">
        <f>SUM(Q139:U139)</f>
        <v>1231577.8416681234</v>
      </c>
      <c r="X139"/>
    </row>
    <row r="140" spans="1:24" s="201" customFormat="1" ht="13" x14ac:dyDescent="0.25">
      <c r="F140" s="276" t="s">
        <v>298</v>
      </c>
      <c r="L140" s="618" t="s">
        <v>85</v>
      </c>
      <c r="M140" s="619">
        <f>Basis_Capex</f>
        <v>43617</v>
      </c>
      <c r="N140"/>
      <c r="O140"/>
      <c r="P140"/>
      <c r="Q140" s="273">
        <f>'Input | Meters Vols &amp; Costs'!Q50*
IF('Input | Meters Vols &amp; Costs'!$L50="$millions",10^6,IF('Input | Meters Vols &amp; Costs'!$L50="$000",10^3,1))/IF($L140="$millions",10^6,IF($L140="$000",10^3,1))</f>
        <v>50000</v>
      </c>
      <c r="R140" s="273">
        <f>'Input | Meters Vols &amp; Costs'!R50*
IF('Input | Meters Vols &amp; Costs'!$L50="$millions",10^6,IF('Input | Meters Vols &amp; Costs'!$L50="$000",10^3,1))/IF($L140="$millions",10^6,IF($L140="$000",10^3,1))</f>
        <v>50000</v>
      </c>
      <c r="S140" s="273">
        <f>'Input | Meters Vols &amp; Costs'!S50*
IF('Input | Meters Vols &amp; Costs'!$L50="$millions",10^6,IF('Input | Meters Vols &amp; Costs'!$L50="$000",10^3,1))/IF($L140="$millions",10^6,IF($L140="$000",10^3,1))</f>
        <v>0</v>
      </c>
      <c r="T140" s="273">
        <f>'Input | Meters Vols &amp; Costs'!T50*
IF('Input | Meters Vols &amp; Costs'!$L50="$millions",10^6,IF('Input | Meters Vols &amp; Costs'!$L50="$000",10^3,1))/IF($L140="$millions",10^6,IF($L140="$000",10^3,1))</f>
        <v>0</v>
      </c>
      <c r="U140" s="273">
        <f>'Input | Meters Vols &amp; Costs'!U50*
IF('Input | Meters Vols &amp; Costs'!$L50="$millions",10^6,IF('Input | Meters Vols &amp; Costs'!$L50="$000",10^3,1))/IF($L140="$millions",10^6,IF($L140="$000",10^3,1))</f>
        <v>0</v>
      </c>
      <c r="V140" s="231">
        <f>SUM(Q140:U140)</f>
        <v>100000</v>
      </c>
      <c r="X140"/>
    </row>
    <row r="141" spans="1:24" s="201" customFormat="1" ht="13" x14ac:dyDescent="0.25">
      <c r="F141" s="276" t="s">
        <v>300</v>
      </c>
      <c r="L141" s="618" t="s">
        <v>85</v>
      </c>
      <c r="M141" s="619">
        <f>Basis_Capex</f>
        <v>43617</v>
      </c>
      <c r="N141"/>
      <c r="O141"/>
      <c r="P141"/>
      <c r="Q141" s="273">
        <f>'Calc | Capex Meters'!Q129</f>
        <v>4871772.0127358148</v>
      </c>
      <c r="R141" s="143">
        <f>'Calc | Capex Meters'!R129</f>
        <v>4888251.5088603506</v>
      </c>
      <c r="S141" s="143">
        <f>'Calc | Capex Meters'!S129</f>
        <v>4903499.4889109572</v>
      </c>
      <c r="T141" s="143">
        <f>'Calc | Capex Meters'!T129</f>
        <v>4921954.3679373255</v>
      </c>
      <c r="U141" s="143">
        <f>'Calc | Capex Meters'!U129</f>
        <v>4946079.4549180213</v>
      </c>
      <c r="V141" s="231">
        <f>SUM(Q141:U141)</f>
        <v>24531556.833362468</v>
      </c>
      <c r="X141" s="200">
        <f>(V141=V129)/1</f>
        <v>1</v>
      </c>
    </row>
    <row r="142" spans="1:24" s="201" customFormat="1" ht="13" x14ac:dyDescent="0.25">
      <c r="F142" s="275" t="s">
        <v>17</v>
      </c>
      <c r="L142" s="618" t="s">
        <v>85</v>
      </c>
      <c r="M142" s="619">
        <f>Basis_Capex</f>
        <v>43617</v>
      </c>
      <c r="N142"/>
      <c r="O142"/>
      <c r="P142"/>
      <c r="Q142" s="290">
        <f>SUM(Q139:Q141)</f>
        <v>5167860.6133726053</v>
      </c>
      <c r="R142" s="232">
        <f>SUM(R139:R141)</f>
        <v>5185164.0843033679</v>
      </c>
      <c r="S142" s="232">
        <f>SUM(S139:S141)</f>
        <v>5148674.4633565051</v>
      </c>
      <c r="T142" s="232">
        <f>SUM(T139:T141)</f>
        <v>5168052.0863341922</v>
      </c>
      <c r="U142" s="232">
        <f>SUM(U139:U141)</f>
        <v>5193383.4276639223</v>
      </c>
      <c r="V142" s="233">
        <f>SUM(Q142:U142)</f>
        <v>25863134.675030593</v>
      </c>
      <c r="X142" s="277"/>
    </row>
    <row r="143" spans="1:24" s="201" customFormat="1" x14ac:dyDescent="0.25"/>
    <row r="144" spans="1:24" x14ac:dyDescent="0.25"/>
    <row r="145" x14ac:dyDescent="0.25"/>
  </sheetData>
  <mergeCells count="2">
    <mergeCell ref="E31:V31"/>
    <mergeCell ref="E11:V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B00C-D8DC-41C0-972E-0F65478DA868}">
  <sheetPr codeName="Sheet14">
    <tabColor theme="1"/>
  </sheetPr>
  <dimension ref="A1"/>
  <sheetViews>
    <sheetView workbookViewId="0"/>
  </sheetViews>
  <sheetFormatPr defaultRowHeight="12.5" x14ac:dyDescent="0.25"/>
  <sheetData>
    <row r="1" spans="1:1" x14ac:dyDescent="0.25">
      <c r="A1" t="s">
        <v>310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CBD4A-1FA2-4B2A-87D6-7B4F67A892E4}">
  <sheetPr codeName="Sheet18">
    <tabColor theme="7" tint="0.59999389629810485"/>
  </sheetPr>
  <dimension ref="A1:W670"/>
  <sheetViews>
    <sheetView showGridLines="0" topLeftCell="J1" zoomScale="70" zoomScaleNormal="70" workbookViewId="0">
      <selection activeCell="O214" sqref="O214"/>
    </sheetView>
  </sheetViews>
  <sheetFormatPr defaultColWidth="0" defaultRowHeight="12.5" outlineLevelRow="1" x14ac:dyDescent="0.25"/>
  <cols>
    <col min="1" max="1" width="1.26953125" customWidth="1"/>
    <col min="2" max="2" width="1.81640625" customWidth="1"/>
    <col min="3" max="3" width="3.453125" customWidth="1"/>
    <col min="4" max="4" width="3.7265625" customWidth="1"/>
    <col min="5" max="5" width="4.1796875" customWidth="1"/>
    <col min="6" max="6" width="15.81640625" customWidth="1"/>
    <col min="7" max="7" width="21.26953125" customWidth="1"/>
    <col min="8" max="8" width="19" customWidth="1"/>
    <col min="9" max="9" width="14.7265625" customWidth="1"/>
    <col min="10" max="10" width="22" customWidth="1"/>
    <col min="11" max="11" width="15.26953125" customWidth="1"/>
    <col min="12" max="12" width="19" customWidth="1"/>
    <col min="13" max="13" width="17.453125" customWidth="1"/>
    <col min="14" max="14" width="13.7265625" customWidth="1"/>
    <col min="15" max="23" width="15" customWidth="1"/>
    <col min="24" max="16384" width="9.1796875" hidden="1"/>
  </cols>
  <sheetData>
    <row r="1" spans="1:23" ht="18" x14ac:dyDescent="0.25">
      <c r="A1" s="67"/>
      <c r="B1" s="67" t="str">
        <f>'Input|General'!B1&amp;" v"&amp;'Input|General'!$D$2</f>
        <v>AER Metering Opex &amp; Capex Forecasting Model DRAFT v1</v>
      </c>
      <c r="C1" s="67"/>
      <c r="D1" s="67"/>
      <c r="E1" s="67"/>
      <c r="F1" s="6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8" x14ac:dyDescent="0.25">
      <c r="A2" s="55"/>
      <c r="B2" s="68" t="str" cm="1">
        <f t="array" aca="1" ref="B2" ca="1">MID(CELL("filename",A1),FIND("]",CELL("filename",A1))+1,255)</f>
        <v>Calc | Meters Detail</v>
      </c>
      <c r="C2" s="55"/>
      <c r="D2" s="55"/>
      <c r="E2" s="55"/>
      <c r="F2" s="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" x14ac:dyDescent="0.25">
      <c r="A3" s="55"/>
      <c r="B3" s="68"/>
      <c r="C3" s="55"/>
      <c r="D3" s="55"/>
      <c r="E3" s="55"/>
      <c r="F3" s="5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6" spans="1:23" s="201" customFormat="1" ht="13" x14ac:dyDescent="0.3">
      <c r="A6" s="701" t="s">
        <v>318</v>
      </c>
      <c r="B6" s="701"/>
      <c r="C6" s="701"/>
      <c r="D6" s="701"/>
      <c r="E6" s="701"/>
      <c r="F6" s="701"/>
      <c r="G6" s="701"/>
      <c r="H6" s="701"/>
      <c r="I6" s="701"/>
      <c r="J6" s="701"/>
      <c r="K6" s="701"/>
      <c r="L6" s="257"/>
      <c r="M6" s="257"/>
      <c r="N6" s="258"/>
      <c r="O6" s="258"/>
      <c r="P6" s="258"/>
      <c r="Q6" s="258"/>
      <c r="R6" s="258"/>
      <c r="S6" s="258"/>
      <c r="T6" s="258"/>
      <c r="U6" s="258"/>
      <c r="V6" s="258"/>
      <c r="W6" s="258"/>
    </row>
    <row r="7" spans="1:23" s="201" customFormat="1" x14ac:dyDescent="0.25"/>
    <row r="8" spans="1:23" s="201" customFormat="1" x14ac:dyDescent="0.25">
      <c r="O8" s="259">
        <v>1</v>
      </c>
      <c r="P8" s="259">
        <v>2</v>
      </c>
      <c r="Q8" s="259">
        <v>3</v>
      </c>
      <c r="R8" s="259">
        <v>4</v>
      </c>
      <c r="S8" s="259">
        <v>5</v>
      </c>
      <c r="T8" s="259">
        <v>6</v>
      </c>
      <c r="U8" s="259">
        <v>7</v>
      </c>
    </row>
    <row r="9" spans="1:23" s="201" customFormat="1" ht="13" x14ac:dyDescent="0.3">
      <c r="B9" s="202" t="s">
        <v>7</v>
      </c>
      <c r="C9" s="202" t="s">
        <v>123</v>
      </c>
    </row>
    <row r="10" spans="1:23" s="201" customFormat="1" hidden="1" outlineLevel="1" x14ac:dyDescent="0.25">
      <c r="D10" s="201">
        <v>1</v>
      </c>
      <c r="E10" s="229" t="str">
        <f>'Input | Meters Vols &amp; Costs'!$G$29</f>
        <v>New Meter Installations - Growth</v>
      </c>
    </row>
    <row r="11" spans="1:23" s="201" customFormat="1" hidden="1" outlineLevel="1" x14ac:dyDescent="0.25">
      <c r="E11" s="229"/>
      <c r="N11" s="228"/>
      <c r="O11"/>
      <c r="P11"/>
      <c r="Q11"/>
      <c r="R11"/>
      <c r="S11"/>
      <c r="T11"/>
      <c r="U11"/>
    </row>
    <row r="12" spans="1:23" s="201" customFormat="1" ht="13" hidden="1" outlineLevel="1" x14ac:dyDescent="0.25">
      <c r="E12" s="229"/>
      <c r="F12" s="121" t="str">
        <f>I_MeterTypes[[#Headers],[Meter Type]]</f>
        <v>Meter Type</v>
      </c>
      <c r="G12" s="121" t="str">
        <f>I_MeterTypes[[#Headers],[RIN Subcategory 1]]</f>
        <v>RIN Subcategory 1</v>
      </c>
      <c r="H12" s="121" t="str">
        <f>I_MeterTypes[[#Headers],[RIN Subcategory 2]]</f>
        <v>RIN Subcategory 2</v>
      </c>
      <c r="I12" s="121" t="str">
        <f>I_MeterTypes[[#Headers],[AER Type]]</f>
        <v>AER Type</v>
      </c>
      <c r="J12" s="121" t="str">
        <f>I_MeterTypes[[#Headers],[RIN Subcategory 3]]</f>
        <v>RIN Subcategory 3</v>
      </c>
      <c r="K12" s="121" t="str">
        <f>I_MeterTypes[[#Headers],[Meter Code]]</f>
        <v>Meter Code</v>
      </c>
      <c r="L12" s="121" t="s">
        <v>6</v>
      </c>
      <c r="M12" s="121" t="s">
        <v>118</v>
      </c>
      <c r="N12"/>
      <c r="O12" s="234" t="str">
        <f>'Input | Meters Vols &amp; Costs'!O$168</f>
        <v>2018-19</v>
      </c>
      <c r="P12" s="234" t="str">
        <f>'Input | Meters Vols &amp; Costs'!P$168</f>
        <v>2019-20</v>
      </c>
      <c r="Q12" s="436" t="str">
        <f>'Input | Meters Vols &amp; Costs'!Q$168</f>
        <v>2020-21</v>
      </c>
      <c r="R12" s="234" t="str">
        <f>'Input | Meters Vols &amp; Costs'!R$168</f>
        <v>2021-22</v>
      </c>
      <c r="S12" s="234" t="str">
        <f>'Input | Meters Vols &amp; Costs'!S$168</f>
        <v>2022-23</v>
      </c>
      <c r="T12" s="234" t="str">
        <f>'Input | Meters Vols &amp; Costs'!T$168</f>
        <v>2023-24</v>
      </c>
      <c r="U12" s="234" t="str">
        <f>'Input | Meters Vols &amp; Costs'!U$168</f>
        <v>2024-25</v>
      </c>
      <c r="V12" s="234" t="s">
        <v>17</v>
      </c>
    </row>
    <row r="13" spans="1:23" s="201" customFormat="1" ht="13" hidden="1" outlineLevel="1" x14ac:dyDescent="0.25">
      <c r="E13" s="229"/>
      <c r="F13" s="213" t="str" cm="1">
        <f t="array" ref="F13:F27">I_MeterTypes[Meter Type]</f>
        <v>AMI - Single Phase, single element</v>
      </c>
      <c r="G13" s="213" t="str" cm="1">
        <f t="array" ref="G13:G27">I_MeterTypes[RIN Subcategory 1]</f>
        <v>Single Phase Meter Population</v>
      </c>
      <c r="H13" s="213" t="str" cm="1">
        <f t="array" ref="H13:H27">I_MeterTypes[RIN Subcategory 2]</f>
        <v>Other</v>
      </c>
      <c r="I13" s="213" t="str" cm="1">
        <f t="array" ref="I13:I27">I_MeterTypes[AER Type]</f>
        <v>Meter Type 4</v>
      </c>
      <c r="J13" s="213" t="str" cm="1">
        <f t="array" ref="J13:J27">I_MeterTypes[RIN Subcategory 3]</f>
        <v>Single phase single element - AMI</v>
      </c>
      <c r="K13" s="213" t="str" cm="1">
        <f t="array" ref="K13:K27">I_MeterTypes[Meter Code]</f>
        <v>AMI 1ph 1e</v>
      </c>
      <c r="L13" s="221" t="s">
        <v>85</v>
      </c>
      <c r="M13" s="260">
        <f t="shared" ref="M13:M28" si="0">Basis_Capex</f>
        <v>43617</v>
      </c>
      <c r="N13"/>
      <c r="O13" s="261" cm="1">
        <f t="array" ref="O13:O27">IF('Input | Meters Vols &amp; Costs'!$P$77="Yes",'Input| Prices'!J$51,1)*INDEX(ICM_LabourCost,,$D10)*INDEX(ICM_Vol1,,O$8)</f>
        <v>0</v>
      </c>
      <c r="P13" s="435" cm="1">
        <f t="array" ref="P13:P27">'Input| Prices'!K$51*INDEX(ICM_LabourCost,,$D10)*INDEX(ICM_Vol1,,P$8)</f>
        <v>0</v>
      </c>
      <c r="Q13" s="437" cm="1">
        <f t="array" ref="Q13:Q27">'Input| Prices'!L$51*INDEX(ICM_LabourCost,,$D10)*INDEX(ICM_Vol1,,Q$8)</f>
        <v>0</v>
      </c>
      <c r="R13" s="261" cm="1">
        <f t="array" ref="R13:R27">'Input| Prices'!M$51*INDEX(ICM_LabourCost,,$D10)*INDEX(ICM_Vol1,,R$8)</f>
        <v>0</v>
      </c>
      <c r="S13" s="261" cm="1">
        <f t="array" ref="S13:S27">'Input| Prices'!N$51*INDEX(ICM_LabourCost,,$D10)*INDEX(ICM_Vol1,,S$8)</f>
        <v>0</v>
      </c>
      <c r="T13" s="261" cm="1">
        <f t="array" ref="T13:T27">'Input| Prices'!O$51*INDEX(ICM_LabourCost,,$D10)*INDEX(ICM_Vol1,,T$8)</f>
        <v>0</v>
      </c>
      <c r="U13" s="261" cm="1">
        <f t="array" ref="U13:U27">'Input| Prices'!P$51*INDEX(ICM_LabourCost,,$D10)*INDEX(ICM_Vol1,,U$8)</f>
        <v>0</v>
      </c>
      <c r="V13" s="231">
        <f t="shared" ref="V13:V27" si="1">SUM(N13:U13)</f>
        <v>0</v>
      </c>
    </row>
    <row r="14" spans="1:23" s="201" customFormat="1" ht="13" hidden="1" outlineLevel="1" x14ac:dyDescent="0.25">
      <c r="E14" s="229"/>
      <c r="F14" s="213" t="str">
        <v>AMI - Single Phase, two element</v>
      </c>
      <c r="G14" s="213" t="str">
        <v>Single Phase Meter Population</v>
      </c>
      <c r="H14" s="213" t="str">
        <v>Other</v>
      </c>
      <c r="I14" s="213" t="str">
        <v>Meter Type 4</v>
      </c>
      <c r="J14" s="218" t="str">
        <v>Single phase two element with contactor - AMI</v>
      </c>
      <c r="K14" s="218" t="str">
        <v>AMI 1ph 2e</v>
      </c>
      <c r="L14" s="221" t="s">
        <v>85</v>
      </c>
      <c r="M14" s="260">
        <f t="shared" si="0"/>
        <v>43617</v>
      </c>
      <c r="N14"/>
      <c r="O14" s="261">
        <v>0</v>
      </c>
      <c r="P14" s="435">
        <v>0</v>
      </c>
      <c r="Q14" s="437">
        <v>0</v>
      </c>
      <c r="R14" s="261">
        <v>0</v>
      </c>
      <c r="S14" s="261">
        <v>0</v>
      </c>
      <c r="T14" s="261">
        <v>0</v>
      </c>
      <c r="U14" s="261">
        <v>0</v>
      </c>
      <c r="V14" s="231">
        <f t="shared" si="1"/>
        <v>0</v>
      </c>
    </row>
    <row r="15" spans="1:23" s="201" customFormat="1" ht="13" hidden="1" outlineLevel="1" x14ac:dyDescent="0.25">
      <c r="E15" s="229"/>
      <c r="F15" s="213" t="str">
        <v>AMI - 3 Phase DC</v>
      </c>
      <c r="G15" s="213" t="str">
        <v>Multi Phase Meter Population</v>
      </c>
      <c r="H15" s="213" t="str">
        <v>Direct Connect Meter Population</v>
      </c>
      <c r="I15" s="213" t="str">
        <v>Meter Type 4</v>
      </c>
      <c r="J15" s="218" t="str">
        <v>Three phase - AMI</v>
      </c>
      <c r="K15" s="218" t="str">
        <v>AMI 3ph DC</v>
      </c>
      <c r="L15" s="221" t="s">
        <v>85</v>
      </c>
      <c r="M15" s="260">
        <f t="shared" si="0"/>
        <v>43617</v>
      </c>
      <c r="N15"/>
      <c r="O15" s="261">
        <v>0</v>
      </c>
      <c r="P15" s="435">
        <v>0</v>
      </c>
      <c r="Q15" s="437">
        <v>0</v>
      </c>
      <c r="R15" s="261">
        <v>0</v>
      </c>
      <c r="S15" s="261">
        <v>0</v>
      </c>
      <c r="T15" s="261">
        <v>0</v>
      </c>
      <c r="U15" s="261">
        <v>0</v>
      </c>
      <c r="V15" s="231">
        <f t="shared" si="1"/>
        <v>0</v>
      </c>
    </row>
    <row r="16" spans="1:23" s="201" customFormat="1" ht="13" hidden="1" outlineLevel="1" x14ac:dyDescent="0.25">
      <c r="E16" s="229"/>
      <c r="F16" s="213" t="str">
        <v>AMI 3Ph CT</v>
      </c>
      <c r="G16" s="213" t="str">
        <v>Multi Phase Meter Population</v>
      </c>
      <c r="H16" s="213" t="str">
        <v>Current Transformer Connected Meter Population</v>
      </c>
      <c r="I16" s="213" t="str">
        <v>Meter Type 4</v>
      </c>
      <c r="J16" s="218">
        <v>0</v>
      </c>
      <c r="K16" s="218" t="str">
        <v>AMI 3ph CT</v>
      </c>
      <c r="L16" s="221" t="s">
        <v>85</v>
      </c>
      <c r="M16" s="260">
        <f t="shared" si="0"/>
        <v>43617</v>
      </c>
      <c r="N16"/>
      <c r="O16" s="261">
        <v>0</v>
      </c>
      <c r="P16" s="435">
        <v>0</v>
      </c>
      <c r="Q16" s="437">
        <v>0</v>
      </c>
      <c r="R16" s="261">
        <v>0</v>
      </c>
      <c r="S16" s="261">
        <v>0</v>
      </c>
      <c r="T16" s="261">
        <v>0</v>
      </c>
      <c r="U16" s="261">
        <v>0</v>
      </c>
      <c r="V16" s="231">
        <f t="shared" si="1"/>
        <v>0</v>
      </c>
    </row>
    <row r="17" spans="4:22" s="201" customFormat="1" ht="13" hidden="1" outlineLevel="1" x14ac:dyDescent="0.25">
      <c r="E17" s="229"/>
      <c r="F17" s="213" t="str">
        <v>Non AMI - Type 5 Locally read Interval - Single Phase</v>
      </c>
      <c r="G17" s="213" t="str">
        <v>Single Phase Meter Population</v>
      </c>
      <c r="H17" s="213" t="str">
        <v>Direct Connect Meter Population</v>
      </c>
      <c r="I17" s="213" t="str">
        <v>Meter Type 5</v>
      </c>
      <c r="J17" s="218">
        <v>0</v>
      </c>
      <c r="K17" s="218" t="str">
        <v>INT 1ph</v>
      </c>
      <c r="L17" s="221" t="s">
        <v>85</v>
      </c>
      <c r="M17" s="260">
        <f t="shared" si="0"/>
        <v>43617</v>
      </c>
      <c r="N17"/>
      <c r="O17" s="261">
        <v>0</v>
      </c>
      <c r="P17" s="435">
        <v>0</v>
      </c>
      <c r="Q17" s="437">
        <v>0</v>
      </c>
      <c r="R17" s="261">
        <v>0</v>
      </c>
      <c r="S17" s="261">
        <v>0</v>
      </c>
      <c r="T17" s="261">
        <v>0</v>
      </c>
      <c r="U17" s="261">
        <v>0</v>
      </c>
      <c r="V17" s="231">
        <f t="shared" si="1"/>
        <v>0</v>
      </c>
    </row>
    <row r="18" spans="4:22" s="201" customFormat="1" ht="13" hidden="1" outlineLevel="1" x14ac:dyDescent="0.25">
      <c r="E18" s="229"/>
      <c r="F18" s="213" t="str">
        <v>Non AMI - Type 5 Locally read Interval - 3 Phase</v>
      </c>
      <c r="G18" s="213" t="str">
        <v>Single Phase Meter Population</v>
      </c>
      <c r="H18" s="213" t="str">
        <v>Direct Connect Meter Population</v>
      </c>
      <c r="I18" s="213" t="str">
        <v>Meter Type 5</v>
      </c>
      <c r="J18" s="218">
        <v>0</v>
      </c>
      <c r="K18" s="218" t="str">
        <v>INT 3ph</v>
      </c>
      <c r="L18" s="221" t="s">
        <v>85</v>
      </c>
      <c r="M18" s="260">
        <f t="shared" si="0"/>
        <v>43617</v>
      </c>
      <c r="N18"/>
      <c r="O18" s="261">
        <v>0</v>
      </c>
      <c r="P18" s="435">
        <v>0</v>
      </c>
      <c r="Q18" s="437">
        <v>0</v>
      </c>
      <c r="R18" s="261">
        <v>0</v>
      </c>
      <c r="S18" s="261">
        <v>0</v>
      </c>
      <c r="T18" s="261">
        <v>0</v>
      </c>
      <c r="U18" s="261">
        <v>0</v>
      </c>
      <c r="V18" s="231">
        <f t="shared" si="1"/>
        <v>0</v>
      </c>
    </row>
    <row r="19" spans="4:22" s="201" customFormat="1" ht="13" hidden="1" outlineLevel="1" x14ac:dyDescent="0.25">
      <c r="E19" s="229"/>
      <c r="F19" s="213" t="str">
        <v>Non AMI - Type 5 Locally read Interval - 3 Phase - CT</v>
      </c>
      <c r="G19" s="213" t="str">
        <v>Multi Phase Meter Population</v>
      </c>
      <c r="H19" s="213" t="str">
        <v>Current Transformer Connected Meter Population</v>
      </c>
      <c r="I19" s="213" t="str">
        <v>Meter Type 5</v>
      </c>
      <c r="J19" s="218">
        <v>0</v>
      </c>
      <c r="K19" s="218" t="str">
        <v>INT 3ph CT</v>
      </c>
      <c r="L19" s="221" t="s">
        <v>85</v>
      </c>
      <c r="M19" s="260">
        <f t="shared" si="0"/>
        <v>43617</v>
      </c>
      <c r="N19"/>
      <c r="O19" s="261">
        <v>0</v>
      </c>
      <c r="P19" s="435">
        <v>0</v>
      </c>
      <c r="Q19" s="437">
        <v>0</v>
      </c>
      <c r="R19" s="261">
        <v>0</v>
      </c>
      <c r="S19" s="261">
        <v>0</v>
      </c>
      <c r="T19" s="261">
        <v>0</v>
      </c>
      <c r="U19" s="261">
        <v>0</v>
      </c>
      <c r="V19" s="231">
        <f t="shared" si="1"/>
        <v>0</v>
      </c>
    </row>
    <row r="20" spans="4:22" s="201" customFormat="1" ht="13" hidden="1" outlineLevel="1" x14ac:dyDescent="0.25">
      <c r="E20" s="229"/>
      <c r="F20" s="213" t="str">
        <v>Non AMI - Type 6 Locally read Accumulation - Single Phase</v>
      </c>
      <c r="G20" s="213" t="str">
        <v>Multi Phase Meter Population</v>
      </c>
      <c r="H20" s="213" t="str">
        <v>Direct Connect Meter Population</v>
      </c>
      <c r="I20" s="213" t="str">
        <v>Meter Type 6</v>
      </c>
      <c r="J20" s="218">
        <v>0</v>
      </c>
      <c r="K20" s="218" t="str">
        <v>ACC 1ph</v>
      </c>
      <c r="L20" s="221" t="s">
        <v>85</v>
      </c>
      <c r="M20" s="260">
        <f t="shared" si="0"/>
        <v>43617</v>
      </c>
      <c r="N20"/>
      <c r="O20" s="261">
        <v>0</v>
      </c>
      <c r="P20" s="435">
        <v>0</v>
      </c>
      <c r="Q20" s="437">
        <v>0</v>
      </c>
      <c r="R20" s="261">
        <v>0</v>
      </c>
      <c r="S20" s="261">
        <v>0</v>
      </c>
      <c r="T20" s="261">
        <v>0</v>
      </c>
      <c r="U20" s="261">
        <v>0</v>
      </c>
      <c r="V20" s="231">
        <f t="shared" si="1"/>
        <v>0</v>
      </c>
    </row>
    <row r="21" spans="4:22" s="201" customFormat="1" ht="13" hidden="1" outlineLevel="1" x14ac:dyDescent="0.25">
      <c r="E21" s="229"/>
      <c r="F21" s="213" t="str">
        <v>Non AMI - Type 6 Locally read Accumulation - 3 Phase</v>
      </c>
      <c r="G21" s="213">
        <v>0</v>
      </c>
      <c r="H21" s="213" t="str">
        <v>Direct Connect Meter Population</v>
      </c>
      <c r="I21" s="213" t="str">
        <v>Meter Type 6</v>
      </c>
      <c r="J21" s="218">
        <v>0</v>
      </c>
      <c r="K21" s="218" t="str">
        <v>ACC 3ph</v>
      </c>
      <c r="L21" s="221" t="s">
        <v>85</v>
      </c>
      <c r="M21" s="260">
        <f t="shared" si="0"/>
        <v>43617</v>
      </c>
      <c r="N21"/>
      <c r="O21" s="261">
        <v>0</v>
      </c>
      <c r="P21" s="435">
        <v>0</v>
      </c>
      <c r="Q21" s="437">
        <v>0</v>
      </c>
      <c r="R21" s="261">
        <v>0</v>
      </c>
      <c r="S21" s="261">
        <v>0</v>
      </c>
      <c r="T21" s="261">
        <v>0</v>
      </c>
      <c r="U21" s="261">
        <v>0</v>
      </c>
      <c r="V21" s="231">
        <f t="shared" si="1"/>
        <v>0</v>
      </c>
    </row>
    <row r="22" spans="4:22" s="201" customFormat="1" ht="13" hidden="1" outlineLevel="1" x14ac:dyDescent="0.25">
      <c r="E22" s="229"/>
      <c r="F22" s="213">
        <v>0</v>
      </c>
      <c r="G22" s="213">
        <v>0</v>
      </c>
      <c r="H22" s="213">
        <v>0</v>
      </c>
      <c r="I22" s="213">
        <v>0</v>
      </c>
      <c r="J22" s="218">
        <v>0</v>
      </c>
      <c r="K22" s="218">
        <v>0</v>
      </c>
      <c r="L22" s="221" t="s">
        <v>85</v>
      </c>
      <c r="M22" s="260">
        <f t="shared" si="0"/>
        <v>43617</v>
      </c>
      <c r="N22"/>
      <c r="O22" s="261">
        <v>0</v>
      </c>
      <c r="P22" s="435">
        <v>0</v>
      </c>
      <c r="Q22" s="437">
        <v>0</v>
      </c>
      <c r="R22" s="261">
        <v>0</v>
      </c>
      <c r="S22" s="261">
        <v>0</v>
      </c>
      <c r="T22" s="261">
        <v>0</v>
      </c>
      <c r="U22" s="261">
        <v>0</v>
      </c>
      <c r="V22" s="231">
        <f t="shared" si="1"/>
        <v>0</v>
      </c>
    </row>
    <row r="23" spans="4:22" s="201" customFormat="1" ht="13" hidden="1" outlineLevel="1" x14ac:dyDescent="0.25">
      <c r="E23" s="229"/>
      <c r="F23" s="213">
        <v>0</v>
      </c>
      <c r="G23" s="213">
        <v>0</v>
      </c>
      <c r="H23" s="213">
        <v>0</v>
      </c>
      <c r="I23" s="213">
        <v>0</v>
      </c>
      <c r="J23" s="218">
        <v>0</v>
      </c>
      <c r="K23" s="218">
        <v>0</v>
      </c>
      <c r="L23" s="221" t="s">
        <v>85</v>
      </c>
      <c r="M23" s="260">
        <f t="shared" si="0"/>
        <v>43617</v>
      </c>
      <c r="N23"/>
      <c r="O23" s="261">
        <v>0</v>
      </c>
      <c r="P23" s="435">
        <v>0</v>
      </c>
      <c r="Q23" s="437">
        <v>0</v>
      </c>
      <c r="R23" s="261">
        <v>0</v>
      </c>
      <c r="S23" s="261">
        <v>0</v>
      </c>
      <c r="T23" s="261">
        <v>0</v>
      </c>
      <c r="U23" s="261">
        <v>0</v>
      </c>
      <c r="V23" s="231">
        <f t="shared" si="1"/>
        <v>0</v>
      </c>
    </row>
    <row r="24" spans="4:22" s="201" customFormat="1" ht="13" hidden="1" outlineLevel="1" x14ac:dyDescent="0.25">
      <c r="E24" s="229"/>
      <c r="F24" s="213">
        <v>0</v>
      </c>
      <c r="G24" s="213">
        <v>0</v>
      </c>
      <c r="H24" s="213">
        <v>0</v>
      </c>
      <c r="I24" s="213">
        <v>0</v>
      </c>
      <c r="J24" s="218">
        <v>0</v>
      </c>
      <c r="K24" s="218">
        <v>0</v>
      </c>
      <c r="L24" s="221" t="s">
        <v>85</v>
      </c>
      <c r="M24" s="260">
        <f t="shared" si="0"/>
        <v>43617</v>
      </c>
      <c r="N24"/>
      <c r="O24" s="261">
        <v>0</v>
      </c>
      <c r="P24" s="435">
        <v>0</v>
      </c>
      <c r="Q24" s="437">
        <v>0</v>
      </c>
      <c r="R24" s="261">
        <v>0</v>
      </c>
      <c r="S24" s="261">
        <v>0</v>
      </c>
      <c r="T24" s="261">
        <v>0</v>
      </c>
      <c r="U24" s="261">
        <v>0</v>
      </c>
      <c r="V24" s="231">
        <f t="shared" si="1"/>
        <v>0</v>
      </c>
    </row>
    <row r="25" spans="4:22" s="201" customFormat="1" ht="13" hidden="1" outlineLevel="1" x14ac:dyDescent="0.25">
      <c r="E25" s="229"/>
      <c r="F25" s="213">
        <v>0</v>
      </c>
      <c r="G25" s="213">
        <v>0</v>
      </c>
      <c r="H25" s="213">
        <v>0</v>
      </c>
      <c r="I25" s="213">
        <v>0</v>
      </c>
      <c r="J25" s="218">
        <v>0</v>
      </c>
      <c r="K25" s="218">
        <v>0</v>
      </c>
      <c r="L25" s="221" t="s">
        <v>85</v>
      </c>
      <c r="M25" s="260">
        <f t="shared" si="0"/>
        <v>43617</v>
      </c>
      <c r="N25"/>
      <c r="O25" s="261">
        <v>0</v>
      </c>
      <c r="P25" s="435">
        <v>0</v>
      </c>
      <c r="Q25" s="437">
        <v>0</v>
      </c>
      <c r="R25" s="261">
        <v>0</v>
      </c>
      <c r="S25" s="261">
        <v>0</v>
      </c>
      <c r="T25" s="261">
        <v>0</v>
      </c>
      <c r="U25" s="261">
        <v>0</v>
      </c>
      <c r="V25" s="231">
        <f t="shared" si="1"/>
        <v>0</v>
      </c>
    </row>
    <row r="26" spans="4:22" s="201" customFormat="1" ht="13" hidden="1" outlineLevel="1" x14ac:dyDescent="0.25">
      <c r="E26" s="229"/>
      <c r="F26" s="213">
        <v>0</v>
      </c>
      <c r="G26" s="213">
        <v>0</v>
      </c>
      <c r="H26" s="213">
        <v>0</v>
      </c>
      <c r="I26" s="213">
        <v>0</v>
      </c>
      <c r="J26" s="218">
        <v>0</v>
      </c>
      <c r="K26" s="218">
        <v>0</v>
      </c>
      <c r="L26" s="221" t="s">
        <v>85</v>
      </c>
      <c r="M26" s="260">
        <f t="shared" si="0"/>
        <v>43617</v>
      </c>
      <c r="N26"/>
      <c r="O26" s="261">
        <v>0</v>
      </c>
      <c r="P26" s="435">
        <v>0</v>
      </c>
      <c r="Q26" s="437">
        <v>0</v>
      </c>
      <c r="R26" s="261">
        <v>0</v>
      </c>
      <c r="S26" s="261">
        <v>0</v>
      </c>
      <c r="T26" s="261">
        <v>0</v>
      </c>
      <c r="U26" s="261">
        <v>0</v>
      </c>
      <c r="V26" s="231">
        <f t="shared" si="1"/>
        <v>0</v>
      </c>
    </row>
    <row r="27" spans="4:22" s="201" customFormat="1" ht="13" hidden="1" outlineLevel="1" x14ac:dyDescent="0.25">
      <c r="E27" s="229"/>
      <c r="F27" s="213">
        <v>0</v>
      </c>
      <c r="G27" s="213">
        <v>0</v>
      </c>
      <c r="H27" s="213">
        <v>0</v>
      </c>
      <c r="I27" s="213">
        <v>0</v>
      </c>
      <c r="J27" s="218">
        <v>0</v>
      </c>
      <c r="K27" s="218">
        <v>0</v>
      </c>
      <c r="L27" s="221" t="s">
        <v>85</v>
      </c>
      <c r="M27" s="260">
        <f t="shared" si="0"/>
        <v>43617</v>
      </c>
      <c r="N27"/>
      <c r="O27" s="261">
        <v>0</v>
      </c>
      <c r="P27" s="435">
        <v>0</v>
      </c>
      <c r="Q27" s="437">
        <v>0</v>
      </c>
      <c r="R27" s="261">
        <v>0</v>
      </c>
      <c r="S27" s="261">
        <v>0</v>
      </c>
      <c r="T27" s="261">
        <v>0</v>
      </c>
      <c r="U27" s="261">
        <v>0</v>
      </c>
      <c r="V27" s="231">
        <f t="shared" si="1"/>
        <v>0</v>
      </c>
    </row>
    <row r="28" spans="4:22" s="201" customFormat="1" ht="13" hidden="1" outlineLevel="1" x14ac:dyDescent="0.25">
      <c r="E28" s="229"/>
      <c r="F28" s="151" t="s">
        <v>17</v>
      </c>
      <c r="G28" s="151"/>
      <c r="H28" s="151"/>
      <c r="I28" s="151"/>
      <c r="J28" s="151"/>
      <c r="K28" s="151"/>
      <c r="L28" s="247" t="s">
        <v>85</v>
      </c>
      <c r="M28" s="253">
        <f t="shared" si="0"/>
        <v>43617</v>
      </c>
      <c r="N28"/>
      <c r="O28" s="244">
        <f t="shared" ref="O28" si="2">SUM(O13:O27)</f>
        <v>0</v>
      </c>
      <c r="P28" s="243">
        <f t="shared" ref="P28:U28" si="3">SUM(P13:P27)</f>
        <v>0</v>
      </c>
      <c r="Q28" s="438">
        <f t="shared" si="3"/>
        <v>0</v>
      </c>
      <c r="R28" s="244">
        <f t="shared" si="3"/>
        <v>0</v>
      </c>
      <c r="S28" s="244">
        <f t="shared" si="3"/>
        <v>0</v>
      </c>
      <c r="T28" s="244">
        <f t="shared" si="3"/>
        <v>0</v>
      </c>
      <c r="U28" s="244">
        <f t="shared" si="3"/>
        <v>0</v>
      </c>
      <c r="V28" s="233">
        <f>SUM(Q28:U28)</f>
        <v>0</v>
      </c>
    </row>
    <row r="29" spans="4:22" s="201" customFormat="1" hidden="1" outlineLevel="1" x14ac:dyDescent="0.25">
      <c r="E29" s="229"/>
      <c r="N29"/>
    </row>
    <row r="30" spans="4:22" s="201" customFormat="1" hidden="1" outlineLevel="1" x14ac:dyDescent="0.25">
      <c r="D30" s="201">
        <v>2</v>
      </c>
      <c r="E30" s="229" t="str">
        <f>'Input | Meters Vols &amp; Costs'!$G$30</f>
        <v>Refurbished meters</v>
      </c>
      <c r="N30"/>
    </row>
    <row r="31" spans="4:22" s="201" customFormat="1" hidden="1" outlineLevel="1" x14ac:dyDescent="0.25">
      <c r="E31" s="229"/>
      <c r="N31"/>
      <c r="O31"/>
      <c r="P31"/>
      <c r="Q31"/>
      <c r="R31"/>
      <c r="S31"/>
      <c r="T31"/>
      <c r="U31"/>
    </row>
    <row r="32" spans="4:22" s="201" customFormat="1" ht="13" hidden="1" outlineLevel="1" x14ac:dyDescent="0.25">
      <c r="E32" s="229"/>
      <c r="F32" s="121" t="str">
        <f>I_MeterTypes[[#Headers],[Meter Type]]</f>
        <v>Meter Type</v>
      </c>
      <c r="G32" s="121" t="str">
        <f>I_MeterTypes[[#Headers],[RIN Subcategory 1]]</f>
        <v>RIN Subcategory 1</v>
      </c>
      <c r="H32" s="121" t="str">
        <f>I_MeterTypes[[#Headers],[RIN Subcategory 2]]</f>
        <v>RIN Subcategory 2</v>
      </c>
      <c r="I32" s="121" t="str">
        <f>I_MeterTypes[[#Headers],[AER Type]]</f>
        <v>AER Type</v>
      </c>
      <c r="J32" s="121" t="str">
        <f>I_MeterTypes[[#Headers],[RIN Subcategory 3]]</f>
        <v>RIN Subcategory 3</v>
      </c>
      <c r="K32" s="121" t="str">
        <f>I_MeterTypes[[#Headers],[Meter Code]]</f>
        <v>Meter Code</v>
      </c>
      <c r="L32" s="121" t="s">
        <v>6</v>
      </c>
      <c r="M32" s="121" t="s">
        <v>118</v>
      </c>
      <c r="N32"/>
      <c r="O32" s="234" t="str">
        <f>O$12</f>
        <v>2018-19</v>
      </c>
      <c r="P32" s="234" t="str">
        <f t="shared" ref="P32:U32" si="4">P$12</f>
        <v>2019-20</v>
      </c>
      <c r="Q32" s="436" t="str">
        <f t="shared" si="4"/>
        <v>2020-21</v>
      </c>
      <c r="R32" s="234" t="str">
        <f t="shared" si="4"/>
        <v>2021-22</v>
      </c>
      <c r="S32" s="234" t="str">
        <f t="shared" si="4"/>
        <v>2022-23</v>
      </c>
      <c r="T32" s="234" t="str">
        <f t="shared" si="4"/>
        <v>2023-24</v>
      </c>
      <c r="U32" s="234" t="str">
        <f t="shared" si="4"/>
        <v>2024-25</v>
      </c>
      <c r="V32" s="234" t="s">
        <v>17</v>
      </c>
    </row>
    <row r="33" spans="5:22" s="201" customFormat="1" ht="13" hidden="1" outlineLevel="1" x14ac:dyDescent="0.25">
      <c r="E33" s="229"/>
      <c r="F33" s="213" t="str" cm="1">
        <f t="array" ref="F33:F47">I_MeterTypes[Meter Type]</f>
        <v>AMI - Single Phase, single element</v>
      </c>
      <c r="G33" s="213" t="str" cm="1">
        <f t="array" ref="G33:G47">I_MeterTypes[RIN Subcategory 1]</f>
        <v>Single Phase Meter Population</v>
      </c>
      <c r="H33" s="213" t="str" cm="1">
        <f t="array" ref="H33:H47">I_MeterTypes[RIN Subcategory 2]</f>
        <v>Other</v>
      </c>
      <c r="I33" s="213" t="str" cm="1">
        <f t="array" ref="I33:I47">I_MeterTypes[AER Type]</f>
        <v>Meter Type 4</v>
      </c>
      <c r="J33" s="213" t="str" cm="1">
        <f t="array" ref="J33:J47">I_MeterTypes[RIN Subcategory 3]</f>
        <v>Single phase single element - AMI</v>
      </c>
      <c r="K33" s="213" t="str" cm="1">
        <f t="array" ref="K33:K47">I_MeterTypes[Meter Code]</f>
        <v>AMI 1ph 1e</v>
      </c>
      <c r="L33" s="221" t="s">
        <v>85</v>
      </c>
      <c r="M33" s="260">
        <f t="shared" ref="M33:M48" si="5">Basis_Capex</f>
        <v>43617</v>
      </c>
      <c r="N33"/>
      <c r="O33" s="261" cm="1">
        <f t="array" ref="O33:O47">IF('Input | Meters Vols &amp; Costs'!$P$77="Yes",'Input| Prices'!J$51,1)*INDEX(ICM_LabourCost,,$D30)*INDEX(ICM_Vol2,,O$8)</f>
        <v>0</v>
      </c>
      <c r="P33" s="435" cm="1">
        <f t="array" ref="P33:P47">IF('Input | Meters Vols &amp; Costs'!$P$77="Yes",'Input| Prices'!K$51,1)*INDEX(ICM_LabourCost,,$D30)*INDEX(ICM_Vol2,,P$8)</f>
        <v>0</v>
      </c>
      <c r="Q33" s="437" cm="1">
        <f t="array" ref="Q33:Q47">IF('Input | Meters Vols &amp; Costs'!$P$77="Yes",'Input| Prices'!L$51,1)*INDEX(ICM_LabourCost,,$D30)*INDEX(ICM_Vol2,,Q$8)</f>
        <v>0</v>
      </c>
      <c r="R33" s="261" cm="1">
        <f t="array" ref="R33:R47">IF('Input | Meters Vols &amp; Costs'!$P$77="Yes",'Input| Prices'!M$51,1)*INDEX(ICM_LabourCost,,$D30)*INDEX(ICM_Vol2,,R$8)</f>
        <v>0</v>
      </c>
      <c r="S33" s="261" cm="1">
        <f t="array" ref="S33:S47">IF('Input | Meters Vols &amp; Costs'!$P$77="Yes",'Input| Prices'!N$51,1)*INDEX(ICM_LabourCost,,$D30)*INDEX(ICM_Vol2,,S$8)</f>
        <v>0</v>
      </c>
      <c r="T33" s="261" cm="1">
        <f t="array" ref="T33:T47">IF('Input | Meters Vols &amp; Costs'!$P$77="Yes",'Input| Prices'!O$51,1)*INDEX(ICM_LabourCost,,$D30)*INDEX(ICM_Vol2,,T$8)</f>
        <v>0</v>
      </c>
      <c r="U33" s="261" cm="1">
        <f t="array" ref="U33:U47">IF('Input | Meters Vols &amp; Costs'!$P$77="Yes",'Input| Prices'!P$51,1)*INDEX(ICM_LabourCost,,$D30)*INDEX(ICM_Vol2,,U$8)</f>
        <v>0</v>
      </c>
      <c r="V33" s="231">
        <f t="shared" ref="V33:V47" si="6">SUM(N33:U33)</f>
        <v>0</v>
      </c>
    </row>
    <row r="34" spans="5:22" s="201" customFormat="1" ht="13" hidden="1" outlineLevel="1" x14ac:dyDescent="0.25">
      <c r="E34" s="229"/>
      <c r="F34" s="213" t="str">
        <v>AMI - Single Phase, two element</v>
      </c>
      <c r="G34" s="213" t="str">
        <v>Single Phase Meter Population</v>
      </c>
      <c r="H34" s="213" t="str">
        <v>Other</v>
      </c>
      <c r="I34" s="213" t="str">
        <v>Meter Type 4</v>
      </c>
      <c r="J34" s="218" t="str">
        <v>Single phase two element with contactor - AMI</v>
      </c>
      <c r="K34" s="218" t="str">
        <v>AMI 1ph 2e</v>
      </c>
      <c r="L34" s="221" t="s">
        <v>85</v>
      </c>
      <c r="M34" s="260">
        <f t="shared" si="5"/>
        <v>43617</v>
      </c>
      <c r="N34"/>
      <c r="O34" s="261">
        <v>0</v>
      </c>
      <c r="P34" s="435">
        <v>0</v>
      </c>
      <c r="Q34" s="437">
        <v>0</v>
      </c>
      <c r="R34" s="261">
        <v>0</v>
      </c>
      <c r="S34" s="261">
        <v>0</v>
      </c>
      <c r="T34" s="261">
        <v>0</v>
      </c>
      <c r="U34" s="261">
        <v>0</v>
      </c>
      <c r="V34" s="231">
        <f t="shared" si="6"/>
        <v>0</v>
      </c>
    </row>
    <row r="35" spans="5:22" s="201" customFormat="1" ht="13" hidden="1" outlineLevel="1" x14ac:dyDescent="0.25">
      <c r="E35" s="229"/>
      <c r="F35" s="213" t="str">
        <v>AMI - 3 Phase DC</v>
      </c>
      <c r="G35" s="213" t="str">
        <v>Multi Phase Meter Population</v>
      </c>
      <c r="H35" s="213" t="str">
        <v>Direct Connect Meter Population</v>
      </c>
      <c r="I35" s="213" t="str">
        <v>Meter Type 4</v>
      </c>
      <c r="J35" s="218" t="str">
        <v>Three phase - AMI</v>
      </c>
      <c r="K35" s="218" t="str">
        <v>AMI 3ph DC</v>
      </c>
      <c r="L35" s="221" t="s">
        <v>85</v>
      </c>
      <c r="M35" s="260">
        <f t="shared" si="5"/>
        <v>43617</v>
      </c>
      <c r="N35"/>
      <c r="O35" s="261">
        <v>0</v>
      </c>
      <c r="P35" s="435">
        <v>0</v>
      </c>
      <c r="Q35" s="437">
        <v>0</v>
      </c>
      <c r="R35" s="261">
        <v>0</v>
      </c>
      <c r="S35" s="261">
        <v>0</v>
      </c>
      <c r="T35" s="261">
        <v>0</v>
      </c>
      <c r="U35" s="261">
        <v>0</v>
      </c>
      <c r="V35" s="231">
        <f t="shared" si="6"/>
        <v>0</v>
      </c>
    </row>
    <row r="36" spans="5:22" s="201" customFormat="1" ht="13" hidden="1" outlineLevel="1" x14ac:dyDescent="0.25">
      <c r="E36" s="229"/>
      <c r="F36" s="213" t="str">
        <v>AMI 3Ph CT</v>
      </c>
      <c r="G36" s="213" t="str">
        <v>Multi Phase Meter Population</v>
      </c>
      <c r="H36" s="213" t="str">
        <v>Current Transformer Connected Meter Population</v>
      </c>
      <c r="I36" s="213" t="str">
        <v>Meter Type 4</v>
      </c>
      <c r="J36" s="218">
        <v>0</v>
      </c>
      <c r="K36" s="218" t="str">
        <v>AMI 3ph CT</v>
      </c>
      <c r="L36" s="221" t="s">
        <v>85</v>
      </c>
      <c r="M36" s="260">
        <f t="shared" si="5"/>
        <v>43617</v>
      </c>
      <c r="N36"/>
      <c r="O36" s="261">
        <v>0</v>
      </c>
      <c r="P36" s="435">
        <v>0</v>
      </c>
      <c r="Q36" s="437">
        <v>0</v>
      </c>
      <c r="R36" s="261">
        <v>0</v>
      </c>
      <c r="S36" s="261">
        <v>0</v>
      </c>
      <c r="T36" s="261">
        <v>0</v>
      </c>
      <c r="U36" s="261">
        <v>0</v>
      </c>
      <c r="V36" s="231">
        <f t="shared" si="6"/>
        <v>0</v>
      </c>
    </row>
    <row r="37" spans="5:22" s="201" customFormat="1" ht="13" hidden="1" outlineLevel="1" x14ac:dyDescent="0.25">
      <c r="E37" s="229"/>
      <c r="F37" s="213" t="str">
        <v>Non AMI - Type 5 Locally read Interval - Single Phase</v>
      </c>
      <c r="G37" s="213" t="str">
        <v>Single Phase Meter Population</v>
      </c>
      <c r="H37" s="213" t="str">
        <v>Direct Connect Meter Population</v>
      </c>
      <c r="I37" s="213" t="str">
        <v>Meter Type 5</v>
      </c>
      <c r="J37" s="218">
        <v>0</v>
      </c>
      <c r="K37" s="218" t="str">
        <v>INT 1ph</v>
      </c>
      <c r="L37" s="221" t="s">
        <v>85</v>
      </c>
      <c r="M37" s="260">
        <f t="shared" si="5"/>
        <v>43617</v>
      </c>
      <c r="N37"/>
      <c r="O37" s="261">
        <v>0</v>
      </c>
      <c r="P37" s="435">
        <v>0</v>
      </c>
      <c r="Q37" s="437">
        <v>0</v>
      </c>
      <c r="R37" s="261">
        <v>0</v>
      </c>
      <c r="S37" s="261">
        <v>0</v>
      </c>
      <c r="T37" s="261">
        <v>0</v>
      </c>
      <c r="U37" s="261">
        <v>0</v>
      </c>
      <c r="V37" s="231">
        <f t="shared" si="6"/>
        <v>0</v>
      </c>
    </row>
    <row r="38" spans="5:22" s="201" customFormat="1" ht="13" hidden="1" outlineLevel="1" x14ac:dyDescent="0.25">
      <c r="E38" s="229"/>
      <c r="F38" s="213" t="str">
        <v>Non AMI - Type 5 Locally read Interval - 3 Phase</v>
      </c>
      <c r="G38" s="213" t="str">
        <v>Single Phase Meter Population</v>
      </c>
      <c r="H38" s="213" t="str">
        <v>Direct Connect Meter Population</v>
      </c>
      <c r="I38" s="213" t="str">
        <v>Meter Type 5</v>
      </c>
      <c r="J38" s="218">
        <v>0</v>
      </c>
      <c r="K38" s="218" t="str">
        <v>INT 3ph</v>
      </c>
      <c r="L38" s="221" t="s">
        <v>85</v>
      </c>
      <c r="M38" s="260">
        <f t="shared" si="5"/>
        <v>43617</v>
      </c>
      <c r="N38"/>
      <c r="O38" s="261">
        <v>0</v>
      </c>
      <c r="P38" s="435">
        <v>0</v>
      </c>
      <c r="Q38" s="437">
        <v>0</v>
      </c>
      <c r="R38" s="261">
        <v>0</v>
      </c>
      <c r="S38" s="261">
        <v>0</v>
      </c>
      <c r="T38" s="261">
        <v>0</v>
      </c>
      <c r="U38" s="261">
        <v>0</v>
      </c>
      <c r="V38" s="231">
        <f t="shared" si="6"/>
        <v>0</v>
      </c>
    </row>
    <row r="39" spans="5:22" s="201" customFormat="1" ht="13" hidden="1" outlineLevel="1" x14ac:dyDescent="0.25">
      <c r="E39" s="229"/>
      <c r="F39" s="213" t="str">
        <v>Non AMI - Type 5 Locally read Interval - 3 Phase - CT</v>
      </c>
      <c r="G39" s="213" t="str">
        <v>Multi Phase Meter Population</v>
      </c>
      <c r="H39" s="213" t="str">
        <v>Current Transformer Connected Meter Population</v>
      </c>
      <c r="I39" s="213" t="str">
        <v>Meter Type 5</v>
      </c>
      <c r="J39" s="218">
        <v>0</v>
      </c>
      <c r="K39" s="218" t="str">
        <v>INT 3ph CT</v>
      </c>
      <c r="L39" s="221" t="s">
        <v>85</v>
      </c>
      <c r="M39" s="260">
        <f t="shared" si="5"/>
        <v>43617</v>
      </c>
      <c r="N39"/>
      <c r="O39" s="261">
        <v>0</v>
      </c>
      <c r="P39" s="435">
        <v>0</v>
      </c>
      <c r="Q39" s="437">
        <v>0</v>
      </c>
      <c r="R39" s="261">
        <v>0</v>
      </c>
      <c r="S39" s="261">
        <v>0</v>
      </c>
      <c r="T39" s="261">
        <v>0</v>
      </c>
      <c r="U39" s="261">
        <v>0</v>
      </c>
      <c r="V39" s="231">
        <f t="shared" si="6"/>
        <v>0</v>
      </c>
    </row>
    <row r="40" spans="5:22" s="201" customFormat="1" ht="13" hidden="1" outlineLevel="1" x14ac:dyDescent="0.25">
      <c r="E40" s="229"/>
      <c r="F40" s="213" t="str">
        <v>Non AMI - Type 6 Locally read Accumulation - Single Phase</v>
      </c>
      <c r="G40" s="213" t="str">
        <v>Multi Phase Meter Population</v>
      </c>
      <c r="H40" s="213" t="str">
        <v>Direct Connect Meter Population</v>
      </c>
      <c r="I40" s="213" t="str">
        <v>Meter Type 6</v>
      </c>
      <c r="J40" s="218">
        <v>0</v>
      </c>
      <c r="K40" s="218" t="str">
        <v>ACC 1ph</v>
      </c>
      <c r="L40" s="221" t="s">
        <v>85</v>
      </c>
      <c r="M40" s="260">
        <f t="shared" si="5"/>
        <v>43617</v>
      </c>
      <c r="N40"/>
      <c r="O40" s="261">
        <v>0</v>
      </c>
      <c r="P40" s="435">
        <v>0</v>
      </c>
      <c r="Q40" s="437">
        <v>0</v>
      </c>
      <c r="R40" s="261">
        <v>0</v>
      </c>
      <c r="S40" s="261">
        <v>0</v>
      </c>
      <c r="T40" s="261">
        <v>0</v>
      </c>
      <c r="U40" s="261">
        <v>0</v>
      </c>
      <c r="V40" s="231">
        <f t="shared" si="6"/>
        <v>0</v>
      </c>
    </row>
    <row r="41" spans="5:22" s="201" customFormat="1" ht="13" hidden="1" outlineLevel="1" x14ac:dyDescent="0.25">
      <c r="E41" s="229"/>
      <c r="F41" s="213" t="str">
        <v>Non AMI - Type 6 Locally read Accumulation - 3 Phase</v>
      </c>
      <c r="G41" s="213">
        <v>0</v>
      </c>
      <c r="H41" s="213" t="str">
        <v>Direct Connect Meter Population</v>
      </c>
      <c r="I41" s="213" t="str">
        <v>Meter Type 6</v>
      </c>
      <c r="J41" s="218">
        <v>0</v>
      </c>
      <c r="K41" s="218" t="str">
        <v>ACC 3ph</v>
      </c>
      <c r="L41" s="221" t="s">
        <v>85</v>
      </c>
      <c r="M41" s="260">
        <f t="shared" si="5"/>
        <v>43617</v>
      </c>
      <c r="N41"/>
      <c r="O41" s="261">
        <v>0</v>
      </c>
      <c r="P41" s="435">
        <v>0</v>
      </c>
      <c r="Q41" s="437">
        <v>0</v>
      </c>
      <c r="R41" s="261">
        <v>0</v>
      </c>
      <c r="S41" s="261">
        <v>0</v>
      </c>
      <c r="T41" s="261">
        <v>0</v>
      </c>
      <c r="U41" s="261">
        <v>0</v>
      </c>
      <c r="V41" s="231">
        <f t="shared" si="6"/>
        <v>0</v>
      </c>
    </row>
    <row r="42" spans="5:22" s="201" customFormat="1" ht="13" hidden="1" outlineLevel="1" x14ac:dyDescent="0.25">
      <c r="E42" s="229"/>
      <c r="F42" s="213">
        <v>0</v>
      </c>
      <c r="G42" s="213">
        <v>0</v>
      </c>
      <c r="H42" s="213">
        <v>0</v>
      </c>
      <c r="I42" s="213">
        <v>0</v>
      </c>
      <c r="J42" s="218">
        <v>0</v>
      </c>
      <c r="K42" s="218">
        <v>0</v>
      </c>
      <c r="L42" s="221" t="s">
        <v>85</v>
      </c>
      <c r="M42" s="260">
        <f t="shared" si="5"/>
        <v>43617</v>
      </c>
      <c r="N42"/>
      <c r="O42" s="261">
        <v>0</v>
      </c>
      <c r="P42" s="435">
        <v>0</v>
      </c>
      <c r="Q42" s="437">
        <v>0</v>
      </c>
      <c r="R42" s="261">
        <v>0</v>
      </c>
      <c r="S42" s="261">
        <v>0</v>
      </c>
      <c r="T42" s="261">
        <v>0</v>
      </c>
      <c r="U42" s="261">
        <v>0</v>
      </c>
      <c r="V42" s="231">
        <f t="shared" si="6"/>
        <v>0</v>
      </c>
    </row>
    <row r="43" spans="5:22" s="201" customFormat="1" ht="13" hidden="1" outlineLevel="1" x14ac:dyDescent="0.25">
      <c r="E43" s="229"/>
      <c r="F43" s="213">
        <v>0</v>
      </c>
      <c r="G43" s="213">
        <v>0</v>
      </c>
      <c r="H43" s="213">
        <v>0</v>
      </c>
      <c r="I43" s="213">
        <v>0</v>
      </c>
      <c r="J43" s="218">
        <v>0</v>
      </c>
      <c r="K43" s="218">
        <v>0</v>
      </c>
      <c r="L43" s="221" t="s">
        <v>85</v>
      </c>
      <c r="M43" s="260">
        <f t="shared" si="5"/>
        <v>43617</v>
      </c>
      <c r="N43"/>
      <c r="O43" s="261">
        <v>0</v>
      </c>
      <c r="P43" s="435">
        <v>0</v>
      </c>
      <c r="Q43" s="437">
        <v>0</v>
      </c>
      <c r="R43" s="261">
        <v>0</v>
      </c>
      <c r="S43" s="261">
        <v>0</v>
      </c>
      <c r="T43" s="261">
        <v>0</v>
      </c>
      <c r="U43" s="261">
        <v>0</v>
      </c>
      <c r="V43" s="231">
        <f t="shared" si="6"/>
        <v>0</v>
      </c>
    </row>
    <row r="44" spans="5:22" s="201" customFormat="1" ht="13" hidden="1" outlineLevel="1" x14ac:dyDescent="0.25">
      <c r="E44" s="229"/>
      <c r="F44" s="213">
        <v>0</v>
      </c>
      <c r="G44" s="213">
        <v>0</v>
      </c>
      <c r="H44" s="213">
        <v>0</v>
      </c>
      <c r="I44" s="213">
        <v>0</v>
      </c>
      <c r="J44" s="218">
        <v>0</v>
      </c>
      <c r="K44" s="218">
        <v>0</v>
      </c>
      <c r="L44" s="221" t="s">
        <v>85</v>
      </c>
      <c r="M44" s="260">
        <f t="shared" si="5"/>
        <v>43617</v>
      </c>
      <c r="N44"/>
      <c r="O44" s="261">
        <v>0</v>
      </c>
      <c r="P44" s="435">
        <v>0</v>
      </c>
      <c r="Q44" s="437">
        <v>0</v>
      </c>
      <c r="R44" s="261">
        <v>0</v>
      </c>
      <c r="S44" s="261">
        <v>0</v>
      </c>
      <c r="T44" s="261">
        <v>0</v>
      </c>
      <c r="U44" s="261">
        <v>0</v>
      </c>
      <c r="V44" s="231">
        <f t="shared" si="6"/>
        <v>0</v>
      </c>
    </row>
    <row r="45" spans="5:22" s="201" customFormat="1" ht="13" hidden="1" outlineLevel="1" x14ac:dyDescent="0.25">
      <c r="E45" s="229"/>
      <c r="F45" s="213">
        <v>0</v>
      </c>
      <c r="G45" s="213">
        <v>0</v>
      </c>
      <c r="H45" s="213">
        <v>0</v>
      </c>
      <c r="I45" s="213">
        <v>0</v>
      </c>
      <c r="J45" s="218">
        <v>0</v>
      </c>
      <c r="K45" s="218">
        <v>0</v>
      </c>
      <c r="L45" s="221" t="s">
        <v>85</v>
      </c>
      <c r="M45" s="260">
        <f t="shared" si="5"/>
        <v>43617</v>
      </c>
      <c r="N45"/>
      <c r="O45" s="261">
        <v>0</v>
      </c>
      <c r="P45" s="435">
        <v>0</v>
      </c>
      <c r="Q45" s="437">
        <v>0</v>
      </c>
      <c r="R45" s="261">
        <v>0</v>
      </c>
      <c r="S45" s="261">
        <v>0</v>
      </c>
      <c r="T45" s="261">
        <v>0</v>
      </c>
      <c r="U45" s="261">
        <v>0</v>
      </c>
      <c r="V45" s="231">
        <f t="shared" si="6"/>
        <v>0</v>
      </c>
    </row>
    <row r="46" spans="5:22" s="201" customFormat="1" ht="13" hidden="1" outlineLevel="1" x14ac:dyDescent="0.25">
      <c r="E46" s="229"/>
      <c r="F46" s="213">
        <v>0</v>
      </c>
      <c r="G46" s="213">
        <v>0</v>
      </c>
      <c r="H46" s="213">
        <v>0</v>
      </c>
      <c r="I46" s="213">
        <v>0</v>
      </c>
      <c r="J46" s="218">
        <v>0</v>
      </c>
      <c r="K46" s="218">
        <v>0</v>
      </c>
      <c r="L46" s="221" t="s">
        <v>85</v>
      </c>
      <c r="M46" s="260">
        <f t="shared" si="5"/>
        <v>43617</v>
      </c>
      <c r="N46"/>
      <c r="O46" s="261">
        <v>0</v>
      </c>
      <c r="P46" s="435">
        <v>0</v>
      </c>
      <c r="Q46" s="437">
        <v>0</v>
      </c>
      <c r="R46" s="261">
        <v>0</v>
      </c>
      <c r="S46" s="261">
        <v>0</v>
      </c>
      <c r="T46" s="261">
        <v>0</v>
      </c>
      <c r="U46" s="261">
        <v>0</v>
      </c>
      <c r="V46" s="231">
        <f t="shared" si="6"/>
        <v>0</v>
      </c>
    </row>
    <row r="47" spans="5:22" s="201" customFormat="1" ht="13" hidden="1" outlineLevel="1" x14ac:dyDescent="0.25">
      <c r="E47" s="229"/>
      <c r="F47" s="213">
        <v>0</v>
      </c>
      <c r="G47" s="213">
        <v>0</v>
      </c>
      <c r="H47" s="213">
        <v>0</v>
      </c>
      <c r="I47" s="213">
        <v>0</v>
      </c>
      <c r="J47" s="218">
        <v>0</v>
      </c>
      <c r="K47" s="218">
        <v>0</v>
      </c>
      <c r="L47" s="221" t="s">
        <v>85</v>
      </c>
      <c r="M47" s="260">
        <f t="shared" si="5"/>
        <v>43617</v>
      </c>
      <c r="N47"/>
      <c r="O47" s="261">
        <v>0</v>
      </c>
      <c r="P47" s="435">
        <v>0</v>
      </c>
      <c r="Q47" s="437">
        <v>0</v>
      </c>
      <c r="R47" s="261">
        <v>0</v>
      </c>
      <c r="S47" s="261">
        <v>0</v>
      </c>
      <c r="T47" s="261">
        <v>0</v>
      </c>
      <c r="U47" s="261">
        <v>0</v>
      </c>
      <c r="V47" s="231">
        <f t="shared" si="6"/>
        <v>0</v>
      </c>
    </row>
    <row r="48" spans="5:22" s="201" customFormat="1" ht="13" hidden="1" outlineLevel="1" x14ac:dyDescent="0.25">
      <c r="E48" s="229"/>
      <c r="F48" s="151" t="s">
        <v>17</v>
      </c>
      <c r="G48" s="151"/>
      <c r="H48" s="151"/>
      <c r="I48" s="151"/>
      <c r="J48" s="151"/>
      <c r="K48" s="151"/>
      <c r="L48" s="247" t="s">
        <v>85</v>
      </c>
      <c r="M48" s="253">
        <f t="shared" si="5"/>
        <v>43617</v>
      </c>
      <c r="N48"/>
      <c r="O48" s="244">
        <f t="shared" ref="O48" si="7">SUM(O33:O47)</f>
        <v>0</v>
      </c>
      <c r="P48" s="243">
        <f t="shared" ref="P48:U48" si="8">SUM(P33:P47)</f>
        <v>0</v>
      </c>
      <c r="Q48" s="438">
        <f t="shared" si="8"/>
        <v>0</v>
      </c>
      <c r="R48" s="244">
        <f t="shared" si="8"/>
        <v>0</v>
      </c>
      <c r="S48" s="244">
        <f t="shared" si="8"/>
        <v>0</v>
      </c>
      <c r="T48" s="244">
        <f t="shared" si="8"/>
        <v>0</v>
      </c>
      <c r="U48" s="244">
        <f t="shared" si="8"/>
        <v>0</v>
      </c>
      <c r="V48" s="233">
        <f>SUM(Q48:U48)</f>
        <v>0</v>
      </c>
    </row>
    <row r="49" spans="4:22" s="201" customFormat="1" hidden="1" outlineLevel="1" x14ac:dyDescent="0.25">
      <c r="E49" s="229"/>
      <c r="N49"/>
    </row>
    <row r="50" spans="4:22" s="201" customFormat="1" hidden="1" outlineLevel="1" x14ac:dyDescent="0.25">
      <c r="D50" s="201">
        <v>3</v>
      </c>
      <c r="E50" s="229" t="str">
        <f>'Input | Meters Vols &amp; Costs'!$G$31</f>
        <v>Replacements - End of life</v>
      </c>
      <c r="N50"/>
    </row>
    <row r="51" spans="4:22" s="201" customFormat="1" hidden="1" outlineLevel="1" x14ac:dyDescent="0.25">
      <c r="E51" s="229"/>
      <c r="N51"/>
      <c r="O51"/>
      <c r="P51"/>
      <c r="Q51"/>
      <c r="R51"/>
      <c r="S51"/>
      <c r="T51"/>
      <c r="U51"/>
    </row>
    <row r="52" spans="4:22" s="201" customFormat="1" ht="13" hidden="1" outlineLevel="1" x14ac:dyDescent="0.25">
      <c r="E52" s="229"/>
      <c r="F52" s="121" t="str">
        <f>I_MeterTypes[[#Headers],[Meter Type]]</f>
        <v>Meter Type</v>
      </c>
      <c r="G52" s="121" t="str">
        <f>I_MeterTypes[[#Headers],[RIN Subcategory 1]]</f>
        <v>RIN Subcategory 1</v>
      </c>
      <c r="H52" s="121" t="str">
        <f>I_MeterTypes[[#Headers],[RIN Subcategory 2]]</f>
        <v>RIN Subcategory 2</v>
      </c>
      <c r="I52" s="121" t="str">
        <f>I_MeterTypes[[#Headers],[AER Type]]</f>
        <v>AER Type</v>
      </c>
      <c r="J52" s="121" t="str">
        <f>I_MeterTypes[[#Headers],[RIN Subcategory 3]]</f>
        <v>RIN Subcategory 3</v>
      </c>
      <c r="K52" s="121" t="str">
        <f>I_MeterTypes[[#Headers],[Meter Code]]</f>
        <v>Meter Code</v>
      </c>
      <c r="L52" s="121" t="s">
        <v>6</v>
      </c>
      <c r="M52" s="121" t="s">
        <v>118</v>
      </c>
      <c r="N52"/>
      <c r="O52" s="234" t="str">
        <f>O$12</f>
        <v>2018-19</v>
      </c>
      <c r="P52" s="234" t="str">
        <f t="shared" ref="P52:U52" si="9">P$12</f>
        <v>2019-20</v>
      </c>
      <c r="Q52" s="436" t="str">
        <f t="shared" si="9"/>
        <v>2020-21</v>
      </c>
      <c r="R52" s="234" t="str">
        <f t="shared" si="9"/>
        <v>2021-22</v>
      </c>
      <c r="S52" s="234" t="str">
        <f t="shared" si="9"/>
        <v>2022-23</v>
      </c>
      <c r="T52" s="234" t="str">
        <f t="shared" si="9"/>
        <v>2023-24</v>
      </c>
      <c r="U52" s="234" t="str">
        <f t="shared" si="9"/>
        <v>2024-25</v>
      </c>
      <c r="V52" s="234" t="s">
        <v>17</v>
      </c>
    </row>
    <row r="53" spans="4:22" s="201" customFormat="1" ht="13" hidden="1" outlineLevel="1" x14ac:dyDescent="0.25">
      <c r="E53" s="229"/>
      <c r="F53" s="213" t="str" cm="1">
        <f t="array" ref="F53:F67">I_MeterTypes[Meter Type]</f>
        <v>AMI - Single Phase, single element</v>
      </c>
      <c r="G53" s="213" t="str" cm="1">
        <f t="array" ref="G53:G67">I_MeterTypes[RIN Subcategory 1]</f>
        <v>Single Phase Meter Population</v>
      </c>
      <c r="H53" s="213" t="str" cm="1">
        <f t="array" ref="H53:H67">I_MeterTypes[RIN Subcategory 2]</f>
        <v>Other</v>
      </c>
      <c r="I53" s="213" t="str" cm="1">
        <f t="array" ref="I53:I67">I_MeterTypes[AER Type]</f>
        <v>Meter Type 4</v>
      </c>
      <c r="J53" s="213" t="str" cm="1">
        <f t="array" ref="J53:J67">I_MeterTypes[RIN Subcategory 3]</f>
        <v>Single phase single element - AMI</v>
      </c>
      <c r="K53" s="213" t="str" cm="1">
        <f t="array" ref="K53:K67">I_MeterTypes[Meter Code]</f>
        <v>AMI 1ph 1e</v>
      </c>
      <c r="L53" s="221" t="s">
        <v>85</v>
      </c>
      <c r="M53" s="260">
        <f t="shared" ref="M53:M68" si="10">Basis_Capex</f>
        <v>43617</v>
      </c>
      <c r="N53"/>
      <c r="O53" s="261" cm="1">
        <f t="array" ref="O53:O67">IF('Input | Meters Vols &amp; Costs'!$P$77="Yes",'Input| Prices'!J$51,1)*INDEX(ICM_LabourCost,,$D50)*INDEX(ICM_Vol3,,O$8)</f>
        <v>0</v>
      </c>
      <c r="P53" s="435" cm="1">
        <f t="array" ref="P53:P67">IF('Input | Meters Vols &amp; Costs'!$P$77="Yes",'Input| Prices'!K$51,1)*INDEX(ICM_LabourCost,,$D50)*INDEX(ICM_Vol3,,P$8)</f>
        <v>1969651.6391559311</v>
      </c>
      <c r="Q53" s="437" cm="1">
        <f t="array" ref="Q53:Q67">IF('Input | Meters Vols &amp; Costs'!$P$77="Yes",'Input| Prices'!L$51,1)*INDEX(ICM_LabourCost,,$D50)*INDEX(ICM_Vol3,,Q$8)</f>
        <v>1989417.6101886518</v>
      </c>
      <c r="R53" s="261" cm="1">
        <f t="array" ref="R53:R67">IF('Input | Meters Vols &amp; Costs'!$P$77="Yes",'Input| Prices'!M$51,1)*INDEX(ICM_LabourCost,,$D50)*INDEX(ICM_Vol3,,R$8)</f>
        <v>2002601.2070882807</v>
      </c>
      <c r="S53" s="261" cm="1">
        <f t="array" ref="S53:S67">IF('Input | Meters Vols &amp; Costs'!$P$77="Yes",'Input| Prices'!N$51,1)*INDEX(ICM_LabourCost,,$D50)*INDEX(ICM_Vol3,,S$8)</f>
        <v>2014799.5911287661</v>
      </c>
      <c r="T53" s="261" cm="1">
        <f t="array" ref="T53:T67">IF('Input | Meters Vols &amp; Costs'!$P$77="Yes",'Input| Prices'!O$51,1)*INDEX(ICM_LabourCost,,$D50)*INDEX(ICM_Vol3,,T$8)</f>
        <v>2029563.4943498608</v>
      </c>
      <c r="U53" s="261" cm="1">
        <f t="array" ref="U53:U67">IF('Input | Meters Vols &amp; Costs'!$P$77="Yes",'Input| Prices'!P$51,1)*INDEX(ICM_LabourCost,,$D50)*INDEX(ICM_Vol3,,U$8)</f>
        <v>2048863.5639344172</v>
      </c>
      <c r="V53" s="231">
        <f t="shared" ref="V53:V67" si="11">SUM(N53:U53)</f>
        <v>12054897.105845908</v>
      </c>
    </row>
    <row r="54" spans="4:22" s="201" customFormat="1" ht="13" hidden="1" outlineLevel="1" x14ac:dyDescent="0.25">
      <c r="E54" s="229"/>
      <c r="F54" s="213" t="str">
        <v>AMI - Single Phase, two element</v>
      </c>
      <c r="G54" s="213" t="str">
        <v>Single Phase Meter Population</v>
      </c>
      <c r="H54" s="213" t="str">
        <v>Other</v>
      </c>
      <c r="I54" s="213" t="str">
        <v>Meter Type 4</v>
      </c>
      <c r="J54" s="218" t="str">
        <v>Single phase two element with contactor - AMI</v>
      </c>
      <c r="K54" s="218" t="str">
        <v>AMI 1ph 2e</v>
      </c>
      <c r="L54" s="221" t="s">
        <v>85</v>
      </c>
      <c r="M54" s="260">
        <f t="shared" si="10"/>
        <v>43617</v>
      </c>
      <c r="N54"/>
      <c r="O54" s="261">
        <v>0</v>
      </c>
      <c r="P54" s="435">
        <v>0</v>
      </c>
      <c r="Q54" s="437">
        <v>0</v>
      </c>
      <c r="R54" s="261">
        <v>0</v>
      </c>
      <c r="S54" s="261">
        <v>0</v>
      </c>
      <c r="T54" s="261">
        <v>0</v>
      </c>
      <c r="U54" s="261">
        <v>0</v>
      </c>
      <c r="V54" s="231">
        <f t="shared" si="11"/>
        <v>0</v>
      </c>
    </row>
    <row r="55" spans="4:22" s="201" customFormat="1" ht="13" hidden="1" outlineLevel="1" x14ac:dyDescent="0.25">
      <c r="E55" s="229"/>
      <c r="F55" s="213" t="str">
        <v>AMI - 3 Phase DC</v>
      </c>
      <c r="G55" s="213" t="str">
        <v>Multi Phase Meter Population</v>
      </c>
      <c r="H55" s="213" t="str">
        <v>Direct Connect Meter Population</v>
      </c>
      <c r="I55" s="213" t="str">
        <v>Meter Type 4</v>
      </c>
      <c r="J55" s="218" t="str">
        <v>Three phase - AMI</v>
      </c>
      <c r="K55" s="218" t="str">
        <v>AMI 3ph DC</v>
      </c>
      <c r="L55" s="221" t="s">
        <v>85</v>
      </c>
      <c r="M55" s="260">
        <f t="shared" si="10"/>
        <v>43617</v>
      </c>
      <c r="N55"/>
      <c r="O55" s="261">
        <v>0</v>
      </c>
      <c r="P55" s="435">
        <v>0</v>
      </c>
      <c r="Q55" s="437">
        <v>0</v>
      </c>
      <c r="R55" s="261">
        <v>0</v>
      </c>
      <c r="S55" s="261">
        <v>0</v>
      </c>
      <c r="T55" s="261">
        <v>0</v>
      </c>
      <c r="U55" s="261">
        <v>0</v>
      </c>
      <c r="V55" s="231">
        <f t="shared" si="11"/>
        <v>0</v>
      </c>
    </row>
    <row r="56" spans="4:22" s="201" customFormat="1" ht="13" hidden="1" outlineLevel="1" x14ac:dyDescent="0.25">
      <c r="E56" s="229"/>
      <c r="F56" s="213" t="str">
        <v>AMI 3Ph CT</v>
      </c>
      <c r="G56" s="213" t="str">
        <v>Multi Phase Meter Population</v>
      </c>
      <c r="H56" s="213" t="str">
        <v>Current Transformer Connected Meter Population</v>
      </c>
      <c r="I56" s="213" t="str">
        <v>Meter Type 4</v>
      </c>
      <c r="J56" s="218">
        <v>0</v>
      </c>
      <c r="K56" s="218" t="str">
        <v>AMI 3ph CT</v>
      </c>
      <c r="L56" s="221" t="s">
        <v>85</v>
      </c>
      <c r="M56" s="260">
        <f t="shared" si="10"/>
        <v>43617</v>
      </c>
      <c r="N56"/>
      <c r="O56" s="261">
        <v>0</v>
      </c>
      <c r="P56" s="435">
        <v>0</v>
      </c>
      <c r="Q56" s="437">
        <v>0</v>
      </c>
      <c r="R56" s="261">
        <v>0</v>
      </c>
      <c r="S56" s="261">
        <v>0</v>
      </c>
      <c r="T56" s="261">
        <v>0</v>
      </c>
      <c r="U56" s="261">
        <v>0</v>
      </c>
      <c r="V56" s="231">
        <f t="shared" si="11"/>
        <v>0</v>
      </c>
    </row>
    <row r="57" spans="4:22" s="201" customFormat="1" ht="13" hidden="1" outlineLevel="1" x14ac:dyDescent="0.25">
      <c r="E57" s="229"/>
      <c r="F57" s="213" t="str">
        <v>Non AMI - Type 5 Locally read Interval - Single Phase</v>
      </c>
      <c r="G57" s="213" t="str">
        <v>Single Phase Meter Population</v>
      </c>
      <c r="H57" s="213" t="str">
        <v>Direct Connect Meter Population</v>
      </c>
      <c r="I57" s="213" t="str">
        <v>Meter Type 5</v>
      </c>
      <c r="J57" s="218">
        <v>0</v>
      </c>
      <c r="K57" s="218" t="str">
        <v>INT 1ph</v>
      </c>
      <c r="L57" s="221" t="s">
        <v>85</v>
      </c>
      <c r="M57" s="260">
        <f t="shared" si="10"/>
        <v>43617</v>
      </c>
      <c r="N57"/>
      <c r="O57" s="261">
        <v>0</v>
      </c>
      <c r="P57" s="435">
        <v>0</v>
      </c>
      <c r="Q57" s="437">
        <v>0</v>
      </c>
      <c r="R57" s="261">
        <v>0</v>
      </c>
      <c r="S57" s="261">
        <v>0</v>
      </c>
      <c r="T57" s="261">
        <v>0</v>
      </c>
      <c r="U57" s="261">
        <v>0</v>
      </c>
      <c r="V57" s="231">
        <f t="shared" si="11"/>
        <v>0</v>
      </c>
    </row>
    <row r="58" spans="4:22" s="201" customFormat="1" ht="13" hidden="1" outlineLevel="1" x14ac:dyDescent="0.25">
      <c r="E58" s="229"/>
      <c r="F58" s="213" t="str">
        <v>Non AMI - Type 5 Locally read Interval - 3 Phase</v>
      </c>
      <c r="G58" s="213" t="str">
        <v>Single Phase Meter Population</v>
      </c>
      <c r="H58" s="213" t="str">
        <v>Direct Connect Meter Population</v>
      </c>
      <c r="I58" s="213" t="str">
        <v>Meter Type 5</v>
      </c>
      <c r="J58" s="218">
        <v>0</v>
      </c>
      <c r="K58" s="218" t="str">
        <v>INT 3ph</v>
      </c>
      <c r="L58" s="221" t="s">
        <v>85</v>
      </c>
      <c r="M58" s="260">
        <f t="shared" si="10"/>
        <v>43617</v>
      </c>
      <c r="N58"/>
      <c r="O58" s="261">
        <v>0</v>
      </c>
      <c r="P58" s="435">
        <v>0</v>
      </c>
      <c r="Q58" s="437">
        <v>0</v>
      </c>
      <c r="R58" s="261">
        <v>0</v>
      </c>
      <c r="S58" s="261">
        <v>0</v>
      </c>
      <c r="T58" s="261">
        <v>0</v>
      </c>
      <c r="U58" s="261">
        <v>0</v>
      </c>
      <c r="V58" s="231">
        <f t="shared" si="11"/>
        <v>0</v>
      </c>
    </row>
    <row r="59" spans="4:22" s="201" customFormat="1" ht="13" hidden="1" outlineLevel="1" x14ac:dyDescent="0.25">
      <c r="E59" s="229"/>
      <c r="F59" s="213" t="str">
        <v>Non AMI - Type 5 Locally read Interval - 3 Phase - CT</v>
      </c>
      <c r="G59" s="213" t="str">
        <v>Multi Phase Meter Population</v>
      </c>
      <c r="H59" s="213" t="str">
        <v>Current Transformer Connected Meter Population</v>
      </c>
      <c r="I59" s="213" t="str">
        <v>Meter Type 5</v>
      </c>
      <c r="J59" s="218">
        <v>0</v>
      </c>
      <c r="K59" s="218" t="str">
        <v>INT 3ph CT</v>
      </c>
      <c r="L59" s="221" t="s">
        <v>85</v>
      </c>
      <c r="M59" s="260">
        <f t="shared" si="10"/>
        <v>43617</v>
      </c>
      <c r="N59"/>
      <c r="O59" s="261">
        <v>0</v>
      </c>
      <c r="P59" s="435">
        <v>0</v>
      </c>
      <c r="Q59" s="437">
        <v>0</v>
      </c>
      <c r="R59" s="261">
        <v>0</v>
      </c>
      <c r="S59" s="261">
        <v>0</v>
      </c>
      <c r="T59" s="261">
        <v>0</v>
      </c>
      <c r="U59" s="261">
        <v>0</v>
      </c>
      <c r="V59" s="231">
        <f t="shared" si="11"/>
        <v>0</v>
      </c>
    </row>
    <row r="60" spans="4:22" s="201" customFormat="1" ht="13" hidden="1" outlineLevel="1" x14ac:dyDescent="0.25">
      <c r="E60" s="229"/>
      <c r="F60" s="213" t="str">
        <v>Non AMI - Type 6 Locally read Accumulation - Single Phase</v>
      </c>
      <c r="G60" s="213" t="str">
        <v>Multi Phase Meter Population</v>
      </c>
      <c r="H60" s="213" t="str">
        <v>Direct Connect Meter Population</v>
      </c>
      <c r="I60" s="213" t="str">
        <v>Meter Type 6</v>
      </c>
      <c r="J60" s="218">
        <v>0</v>
      </c>
      <c r="K60" s="218" t="str">
        <v>ACC 1ph</v>
      </c>
      <c r="L60" s="221" t="s">
        <v>85</v>
      </c>
      <c r="M60" s="260">
        <f t="shared" si="10"/>
        <v>43617</v>
      </c>
      <c r="N60"/>
      <c r="O60" s="261">
        <v>0</v>
      </c>
      <c r="P60" s="435">
        <v>0</v>
      </c>
      <c r="Q60" s="437">
        <v>0</v>
      </c>
      <c r="R60" s="261">
        <v>0</v>
      </c>
      <c r="S60" s="261">
        <v>0</v>
      </c>
      <c r="T60" s="261">
        <v>0</v>
      </c>
      <c r="U60" s="261">
        <v>0</v>
      </c>
      <c r="V60" s="231">
        <f t="shared" si="11"/>
        <v>0</v>
      </c>
    </row>
    <row r="61" spans="4:22" s="201" customFormat="1" ht="13" hidden="1" outlineLevel="1" x14ac:dyDescent="0.25">
      <c r="E61" s="229"/>
      <c r="F61" s="213" t="str">
        <v>Non AMI - Type 6 Locally read Accumulation - 3 Phase</v>
      </c>
      <c r="G61" s="213">
        <v>0</v>
      </c>
      <c r="H61" s="213" t="str">
        <v>Direct Connect Meter Population</v>
      </c>
      <c r="I61" s="213" t="str">
        <v>Meter Type 6</v>
      </c>
      <c r="J61" s="218">
        <v>0</v>
      </c>
      <c r="K61" s="218" t="str">
        <v>ACC 3ph</v>
      </c>
      <c r="L61" s="221" t="s">
        <v>85</v>
      </c>
      <c r="M61" s="260">
        <f t="shared" si="10"/>
        <v>43617</v>
      </c>
      <c r="N61"/>
      <c r="O61" s="261">
        <v>0</v>
      </c>
      <c r="P61" s="435">
        <v>0</v>
      </c>
      <c r="Q61" s="437">
        <v>0</v>
      </c>
      <c r="R61" s="261">
        <v>0</v>
      </c>
      <c r="S61" s="261">
        <v>0</v>
      </c>
      <c r="T61" s="261">
        <v>0</v>
      </c>
      <c r="U61" s="261">
        <v>0</v>
      </c>
      <c r="V61" s="231">
        <f t="shared" si="11"/>
        <v>0</v>
      </c>
    </row>
    <row r="62" spans="4:22" s="201" customFormat="1" ht="13" hidden="1" outlineLevel="1" x14ac:dyDescent="0.25">
      <c r="E62" s="229"/>
      <c r="F62" s="213">
        <v>0</v>
      </c>
      <c r="G62" s="213">
        <v>0</v>
      </c>
      <c r="H62" s="213">
        <v>0</v>
      </c>
      <c r="I62" s="213">
        <v>0</v>
      </c>
      <c r="J62" s="218">
        <v>0</v>
      </c>
      <c r="K62" s="218">
        <v>0</v>
      </c>
      <c r="L62" s="221" t="s">
        <v>85</v>
      </c>
      <c r="M62" s="260">
        <f t="shared" si="10"/>
        <v>43617</v>
      </c>
      <c r="N62"/>
      <c r="O62" s="261">
        <v>0</v>
      </c>
      <c r="P62" s="435">
        <v>0</v>
      </c>
      <c r="Q62" s="437">
        <v>0</v>
      </c>
      <c r="R62" s="261">
        <v>0</v>
      </c>
      <c r="S62" s="261">
        <v>0</v>
      </c>
      <c r="T62" s="261">
        <v>0</v>
      </c>
      <c r="U62" s="261">
        <v>0</v>
      </c>
      <c r="V62" s="231">
        <f t="shared" si="11"/>
        <v>0</v>
      </c>
    </row>
    <row r="63" spans="4:22" s="201" customFormat="1" ht="13" hidden="1" outlineLevel="1" x14ac:dyDescent="0.25">
      <c r="E63" s="229"/>
      <c r="F63" s="213">
        <v>0</v>
      </c>
      <c r="G63" s="213">
        <v>0</v>
      </c>
      <c r="H63" s="213">
        <v>0</v>
      </c>
      <c r="I63" s="213">
        <v>0</v>
      </c>
      <c r="J63" s="218">
        <v>0</v>
      </c>
      <c r="K63" s="218">
        <v>0</v>
      </c>
      <c r="L63" s="221" t="s">
        <v>85</v>
      </c>
      <c r="M63" s="260">
        <f t="shared" si="10"/>
        <v>43617</v>
      </c>
      <c r="N63"/>
      <c r="O63" s="261">
        <v>0</v>
      </c>
      <c r="P63" s="435">
        <v>0</v>
      </c>
      <c r="Q63" s="437">
        <v>0</v>
      </c>
      <c r="R63" s="261">
        <v>0</v>
      </c>
      <c r="S63" s="261">
        <v>0</v>
      </c>
      <c r="T63" s="261">
        <v>0</v>
      </c>
      <c r="U63" s="261">
        <v>0</v>
      </c>
      <c r="V63" s="231">
        <f t="shared" si="11"/>
        <v>0</v>
      </c>
    </row>
    <row r="64" spans="4:22" s="201" customFormat="1" ht="13" hidden="1" outlineLevel="1" x14ac:dyDescent="0.25">
      <c r="E64" s="229"/>
      <c r="F64" s="213">
        <v>0</v>
      </c>
      <c r="G64" s="213">
        <v>0</v>
      </c>
      <c r="H64" s="213">
        <v>0</v>
      </c>
      <c r="I64" s="213">
        <v>0</v>
      </c>
      <c r="J64" s="218">
        <v>0</v>
      </c>
      <c r="K64" s="218">
        <v>0</v>
      </c>
      <c r="L64" s="221" t="s">
        <v>85</v>
      </c>
      <c r="M64" s="260">
        <f t="shared" si="10"/>
        <v>43617</v>
      </c>
      <c r="N64"/>
      <c r="O64" s="261">
        <v>0</v>
      </c>
      <c r="P64" s="435">
        <v>0</v>
      </c>
      <c r="Q64" s="437">
        <v>0</v>
      </c>
      <c r="R64" s="261">
        <v>0</v>
      </c>
      <c r="S64" s="261">
        <v>0</v>
      </c>
      <c r="T64" s="261">
        <v>0</v>
      </c>
      <c r="U64" s="261">
        <v>0</v>
      </c>
      <c r="V64" s="231">
        <f t="shared" si="11"/>
        <v>0</v>
      </c>
    </row>
    <row r="65" spans="4:22" s="201" customFormat="1" ht="13" hidden="1" outlineLevel="1" x14ac:dyDescent="0.25">
      <c r="E65" s="229"/>
      <c r="F65" s="213">
        <v>0</v>
      </c>
      <c r="G65" s="213">
        <v>0</v>
      </c>
      <c r="H65" s="213">
        <v>0</v>
      </c>
      <c r="I65" s="213">
        <v>0</v>
      </c>
      <c r="J65" s="218">
        <v>0</v>
      </c>
      <c r="K65" s="218">
        <v>0</v>
      </c>
      <c r="L65" s="221" t="s">
        <v>85</v>
      </c>
      <c r="M65" s="260">
        <f t="shared" si="10"/>
        <v>43617</v>
      </c>
      <c r="N65"/>
      <c r="O65" s="261">
        <v>0</v>
      </c>
      <c r="P65" s="435">
        <v>0</v>
      </c>
      <c r="Q65" s="437">
        <v>0</v>
      </c>
      <c r="R65" s="261">
        <v>0</v>
      </c>
      <c r="S65" s="261">
        <v>0</v>
      </c>
      <c r="T65" s="261">
        <v>0</v>
      </c>
      <c r="U65" s="261">
        <v>0</v>
      </c>
      <c r="V65" s="231">
        <f t="shared" si="11"/>
        <v>0</v>
      </c>
    </row>
    <row r="66" spans="4:22" s="201" customFormat="1" ht="13" hidden="1" outlineLevel="1" x14ac:dyDescent="0.25">
      <c r="E66" s="229"/>
      <c r="F66" s="213">
        <v>0</v>
      </c>
      <c r="G66" s="213">
        <v>0</v>
      </c>
      <c r="H66" s="213">
        <v>0</v>
      </c>
      <c r="I66" s="213">
        <v>0</v>
      </c>
      <c r="J66" s="218">
        <v>0</v>
      </c>
      <c r="K66" s="218">
        <v>0</v>
      </c>
      <c r="L66" s="221" t="s">
        <v>85</v>
      </c>
      <c r="M66" s="260">
        <f t="shared" si="10"/>
        <v>43617</v>
      </c>
      <c r="N66"/>
      <c r="O66" s="261">
        <v>0</v>
      </c>
      <c r="P66" s="435">
        <v>0</v>
      </c>
      <c r="Q66" s="437">
        <v>0</v>
      </c>
      <c r="R66" s="261">
        <v>0</v>
      </c>
      <c r="S66" s="261">
        <v>0</v>
      </c>
      <c r="T66" s="261">
        <v>0</v>
      </c>
      <c r="U66" s="261">
        <v>0</v>
      </c>
      <c r="V66" s="231">
        <f t="shared" si="11"/>
        <v>0</v>
      </c>
    </row>
    <row r="67" spans="4:22" s="201" customFormat="1" ht="13" hidden="1" outlineLevel="1" x14ac:dyDescent="0.25">
      <c r="E67" s="229"/>
      <c r="F67" s="213">
        <v>0</v>
      </c>
      <c r="G67" s="213">
        <v>0</v>
      </c>
      <c r="H67" s="213">
        <v>0</v>
      </c>
      <c r="I67" s="213">
        <v>0</v>
      </c>
      <c r="J67" s="218">
        <v>0</v>
      </c>
      <c r="K67" s="218">
        <v>0</v>
      </c>
      <c r="L67" s="221" t="s">
        <v>85</v>
      </c>
      <c r="M67" s="260">
        <f t="shared" si="10"/>
        <v>43617</v>
      </c>
      <c r="N67"/>
      <c r="O67" s="261">
        <v>0</v>
      </c>
      <c r="P67" s="435">
        <v>0</v>
      </c>
      <c r="Q67" s="437">
        <v>0</v>
      </c>
      <c r="R67" s="261">
        <v>0</v>
      </c>
      <c r="S67" s="261">
        <v>0</v>
      </c>
      <c r="T67" s="261">
        <v>0</v>
      </c>
      <c r="U67" s="261">
        <v>0</v>
      </c>
      <c r="V67" s="231">
        <f t="shared" si="11"/>
        <v>0</v>
      </c>
    </row>
    <row r="68" spans="4:22" s="201" customFormat="1" ht="13" hidden="1" outlineLevel="1" x14ac:dyDescent="0.25">
      <c r="E68" s="229"/>
      <c r="F68" s="151" t="s">
        <v>17</v>
      </c>
      <c r="G68" s="151"/>
      <c r="H68" s="151"/>
      <c r="I68" s="151"/>
      <c r="J68" s="151"/>
      <c r="K68" s="151"/>
      <c r="L68" s="247" t="s">
        <v>85</v>
      </c>
      <c r="M68" s="253">
        <f t="shared" si="10"/>
        <v>43617</v>
      </c>
      <c r="N68"/>
      <c r="O68" s="244">
        <f t="shared" ref="O68" si="12">SUM(O53:O60)</f>
        <v>0</v>
      </c>
      <c r="P68" s="243">
        <f t="shared" ref="P68:U68" si="13">SUM(P53:P60)</f>
        <v>1969651.6391559311</v>
      </c>
      <c r="Q68" s="438">
        <f t="shared" si="13"/>
        <v>1989417.6101886518</v>
      </c>
      <c r="R68" s="244">
        <f t="shared" si="13"/>
        <v>2002601.2070882807</v>
      </c>
      <c r="S68" s="244">
        <f t="shared" si="13"/>
        <v>2014799.5911287661</v>
      </c>
      <c r="T68" s="244">
        <f t="shared" si="13"/>
        <v>2029563.4943498608</v>
      </c>
      <c r="U68" s="244">
        <f t="shared" si="13"/>
        <v>2048863.5639344172</v>
      </c>
      <c r="V68" s="233">
        <f>SUM(Q68:U68)</f>
        <v>10085245.466689976</v>
      </c>
    </row>
    <row r="69" spans="4:22" s="201" customFormat="1" hidden="1" outlineLevel="1" x14ac:dyDescent="0.25">
      <c r="E69" s="229"/>
      <c r="N69"/>
    </row>
    <row r="70" spans="4:22" s="201" customFormat="1" hidden="1" outlineLevel="1" x14ac:dyDescent="0.25">
      <c r="D70" s="201">
        <v>4</v>
      </c>
      <c r="E70" s="229" t="str">
        <f>'Input | Meters Vols &amp; Costs'!$G$32</f>
        <v>Replacements - Failures and faults</v>
      </c>
      <c r="N70"/>
    </row>
    <row r="71" spans="4:22" s="201" customFormat="1" hidden="1" outlineLevel="1" x14ac:dyDescent="0.25">
      <c r="E71" s="229"/>
      <c r="N71"/>
      <c r="O71"/>
      <c r="P71"/>
      <c r="Q71"/>
      <c r="R71"/>
      <c r="S71"/>
      <c r="T71"/>
      <c r="U71"/>
    </row>
    <row r="72" spans="4:22" s="201" customFormat="1" ht="13" hidden="1" outlineLevel="1" x14ac:dyDescent="0.25">
      <c r="E72" s="229"/>
      <c r="F72" s="121" t="str">
        <f>I_MeterTypes[[#Headers],[Meter Type]]</f>
        <v>Meter Type</v>
      </c>
      <c r="G72" s="121" t="str">
        <f>I_MeterTypes[[#Headers],[RIN Subcategory 1]]</f>
        <v>RIN Subcategory 1</v>
      </c>
      <c r="H72" s="121" t="str">
        <f>I_MeterTypes[[#Headers],[RIN Subcategory 2]]</f>
        <v>RIN Subcategory 2</v>
      </c>
      <c r="I72" s="121" t="str">
        <f>I_MeterTypes[[#Headers],[AER Type]]</f>
        <v>AER Type</v>
      </c>
      <c r="J72" s="121" t="str">
        <f>I_MeterTypes[[#Headers],[RIN Subcategory 3]]</f>
        <v>RIN Subcategory 3</v>
      </c>
      <c r="K72" s="121" t="str">
        <f>I_MeterTypes[[#Headers],[Meter Code]]</f>
        <v>Meter Code</v>
      </c>
      <c r="L72" s="121" t="s">
        <v>6</v>
      </c>
      <c r="M72" s="121" t="s">
        <v>118</v>
      </c>
      <c r="N72"/>
      <c r="O72" s="234" t="str">
        <f>O$12</f>
        <v>2018-19</v>
      </c>
      <c r="P72" s="234" t="str">
        <f t="shared" ref="P72:U72" si="14">P$12</f>
        <v>2019-20</v>
      </c>
      <c r="Q72" s="436" t="str">
        <f t="shared" si="14"/>
        <v>2020-21</v>
      </c>
      <c r="R72" s="234" t="str">
        <f t="shared" si="14"/>
        <v>2021-22</v>
      </c>
      <c r="S72" s="234" t="str">
        <f t="shared" si="14"/>
        <v>2022-23</v>
      </c>
      <c r="T72" s="234" t="str">
        <f t="shared" si="14"/>
        <v>2023-24</v>
      </c>
      <c r="U72" s="234" t="str">
        <f t="shared" si="14"/>
        <v>2024-25</v>
      </c>
      <c r="V72" s="234" t="s">
        <v>17</v>
      </c>
    </row>
    <row r="73" spans="4:22" s="201" customFormat="1" ht="13" hidden="1" outlineLevel="1" x14ac:dyDescent="0.25">
      <c r="E73" s="229"/>
      <c r="F73" s="213" t="str" cm="1">
        <f t="array" ref="F73:F87">I_MeterTypes[Meter Type]</f>
        <v>AMI - Single Phase, single element</v>
      </c>
      <c r="G73" s="213" t="str" cm="1">
        <f t="array" ref="G73:G87">I_MeterTypes[RIN Subcategory 1]</f>
        <v>Single Phase Meter Population</v>
      </c>
      <c r="H73" s="213" t="str" cm="1">
        <f t="array" ref="H73:H87">I_MeterTypes[RIN Subcategory 2]</f>
        <v>Other</v>
      </c>
      <c r="I73" s="213" t="str" cm="1">
        <f t="array" ref="I73:I87">I_MeterTypes[AER Type]</f>
        <v>Meter Type 4</v>
      </c>
      <c r="J73" s="213" t="str" cm="1">
        <f t="array" ref="J73:J87">I_MeterTypes[RIN Subcategory 3]</f>
        <v>Single phase single element - AMI</v>
      </c>
      <c r="K73" s="213" t="str" cm="1">
        <f t="array" ref="K73:K87">I_MeterTypes[Meter Code]</f>
        <v>AMI 1ph 1e</v>
      </c>
      <c r="L73" s="221" t="s">
        <v>85</v>
      </c>
      <c r="M73" s="260">
        <f t="shared" ref="M73:M88" si="15">Basis_Capex</f>
        <v>43617</v>
      </c>
      <c r="N73"/>
      <c r="O73" s="261" cm="1">
        <f t="array" ref="O73:O87">IF('Input | Meters Vols &amp; Costs'!$P$77="Yes",'Input| Prices'!J$51,1)*INDEX(ICM_LabourCost,,$D70)*INDEX(ICM_Vol4,,O$8)</f>
        <v>0</v>
      </c>
      <c r="P73" s="435" cm="1">
        <f t="array" ref="P73:P87">IF('Input | Meters Vols &amp; Costs'!$P$77="Yes",'Input| Prices'!K$51,1)*INDEX(ICM_LabourCost,,$D70)*INDEX(ICM_Vol4,,P$8)</f>
        <v>492412.90978898277</v>
      </c>
      <c r="Q73" s="437" cm="1">
        <f t="array" ref="Q73:Q87">IF('Input | Meters Vols &amp; Costs'!$P$77="Yes",'Input| Prices'!L$51,1)*INDEX(ICM_LabourCost,,$D70)*INDEX(ICM_Vol4,,Q$8)</f>
        <v>497354.40254716296</v>
      </c>
      <c r="R73" s="261" cm="1">
        <f t="array" ref="R73:R87">IF('Input | Meters Vols &amp; Costs'!$P$77="Yes",'Input| Prices'!M$51,1)*INDEX(ICM_LabourCost,,$D70)*INDEX(ICM_Vol4,,R$8)</f>
        <v>500650.30177207018</v>
      </c>
      <c r="S73" s="261" cm="1">
        <f t="array" ref="S73:S87">IF('Input | Meters Vols &amp; Costs'!$P$77="Yes",'Input| Prices'!N$51,1)*INDEX(ICM_LabourCost,,$D70)*INDEX(ICM_Vol4,,S$8)</f>
        <v>503699.89778219152</v>
      </c>
      <c r="T73" s="261" cm="1">
        <f t="array" ref="T73:T87">IF('Input | Meters Vols &amp; Costs'!$P$77="Yes",'Input| Prices'!O$51,1)*INDEX(ICM_LabourCost,,$D70)*INDEX(ICM_Vol4,,T$8)</f>
        <v>507390.8735874652</v>
      </c>
      <c r="U73" s="261" cm="1">
        <f t="array" ref="U73:U87">IF('Input | Meters Vols &amp; Costs'!$P$77="Yes",'Input| Prices'!P$51,1)*INDEX(ICM_LabourCost,,$D70)*INDEX(ICM_Vol4,,U$8)</f>
        <v>512215.8909836043</v>
      </c>
      <c r="V73" s="231">
        <f t="shared" ref="V73:V87" si="16">SUM(N73:U73)</f>
        <v>3013724.2764614769</v>
      </c>
    </row>
    <row r="74" spans="4:22" s="201" customFormat="1" ht="13" hidden="1" outlineLevel="1" x14ac:dyDescent="0.25">
      <c r="E74" s="229"/>
      <c r="F74" s="213" t="str">
        <v>AMI - Single Phase, two element</v>
      </c>
      <c r="G74" s="213" t="str">
        <v>Single Phase Meter Population</v>
      </c>
      <c r="H74" s="213" t="str">
        <v>Other</v>
      </c>
      <c r="I74" s="213" t="str">
        <v>Meter Type 4</v>
      </c>
      <c r="J74" s="218" t="str">
        <v>Single phase two element with contactor - AMI</v>
      </c>
      <c r="K74" s="218" t="str">
        <v>AMI 1ph 2e</v>
      </c>
      <c r="L74" s="221" t="s">
        <v>85</v>
      </c>
      <c r="M74" s="260">
        <f t="shared" si="15"/>
        <v>43617</v>
      </c>
      <c r="N74"/>
      <c r="O74" s="261">
        <v>0</v>
      </c>
      <c r="P74" s="435">
        <v>0</v>
      </c>
      <c r="Q74" s="437">
        <v>0</v>
      </c>
      <c r="R74" s="261">
        <v>0</v>
      </c>
      <c r="S74" s="261">
        <v>0</v>
      </c>
      <c r="T74" s="261">
        <v>0</v>
      </c>
      <c r="U74" s="261">
        <v>0</v>
      </c>
      <c r="V74" s="231">
        <f t="shared" si="16"/>
        <v>0</v>
      </c>
    </row>
    <row r="75" spans="4:22" s="201" customFormat="1" ht="13" hidden="1" outlineLevel="1" x14ac:dyDescent="0.25">
      <c r="E75" s="229"/>
      <c r="F75" s="213" t="str">
        <v>AMI - 3 Phase DC</v>
      </c>
      <c r="G75" s="213" t="str">
        <v>Multi Phase Meter Population</v>
      </c>
      <c r="H75" s="213" t="str">
        <v>Direct Connect Meter Population</v>
      </c>
      <c r="I75" s="213" t="str">
        <v>Meter Type 4</v>
      </c>
      <c r="J75" s="218" t="str">
        <v>Three phase - AMI</v>
      </c>
      <c r="K75" s="218" t="str">
        <v>AMI 3ph DC</v>
      </c>
      <c r="L75" s="221" t="s">
        <v>85</v>
      </c>
      <c r="M75" s="260">
        <f t="shared" si="15"/>
        <v>43617</v>
      </c>
      <c r="N75"/>
      <c r="O75" s="261">
        <v>0</v>
      </c>
      <c r="P75" s="435">
        <v>0</v>
      </c>
      <c r="Q75" s="437">
        <v>0</v>
      </c>
      <c r="R75" s="261">
        <v>0</v>
      </c>
      <c r="S75" s="261">
        <v>0</v>
      </c>
      <c r="T75" s="261">
        <v>0</v>
      </c>
      <c r="U75" s="261">
        <v>0</v>
      </c>
      <c r="V75" s="231">
        <f t="shared" si="16"/>
        <v>0</v>
      </c>
    </row>
    <row r="76" spans="4:22" s="201" customFormat="1" ht="13" hidden="1" outlineLevel="1" x14ac:dyDescent="0.25">
      <c r="E76" s="229"/>
      <c r="F76" s="213" t="str">
        <v>AMI 3Ph CT</v>
      </c>
      <c r="G76" s="213" t="str">
        <v>Multi Phase Meter Population</v>
      </c>
      <c r="H76" s="213" t="str">
        <v>Current Transformer Connected Meter Population</v>
      </c>
      <c r="I76" s="213" t="str">
        <v>Meter Type 4</v>
      </c>
      <c r="J76" s="218">
        <v>0</v>
      </c>
      <c r="K76" s="218" t="str">
        <v>AMI 3ph CT</v>
      </c>
      <c r="L76" s="221" t="s">
        <v>85</v>
      </c>
      <c r="M76" s="260">
        <f t="shared" si="15"/>
        <v>43617</v>
      </c>
      <c r="N76"/>
      <c r="O76" s="261">
        <v>0</v>
      </c>
      <c r="P76" s="435">
        <v>0</v>
      </c>
      <c r="Q76" s="437">
        <v>0</v>
      </c>
      <c r="R76" s="261">
        <v>0</v>
      </c>
      <c r="S76" s="261">
        <v>0</v>
      </c>
      <c r="T76" s="261">
        <v>0</v>
      </c>
      <c r="U76" s="261">
        <v>0</v>
      </c>
      <c r="V76" s="231">
        <f t="shared" si="16"/>
        <v>0</v>
      </c>
    </row>
    <row r="77" spans="4:22" s="201" customFormat="1" ht="13" hidden="1" outlineLevel="1" x14ac:dyDescent="0.25">
      <c r="E77" s="229"/>
      <c r="F77" s="213" t="str">
        <v>Non AMI - Type 5 Locally read Interval - Single Phase</v>
      </c>
      <c r="G77" s="213" t="str">
        <v>Single Phase Meter Population</v>
      </c>
      <c r="H77" s="213" t="str">
        <v>Direct Connect Meter Population</v>
      </c>
      <c r="I77" s="213" t="str">
        <v>Meter Type 5</v>
      </c>
      <c r="J77" s="218">
        <v>0</v>
      </c>
      <c r="K77" s="218" t="str">
        <v>INT 1ph</v>
      </c>
      <c r="L77" s="221" t="s">
        <v>85</v>
      </c>
      <c r="M77" s="260">
        <f t="shared" si="15"/>
        <v>43617</v>
      </c>
      <c r="N77"/>
      <c r="O77" s="261">
        <v>0</v>
      </c>
      <c r="P77" s="435">
        <v>0</v>
      </c>
      <c r="Q77" s="437">
        <v>0</v>
      </c>
      <c r="R77" s="261">
        <v>0</v>
      </c>
      <c r="S77" s="261">
        <v>0</v>
      </c>
      <c r="T77" s="261">
        <v>0</v>
      </c>
      <c r="U77" s="261">
        <v>0</v>
      </c>
      <c r="V77" s="231">
        <f t="shared" si="16"/>
        <v>0</v>
      </c>
    </row>
    <row r="78" spans="4:22" s="201" customFormat="1" ht="13" hidden="1" outlineLevel="1" x14ac:dyDescent="0.25">
      <c r="E78" s="229"/>
      <c r="F78" s="213" t="str">
        <v>Non AMI - Type 5 Locally read Interval - 3 Phase</v>
      </c>
      <c r="G78" s="213" t="str">
        <v>Single Phase Meter Population</v>
      </c>
      <c r="H78" s="213" t="str">
        <v>Direct Connect Meter Population</v>
      </c>
      <c r="I78" s="213" t="str">
        <v>Meter Type 5</v>
      </c>
      <c r="J78" s="218">
        <v>0</v>
      </c>
      <c r="K78" s="218" t="str">
        <v>INT 3ph</v>
      </c>
      <c r="L78" s="221" t="s">
        <v>85</v>
      </c>
      <c r="M78" s="260">
        <f t="shared" si="15"/>
        <v>43617</v>
      </c>
      <c r="N78"/>
      <c r="O78" s="261">
        <v>0</v>
      </c>
      <c r="P78" s="435">
        <v>0</v>
      </c>
      <c r="Q78" s="437">
        <v>0</v>
      </c>
      <c r="R78" s="261">
        <v>0</v>
      </c>
      <c r="S78" s="261">
        <v>0</v>
      </c>
      <c r="T78" s="261">
        <v>0</v>
      </c>
      <c r="U78" s="261">
        <v>0</v>
      </c>
      <c r="V78" s="231">
        <f t="shared" si="16"/>
        <v>0</v>
      </c>
    </row>
    <row r="79" spans="4:22" s="201" customFormat="1" ht="13" hidden="1" outlineLevel="1" x14ac:dyDescent="0.25">
      <c r="E79" s="229"/>
      <c r="F79" s="213" t="str">
        <v>Non AMI - Type 5 Locally read Interval - 3 Phase - CT</v>
      </c>
      <c r="G79" s="213" t="str">
        <v>Multi Phase Meter Population</v>
      </c>
      <c r="H79" s="213" t="str">
        <v>Current Transformer Connected Meter Population</v>
      </c>
      <c r="I79" s="213" t="str">
        <v>Meter Type 5</v>
      </c>
      <c r="J79" s="218">
        <v>0</v>
      </c>
      <c r="K79" s="218" t="str">
        <v>INT 3ph CT</v>
      </c>
      <c r="L79" s="221" t="s">
        <v>85</v>
      </c>
      <c r="M79" s="260">
        <f t="shared" si="15"/>
        <v>43617</v>
      </c>
      <c r="N79"/>
      <c r="O79" s="261">
        <v>0</v>
      </c>
      <c r="P79" s="435">
        <v>0</v>
      </c>
      <c r="Q79" s="437">
        <v>0</v>
      </c>
      <c r="R79" s="261">
        <v>0</v>
      </c>
      <c r="S79" s="261">
        <v>0</v>
      </c>
      <c r="T79" s="261">
        <v>0</v>
      </c>
      <c r="U79" s="261">
        <v>0</v>
      </c>
      <c r="V79" s="231">
        <f t="shared" si="16"/>
        <v>0</v>
      </c>
    </row>
    <row r="80" spans="4:22" s="201" customFormat="1" ht="13" hidden="1" outlineLevel="1" x14ac:dyDescent="0.25">
      <c r="E80" s="229"/>
      <c r="F80" s="213" t="str">
        <v>Non AMI - Type 6 Locally read Accumulation - Single Phase</v>
      </c>
      <c r="G80" s="213" t="str">
        <v>Multi Phase Meter Population</v>
      </c>
      <c r="H80" s="213" t="str">
        <v>Direct Connect Meter Population</v>
      </c>
      <c r="I80" s="213" t="str">
        <v>Meter Type 6</v>
      </c>
      <c r="J80" s="218">
        <v>0</v>
      </c>
      <c r="K80" s="218" t="str">
        <v>ACC 1ph</v>
      </c>
      <c r="L80" s="221" t="s">
        <v>85</v>
      </c>
      <c r="M80" s="260">
        <f t="shared" si="15"/>
        <v>43617</v>
      </c>
      <c r="N80"/>
      <c r="O80" s="261">
        <v>0</v>
      </c>
      <c r="P80" s="435">
        <v>0</v>
      </c>
      <c r="Q80" s="437">
        <v>0</v>
      </c>
      <c r="R80" s="261">
        <v>0</v>
      </c>
      <c r="S80" s="261">
        <v>0</v>
      </c>
      <c r="T80" s="261">
        <v>0</v>
      </c>
      <c r="U80" s="261">
        <v>0</v>
      </c>
      <c r="V80" s="231">
        <f t="shared" si="16"/>
        <v>0</v>
      </c>
    </row>
    <row r="81" spans="4:22" s="201" customFormat="1" ht="13" hidden="1" outlineLevel="1" x14ac:dyDescent="0.25">
      <c r="E81" s="229"/>
      <c r="F81" s="213" t="str">
        <v>Non AMI - Type 6 Locally read Accumulation - 3 Phase</v>
      </c>
      <c r="G81" s="213">
        <v>0</v>
      </c>
      <c r="H81" s="213" t="str">
        <v>Direct Connect Meter Population</v>
      </c>
      <c r="I81" s="213" t="str">
        <v>Meter Type 6</v>
      </c>
      <c r="J81" s="218">
        <v>0</v>
      </c>
      <c r="K81" s="218" t="str">
        <v>ACC 3ph</v>
      </c>
      <c r="L81" s="221" t="s">
        <v>85</v>
      </c>
      <c r="M81" s="260">
        <f t="shared" si="15"/>
        <v>43617</v>
      </c>
      <c r="N81"/>
      <c r="O81" s="261">
        <v>0</v>
      </c>
      <c r="P81" s="435">
        <v>0</v>
      </c>
      <c r="Q81" s="437">
        <v>0</v>
      </c>
      <c r="R81" s="261">
        <v>0</v>
      </c>
      <c r="S81" s="261">
        <v>0</v>
      </c>
      <c r="T81" s="261">
        <v>0</v>
      </c>
      <c r="U81" s="261">
        <v>0</v>
      </c>
      <c r="V81" s="231">
        <f t="shared" si="16"/>
        <v>0</v>
      </c>
    </row>
    <row r="82" spans="4:22" s="201" customFormat="1" ht="13" hidden="1" outlineLevel="1" x14ac:dyDescent="0.25">
      <c r="E82" s="229"/>
      <c r="F82" s="213">
        <v>0</v>
      </c>
      <c r="G82" s="213">
        <v>0</v>
      </c>
      <c r="H82" s="213">
        <v>0</v>
      </c>
      <c r="I82" s="213">
        <v>0</v>
      </c>
      <c r="J82" s="218">
        <v>0</v>
      </c>
      <c r="K82" s="218">
        <v>0</v>
      </c>
      <c r="L82" s="221" t="s">
        <v>85</v>
      </c>
      <c r="M82" s="260">
        <f t="shared" si="15"/>
        <v>43617</v>
      </c>
      <c r="N82"/>
      <c r="O82" s="261">
        <v>0</v>
      </c>
      <c r="P82" s="435">
        <v>0</v>
      </c>
      <c r="Q82" s="437">
        <v>0</v>
      </c>
      <c r="R82" s="261">
        <v>0</v>
      </c>
      <c r="S82" s="261">
        <v>0</v>
      </c>
      <c r="T82" s="261">
        <v>0</v>
      </c>
      <c r="U82" s="261">
        <v>0</v>
      </c>
      <c r="V82" s="231">
        <f t="shared" si="16"/>
        <v>0</v>
      </c>
    </row>
    <row r="83" spans="4:22" s="201" customFormat="1" ht="13" hidden="1" outlineLevel="1" x14ac:dyDescent="0.25">
      <c r="E83" s="229"/>
      <c r="F83" s="213">
        <v>0</v>
      </c>
      <c r="G83" s="213">
        <v>0</v>
      </c>
      <c r="H83" s="213">
        <v>0</v>
      </c>
      <c r="I83" s="213">
        <v>0</v>
      </c>
      <c r="J83" s="218">
        <v>0</v>
      </c>
      <c r="K83" s="218">
        <v>0</v>
      </c>
      <c r="L83" s="221" t="s">
        <v>85</v>
      </c>
      <c r="M83" s="260">
        <f t="shared" si="15"/>
        <v>43617</v>
      </c>
      <c r="N83"/>
      <c r="O83" s="261">
        <v>0</v>
      </c>
      <c r="P83" s="435">
        <v>0</v>
      </c>
      <c r="Q83" s="437">
        <v>0</v>
      </c>
      <c r="R83" s="261">
        <v>0</v>
      </c>
      <c r="S83" s="261">
        <v>0</v>
      </c>
      <c r="T83" s="261">
        <v>0</v>
      </c>
      <c r="U83" s="261">
        <v>0</v>
      </c>
      <c r="V83" s="231">
        <f t="shared" si="16"/>
        <v>0</v>
      </c>
    </row>
    <row r="84" spans="4:22" s="201" customFormat="1" ht="13" hidden="1" outlineLevel="1" x14ac:dyDescent="0.25">
      <c r="E84" s="229"/>
      <c r="F84" s="213">
        <v>0</v>
      </c>
      <c r="G84" s="213">
        <v>0</v>
      </c>
      <c r="H84" s="213">
        <v>0</v>
      </c>
      <c r="I84" s="213">
        <v>0</v>
      </c>
      <c r="J84" s="218">
        <v>0</v>
      </c>
      <c r="K84" s="218">
        <v>0</v>
      </c>
      <c r="L84" s="221" t="s">
        <v>85</v>
      </c>
      <c r="M84" s="260">
        <f t="shared" si="15"/>
        <v>43617</v>
      </c>
      <c r="N84"/>
      <c r="O84" s="261">
        <v>0</v>
      </c>
      <c r="P84" s="435">
        <v>0</v>
      </c>
      <c r="Q84" s="437">
        <v>0</v>
      </c>
      <c r="R84" s="261">
        <v>0</v>
      </c>
      <c r="S84" s="261">
        <v>0</v>
      </c>
      <c r="T84" s="261">
        <v>0</v>
      </c>
      <c r="U84" s="261">
        <v>0</v>
      </c>
      <c r="V84" s="231">
        <f t="shared" si="16"/>
        <v>0</v>
      </c>
    </row>
    <row r="85" spans="4:22" s="201" customFormat="1" ht="13" hidden="1" outlineLevel="1" x14ac:dyDescent="0.25">
      <c r="E85" s="229"/>
      <c r="F85" s="213">
        <v>0</v>
      </c>
      <c r="G85" s="213">
        <v>0</v>
      </c>
      <c r="H85" s="213">
        <v>0</v>
      </c>
      <c r="I85" s="213">
        <v>0</v>
      </c>
      <c r="J85" s="218">
        <v>0</v>
      </c>
      <c r="K85" s="218">
        <v>0</v>
      </c>
      <c r="L85" s="221" t="s">
        <v>85</v>
      </c>
      <c r="M85" s="260">
        <f t="shared" si="15"/>
        <v>43617</v>
      </c>
      <c r="N85"/>
      <c r="O85" s="261">
        <v>0</v>
      </c>
      <c r="P85" s="435">
        <v>0</v>
      </c>
      <c r="Q85" s="437">
        <v>0</v>
      </c>
      <c r="R85" s="261">
        <v>0</v>
      </c>
      <c r="S85" s="261">
        <v>0</v>
      </c>
      <c r="T85" s="261">
        <v>0</v>
      </c>
      <c r="U85" s="261">
        <v>0</v>
      </c>
      <c r="V85" s="231">
        <f t="shared" si="16"/>
        <v>0</v>
      </c>
    </row>
    <row r="86" spans="4:22" s="201" customFormat="1" ht="13" hidden="1" outlineLevel="1" x14ac:dyDescent="0.25">
      <c r="E86" s="229"/>
      <c r="F86" s="213">
        <v>0</v>
      </c>
      <c r="G86" s="213">
        <v>0</v>
      </c>
      <c r="H86" s="213">
        <v>0</v>
      </c>
      <c r="I86" s="213">
        <v>0</v>
      </c>
      <c r="J86" s="218">
        <v>0</v>
      </c>
      <c r="K86" s="218">
        <v>0</v>
      </c>
      <c r="L86" s="221" t="s">
        <v>85</v>
      </c>
      <c r="M86" s="260">
        <f t="shared" si="15"/>
        <v>43617</v>
      </c>
      <c r="N86"/>
      <c r="O86" s="261">
        <v>0</v>
      </c>
      <c r="P86" s="435">
        <v>0</v>
      </c>
      <c r="Q86" s="437">
        <v>0</v>
      </c>
      <c r="R86" s="261">
        <v>0</v>
      </c>
      <c r="S86" s="261">
        <v>0</v>
      </c>
      <c r="T86" s="261">
        <v>0</v>
      </c>
      <c r="U86" s="261">
        <v>0</v>
      </c>
      <c r="V86" s="231">
        <f t="shared" si="16"/>
        <v>0</v>
      </c>
    </row>
    <row r="87" spans="4:22" s="201" customFormat="1" ht="13" hidden="1" outlineLevel="1" x14ac:dyDescent="0.25">
      <c r="E87" s="229"/>
      <c r="F87" s="213">
        <v>0</v>
      </c>
      <c r="G87" s="213">
        <v>0</v>
      </c>
      <c r="H87" s="213">
        <v>0</v>
      </c>
      <c r="I87" s="213">
        <v>0</v>
      </c>
      <c r="J87" s="218">
        <v>0</v>
      </c>
      <c r="K87" s="218">
        <v>0</v>
      </c>
      <c r="L87" s="221" t="s">
        <v>85</v>
      </c>
      <c r="M87" s="260">
        <f t="shared" si="15"/>
        <v>43617</v>
      </c>
      <c r="N87"/>
      <c r="O87" s="261">
        <v>0</v>
      </c>
      <c r="P87" s="435">
        <v>0</v>
      </c>
      <c r="Q87" s="437">
        <v>0</v>
      </c>
      <c r="R87" s="261">
        <v>0</v>
      </c>
      <c r="S87" s="261">
        <v>0</v>
      </c>
      <c r="T87" s="261">
        <v>0</v>
      </c>
      <c r="U87" s="261">
        <v>0</v>
      </c>
      <c r="V87" s="231">
        <f t="shared" si="16"/>
        <v>0</v>
      </c>
    </row>
    <row r="88" spans="4:22" s="201" customFormat="1" ht="13" hidden="1" outlineLevel="1" x14ac:dyDescent="0.25">
      <c r="E88" s="229"/>
      <c r="F88" s="151" t="s">
        <v>17</v>
      </c>
      <c r="G88" s="151"/>
      <c r="H88" s="151"/>
      <c r="I88" s="151"/>
      <c r="J88" s="151"/>
      <c r="K88" s="151"/>
      <c r="L88" s="247" t="s">
        <v>85</v>
      </c>
      <c r="M88" s="253">
        <f t="shared" si="15"/>
        <v>43617</v>
      </c>
      <c r="N88"/>
      <c r="O88" s="232">
        <f t="shared" ref="O88" si="17">SUM(O73:O87)</f>
        <v>0</v>
      </c>
      <c r="P88" s="289">
        <f t="shared" ref="P88:U88" si="18">SUM(P73:P87)</f>
        <v>492412.90978898277</v>
      </c>
      <c r="Q88" s="290">
        <f t="shared" si="18"/>
        <v>497354.40254716296</v>
      </c>
      <c r="R88" s="232">
        <f t="shared" si="18"/>
        <v>500650.30177207018</v>
      </c>
      <c r="S88" s="232">
        <f t="shared" si="18"/>
        <v>503699.89778219152</v>
      </c>
      <c r="T88" s="232">
        <f t="shared" si="18"/>
        <v>507390.8735874652</v>
      </c>
      <c r="U88" s="232">
        <f t="shared" si="18"/>
        <v>512215.8909836043</v>
      </c>
      <c r="V88" s="233">
        <f>SUM(Q88:U88)</f>
        <v>2521311.366672494</v>
      </c>
    </row>
    <row r="89" spans="4:22" s="201" customFormat="1" hidden="1" outlineLevel="1" x14ac:dyDescent="0.25">
      <c r="E89" s="229"/>
      <c r="N89"/>
    </row>
    <row r="90" spans="4:22" s="201" customFormat="1" hidden="1" outlineLevel="1" x14ac:dyDescent="0.25">
      <c r="D90" s="201">
        <v>5</v>
      </c>
      <c r="E90" s="229">
        <f>'Input | Meters Vols &amp; Costs'!$G$33</f>
        <v>0</v>
      </c>
      <c r="N90"/>
    </row>
    <row r="91" spans="4:22" s="201" customFormat="1" hidden="1" outlineLevel="1" x14ac:dyDescent="0.25">
      <c r="E91" s="229"/>
      <c r="N91"/>
      <c r="O91"/>
      <c r="P91"/>
      <c r="Q91"/>
      <c r="R91"/>
      <c r="S91"/>
      <c r="T91"/>
      <c r="U91"/>
    </row>
    <row r="92" spans="4:22" s="201" customFormat="1" ht="13" hidden="1" outlineLevel="1" x14ac:dyDescent="0.25">
      <c r="E92" s="229"/>
      <c r="F92" s="121" t="str">
        <f>I_MeterTypes[[#Headers],[Meter Type]]</f>
        <v>Meter Type</v>
      </c>
      <c r="G92" s="121" t="str">
        <f>I_MeterTypes[[#Headers],[RIN Subcategory 1]]</f>
        <v>RIN Subcategory 1</v>
      </c>
      <c r="H92" s="121" t="str">
        <f>I_MeterTypes[[#Headers],[RIN Subcategory 2]]</f>
        <v>RIN Subcategory 2</v>
      </c>
      <c r="I92" s="121" t="str">
        <f>I_MeterTypes[[#Headers],[AER Type]]</f>
        <v>AER Type</v>
      </c>
      <c r="J92" s="121" t="str">
        <f>I_MeterTypes[[#Headers],[RIN Subcategory 3]]</f>
        <v>RIN Subcategory 3</v>
      </c>
      <c r="K92" s="121" t="str">
        <f>I_MeterTypes[[#Headers],[Meter Code]]</f>
        <v>Meter Code</v>
      </c>
      <c r="L92" s="121" t="s">
        <v>6</v>
      </c>
      <c r="M92" s="121" t="s">
        <v>118</v>
      </c>
      <c r="N92"/>
      <c r="O92" s="234" t="str">
        <f>O$12</f>
        <v>2018-19</v>
      </c>
      <c r="P92" s="234" t="str">
        <f t="shared" ref="P92:U92" si="19">P$12</f>
        <v>2019-20</v>
      </c>
      <c r="Q92" s="436" t="str">
        <f t="shared" si="19"/>
        <v>2020-21</v>
      </c>
      <c r="R92" s="234" t="str">
        <f t="shared" si="19"/>
        <v>2021-22</v>
      </c>
      <c r="S92" s="234" t="str">
        <f t="shared" si="19"/>
        <v>2022-23</v>
      </c>
      <c r="T92" s="234" t="str">
        <f t="shared" si="19"/>
        <v>2023-24</v>
      </c>
      <c r="U92" s="234" t="str">
        <f t="shared" si="19"/>
        <v>2024-25</v>
      </c>
      <c r="V92" s="234" t="s">
        <v>17</v>
      </c>
    </row>
    <row r="93" spans="4:22" s="201" customFormat="1" ht="13" hidden="1" outlineLevel="1" x14ac:dyDescent="0.25">
      <c r="E93" s="229"/>
      <c r="F93" s="213" t="str" cm="1">
        <f t="array" ref="F93:F107">I_MeterTypes[Meter Type]</f>
        <v>AMI - Single Phase, single element</v>
      </c>
      <c r="G93" s="213" t="str" cm="1">
        <f t="array" ref="G93:G107">I_MeterTypes[RIN Subcategory 1]</f>
        <v>Single Phase Meter Population</v>
      </c>
      <c r="H93" s="213" t="str" cm="1">
        <f t="array" ref="H93:H107">I_MeterTypes[RIN Subcategory 2]</f>
        <v>Other</v>
      </c>
      <c r="I93" s="213" t="str" cm="1">
        <f t="array" ref="I93:I107">I_MeterTypes[AER Type]</f>
        <v>Meter Type 4</v>
      </c>
      <c r="J93" s="213" t="str" cm="1">
        <f t="array" ref="J93:J107">I_MeterTypes[RIN Subcategory 3]</f>
        <v>Single phase single element - AMI</v>
      </c>
      <c r="K93" s="213" t="str" cm="1">
        <f t="array" ref="K93:K107">I_MeterTypes[Meter Code]</f>
        <v>AMI 1ph 1e</v>
      </c>
      <c r="L93" s="221" t="s">
        <v>85</v>
      </c>
      <c r="M93" s="260">
        <f t="shared" ref="M93:M108" si="20">Basis_Capex</f>
        <v>43617</v>
      </c>
      <c r="N93"/>
      <c r="O93" s="261" cm="1">
        <f t="array" ref="O93:O107">IF('Input | Meters Vols &amp; Costs'!$P$77="Yes",'Input| Prices'!J$51,1)*INDEX(ICM_LabourCost,,$D90)*INDEX(ICM_Vol5,,O$8)</f>
        <v>0</v>
      </c>
      <c r="P93" s="435" cm="1">
        <f t="array" ref="P93:P107">IF('Input | Meters Vols &amp; Costs'!$P$77="Yes",'Input| Prices'!K$51,1)*INDEX(ICM_LabourCost,,$D90)*INDEX(ICM_Vol5,,P$8)</f>
        <v>0</v>
      </c>
      <c r="Q93" s="437" cm="1">
        <f t="array" ref="Q93:Q107">IF('Input | Meters Vols &amp; Costs'!$P$77="Yes",'Input| Prices'!L$51,1)*INDEX(ICM_LabourCost,,$D90)*INDEX(ICM_Vol5,,Q$8)</f>
        <v>0</v>
      </c>
      <c r="R93" s="261" cm="1">
        <f t="array" ref="R93:R107">IF('Input | Meters Vols &amp; Costs'!$P$77="Yes",'Input| Prices'!M$51,1)*INDEX(ICM_LabourCost,,$D90)*INDEX(ICM_Vol5,,R$8)</f>
        <v>0</v>
      </c>
      <c r="S93" s="261" cm="1">
        <f t="array" ref="S93:S107">IF('Input | Meters Vols &amp; Costs'!$P$77="Yes",'Input| Prices'!N$51,1)*INDEX(ICM_LabourCost,,$D90)*INDEX(ICM_Vol5,,S$8)</f>
        <v>0</v>
      </c>
      <c r="T93" s="261" cm="1">
        <f t="array" ref="T93:T107">IF('Input | Meters Vols &amp; Costs'!$P$77="Yes",'Input| Prices'!O$51,1)*INDEX(ICM_LabourCost,,$D90)*INDEX(ICM_Vol5,,T$8)</f>
        <v>0</v>
      </c>
      <c r="U93" s="261" cm="1">
        <f t="array" ref="U93:U107">IF('Input | Meters Vols &amp; Costs'!$P$77="Yes",'Input| Prices'!P$51,1)*INDEX(ICM_LabourCost,,$D90)*INDEX(ICM_Vol5,,U$8)</f>
        <v>0</v>
      </c>
      <c r="V93" s="231">
        <f t="shared" ref="V93:V107" si="21">SUM(N93:U93)</f>
        <v>0</v>
      </c>
    </row>
    <row r="94" spans="4:22" s="201" customFormat="1" ht="13" hidden="1" outlineLevel="1" x14ac:dyDescent="0.25">
      <c r="E94" s="229"/>
      <c r="F94" s="213" t="str">
        <v>AMI - Single Phase, two element</v>
      </c>
      <c r="G94" s="213" t="str">
        <v>Single Phase Meter Population</v>
      </c>
      <c r="H94" s="213" t="str">
        <v>Other</v>
      </c>
      <c r="I94" s="213" t="str">
        <v>Meter Type 4</v>
      </c>
      <c r="J94" s="218" t="str">
        <v>Single phase two element with contactor - AMI</v>
      </c>
      <c r="K94" s="218" t="str">
        <v>AMI 1ph 2e</v>
      </c>
      <c r="L94" s="221" t="s">
        <v>85</v>
      </c>
      <c r="M94" s="260">
        <f t="shared" si="20"/>
        <v>43617</v>
      </c>
      <c r="N94"/>
      <c r="O94" s="261">
        <v>0</v>
      </c>
      <c r="P94" s="435">
        <v>0</v>
      </c>
      <c r="Q94" s="437">
        <v>0</v>
      </c>
      <c r="R94" s="261">
        <v>0</v>
      </c>
      <c r="S94" s="261">
        <v>0</v>
      </c>
      <c r="T94" s="261">
        <v>0</v>
      </c>
      <c r="U94" s="261">
        <v>0</v>
      </c>
      <c r="V94" s="231">
        <f t="shared" si="21"/>
        <v>0</v>
      </c>
    </row>
    <row r="95" spans="4:22" s="201" customFormat="1" ht="13" hidden="1" outlineLevel="1" x14ac:dyDescent="0.25">
      <c r="E95" s="229"/>
      <c r="F95" s="213" t="str">
        <v>AMI - 3 Phase DC</v>
      </c>
      <c r="G95" s="213" t="str">
        <v>Multi Phase Meter Population</v>
      </c>
      <c r="H95" s="213" t="str">
        <v>Direct Connect Meter Population</v>
      </c>
      <c r="I95" s="213" t="str">
        <v>Meter Type 4</v>
      </c>
      <c r="J95" s="218" t="str">
        <v>Three phase - AMI</v>
      </c>
      <c r="K95" s="218" t="str">
        <v>AMI 3ph DC</v>
      </c>
      <c r="L95" s="221" t="s">
        <v>85</v>
      </c>
      <c r="M95" s="260">
        <f t="shared" si="20"/>
        <v>43617</v>
      </c>
      <c r="N95"/>
      <c r="O95" s="261">
        <v>0</v>
      </c>
      <c r="P95" s="435">
        <v>0</v>
      </c>
      <c r="Q95" s="437">
        <v>0</v>
      </c>
      <c r="R95" s="261">
        <v>0</v>
      </c>
      <c r="S95" s="261">
        <v>0</v>
      </c>
      <c r="T95" s="261">
        <v>0</v>
      </c>
      <c r="U95" s="261">
        <v>0</v>
      </c>
      <c r="V95" s="231">
        <f t="shared" si="21"/>
        <v>0</v>
      </c>
    </row>
    <row r="96" spans="4:22" s="201" customFormat="1" ht="13" hidden="1" outlineLevel="1" x14ac:dyDescent="0.25">
      <c r="E96" s="229"/>
      <c r="F96" s="213" t="str">
        <v>AMI 3Ph CT</v>
      </c>
      <c r="G96" s="213" t="str">
        <v>Multi Phase Meter Population</v>
      </c>
      <c r="H96" s="213" t="str">
        <v>Current Transformer Connected Meter Population</v>
      </c>
      <c r="I96" s="213" t="str">
        <v>Meter Type 4</v>
      </c>
      <c r="J96" s="218">
        <v>0</v>
      </c>
      <c r="K96" s="218" t="str">
        <v>AMI 3ph CT</v>
      </c>
      <c r="L96" s="221" t="s">
        <v>85</v>
      </c>
      <c r="M96" s="260">
        <f t="shared" si="20"/>
        <v>43617</v>
      </c>
      <c r="N96"/>
      <c r="O96" s="261">
        <v>0</v>
      </c>
      <c r="P96" s="435">
        <v>0</v>
      </c>
      <c r="Q96" s="437">
        <v>0</v>
      </c>
      <c r="R96" s="261">
        <v>0</v>
      </c>
      <c r="S96" s="261">
        <v>0</v>
      </c>
      <c r="T96" s="261">
        <v>0</v>
      </c>
      <c r="U96" s="261">
        <v>0</v>
      </c>
      <c r="V96" s="231">
        <f t="shared" si="21"/>
        <v>0</v>
      </c>
    </row>
    <row r="97" spans="4:22" s="201" customFormat="1" ht="13" hidden="1" outlineLevel="1" x14ac:dyDescent="0.25">
      <c r="E97" s="229"/>
      <c r="F97" s="213" t="str">
        <v>Non AMI - Type 5 Locally read Interval - Single Phase</v>
      </c>
      <c r="G97" s="213" t="str">
        <v>Single Phase Meter Population</v>
      </c>
      <c r="H97" s="213" t="str">
        <v>Direct Connect Meter Population</v>
      </c>
      <c r="I97" s="213" t="str">
        <v>Meter Type 5</v>
      </c>
      <c r="J97" s="218">
        <v>0</v>
      </c>
      <c r="K97" s="218" t="str">
        <v>INT 1ph</v>
      </c>
      <c r="L97" s="221" t="s">
        <v>85</v>
      </c>
      <c r="M97" s="260">
        <f t="shared" si="20"/>
        <v>43617</v>
      </c>
      <c r="N97"/>
      <c r="O97" s="261">
        <v>0</v>
      </c>
      <c r="P97" s="435">
        <v>0</v>
      </c>
      <c r="Q97" s="437">
        <v>0</v>
      </c>
      <c r="R97" s="261">
        <v>0</v>
      </c>
      <c r="S97" s="261">
        <v>0</v>
      </c>
      <c r="T97" s="261">
        <v>0</v>
      </c>
      <c r="U97" s="261">
        <v>0</v>
      </c>
      <c r="V97" s="231">
        <f t="shared" si="21"/>
        <v>0</v>
      </c>
    </row>
    <row r="98" spans="4:22" s="201" customFormat="1" ht="13" hidden="1" outlineLevel="1" x14ac:dyDescent="0.25">
      <c r="E98" s="229"/>
      <c r="F98" s="213" t="str">
        <v>Non AMI - Type 5 Locally read Interval - 3 Phase</v>
      </c>
      <c r="G98" s="213" t="str">
        <v>Single Phase Meter Population</v>
      </c>
      <c r="H98" s="213" t="str">
        <v>Direct Connect Meter Population</v>
      </c>
      <c r="I98" s="213" t="str">
        <v>Meter Type 5</v>
      </c>
      <c r="J98" s="218">
        <v>0</v>
      </c>
      <c r="K98" s="218" t="str">
        <v>INT 3ph</v>
      </c>
      <c r="L98" s="221" t="s">
        <v>85</v>
      </c>
      <c r="M98" s="260">
        <f t="shared" si="20"/>
        <v>43617</v>
      </c>
      <c r="N98"/>
      <c r="O98" s="261">
        <v>0</v>
      </c>
      <c r="P98" s="435">
        <v>0</v>
      </c>
      <c r="Q98" s="437">
        <v>0</v>
      </c>
      <c r="R98" s="261">
        <v>0</v>
      </c>
      <c r="S98" s="261">
        <v>0</v>
      </c>
      <c r="T98" s="261">
        <v>0</v>
      </c>
      <c r="U98" s="261">
        <v>0</v>
      </c>
      <c r="V98" s="231">
        <f t="shared" si="21"/>
        <v>0</v>
      </c>
    </row>
    <row r="99" spans="4:22" s="201" customFormat="1" ht="13" hidden="1" outlineLevel="1" x14ac:dyDescent="0.25">
      <c r="E99" s="229"/>
      <c r="F99" s="213" t="str">
        <v>Non AMI - Type 5 Locally read Interval - 3 Phase - CT</v>
      </c>
      <c r="G99" s="213" t="str">
        <v>Multi Phase Meter Population</v>
      </c>
      <c r="H99" s="213" t="str">
        <v>Current Transformer Connected Meter Population</v>
      </c>
      <c r="I99" s="213" t="str">
        <v>Meter Type 5</v>
      </c>
      <c r="J99" s="218">
        <v>0</v>
      </c>
      <c r="K99" s="218" t="str">
        <v>INT 3ph CT</v>
      </c>
      <c r="L99" s="221" t="s">
        <v>85</v>
      </c>
      <c r="M99" s="260">
        <f t="shared" si="20"/>
        <v>43617</v>
      </c>
      <c r="N99"/>
      <c r="O99" s="261">
        <v>0</v>
      </c>
      <c r="P99" s="435">
        <v>0</v>
      </c>
      <c r="Q99" s="437">
        <v>0</v>
      </c>
      <c r="R99" s="261">
        <v>0</v>
      </c>
      <c r="S99" s="261">
        <v>0</v>
      </c>
      <c r="T99" s="261">
        <v>0</v>
      </c>
      <c r="U99" s="261">
        <v>0</v>
      </c>
      <c r="V99" s="231">
        <f t="shared" si="21"/>
        <v>0</v>
      </c>
    </row>
    <row r="100" spans="4:22" s="201" customFormat="1" ht="13" hidden="1" outlineLevel="1" x14ac:dyDescent="0.25">
      <c r="E100" s="229"/>
      <c r="F100" s="213" t="str">
        <v>Non AMI - Type 6 Locally read Accumulation - Single Phase</v>
      </c>
      <c r="G100" s="213" t="str">
        <v>Multi Phase Meter Population</v>
      </c>
      <c r="H100" s="213" t="str">
        <v>Direct Connect Meter Population</v>
      </c>
      <c r="I100" s="213" t="str">
        <v>Meter Type 6</v>
      </c>
      <c r="J100" s="218">
        <v>0</v>
      </c>
      <c r="K100" s="218" t="str">
        <v>ACC 1ph</v>
      </c>
      <c r="L100" s="221" t="s">
        <v>85</v>
      </c>
      <c r="M100" s="260">
        <f t="shared" si="20"/>
        <v>43617</v>
      </c>
      <c r="N100"/>
      <c r="O100" s="261">
        <v>0</v>
      </c>
      <c r="P100" s="435">
        <v>0</v>
      </c>
      <c r="Q100" s="437">
        <v>0</v>
      </c>
      <c r="R100" s="261">
        <v>0</v>
      </c>
      <c r="S100" s="261">
        <v>0</v>
      </c>
      <c r="T100" s="261">
        <v>0</v>
      </c>
      <c r="U100" s="261">
        <v>0</v>
      </c>
      <c r="V100" s="231">
        <f t="shared" si="21"/>
        <v>0</v>
      </c>
    </row>
    <row r="101" spans="4:22" s="201" customFormat="1" ht="13" hidden="1" outlineLevel="1" x14ac:dyDescent="0.25">
      <c r="E101" s="229"/>
      <c r="F101" s="213" t="str">
        <v>Non AMI - Type 6 Locally read Accumulation - 3 Phase</v>
      </c>
      <c r="G101" s="213">
        <v>0</v>
      </c>
      <c r="H101" s="213" t="str">
        <v>Direct Connect Meter Population</v>
      </c>
      <c r="I101" s="213" t="str">
        <v>Meter Type 6</v>
      </c>
      <c r="J101" s="218">
        <v>0</v>
      </c>
      <c r="K101" s="218" t="str">
        <v>ACC 3ph</v>
      </c>
      <c r="L101" s="221" t="s">
        <v>85</v>
      </c>
      <c r="M101" s="260">
        <f t="shared" si="20"/>
        <v>43617</v>
      </c>
      <c r="N101"/>
      <c r="O101" s="261">
        <v>0</v>
      </c>
      <c r="P101" s="435">
        <v>0</v>
      </c>
      <c r="Q101" s="437">
        <v>0</v>
      </c>
      <c r="R101" s="261">
        <v>0</v>
      </c>
      <c r="S101" s="261">
        <v>0</v>
      </c>
      <c r="T101" s="261">
        <v>0</v>
      </c>
      <c r="U101" s="261">
        <v>0</v>
      </c>
      <c r="V101" s="231">
        <f t="shared" si="21"/>
        <v>0</v>
      </c>
    </row>
    <row r="102" spans="4:22" s="201" customFormat="1" ht="13" hidden="1" outlineLevel="1" x14ac:dyDescent="0.25">
      <c r="E102" s="229"/>
      <c r="F102" s="213">
        <v>0</v>
      </c>
      <c r="G102" s="213">
        <v>0</v>
      </c>
      <c r="H102" s="213">
        <v>0</v>
      </c>
      <c r="I102" s="213">
        <v>0</v>
      </c>
      <c r="J102" s="218">
        <v>0</v>
      </c>
      <c r="K102" s="218">
        <v>0</v>
      </c>
      <c r="L102" s="221" t="s">
        <v>85</v>
      </c>
      <c r="M102" s="260">
        <f t="shared" si="20"/>
        <v>43617</v>
      </c>
      <c r="N102"/>
      <c r="O102" s="261">
        <v>0</v>
      </c>
      <c r="P102" s="435">
        <v>0</v>
      </c>
      <c r="Q102" s="437">
        <v>0</v>
      </c>
      <c r="R102" s="261">
        <v>0</v>
      </c>
      <c r="S102" s="261">
        <v>0</v>
      </c>
      <c r="T102" s="261">
        <v>0</v>
      </c>
      <c r="U102" s="261">
        <v>0</v>
      </c>
      <c r="V102" s="231">
        <f t="shared" si="21"/>
        <v>0</v>
      </c>
    </row>
    <row r="103" spans="4:22" s="201" customFormat="1" ht="13" hidden="1" outlineLevel="1" x14ac:dyDescent="0.25">
      <c r="E103" s="229"/>
      <c r="F103" s="213">
        <v>0</v>
      </c>
      <c r="G103" s="213">
        <v>0</v>
      </c>
      <c r="H103" s="213">
        <v>0</v>
      </c>
      <c r="I103" s="213">
        <v>0</v>
      </c>
      <c r="J103" s="218">
        <v>0</v>
      </c>
      <c r="K103" s="218">
        <v>0</v>
      </c>
      <c r="L103" s="221" t="s">
        <v>85</v>
      </c>
      <c r="M103" s="260">
        <f t="shared" si="20"/>
        <v>43617</v>
      </c>
      <c r="N103"/>
      <c r="O103" s="261">
        <v>0</v>
      </c>
      <c r="P103" s="435">
        <v>0</v>
      </c>
      <c r="Q103" s="437">
        <v>0</v>
      </c>
      <c r="R103" s="261">
        <v>0</v>
      </c>
      <c r="S103" s="261">
        <v>0</v>
      </c>
      <c r="T103" s="261">
        <v>0</v>
      </c>
      <c r="U103" s="261">
        <v>0</v>
      </c>
      <c r="V103" s="231">
        <f t="shared" si="21"/>
        <v>0</v>
      </c>
    </row>
    <row r="104" spans="4:22" s="201" customFormat="1" ht="13" hidden="1" outlineLevel="1" x14ac:dyDescent="0.25">
      <c r="E104" s="229"/>
      <c r="F104" s="213">
        <v>0</v>
      </c>
      <c r="G104" s="213">
        <v>0</v>
      </c>
      <c r="H104" s="213">
        <v>0</v>
      </c>
      <c r="I104" s="213">
        <v>0</v>
      </c>
      <c r="J104" s="218">
        <v>0</v>
      </c>
      <c r="K104" s="218">
        <v>0</v>
      </c>
      <c r="L104" s="221" t="s">
        <v>85</v>
      </c>
      <c r="M104" s="260">
        <f t="shared" si="20"/>
        <v>43617</v>
      </c>
      <c r="N104"/>
      <c r="O104" s="261">
        <v>0</v>
      </c>
      <c r="P104" s="435">
        <v>0</v>
      </c>
      <c r="Q104" s="437">
        <v>0</v>
      </c>
      <c r="R104" s="261">
        <v>0</v>
      </c>
      <c r="S104" s="261">
        <v>0</v>
      </c>
      <c r="T104" s="261">
        <v>0</v>
      </c>
      <c r="U104" s="261">
        <v>0</v>
      </c>
      <c r="V104" s="231">
        <f t="shared" si="21"/>
        <v>0</v>
      </c>
    </row>
    <row r="105" spans="4:22" s="201" customFormat="1" ht="13" hidden="1" outlineLevel="1" x14ac:dyDescent="0.25">
      <c r="E105" s="229"/>
      <c r="F105" s="213">
        <v>0</v>
      </c>
      <c r="G105" s="213">
        <v>0</v>
      </c>
      <c r="H105" s="213">
        <v>0</v>
      </c>
      <c r="I105" s="213">
        <v>0</v>
      </c>
      <c r="J105" s="218">
        <v>0</v>
      </c>
      <c r="K105" s="218">
        <v>0</v>
      </c>
      <c r="L105" s="221" t="s">
        <v>85</v>
      </c>
      <c r="M105" s="260">
        <f t="shared" si="20"/>
        <v>43617</v>
      </c>
      <c r="N105"/>
      <c r="O105" s="261">
        <v>0</v>
      </c>
      <c r="P105" s="435">
        <v>0</v>
      </c>
      <c r="Q105" s="437">
        <v>0</v>
      </c>
      <c r="R105" s="261">
        <v>0</v>
      </c>
      <c r="S105" s="261">
        <v>0</v>
      </c>
      <c r="T105" s="261">
        <v>0</v>
      </c>
      <c r="U105" s="261">
        <v>0</v>
      </c>
      <c r="V105" s="231">
        <f t="shared" si="21"/>
        <v>0</v>
      </c>
    </row>
    <row r="106" spans="4:22" s="201" customFormat="1" ht="13" hidden="1" outlineLevel="1" x14ac:dyDescent="0.25">
      <c r="E106" s="229"/>
      <c r="F106" s="213">
        <v>0</v>
      </c>
      <c r="G106" s="213">
        <v>0</v>
      </c>
      <c r="H106" s="213">
        <v>0</v>
      </c>
      <c r="I106" s="213">
        <v>0</v>
      </c>
      <c r="J106" s="218">
        <v>0</v>
      </c>
      <c r="K106" s="218">
        <v>0</v>
      </c>
      <c r="L106" s="221" t="s">
        <v>85</v>
      </c>
      <c r="M106" s="260">
        <f t="shared" si="20"/>
        <v>43617</v>
      </c>
      <c r="N106"/>
      <c r="O106" s="261">
        <v>0</v>
      </c>
      <c r="P106" s="435">
        <v>0</v>
      </c>
      <c r="Q106" s="437">
        <v>0</v>
      </c>
      <c r="R106" s="261">
        <v>0</v>
      </c>
      <c r="S106" s="261">
        <v>0</v>
      </c>
      <c r="T106" s="261">
        <v>0</v>
      </c>
      <c r="U106" s="261">
        <v>0</v>
      </c>
      <c r="V106" s="231">
        <f t="shared" si="21"/>
        <v>0</v>
      </c>
    </row>
    <row r="107" spans="4:22" s="201" customFormat="1" ht="13" hidden="1" outlineLevel="1" x14ac:dyDescent="0.25">
      <c r="E107" s="229"/>
      <c r="F107" s="213">
        <v>0</v>
      </c>
      <c r="G107" s="213">
        <v>0</v>
      </c>
      <c r="H107" s="213">
        <v>0</v>
      </c>
      <c r="I107" s="213">
        <v>0</v>
      </c>
      <c r="J107" s="218">
        <v>0</v>
      </c>
      <c r="K107" s="218">
        <v>0</v>
      </c>
      <c r="L107" s="221" t="s">
        <v>85</v>
      </c>
      <c r="M107" s="260">
        <f t="shared" si="20"/>
        <v>43617</v>
      </c>
      <c r="N107"/>
      <c r="O107" s="261">
        <v>0</v>
      </c>
      <c r="P107" s="435">
        <v>0</v>
      </c>
      <c r="Q107" s="437">
        <v>0</v>
      </c>
      <c r="R107" s="261">
        <v>0</v>
      </c>
      <c r="S107" s="261">
        <v>0</v>
      </c>
      <c r="T107" s="261">
        <v>0</v>
      </c>
      <c r="U107" s="261">
        <v>0</v>
      </c>
      <c r="V107" s="231">
        <f t="shared" si="21"/>
        <v>0</v>
      </c>
    </row>
    <row r="108" spans="4:22" s="201" customFormat="1" ht="13" hidden="1" outlineLevel="1" x14ac:dyDescent="0.25">
      <c r="E108" s="229"/>
      <c r="F108" s="151" t="s">
        <v>17</v>
      </c>
      <c r="G108" s="151"/>
      <c r="H108" s="151"/>
      <c r="I108" s="151"/>
      <c r="J108" s="151"/>
      <c r="K108" s="151"/>
      <c r="L108" s="247" t="s">
        <v>85</v>
      </c>
      <c r="M108" s="253">
        <f t="shared" si="20"/>
        <v>43617</v>
      </c>
      <c r="N108"/>
      <c r="O108" s="232">
        <f t="shared" ref="O108" si="22">SUM(O93:O107)</f>
        <v>0</v>
      </c>
      <c r="P108" s="289">
        <f t="shared" ref="P108:U108" si="23">SUM(P93:P107)</f>
        <v>0</v>
      </c>
      <c r="Q108" s="290">
        <f t="shared" si="23"/>
        <v>0</v>
      </c>
      <c r="R108" s="232">
        <f t="shared" si="23"/>
        <v>0</v>
      </c>
      <c r="S108" s="232">
        <f t="shared" si="23"/>
        <v>0</v>
      </c>
      <c r="T108" s="232">
        <f t="shared" si="23"/>
        <v>0</v>
      </c>
      <c r="U108" s="232">
        <f t="shared" si="23"/>
        <v>0</v>
      </c>
      <c r="V108" s="233">
        <f>SUM(Q108:U108)</f>
        <v>0</v>
      </c>
    </row>
    <row r="109" spans="4:22" s="201" customFormat="1" hidden="1" outlineLevel="1" x14ac:dyDescent="0.25">
      <c r="E109" s="229"/>
      <c r="N109"/>
    </row>
    <row r="110" spans="4:22" s="201" customFormat="1" hidden="1" outlineLevel="1" x14ac:dyDescent="0.25">
      <c r="D110" s="201">
        <v>6</v>
      </c>
      <c r="E110" s="229">
        <f>'Input | Meters Vols &amp; Costs'!$G$34</f>
        <v>0</v>
      </c>
      <c r="N110"/>
    </row>
    <row r="111" spans="4:22" s="201" customFormat="1" hidden="1" outlineLevel="1" x14ac:dyDescent="0.25">
      <c r="E111" s="229"/>
      <c r="N111"/>
      <c r="O111"/>
      <c r="P111"/>
      <c r="Q111"/>
      <c r="R111"/>
      <c r="S111"/>
      <c r="T111"/>
      <c r="U111"/>
    </row>
    <row r="112" spans="4:22" s="201" customFormat="1" ht="13" hidden="1" outlineLevel="1" x14ac:dyDescent="0.25">
      <c r="E112" s="229"/>
      <c r="F112" s="121" t="str">
        <f>I_MeterTypes[[#Headers],[Meter Type]]</f>
        <v>Meter Type</v>
      </c>
      <c r="G112" s="121" t="str">
        <f>I_MeterTypes[[#Headers],[RIN Subcategory 1]]</f>
        <v>RIN Subcategory 1</v>
      </c>
      <c r="H112" s="121" t="str">
        <f>I_MeterTypes[[#Headers],[RIN Subcategory 2]]</f>
        <v>RIN Subcategory 2</v>
      </c>
      <c r="I112" s="121" t="str">
        <f>I_MeterTypes[[#Headers],[AER Type]]</f>
        <v>AER Type</v>
      </c>
      <c r="J112" s="121" t="str">
        <f>I_MeterTypes[[#Headers],[RIN Subcategory 3]]</f>
        <v>RIN Subcategory 3</v>
      </c>
      <c r="K112" s="121" t="str">
        <f>I_MeterTypes[[#Headers],[Meter Code]]</f>
        <v>Meter Code</v>
      </c>
      <c r="L112" s="121" t="s">
        <v>6</v>
      </c>
      <c r="M112" s="121" t="s">
        <v>118</v>
      </c>
      <c r="N112"/>
      <c r="O112" s="234" t="str">
        <f>O$12</f>
        <v>2018-19</v>
      </c>
      <c r="P112" s="234" t="str">
        <f t="shared" ref="P112:U112" si="24">P$12</f>
        <v>2019-20</v>
      </c>
      <c r="Q112" s="436" t="str">
        <f t="shared" si="24"/>
        <v>2020-21</v>
      </c>
      <c r="R112" s="234" t="str">
        <f t="shared" si="24"/>
        <v>2021-22</v>
      </c>
      <c r="S112" s="234" t="str">
        <f t="shared" si="24"/>
        <v>2022-23</v>
      </c>
      <c r="T112" s="234" t="str">
        <f t="shared" si="24"/>
        <v>2023-24</v>
      </c>
      <c r="U112" s="234" t="str">
        <f t="shared" si="24"/>
        <v>2024-25</v>
      </c>
      <c r="V112" s="234" t="s">
        <v>17</v>
      </c>
    </row>
    <row r="113" spans="5:22" s="201" customFormat="1" ht="13" hidden="1" outlineLevel="1" x14ac:dyDescent="0.25">
      <c r="E113" s="229"/>
      <c r="F113" s="213" t="str" cm="1">
        <f t="array" ref="F113:F127">I_MeterTypes[Meter Type]</f>
        <v>AMI - Single Phase, single element</v>
      </c>
      <c r="G113" s="213" t="str" cm="1">
        <f t="array" ref="G113:G127">I_MeterTypes[RIN Subcategory 1]</f>
        <v>Single Phase Meter Population</v>
      </c>
      <c r="H113" s="213" t="str" cm="1">
        <f t="array" ref="H113:H127">I_MeterTypes[RIN Subcategory 2]</f>
        <v>Other</v>
      </c>
      <c r="I113" s="213" t="str" cm="1">
        <f t="array" ref="I113:I127">I_MeterTypes[AER Type]</f>
        <v>Meter Type 4</v>
      </c>
      <c r="J113" s="213" t="str" cm="1">
        <f t="array" ref="J113:J127">I_MeterTypes[RIN Subcategory 3]</f>
        <v>Single phase single element - AMI</v>
      </c>
      <c r="K113" s="213" t="str" cm="1">
        <f t="array" ref="K113:K127">I_MeterTypes[Meter Code]</f>
        <v>AMI 1ph 1e</v>
      </c>
      <c r="L113" s="221" t="s">
        <v>85</v>
      </c>
      <c r="M113" s="260">
        <f t="shared" ref="M113:M128" si="25">Basis_Capex</f>
        <v>43617</v>
      </c>
      <c r="N113"/>
      <c r="O113" s="261" cm="1">
        <f t="array" ref="O113:O127">IF('Input | Meters Vols &amp; Costs'!$P$77="Yes",'Input| Prices'!J$51,1)*INDEX(ICM_LabourCost,,$D110)*INDEX(ICM_Vol6,,O$8)</f>
        <v>0</v>
      </c>
      <c r="P113" s="435" cm="1">
        <f t="array" ref="P113:P127">IF('Input | Meters Vols &amp; Costs'!$P$77="Yes",'Input| Prices'!K$51,1)*INDEX(ICM_LabourCost,,$D110)*INDEX(ICM_Vol6,,P$8)</f>
        <v>0</v>
      </c>
      <c r="Q113" s="437" cm="1">
        <f t="array" ref="Q113:Q127">IF('Input | Meters Vols &amp; Costs'!$P$77="Yes",'Input| Prices'!L$51,1)*INDEX(ICM_LabourCost,,$D110)*INDEX(ICM_Vol6,,Q$8)</f>
        <v>0</v>
      </c>
      <c r="R113" s="261" cm="1">
        <f t="array" ref="R113:R127">IF('Input | Meters Vols &amp; Costs'!$P$77="Yes",'Input| Prices'!M$51,1)*INDEX(ICM_LabourCost,,$D110)*INDEX(ICM_Vol6,,R$8)</f>
        <v>0</v>
      </c>
      <c r="S113" s="261" cm="1">
        <f t="array" ref="S113:S127">IF('Input | Meters Vols &amp; Costs'!$P$77="Yes",'Input| Prices'!N$51,1)*INDEX(ICM_LabourCost,,$D110)*INDEX(ICM_Vol6,,S$8)</f>
        <v>0</v>
      </c>
      <c r="T113" s="261" cm="1">
        <f t="array" ref="T113:T127">IF('Input | Meters Vols &amp; Costs'!$P$77="Yes",'Input| Prices'!O$51,1)*INDEX(ICM_LabourCost,,$D110)*INDEX(ICM_Vol6,,T$8)</f>
        <v>0</v>
      </c>
      <c r="U113" s="261" cm="1">
        <f t="array" ref="U113:U127">IF('Input | Meters Vols &amp; Costs'!$P$77="Yes",'Input| Prices'!P$51,1)*INDEX(ICM_LabourCost,,$D110)*INDEX(ICM_Vol6,,U$8)</f>
        <v>0</v>
      </c>
      <c r="V113" s="231">
        <f t="shared" ref="V113:V127" si="26">SUM(N113:U113)</f>
        <v>0</v>
      </c>
    </row>
    <row r="114" spans="5:22" s="201" customFormat="1" ht="13" hidden="1" outlineLevel="1" x14ac:dyDescent="0.25">
      <c r="E114" s="229"/>
      <c r="F114" s="213" t="str">
        <v>AMI - Single Phase, two element</v>
      </c>
      <c r="G114" s="213" t="str">
        <v>Single Phase Meter Population</v>
      </c>
      <c r="H114" s="213" t="str">
        <v>Other</v>
      </c>
      <c r="I114" s="213" t="str">
        <v>Meter Type 4</v>
      </c>
      <c r="J114" s="218" t="str">
        <v>Single phase two element with contactor - AMI</v>
      </c>
      <c r="K114" s="218" t="str">
        <v>AMI 1ph 2e</v>
      </c>
      <c r="L114" s="221" t="s">
        <v>85</v>
      </c>
      <c r="M114" s="260">
        <f t="shared" si="25"/>
        <v>43617</v>
      </c>
      <c r="N114"/>
      <c r="O114" s="261">
        <v>0</v>
      </c>
      <c r="P114" s="435">
        <v>0</v>
      </c>
      <c r="Q114" s="437">
        <v>0</v>
      </c>
      <c r="R114" s="261">
        <v>0</v>
      </c>
      <c r="S114" s="261">
        <v>0</v>
      </c>
      <c r="T114" s="261">
        <v>0</v>
      </c>
      <c r="U114" s="261">
        <v>0</v>
      </c>
      <c r="V114" s="231">
        <f t="shared" si="26"/>
        <v>0</v>
      </c>
    </row>
    <row r="115" spans="5:22" s="201" customFormat="1" ht="13" hidden="1" outlineLevel="1" x14ac:dyDescent="0.25">
      <c r="E115" s="229"/>
      <c r="F115" s="213" t="str">
        <v>AMI - 3 Phase DC</v>
      </c>
      <c r="G115" s="213" t="str">
        <v>Multi Phase Meter Population</v>
      </c>
      <c r="H115" s="213" t="str">
        <v>Direct Connect Meter Population</v>
      </c>
      <c r="I115" s="213" t="str">
        <v>Meter Type 4</v>
      </c>
      <c r="J115" s="218" t="str">
        <v>Three phase - AMI</v>
      </c>
      <c r="K115" s="218" t="str">
        <v>AMI 3ph DC</v>
      </c>
      <c r="L115" s="221" t="s">
        <v>85</v>
      </c>
      <c r="M115" s="260">
        <f t="shared" si="25"/>
        <v>43617</v>
      </c>
      <c r="N115"/>
      <c r="O115" s="261">
        <v>0</v>
      </c>
      <c r="P115" s="435">
        <v>0</v>
      </c>
      <c r="Q115" s="437">
        <v>0</v>
      </c>
      <c r="R115" s="261">
        <v>0</v>
      </c>
      <c r="S115" s="261">
        <v>0</v>
      </c>
      <c r="T115" s="261">
        <v>0</v>
      </c>
      <c r="U115" s="261">
        <v>0</v>
      </c>
      <c r="V115" s="231">
        <f t="shared" si="26"/>
        <v>0</v>
      </c>
    </row>
    <row r="116" spans="5:22" s="201" customFormat="1" ht="13" hidden="1" outlineLevel="1" x14ac:dyDescent="0.25">
      <c r="E116" s="229"/>
      <c r="F116" s="213" t="str">
        <v>AMI 3Ph CT</v>
      </c>
      <c r="G116" s="213" t="str">
        <v>Multi Phase Meter Population</v>
      </c>
      <c r="H116" s="213" t="str">
        <v>Current Transformer Connected Meter Population</v>
      </c>
      <c r="I116" s="213" t="str">
        <v>Meter Type 4</v>
      </c>
      <c r="J116" s="218">
        <v>0</v>
      </c>
      <c r="K116" s="218" t="str">
        <v>AMI 3ph CT</v>
      </c>
      <c r="L116" s="221" t="s">
        <v>85</v>
      </c>
      <c r="M116" s="260">
        <f t="shared" si="25"/>
        <v>43617</v>
      </c>
      <c r="N116"/>
      <c r="O116" s="261">
        <v>0</v>
      </c>
      <c r="P116" s="435">
        <v>0</v>
      </c>
      <c r="Q116" s="437">
        <v>0</v>
      </c>
      <c r="R116" s="261">
        <v>0</v>
      </c>
      <c r="S116" s="261">
        <v>0</v>
      </c>
      <c r="T116" s="261">
        <v>0</v>
      </c>
      <c r="U116" s="261">
        <v>0</v>
      </c>
      <c r="V116" s="231">
        <f t="shared" si="26"/>
        <v>0</v>
      </c>
    </row>
    <row r="117" spans="5:22" s="201" customFormat="1" ht="13" hidden="1" outlineLevel="1" x14ac:dyDescent="0.25">
      <c r="E117" s="229"/>
      <c r="F117" s="213" t="str">
        <v>Non AMI - Type 5 Locally read Interval - Single Phase</v>
      </c>
      <c r="G117" s="213" t="str">
        <v>Single Phase Meter Population</v>
      </c>
      <c r="H117" s="213" t="str">
        <v>Direct Connect Meter Population</v>
      </c>
      <c r="I117" s="213" t="str">
        <v>Meter Type 5</v>
      </c>
      <c r="J117" s="218">
        <v>0</v>
      </c>
      <c r="K117" s="218" t="str">
        <v>INT 1ph</v>
      </c>
      <c r="L117" s="221" t="s">
        <v>85</v>
      </c>
      <c r="M117" s="260">
        <f t="shared" si="25"/>
        <v>43617</v>
      </c>
      <c r="N117"/>
      <c r="O117" s="261">
        <v>0</v>
      </c>
      <c r="P117" s="435">
        <v>0</v>
      </c>
      <c r="Q117" s="437">
        <v>0</v>
      </c>
      <c r="R117" s="261">
        <v>0</v>
      </c>
      <c r="S117" s="261">
        <v>0</v>
      </c>
      <c r="T117" s="261">
        <v>0</v>
      </c>
      <c r="U117" s="261">
        <v>0</v>
      </c>
      <c r="V117" s="231">
        <f t="shared" si="26"/>
        <v>0</v>
      </c>
    </row>
    <row r="118" spans="5:22" s="201" customFormat="1" ht="13" hidden="1" outlineLevel="1" x14ac:dyDescent="0.25">
      <c r="E118" s="229"/>
      <c r="F118" s="213" t="str">
        <v>Non AMI - Type 5 Locally read Interval - 3 Phase</v>
      </c>
      <c r="G118" s="213" t="str">
        <v>Single Phase Meter Population</v>
      </c>
      <c r="H118" s="213" t="str">
        <v>Direct Connect Meter Population</v>
      </c>
      <c r="I118" s="213" t="str">
        <v>Meter Type 5</v>
      </c>
      <c r="J118" s="218">
        <v>0</v>
      </c>
      <c r="K118" s="218" t="str">
        <v>INT 3ph</v>
      </c>
      <c r="L118" s="221" t="s">
        <v>85</v>
      </c>
      <c r="M118" s="260">
        <f t="shared" si="25"/>
        <v>43617</v>
      </c>
      <c r="N118"/>
      <c r="O118" s="261">
        <v>0</v>
      </c>
      <c r="P118" s="435">
        <v>0</v>
      </c>
      <c r="Q118" s="437">
        <v>0</v>
      </c>
      <c r="R118" s="261">
        <v>0</v>
      </c>
      <c r="S118" s="261">
        <v>0</v>
      </c>
      <c r="T118" s="261">
        <v>0</v>
      </c>
      <c r="U118" s="261">
        <v>0</v>
      </c>
      <c r="V118" s="231">
        <f t="shared" si="26"/>
        <v>0</v>
      </c>
    </row>
    <row r="119" spans="5:22" s="201" customFormat="1" ht="13" hidden="1" outlineLevel="1" x14ac:dyDescent="0.25">
      <c r="E119" s="229"/>
      <c r="F119" s="213" t="str">
        <v>Non AMI - Type 5 Locally read Interval - 3 Phase - CT</v>
      </c>
      <c r="G119" s="213" t="str">
        <v>Multi Phase Meter Population</v>
      </c>
      <c r="H119" s="213" t="str">
        <v>Current Transformer Connected Meter Population</v>
      </c>
      <c r="I119" s="213" t="str">
        <v>Meter Type 5</v>
      </c>
      <c r="J119" s="218">
        <v>0</v>
      </c>
      <c r="K119" s="218" t="str">
        <v>INT 3ph CT</v>
      </c>
      <c r="L119" s="221" t="s">
        <v>85</v>
      </c>
      <c r="M119" s="260">
        <f t="shared" si="25"/>
        <v>43617</v>
      </c>
      <c r="N119"/>
      <c r="O119" s="261">
        <v>0</v>
      </c>
      <c r="P119" s="435">
        <v>0</v>
      </c>
      <c r="Q119" s="437">
        <v>0</v>
      </c>
      <c r="R119" s="261">
        <v>0</v>
      </c>
      <c r="S119" s="261">
        <v>0</v>
      </c>
      <c r="T119" s="261">
        <v>0</v>
      </c>
      <c r="U119" s="261">
        <v>0</v>
      </c>
      <c r="V119" s="231">
        <f t="shared" si="26"/>
        <v>0</v>
      </c>
    </row>
    <row r="120" spans="5:22" s="201" customFormat="1" ht="13" hidden="1" outlineLevel="1" x14ac:dyDescent="0.25">
      <c r="E120" s="229"/>
      <c r="F120" s="213" t="str">
        <v>Non AMI - Type 6 Locally read Accumulation - Single Phase</v>
      </c>
      <c r="G120" s="213" t="str">
        <v>Multi Phase Meter Population</v>
      </c>
      <c r="H120" s="213" t="str">
        <v>Direct Connect Meter Population</v>
      </c>
      <c r="I120" s="213" t="str">
        <v>Meter Type 6</v>
      </c>
      <c r="J120" s="218">
        <v>0</v>
      </c>
      <c r="K120" s="218" t="str">
        <v>ACC 1ph</v>
      </c>
      <c r="L120" s="221" t="s">
        <v>85</v>
      </c>
      <c r="M120" s="260">
        <f t="shared" si="25"/>
        <v>43617</v>
      </c>
      <c r="N120"/>
      <c r="O120" s="261">
        <v>0</v>
      </c>
      <c r="P120" s="435">
        <v>0</v>
      </c>
      <c r="Q120" s="437">
        <v>0</v>
      </c>
      <c r="R120" s="261">
        <v>0</v>
      </c>
      <c r="S120" s="261">
        <v>0</v>
      </c>
      <c r="T120" s="261">
        <v>0</v>
      </c>
      <c r="U120" s="261">
        <v>0</v>
      </c>
      <c r="V120" s="231">
        <f t="shared" si="26"/>
        <v>0</v>
      </c>
    </row>
    <row r="121" spans="5:22" s="201" customFormat="1" ht="13" hidden="1" outlineLevel="1" x14ac:dyDescent="0.25">
      <c r="E121" s="229"/>
      <c r="F121" s="213" t="str">
        <v>Non AMI - Type 6 Locally read Accumulation - 3 Phase</v>
      </c>
      <c r="G121" s="213">
        <v>0</v>
      </c>
      <c r="H121" s="213" t="str">
        <v>Direct Connect Meter Population</v>
      </c>
      <c r="I121" s="213" t="str">
        <v>Meter Type 6</v>
      </c>
      <c r="J121" s="218">
        <v>0</v>
      </c>
      <c r="K121" s="218" t="str">
        <v>ACC 3ph</v>
      </c>
      <c r="L121" s="221" t="s">
        <v>85</v>
      </c>
      <c r="M121" s="260">
        <f t="shared" si="25"/>
        <v>43617</v>
      </c>
      <c r="N121"/>
      <c r="O121" s="261">
        <v>0</v>
      </c>
      <c r="P121" s="435">
        <v>0</v>
      </c>
      <c r="Q121" s="437">
        <v>0</v>
      </c>
      <c r="R121" s="261">
        <v>0</v>
      </c>
      <c r="S121" s="261">
        <v>0</v>
      </c>
      <c r="T121" s="261">
        <v>0</v>
      </c>
      <c r="U121" s="261">
        <v>0</v>
      </c>
      <c r="V121" s="231">
        <f t="shared" si="26"/>
        <v>0</v>
      </c>
    </row>
    <row r="122" spans="5:22" s="201" customFormat="1" ht="13" hidden="1" outlineLevel="1" x14ac:dyDescent="0.25">
      <c r="E122" s="229"/>
      <c r="F122" s="213">
        <v>0</v>
      </c>
      <c r="G122" s="213">
        <v>0</v>
      </c>
      <c r="H122" s="213">
        <v>0</v>
      </c>
      <c r="I122" s="213">
        <v>0</v>
      </c>
      <c r="J122" s="218">
        <v>0</v>
      </c>
      <c r="K122" s="218">
        <v>0</v>
      </c>
      <c r="L122" s="221" t="s">
        <v>85</v>
      </c>
      <c r="M122" s="260">
        <f t="shared" si="25"/>
        <v>43617</v>
      </c>
      <c r="N122"/>
      <c r="O122" s="261">
        <v>0</v>
      </c>
      <c r="P122" s="435">
        <v>0</v>
      </c>
      <c r="Q122" s="437">
        <v>0</v>
      </c>
      <c r="R122" s="261">
        <v>0</v>
      </c>
      <c r="S122" s="261">
        <v>0</v>
      </c>
      <c r="T122" s="261">
        <v>0</v>
      </c>
      <c r="U122" s="261">
        <v>0</v>
      </c>
      <c r="V122" s="231">
        <f t="shared" si="26"/>
        <v>0</v>
      </c>
    </row>
    <row r="123" spans="5:22" s="201" customFormat="1" ht="13" hidden="1" outlineLevel="1" x14ac:dyDescent="0.25">
      <c r="E123" s="229"/>
      <c r="F123" s="213">
        <v>0</v>
      </c>
      <c r="G123" s="213">
        <v>0</v>
      </c>
      <c r="H123" s="213">
        <v>0</v>
      </c>
      <c r="I123" s="213">
        <v>0</v>
      </c>
      <c r="J123" s="218">
        <v>0</v>
      </c>
      <c r="K123" s="218">
        <v>0</v>
      </c>
      <c r="L123" s="221" t="s">
        <v>85</v>
      </c>
      <c r="M123" s="260">
        <f t="shared" si="25"/>
        <v>43617</v>
      </c>
      <c r="N123"/>
      <c r="O123" s="261">
        <v>0</v>
      </c>
      <c r="P123" s="435">
        <v>0</v>
      </c>
      <c r="Q123" s="437">
        <v>0</v>
      </c>
      <c r="R123" s="261">
        <v>0</v>
      </c>
      <c r="S123" s="261">
        <v>0</v>
      </c>
      <c r="T123" s="261">
        <v>0</v>
      </c>
      <c r="U123" s="261">
        <v>0</v>
      </c>
      <c r="V123" s="231">
        <f t="shared" si="26"/>
        <v>0</v>
      </c>
    </row>
    <row r="124" spans="5:22" s="201" customFormat="1" ht="13" hidden="1" outlineLevel="1" x14ac:dyDescent="0.25">
      <c r="E124" s="229"/>
      <c r="F124" s="213">
        <v>0</v>
      </c>
      <c r="G124" s="213">
        <v>0</v>
      </c>
      <c r="H124" s="213">
        <v>0</v>
      </c>
      <c r="I124" s="213">
        <v>0</v>
      </c>
      <c r="J124" s="218">
        <v>0</v>
      </c>
      <c r="K124" s="218">
        <v>0</v>
      </c>
      <c r="L124" s="221" t="s">
        <v>85</v>
      </c>
      <c r="M124" s="260">
        <f t="shared" si="25"/>
        <v>43617</v>
      </c>
      <c r="N124"/>
      <c r="O124" s="261">
        <v>0</v>
      </c>
      <c r="P124" s="435">
        <v>0</v>
      </c>
      <c r="Q124" s="437">
        <v>0</v>
      </c>
      <c r="R124" s="261">
        <v>0</v>
      </c>
      <c r="S124" s="261">
        <v>0</v>
      </c>
      <c r="T124" s="261">
        <v>0</v>
      </c>
      <c r="U124" s="261">
        <v>0</v>
      </c>
      <c r="V124" s="231">
        <f t="shared" si="26"/>
        <v>0</v>
      </c>
    </row>
    <row r="125" spans="5:22" s="201" customFormat="1" ht="13" hidden="1" outlineLevel="1" x14ac:dyDescent="0.25">
      <c r="E125" s="229"/>
      <c r="F125" s="213">
        <v>0</v>
      </c>
      <c r="G125" s="213">
        <v>0</v>
      </c>
      <c r="H125" s="213">
        <v>0</v>
      </c>
      <c r="I125" s="213">
        <v>0</v>
      </c>
      <c r="J125" s="218">
        <v>0</v>
      </c>
      <c r="K125" s="218">
        <v>0</v>
      </c>
      <c r="L125" s="221" t="s">
        <v>85</v>
      </c>
      <c r="M125" s="260">
        <f t="shared" si="25"/>
        <v>43617</v>
      </c>
      <c r="N125"/>
      <c r="O125" s="261">
        <v>0</v>
      </c>
      <c r="P125" s="435">
        <v>0</v>
      </c>
      <c r="Q125" s="437">
        <v>0</v>
      </c>
      <c r="R125" s="261">
        <v>0</v>
      </c>
      <c r="S125" s="261">
        <v>0</v>
      </c>
      <c r="T125" s="261">
        <v>0</v>
      </c>
      <c r="U125" s="261">
        <v>0</v>
      </c>
      <c r="V125" s="231">
        <f t="shared" si="26"/>
        <v>0</v>
      </c>
    </row>
    <row r="126" spans="5:22" s="201" customFormat="1" ht="13" hidden="1" outlineLevel="1" x14ac:dyDescent="0.25">
      <c r="E126" s="229"/>
      <c r="F126" s="213">
        <v>0</v>
      </c>
      <c r="G126" s="213">
        <v>0</v>
      </c>
      <c r="H126" s="213">
        <v>0</v>
      </c>
      <c r="I126" s="213">
        <v>0</v>
      </c>
      <c r="J126" s="218">
        <v>0</v>
      </c>
      <c r="K126" s="218">
        <v>0</v>
      </c>
      <c r="L126" s="221" t="s">
        <v>85</v>
      </c>
      <c r="M126" s="260">
        <f t="shared" si="25"/>
        <v>43617</v>
      </c>
      <c r="N126"/>
      <c r="O126" s="261">
        <v>0</v>
      </c>
      <c r="P126" s="435">
        <v>0</v>
      </c>
      <c r="Q126" s="437">
        <v>0</v>
      </c>
      <c r="R126" s="261">
        <v>0</v>
      </c>
      <c r="S126" s="261">
        <v>0</v>
      </c>
      <c r="T126" s="261">
        <v>0</v>
      </c>
      <c r="U126" s="261">
        <v>0</v>
      </c>
      <c r="V126" s="231">
        <f t="shared" si="26"/>
        <v>0</v>
      </c>
    </row>
    <row r="127" spans="5:22" s="201" customFormat="1" ht="13" hidden="1" outlineLevel="1" x14ac:dyDescent="0.25">
      <c r="E127" s="229"/>
      <c r="F127" s="213">
        <v>0</v>
      </c>
      <c r="G127" s="213">
        <v>0</v>
      </c>
      <c r="H127" s="213">
        <v>0</v>
      </c>
      <c r="I127" s="213">
        <v>0</v>
      </c>
      <c r="J127" s="218">
        <v>0</v>
      </c>
      <c r="K127" s="218">
        <v>0</v>
      </c>
      <c r="L127" s="221" t="s">
        <v>85</v>
      </c>
      <c r="M127" s="260">
        <f t="shared" si="25"/>
        <v>43617</v>
      </c>
      <c r="N127"/>
      <c r="O127" s="261">
        <v>0</v>
      </c>
      <c r="P127" s="435">
        <v>0</v>
      </c>
      <c r="Q127" s="437">
        <v>0</v>
      </c>
      <c r="R127" s="261">
        <v>0</v>
      </c>
      <c r="S127" s="261">
        <v>0</v>
      </c>
      <c r="T127" s="261">
        <v>0</v>
      </c>
      <c r="U127" s="261">
        <v>0</v>
      </c>
      <c r="V127" s="231">
        <f t="shared" si="26"/>
        <v>0</v>
      </c>
    </row>
    <row r="128" spans="5:22" s="201" customFormat="1" ht="13" hidden="1" outlineLevel="1" x14ac:dyDescent="0.25">
      <c r="E128" s="229"/>
      <c r="F128" s="151" t="s">
        <v>17</v>
      </c>
      <c r="G128" s="151"/>
      <c r="H128" s="151"/>
      <c r="I128" s="151"/>
      <c r="J128" s="151"/>
      <c r="K128" s="151"/>
      <c r="L128" s="247" t="s">
        <v>85</v>
      </c>
      <c r="M128" s="253">
        <f t="shared" si="25"/>
        <v>43617</v>
      </c>
      <c r="N128"/>
      <c r="O128" s="232">
        <f t="shared" ref="O128" si="27">SUM(O113:O127)</f>
        <v>0</v>
      </c>
      <c r="P128" s="289">
        <f t="shared" ref="P128:U128" si="28">SUM(P113:P127)</f>
        <v>0</v>
      </c>
      <c r="Q128" s="290">
        <f t="shared" si="28"/>
        <v>0</v>
      </c>
      <c r="R128" s="232">
        <f t="shared" si="28"/>
        <v>0</v>
      </c>
      <c r="S128" s="232">
        <f t="shared" si="28"/>
        <v>0</v>
      </c>
      <c r="T128" s="232">
        <f t="shared" si="28"/>
        <v>0</v>
      </c>
      <c r="U128" s="232">
        <f t="shared" si="28"/>
        <v>0</v>
      </c>
      <c r="V128" s="233">
        <f>SUM(Q128:U128)</f>
        <v>0</v>
      </c>
    </row>
    <row r="129" spans="4:22" s="201" customFormat="1" hidden="1" outlineLevel="1" x14ac:dyDescent="0.25">
      <c r="E129" s="229"/>
      <c r="N129"/>
    </row>
    <row r="130" spans="4:22" s="201" customFormat="1" hidden="1" outlineLevel="1" x14ac:dyDescent="0.25">
      <c r="D130" s="201">
        <v>7</v>
      </c>
      <c r="E130" s="229">
        <f>'Input | Meters Vols &amp; Costs'!$G$35</f>
        <v>0</v>
      </c>
      <c r="N130"/>
    </row>
    <row r="131" spans="4:22" s="201" customFormat="1" hidden="1" outlineLevel="1" x14ac:dyDescent="0.25">
      <c r="E131" s="229"/>
      <c r="N131"/>
      <c r="O131"/>
      <c r="P131"/>
      <c r="Q131"/>
      <c r="R131"/>
      <c r="S131"/>
      <c r="T131"/>
      <c r="U131"/>
    </row>
    <row r="132" spans="4:22" s="201" customFormat="1" ht="13" hidden="1" outlineLevel="1" x14ac:dyDescent="0.25">
      <c r="E132" s="229"/>
      <c r="F132" s="121" t="str">
        <f>I_MeterTypes[[#Headers],[Meter Type]]</f>
        <v>Meter Type</v>
      </c>
      <c r="G132" s="121" t="str">
        <f>I_MeterTypes[[#Headers],[RIN Subcategory 1]]</f>
        <v>RIN Subcategory 1</v>
      </c>
      <c r="H132" s="121" t="str">
        <f>I_MeterTypes[[#Headers],[RIN Subcategory 2]]</f>
        <v>RIN Subcategory 2</v>
      </c>
      <c r="I132" s="121" t="str">
        <f>I_MeterTypes[[#Headers],[AER Type]]</f>
        <v>AER Type</v>
      </c>
      <c r="J132" s="121" t="str">
        <f>I_MeterTypes[[#Headers],[RIN Subcategory 3]]</f>
        <v>RIN Subcategory 3</v>
      </c>
      <c r="K132" s="121" t="str">
        <f>I_MeterTypes[[#Headers],[Meter Code]]</f>
        <v>Meter Code</v>
      </c>
      <c r="L132" s="121" t="s">
        <v>6</v>
      </c>
      <c r="M132" s="121" t="s">
        <v>118</v>
      </c>
      <c r="N132"/>
      <c r="O132" s="234" t="str">
        <f>O$12</f>
        <v>2018-19</v>
      </c>
      <c r="P132" s="234" t="str">
        <f t="shared" ref="P132:U132" si="29">P$12</f>
        <v>2019-20</v>
      </c>
      <c r="Q132" s="436" t="str">
        <f t="shared" si="29"/>
        <v>2020-21</v>
      </c>
      <c r="R132" s="234" t="str">
        <f t="shared" si="29"/>
        <v>2021-22</v>
      </c>
      <c r="S132" s="234" t="str">
        <f t="shared" si="29"/>
        <v>2022-23</v>
      </c>
      <c r="T132" s="234" t="str">
        <f t="shared" si="29"/>
        <v>2023-24</v>
      </c>
      <c r="U132" s="234" t="str">
        <f t="shared" si="29"/>
        <v>2024-25</v>
      </c>
      <c r="V132" s="234" t="s">
        <v>17</v>
      </c>
    </row>
    <row r="133" spans="4:22" s="201" customFormat="1" ht="13" hidden="1" outlineLevel="1" x14ac:dyDescent="0.25">
      <c r="E133" s="229"/>
      <c r="F133" s="213" t="str" cm="1">
        <f t="array" ref="F133:F147">I_MeterTypes[Meter Type]</f>
        <v>AMI - Single Phase, single element</v>
      </c>
      <c r="G133" s="213" t="str" cm="1">
        <f t="array" ref="G133:G147">I_MeterTypes[RIN Subcategory 1]</f>
        <v>Single Phase Meter Population</v>
      </c>
      <c r="H133" s="213" t="str" cm="1">
        <f t="array" ref="H133:H147">I_MeterTypes[RIN Subcategory 2]</f>
        <v>Other</v>
      </c>
      <c r="I133" s="213" t="str" cm="1">
        <f t="array" ref="I133:I147">I_MeterTypes[AER Type]</f>
        <v>Meter Type 4</v>
      </c>
      <c r="J133" s="213" t="str" cm="1">
        <f t="array" ref="J133:J147">I_MeterTypes[RIN Subcategory 3]</f>
        <v>Single phase single element - AMI</v>
      </c>
      <c r="K133" s="213" t="str" cm="1">
        <f t="array" ref="K133:K147">I_MeterTypes[Meter Code]</f>
        <v>AMI 1ph 1e</v>
      </c>
      <c r="L133" s="221" t="s">
        <v>85</v>
      </c>
      <c r="M133" s="260">
        <f t="shared" ref="M133:M148" si="30">Basis_Capex</f>
        <v>43617</v>
      </c>
      <c r="N133"/>
      <c r="O133" s="261" cm="1">
        <f t="array" ref="O133:O147">IF('Input | Meters Vols &amp; Costs'!$P$77="Yes",'Input| Prices'!J$51,1)*INDEX(ICM_LabourCost,,$D130)*INDEX(ICM_Vol7,,O$8)</f>
        <v>0</v>
      </c>
      <c r="P133" s="435" cm="1">
        <f t="array" ref="P133:P147">IF('Input | Meters Vols &amp; Costs'!$P$77="Yes",'Input| Prices'!K$51,1)*INDEX(ICM_LabourCost,,$D130)*INDEX(ICM_Vol7,,P$8)</f>
        <v>0</v>
      </c>
      <c r="Q133" s="437" cm="1">
        <f t="array" ref="Q133:Q147">IF('Input | Meters Vols &amp; Costs'!$P$77="Yes",'Input| Prices'!L$51,1)*INDEX(ICM_LabourCost,,$D130)*INDEX(ICM_Vol7,,Q$8)</f>
        <v>0</v>
      </c>
      <c r="R133" s="261" cm="1">
        <f t="array" ref="R133:R147">IF('Input | Meters Vols &amp; Costs'!$P$77="Yes",'Input| Prices'!M$51,1)*INDEX(ICM_LabourCost,,$D130)*INDEX(ICM_Vol7,,R$8)</f>
        <v>0</v>
      </c>
      <c r="S133" s="261" cm="1">
        <f t="array" ref="S133:S147">IF('Input | Meters Vols &amp; Costs'!$P$77="Yes",'Input| Prices'!N$51,1)*INDEX(ICM_LabourCost,,$D130)*INDEX(ICM_Vol7,,S$8)</f>
        <v>0</v>
      </c>
      <c r="T133" s="261" cm="1">
        <f t="array" ref="T133:T147">IF('Input | Meters Vols &amp; Costs'!$P$77="Yes",'Input| Prices'!O$51,1)*INDEX(ICM_LabourCost,,$D130)*INDEX(ICM_Vol7,,T$8)</f>
        <v>0</v>
      </c>
      <c r="U133" s="261" cm="1">
        <f t="array" ref="U133:U147">IF('Input | Meters Vols &amp; Costs'!$P$77="Yes",'Input| Prices'!P$51,1)*INDEX(ICM_LabourCost,,$D130)*INDEX(ICM_Vol7,,U$8)</f>
        <v>0</v>
      </c>
      <c r="V133" s="231">
        <f t="shared" ref="V133:V147" si="31">SUM(N133:U133)</f>
        <v>0</v>
      </c>
    </row>
    <row r="134" spans="4:22" s="201" customFormat="1" ht="13" hidden="1" outlineLevel="1" x14ac:dyDescent="0.25">
      <c r="E134" s="229"/>
      <c r="F134" s="213" t="str">
        <v>AMI - Single Phase, two element</v>
      </c>
      <c r="G134" s="213" t="str">
        <v>Single Phase Meter Population</v>
      </c>
      <c r="H134" s="213" t="str">
        <v>Other</v>
      </c>
      <c r="I134" s="213" t="str">
        <v>Meter Type 4</v>
      </c>
      <c r="J134" s="218" t="str">
        <v>Single phase two element with contactor - AMI</v>
      </c>
      <c r="K134" s="218" t="str">
        <v>AMI 1ph 2e</v>
      </c>
      <c r="L134" s="221" t="s">
        <v>85</v>
      </c>
      <c r="M134" s="260">
        <f t="shared" si="30"/>
        <v>43617</v>
      </c>
      <c r="N134"/>
      <c r="O134" s="261">
        <v>0</v>
      </c>
      <c r="P134" s="435">
        <v>0</v>
      </c>
      <c r="Q134" s="437">
        <v>0</v>
      </c>
      <c r="R134" s="261">
        <v>0</v>
      </c>
      <c r="S134" s="261">
        <v>0</v>
      </c>
      <c r="T134" s="261">
        <v>0</v>
      </c>
      <c r="U134" s="261">
        <v>0</v>
      </c>
      <c r="V134" s="231">
        <f t="shared" si="31"/>
        <v>0</v>
      </c>
    </row>
    <row r="135" spans="4:22" s="201" customFormat="1" ht="13" hidden="1" outlineLevel="1" x14ac:dyDescent="0.25">
      <c r="E135" s="229"/>
      <c r="F135" s="213" t="str">
        <v>AMI - 3 Phase DC</v>
      </c>
      <c r="G135" s="213" t="str">
        <v>Multi Phase Meter Population</v>
      </c>
      <c r="H135" s="213" t="str">
        <v>Direct Connect Meter Population</v>
      </c>
      <c r="I135" s="213" t="str">
        <v>Meter Type 4</v>
      </c>
      <c r="J135" s="218" t="str">
        <v>Three phase - AMI</v>
      </c>
      <c r="K135" s="218" t="str">
        <v>AMI 3ph DC</v>
      </c>
      <c r="L135" s="221" t="s">
        <v>85</v>
      </c>
      <c r="M135" s="260">
        <f t="shared" si="30"/>
        <v>43617</v>
      </c>
      <c r="N135"/>
      <c r="O135" s="261">
        <v>0</v>
      </c>
      <c r="P135" s="435">
        <v>0</v>
      </c>
      <c r="Q135" s="437">
        <v>0</v>
      </c>
      <c r="R135" s="261">
        <v>0</v>
      </c>
      <c r="S135" s="261">
        <v>0</v>
      </c>
      <c r="T135" s="261">
        <v>0</v>
      </c>
      <c r="U135" s="261">
        <v>0</v>
      </c>
      <c r="V135" s="231">
        <f t="shared" si="31"/>
        <v>0</v>
      </c>
    </row>
    <row r="136" spans="4:22" s="201" customFormat="1" ht="13" hidden="1" outlineLevel="1" x14ac:dyDescent="0.25">
      <c r="E136" s="229"/>
      <c r="F136" s="213" t="str">
        <v>AMI 3Ph CT</v>
      </c>
      <c r="G136" s="213" t="str">
        <v>Multi Phase Meter Population</v>
      </c>
      <c r="H136" s="213" t="str">
        <v>Current Transformer Connected Meter Population</v>
      </c>
      <c r="I136" s="213" t="str">
        <v>Meter Type 4</v>
      </c>
      <c r="J136" s="218">
        <v>0</v>
      </c>
      <c r="K136" s="218" t="str">
        <v>AMI 3ph CT</v>
      </c>
      <c r="L136" s="221" t="s">
        <v>85</v>
      </c>
      <c r="M136" s="260">
        <f t="shared" si="30"/>
        <v>43617</v>
      </c>
      <c r="N136"/>
      <c r="O136" s="261">
        <v>0</v>
      </c>
      <c r="P136" s="435">
        <v>0</v>
      </c>
      <c r="Q136" s="437">
        <v>0</v>
      </c>
      <c r="R136" s="261">
        <v>0</v>
      </c>
      <c r="S136" s="261">
        <v>0</v>
      </c>
      <c r="T136" s="261">
        <v>0</v>
      </c>
      <c r="U136" s="261">
        <v>0</v>
      </c>
      <c r="V136" s="231">
        <f t="shared" si="31"/>
        <v>0</v>
      </c>
    </row>
    <row r="137" spans="4:22" s="201" customFormat="1" ht="13" hidden="1" outlineLevel="1" x14ac:dyDescent="0.25">
      <c r="E137" s="229"/>
      <c r="F137" s="213" t="str">
        <v>Non AMI - Type 5 Locally read Interval - Single Phase</v>
      </c>
      <c r="G137" s="213" t="str">
        <v>Single Phase Meter Population</v>
      </c>
      <c r="H137" s="213" t="str">
        <v>Direct Connect Meter Population</v>
      </c>
      <c r="I137" s="213" t="str">
        <v>Meter Type 5</v>
      </c>
      <c r="J137" s="218">
        <v>0</v>
      </c>
      <c r="K137" s="218" t="str">
        <v>INT 1ph</v>
      </c>
      <c r="L137" s="221" t="s">
        <v>85</v>
      </c>
      <c r="M137" s="260">
        <f t="shared" si="30"/>
        <v>43617</v>
      </c>
      <c r="N137"/>
      <c r="O137" s="261">
        <v>0</v>
      </c>
      <c r="P137" s="435">
        <v>0</v>
      </c>
      <c r="Q137" s="437">
        <v>0</v>
      </c>
      <c r="R137" s="261">
        <v>0</v>
      </c>
      <c r="S137" s="261">
        <v>0</v>
      </c>
      <c r="T137" s="261">
        <v>0</v>
      </c>
      <c r="U137" s="261">
        <v>0</v>
      </c>
      <c r="V137" s="231">
        <f t="shared" si="31"/>
        <v>0</v>
      </c>
    </row>
    <row r="138" spans="4:22" s="201" customFormat="1" ht="13" hidden="1" outlineLevel="1" x14ac:dyDescent="0.25">
      <c r="E138" s="229"/>
      <c r="F138" s="213" t="str">
        <v>Non AMI - Type 5 Locally read Interval - 3 Phase</v>
      </c>
      <c r="G138" s="213" t="str">
        <v>Single Phase Meter Population</v>
      </c>
      <c r="H138" s="213" t="str">
        <v>Direct Connect Meter Population</v>
      </c>
      <c r="I138" s="213" t="str">
        <v>Meter Type 5</v>
      </c>
      <c r="J138" s="218">
        <v>0</v>
      </c>
      <c r="K138" s="218" t="str">
        <v>INT 3ph</v>
      </c>
      <c r="L138" s="221" t="s">
        <v>85</v>
      </c>
      <c r="M138" s="260">
        <f t="shared" si="30"/>
        <v>43617</v>
      </c>
      <c r="N138"/>
      <c r="O138" s="261">
        <v>0</v>
      </c>
      <c r="P138" s="435">
        <v>0</v>
      </c>
      <c r="Q138" s="437">
        <v>0</v>
      </c>
      <c r="R138" s="261">
        <v>0</v>
      </c>
      <c r="S138" s="261">
        <v>0</v>
      </c>
      <c r="T138" s="261">
        <v>0</v>
      </c>
      <c r="U138" s="261">
        <v>0</v>
      </c>
      <c r="V138" s="231">
        <f t="shared" si="31"/>
        <v>0</v>
      </c>
    </row>
    <row r="139" spans="4:22" s="201" customFormat="1" ht="13" hidden="1" outlineLevel="1" x14ac:dyDescent="0.25">
      <c r="E139" s="229"/>
      <c r="F139" s="213" t="str">
        <v>Non AMI - Type 5 Locally read Interval - 3 Phase - CT</v>
      </c>
      <c r="G139" s="213" t="str">
        <v>Multi Phase Meter Population</v>
      </c>
      <c r="H139" s="213" t="str">
        <v>Current Transformer Connected Meter Population</v>
      </c>
      <c r="I139" s="213" t="str">
        <v>Meter Type 5</v>
      </c>
      <c r="J139" s="218">
        <v>0</v>
      </c>
      <c r="K139" s="218" t="str">
        <v>INT 3ph CT</v>
      </c>
      <c r="L139" s="221" t="s">
        <v>85</v>
      </c>
      <c r="M139" s="260">
        <f t="shared" si="30"/>
        <v>43617</v>
      </c>
      <c r="N139"/>
      <c r="O139" s="261">
        <v>0</v>
      </c>
      <c r="P139" s="435">
        <v>0</v>
      </c>
      <c r="Q139" s="437">
        <v>0</v>
      </c>
      <c r="R139" s="261">
        <v>0</v>
      </c>
      <c r="S139" s="261">
        <v>0</v>
      </c>
      <c r="T139" s="261">
        <v>0</v>
      </c>
      <c r="U139" s="261">
        <v>0</v>
      </c>
      <c r="V139" s="231">
        <f t="shared" si="31"/>
        <v>0</v>
      </c>
    </row>
    <row r="140" spans="4:22" s="201" customFormat="1" ht="13" hidden="1" outlineLevel="1" x14ac:dyDescent="0.25">
      <c r="E140" s="229"/>
      <c r="F140" s="213" t="str">
        <v>Non AMI - Type 6 Locally read Accumulation - Single Phase</v>
      </c>
      <c r="G140" s="213" t="str">
        <v>Multi Phase Meter Population</v>
      </c>
      <c r="H140" s="213" t="str">
        <v>Direct Connect Meter Population</v>
      </c>
      <c r="I140" s="213" t="str">
        <v>Meter Type 6</v>
      </c>
      <c r="J140" s="218">
        <v>0</v>
      </c>
      <c r="K140" s="218" t="str">
        <v>ACC 1ph</v>
      </c>
      <c r="L140" s="221" t="s">
        <v>85</v>
      </c>
      <c r="M140" s="260">
        <f t="shared" si="30"/>
        <v>43617</v>
      </c>
      <c r="N140"/>
      <c r="O140" s="261">
        <v>0</v>
      </c>
      <c r="P140" s="435">
        <v>0</v>
      </c>
      <c r="Q140" s="437">
        <v>0</v>
      </c>
      <c r="R140" s="261">
        <v>0</v>
      </c>
      <c r="S140" s="261">
        <v>0</v>
      </c>
      <c r="T140" s="261">
        <v>0</v>
      </c>
      <c r="U140" s="261">
        <v>0</v>
      </c>
      <c r="V140" s="231">
        <f t="shared" si="31"/>
        <v>0</v>
      </c>
    </row>
    <row r="141" spans="4:22" s="201" customFormat="1" ht="13" hidden="1" outlineLevel="1" x14ac:dyDescent="0.25">
      <c r="E141" s="229"/>
      <c r="F141" s="213" t="str">
        <v>Non AMI - Type 6 Locally read Accumulation - 3 Phase</v>
      </c>
      <c r="G141" s="213">
        <v>0</v>
      </c>
      <c r="H141" s="213" t="str">
        <v>Direct Connect Meter Population</v>
      </c>
      <c r="I141" s="213" t="str">
        <v>Meter Type 6</v>
      </c>
      <c r="J141" s="218">
        <v>0</v>
      </c>
      <c r="K141" s="218" t="str">
        <v>ACC 3ph</v>
      </c>
      <c r="L141" s="221" t="s">
        <v>85</v>
      </c>
      <c r="M141" s="260">
        <f t="shared" si="30"/>
        <v>43617</v>
      </c>
      <c r="N141"/>
      <c r="O141" s="261">
        <v>0</v>
      </c>
      <c r="P141" s="435">
        <v>0</v>
      </c>
      <c r="Q141" s="437">
        <v>0</v>
      </c>
      <c r="R141" s="261">
        <v>0</v>
      </c>
      <c r="S141" s="261">
        <v>0</v>
      </c>
      <c r="T141" s="261">
        <v>0</v>
      </c>
      <c r="U141" s="261">
        <v>0</v>
      </c>
      <c r="V141" s="231">
        <f t="shared" si="31"/>
        <v>0</v>
      </c>
    </row>
    <row r="142" spans="4:22" s="201" customFormat="1" ht="13" hidden="1" outlineLevel="1" x14ac:dyDescent="0.25">
      <c r="E142" s="229"/>
      <c r="F142" s="213">
        <v>0</v>
      </c>
      <c r="G142" s="213">
        <v>0</v>
      </c>
      <c r="H142" s="213">
        <v>0</v>
      </c>
      <c r="I142" s="213">
        <v>0</v>
      </c>
      <c r="J142" s="218">
        <v>0</v>
      </c>
      <c r="K142" s="218">
        <v>0</v>
      </c>
      <c r="L142" s="221" t="s">
        <v>85</v>
      </c>
      <c r="M142" s="260">
        <f t="shared" si="30"/>
        <v>43617</v>
      </c>
      <c r="N142"/>
      <c r="O142" s="261">
        <v>0</v>
      </c>
      <c r="P142" s="435">
        <v>0</v>
      </c>
      <c r="Q142" s="437">
        <v>0</v>
      </c>
      <c r="R142" s="261">
        <v>0</v>
      </c>
      <c r="S142" s="261">
        <v>0</v>
      </c>
      <c r="T142" s="261">
        <v>0</v>
      </c>
      <c r="U142" s="261">
        <v>0</v>
      </c>
      <c r="V142" s="231">
        <f t="shared" si="31"/>
        <v>0</v>
      </c>
    </row>
    <row r="143" spans="4:22" s="201" customFormat="1" ht="13" hidden="1" outlineLevel="1" x14ac:dyDescent="0.25">
      <c r="E143" s="229"/>
      <c r="F143" s="213">
        <v>0</v>
      </c>
      <c r="G143" s="213">
        <v>0</v>
      </c>
      <c r="H143" s="213">
        <v>0</v>
      </c>
      <c r="I143" s="213">
        <v>0</v>
      </c>
      <c r="J143" s="218">
        <v>0</v>
      </c>
      <c r="K143" s="218">
        <v>0</v>
      </c>
      <c r="L143" s="221" t="s">
        <v>85</v>
      </c>
      <c r="M143" s="260">
        <f t="shared" si="30"/>
        <v>43617</v>
      </c>
      <c r="N143"/>
      <c r="O143" s="261">
        <v>0</v>
      </c>
      <c r="P143" s="435">
        <v>0</v>
      </c>
      <c r="Q143" s="437">
        <v>0</v>
      </c>
      <c r="R143" s="261">
        <v>0</v>
      </c>
      <c r="S143" s="261">
        <v>0</v>
      </c>
      <c r="T143" s="261">
        <v>0</v>
      </c>
      <c r="U143" s="261">
        <v>0</v>
      </c>
      <c r="V143" s="231">
        <f t="shared" si="31"/>
        <v>0</v>
      </c>
    </row>
    <row r="144" spans="4:22" s="201" customFormat="1" ht="13" hidden="1" outlineLevel="1" x14ac:dyDescent="0.25">
      <c r="E144" s="229"/>
      <c r="F144" s="213">
        <v>0</v>
      </c>
      <c r="G144" s="213">
        <v>0</v>
      </c>
      <c r="H144" s="213">
        <v>0</v>
      </c>
      <c r="I144" s="213">
        <v>0</v>
      </c>
      <c r="J144" s="218">
        <v>0</v>
      </c>
      <c r="K144" s="218">
        <v>0</v>
      </c>
      <c r="L144" s="221" t="s">
        <v>85</v>
      </c>
      <c r="M144" s="260">
        <f t="shared" si="30"/>
        <v>43617</v>
      </c>
      <c r="N144"/>
      <c r="O144" s="261">
        <v>0</v>
      </c>
      <c r="P144" s="435">
        <v>0</v>
      </c>
      <c r="Q144" s="437">
        <v>0</v>
      </c>
      <c r="R144" s="261">
        <v>0</v>
      </c>
      <c r="S144" s="261">
        <v>0</v>
      </c>
      <c r="T144" s="261">
        <v>0</v>
      </c>
      <c r="U144" s="261">
        <v>0</v>
      </c>
      <c r="V144" s="231">
        <f t="shared" si="31"/>
        <v>0</v>
      </c>
    </row>
    <row r="145" spans="4:22" s="201" customFormat="1" ht="13" hidden="1" outlineLevel="1" x14ac:dyDescent="0.25">
      <c r="E145" s="229"/>
      <c r="F145" s="213">
        <v>0</v>
      </c>
      <c r="G145" s="213">
        <v>0</v>
      </c>
      <c r="H145" s="213">
        <v>0</v>
      </c>
      <c r="I145" s="213">
        <v>0</v>
      </c>
      <c r="J145" s="218">
        <v>0</v>
      </c>
      <c r="K145" s="218">
        <v>0</v>
      </c>
      <c r="L145" s="221" t="s">
        <v>85</v>
      </c>
      <c r="M145" s="260">
        <f t="shared" si="30"/>
        <v>43617</v>
      </c>
      <c r="N145"/>
      <c r="O145" s="261">
        <v>0</v>
      </c>
      <c r="P145" s="435">
        <v>0</v>
      </c>
      <c r="Q145" s="437">
        <v>0</v>
      </c>
      <c r="R145" s="261">
        <v>0</v>
      </c>
      <c r="S145" s="261">
        <v>0</v>
      </c>
      <c r="T145" s="261">
        <v>0</v>
      </c>
      <c r="U145" s="261">
        <v>0</v>
      </c>
      <c r="V145" s="231">
        <f t="shared" si="31"/>
        <v>0</v>
      </c>
    </row>
    <row r="146" spans="4:22" s="201" customFormat="1" ht="13" hidden="1" outlineLevel="1" x14ac:dyDescent="0.25">
      <c r="E146" s="229"/>
      <c r="F146" s="213">
        <v>0</v>
      </c>
      <c r="G146" s="213">
        <v>0</v>
      </c>
      <c r="H146" s="213">
        <v>0</v>
      </c>
      <c r="I146" s="213">
        <v>0</v>
      </c>
      <c r="J146" s="218">
        <v>0</v>
      </c>
      <c r="K146" s="218">
        <v>0</v>
      </c>
      <c r="L146" s="221" t="s">
        <v>85</v>
      </c>
      <c r="M146" s="260">
        <f t="shared" si="30"/>
        <v>43617</v>
      </c>
      <c r="N146"/>
      <c r="O146" s="261">
        <v>0</v>
      </c>
      <c r="P146" s="435">
        <v>0</v>
      </c>
      <c r="Q146" s="437">
        <v>0</v>
      </c>
      <c r="R146" s="261">
        <v>0</v>
      </c>
      <c r="S146" s="261">
        <v>0</v>
      </c>
      <c r="T146" s="261">
        <v>0</v>
      </c>
      <c r="U146" s="261">
        <v>0</v>
      </c>
      <c r="V146" s="231">
        <f t="shared" si="31"/>
        <v>0</v>
      </c>
    </row>
    <row r="147" spans="4:22" s="201" customFormat="1" ht="13" hidden="1" outlineLevel="1" x14ac:dyDescent="0.25">
      <c r="E147" s="229"/>
      <c r="F147" s="213">
        <v>0</v>
      </c>
      <c r="G147" s="213">
        <v>0</v>
      </c>
      <c r="H147" s="213">
        <v>0</v>
      </c>
      <c r="I147" s="213">
        <v>0</v>
      </c>
      <c r="J147" s="218">
        <v>0</v>
      </c>
      <c r="K147" s="218">
        <v>0</v>
      </c>
      <c r="L147" s="221" t="s">
        <v>85</v>
      </c>
      <c r="M147" s="260">
        <f t="shared" si="30"/>
        <v>43617</v>
      </c>
      <c r="N147"/>
      <c r="O147" s="261">
        <v>0</v>
      </c>
      <c r="P147" s="435">
        <v>0</v>
      </c>
      <c r="Q147" s="437">
        <v>0</v>
      </c>
      <c r="R147" s="261">
        <v>0</v>
      </c>
      <c r="S147" s="261">
        <v>0</v>
      </c>
      <c r="T147" s="261">
        <v>0</v>
      </c>
      <c r="U147" s="261">
        <v>0</v>
      </c>
      <c r="V147" s="231">
        <f t="shared" si="31"/>
        <v>0</v>
      </c>
    </row>
    <row r="148" spans="4:22" s="201" customFormat="1" ht="13" hidden="1" outlineLevel="1" x14ac:dyDescent="0.25">
      <c r="E148" s="229"/>
      <c r="F148" s="151" t="s">
        <v>17</v>
      </c>
      <c r="G148" s="151"/>
      <c r="H148" s="151"/>
      <c r="I148" s="151"/>
      <c r="J148" s="151"/>
      <c r="K148" s="151"/>
      <c r="L148" s="247" t="s">
        <v>85</v>
      </c>
      <c r="M148" s="253">
        <f t="shared" si="30"/>
        <v>43617</v>
      </c>
      <c r="N148"/>
      <c r="O148" s="232">
        <f t="shared" ref="O148" si="32">SUM(O133:O147)</f>
        <v>0</v>
      </c>
      <c r="P148" s="289">
        <f t="shared" ref="P148:U148" si="33">SUM(P133:P147)</f>
        <v>0</v>
      </c>
      <c r="Q148" s="290">
        <f t="shared" si="33"/>
        <v>0</v>
      </c>
      <c r="R148" s="232">
        <f t="shared" si="33"/>
        <v>0</v>
      </c>
      <c r="S148" s="232">
        <f t="shared" si="33"/>
        <v>0</v>
      </c>
      <c r="T148" s="232">
        <f t="shared" si="33"/>
        <v>0</v>
      </c>
      <c r="U148" s="232">
        <f t="shared" si="33"/>
        <v>0</v>
      </c>
      <c r="V148" s="233">
        <f>SUM(Q148:U148)</f>
        <v>0</v>
      </c>
    </row>
    <row r="149" spans="4:22" s="201" customFormat="1" hidden="1" outlineLevel="1" x14ac:dyDescent="0.25">
      <c r="E149" s="229"/>
      <c r="N149"/>
    </row>
    <row r="150" spans="4:22" s="201" customFormat="1" hidden="1" outlineLevel="1" x14ac:dyDescent="0.25">
      <c r="D150" s="201">
        <v>8</v>
      </c>
      <c r="E150" s="229">
        <f>'Input | Meters Vols &amp; Costs'!$G$36</f>
        <v>0</v>
      </c>
      <c r="N150"/>
    </row>
    <row r="151" spans="4:22" s="201" customFormat="1" hidden="1" outlineLevel="1" x14ac:dyDescent="0.25">
      <c r="E151" s="229"/>
      <c r="N151"/>
      <c r="O151"/>
      <c r="P151"/>
      <c r="Q151"/>
      <c r="R151"/>
      <c r="S151"/>
      <c r="T151"/>
      <c r="U151"/>
    </row>
    <row r="152" spans="4:22" s="201" customFormat="1" ht="13" hidden="1" outlineLevel="1" x14ac:dyDescent="0.25">
      <c r="E152" s="229"/>
      <c r="F152" s="121" t="str">
        <f>I_MeterTypes[[#Headers],[Meter Type]]</f>
        <v>Meter Type</v>
      </c>
      <c r="G152" s="121" t="str">
        <f>I_MeterTypes[[#Headers],[RIN Subcategory 1]]</f>
        <v>RIN Subcategory 1</v>
      </c>
      <c r="H152" s="121" t="str">
        <f>I_MeterTypes[[#Headers],[RIN Subcategory 2]]</f>
        <v>RIN Subcategory 2</v>
      </c>
      <c r="I152" s="121" t="str">
        <f>I_MeterTypes[[#Headers],[AER Type]]</f>
        <v>AER Type</v>
      </c>
      <c r="J152" s="121" t="str">
        <f>I_MeterTypes[[#Headers],[RIN Subcategory 3]]</f>
        <v>RIN Subcategory 3</v>
      </c>
      <c r="K152" s="121" t="str">
        <f>I_MeterTypes[[#Headers],[Meter Code]]</f>
        <v>Meter Code</v>
      </c>
      <c r="L152" s="121" t="s">
        <v>6</v>
      </c>
      <c r="M152" s="121" t="s">
        <v>118</v>
      </c>
      <c r="N152"/>
      <c r="O152" s="234" t="str">
        <f>O$12</f>
        <v>2018-19</v>
      </c>
      <c r="P152" s="234" t="str">
        <f t="shared" ref="P152:U152" si="34">P$12</f>
        <v>2019-20</v>
      </c>
      <c r="Q152" s="436" t="str">
        <f t="shared" si="34"/>
        <v>2020-21</v>
      </c>
      <c r="R152" s="234" t="str">
        <f t="shared" si="34"/>
        <v>2021-22</v>
      </c>
      <c r="S152" s="234" t="str">
        <f t="shared" si="34"/>
        <v>2022-23</v>
      </c>
      <c r="T152" s="234" t="str">
        <f t="shared" si="34"/>
        <v>2023-24</v>
      </c>
      <c r="U152" s="234" t="str">
        <f t="shared" si="34"/>
        <v>2024-25</v>
      </c>
      <c r="V152" s="234" t="s">
        <v>17</v>
      </c>
    </row>
    <row r="153" spans="4:22" s="201" customFormat="1" ht="13" hidden="1" outlineLevel="1" x14ac:dyDescent="0.25">
      <c r="E153" s="229"/>
      <c r="F153" s="213" t="str" cm="1">
        <f t="array" ref="F153:F167">I_MeterTypes[Meter Type]</f>
        <v>AMI - Single Phase, single element</v>
      </c>
      <c r="G153" s="213" t="str" cm="1">
        <f t="array" ref="G153:G167">I_MeterTypes[RIN Subcategory 1]</f>
        <v>Single Phase Meter Population</v>
      </c>
      <c r="H153" s="213" t="str" cm="1">
        <f t="array" ref="H153:H167">I_MeterTypes[RIN Subcategory 2]</f>
        <v>Other</v>
      </c>
      <c r="I153" s="213" t="str" cm="1">
        <f t="array" ref="I153:I167">I_MeterTypes[AER Type]</f>
        <v>Meter Type 4</v>
      </c>
      <c r="J153" s="213" t="str" cm="1">
        <f t="array" ref="J153:J167">I_MeterTypes[RIN Subcategory 3]</f>
        <v>Single phase single element - AMI</v>
      </c>
      <c r="K153" s="213" t="str" cm="1">
        <f t="array" ref="K153:K167">I_MeterTypes[Meter Code]</f>
        <v>AMI 1ph 1e</v>
      </c>
      <c r="L153" s="221" t="s">
        <v>85</v>
      </c>
      <c r="M153" s="260">
        <f t="shared" ref="M153:M168" si="35">Basis_Capex</f>
        <v>43617</v>
      </c>
      <c r="N153"/>
      <c r="O153" s="261" cm="1">
        <f t="array" ref="O153:O167">IF('Input | Meters Vols &amp; Costs'!$P$77="Yes",'Input| Prices'!J$51,1)*INDEX(ICM_LabourCost,,$D150)*INDEX(ICM_Vol8,,O$8)</f>
        <v>0</v>
      </c>
      <c r="P153" s="435" cm="1">
        <f t="array" ref="P153:P167">IF('Input | Meters Vols &amp; Costs'!$P$77="Yes",'Input| Prices'!K$51,1)*INDEX(ICM_LabourCost,,$D150)*INDEX(ICM_Vol8,,P$8)</f>
        <v>0</v>
      </c>
      <c r="Q153" s="437" cm="1">
        <f t="array" ref="Q153:Q167">IF('Input | Meters Vols &amp; Costs'!$P$77="Yes",'Input| Prices'!L$51,1)*INDEX(ICM_LabourCost,,$D150)*INDEX(ICM_Vol8,,Q$8)</f>
        <v>0</v>
      </c>
      <c r="R153" s="261" cm="1">
        <f t="array" ref="R153:R167">IF('Input | Meters Vols &amp; Costs'!$P$77="Yes",'Input| Prices'!M$51,1)*INDEX(ICM_LabourCost,,$D150)*INDEX(ICM_Vol8,,R$8)</f>
        <v>0</v>
      </c>
      <c r="S153" s="261" cm="1">
        <f t="array" ref="S153:S167">IF('Input | Meters Vols &amp; Costs'!$P$77="Yes",'Input| Prices'!N$51,1)*INDEX(ICM_LabourCost,,$D150)*INDEX(ICM_Vol8,,S$8)</f>
        <v>0</v>
      </c>
      <c r="T153" s="261" cm="1">
        <f t="array" ref="T153:T167">IF('Input | Meters Vols &amp; Costs'!$P$77="Yes",'Input| Prices'!O$51,1)*INDEX(ICM_LabourCost,,$D150)*INDEX(ICM_Vol8,,T$8)</f>
        <v>0</v>
      </c>
      <c r="U153" s="261" cm="1">
        <f t="array" ref="U153:U167">IF('Input | Meters Vols &amp; Costs'!$P$77="Yes",'Input| Prices'!P$51,1)*INDEX(ICM_LabourCost,,$D150)*INDEX(ICM_Vol8,,U$8)</f>
        <v>0</v>
      </c>
      <c r="V153" s="231">
        <f t="shared" ref="V153:V167" si="36">SUM(N153:U153)</f>
        <v>0</v>
      </c>
    </row>
    <row r="154" spans="4:22" s="201" customFormat="1" ht="13" hidden="1" outlineLevel="1" x14ac:dyDescent="0.25">
      <c r="E154" s="229"/>
      <c r="F154" s="213" t="str">
        <v>AMI - Single Phase, two element</v>
      </c>
      <c r="G154" s="213" t="str">
        <v>Single Phase Meter Population</v>
      </c>
      <c r="H154" s="213" t="str">
        <v>Other</v>
      </c>
      <c r="I154" s="213" t="str">
        <v>Meter Type 4</v>
      </c>
      <c r="J154" s="218" t="str">
        <v>Single phase two element with contactor - AMI</v>
      </c>
      <c r="K154" s="218" t="str">
        <v>AMI 1ph 2e</v>
      </c>
      <c r="L154" s="221" t="s">
        <v>85</v>
      </c>
      <c r="M154" s="260">
        <f t="shared" si="35"/>
        <v>43617</v>
      </c>
      <c r="N154"/>
      <c r="O154" s="261">
        <v>0</v>
      </c>
      <c r="P154" s="435">
        <v>0</v>
      </c>
      <c r="Q154" s="437">
        <v>0</v>
      </c>
      <c r="R154" s="261">
        <v>0</v>
      </c>
      <c r="S154" s="261">
        <v>0</v>
      </c>
      <c r="T154" s="261">
        <v>0</v>
      </c>
      <c r="U154" s="261">
        <v>0</v>
      </c>
      <c r="V154" s="231">
        <f t="shared" si="36"/>
        <v>0</v>
      </c>
    </row>
    <row r="155" spans="4:22" s="201" customFormat="1" ht="13" hidden="1" outlineLevel="1" x14ac:dyDescent="0.25">
      <c r="E155" s="229"/>
      <c r="F155" s="213" t="str">
        <v>AMI - 3 Phase DC</v>
      </c>
      <c r="G155" s="213" t="str">
        <v>Multi Phase Meter Population</v>
      </c>
      <c r="H155" s="213" t="str">
        <v>Direct Connect Meter Population</v>
      </c>
      <c r="I155" s="213" t="str">
        <v>Meter Type 4</v>
      </c>
      <c r="J155" s="218" t="str">
        <v>Three phase - AMI</v>
      </c>
      <c r="K155" s="218" t="str">
        <v>AMI 3ph DC</v>
      </c>
      <c r="L155" s="221" t="s">
        <v>85</v>
      </c>
      <c r="M155" s="260">
        <f t="shared" si="35"/>
        <v>43617</v>
      </c>
      <c r="N155"/>
      <c r="O155" s="261">
        <v>0</v>
      </c>
      <c r="P155" s="435">
        <v>0</v>
      </c>
      <c r="Q155" s="437">
        <v>0</v>
      </c>
      <c r="R155" s="261">
        <v>0</v>
      </c>
      <c r="S155" s="261">
        <v>0</v>
      </c>
      <c r="T155" s="261">
        <v>0</v>
      </c>
      <c r="U155" s="261">
        <v>0</v>
      </c>
      <c r="V155" s="231">
        <f t="shared" si="36"/>
        <v>0</v>
      </c>
    </row>
    <row r="156" spans="4:22" s="201" customFormat="1" ht="13" hidden="1" outlineLevel="1" x14ac:dyDescent="0.25">
      <c r="E156" s="229"/>
      <c r="F156" s="213" t="str">
        <v>AMI 3Ph CT</v>
      </c>
      <c r="G156" s="213" t="str">
        <v>Multi Phase Meter Population</v>
      </c>
      <c r="H156" s="213" t="str">
        <v>Current Transformer Connected Meter Population</v>
      </c>
      <c r="I156" s="213" t="str">
        <v>Meter Type 4</v>
      </c>
      <c r="J156" s="218">
        <v>0</v>
      </c>
      <c r="K156" s="218" t="str">
        <v>AMI 3ph CT</v>
      </c>
      <c r="L156" s="221" t="s">
        <v>85</v>
      </c>
      <c r="M156" s="260">
        <f t="shared" si="35"/>
        <v>43617</v>
      </c>
      <c r="N156"/>
      <c r="O156" s="261">
        <v>0</v>
      </c>
      <c r="P156" s="435">
        <v>0</v>
      </c>
      <c r="Q156" s="437">
        <v>0</v>
      </c>
      <c r="R156" s="261">
        <v>0</v>
      </c>
      <c r="S156" s="261">
        <v>0</v>
      </c>
      <c r="T156" s="261">
        <v>0</v>
      </c>
      <c r="U156" s="261">
        <v>0</v>
      </c>
      <c r="V156" s="231">
        <f t="shared" si="36"/>
        <v>0</v>
      </c>
    </row>
    <row r="157" spans="4:22" s="201" customFormat="1" ht="13" hidden="1" outlineLevel="1" x14ac:dyDescent="0.25">
      <c r="E157" s="229"/>
      <c r="F157" s="213" t="str">
        <v>Non AMI - Type 5 Locally read Interval - Single Phase</v>
      </c>
      <c r="G157" s="213" t="str">
        <v>Single Phase Meter Population</v>
      </c>
      <c r="H157" s="213" t="str">
        <v>Direct Connect Meter Population</v>
      </c>
      <c r="I157" s="213" t="str">
        <v>Meter Type 5</v>
      </c>
      <c r="J157" s="218">
        <v>0</v>
      </c>
      <c r="K157" s="218" t="str">
        <v>INT 1ph</v>
      </c>
      <c r="L157" s="221" t="s">
        <v>85</v>
      </c>
      <c r="M157" s="260">
        <f t="shared" si="35"/>
        <v>43617</v>
      </c>
      <c r="N157"/>
      <c r="O157" s="261">
        <v>0</v>
      </c>
      <c r="P157" s="435">
        <v>0</v>
      </c>
      <c r="Q157" s="437">
        <v>0</v>
      </c>
      <c r="R157" s="261">
        <v>0</v>
      </c>
      <c r="S157" s="261">
        <v>0</v>
      </c>
      <c r="T157" s="261">
        <v>0</v>
      </c>
      <c r="U157" s="261">
        <v>0</v>
      </c>
      <c r="V157" s="231">
        <f t="shared" si="36"/>
        <v>0</v>
      </c>
    </row>
    <row r="158" spans="4:22" s="201" customFormat="1" ht="13" hidden="1" outlineLevel="1" x14ac:dyDescent="0.25">
      <c r="E158" s="229"/>
      <c r="F158" s="213" t="str">
        <v>Non AMI - Type 5 Locally read Interval - 3 Phase</v>
      </c>
      <c r="G158" s="213" t="str">
        <v>Single Phase Meter Population</v>
      </c>
      <c r="H158" s="213" t="str">
        <v>Direct Connect Meter Population</v>
      </c>
      <c r="I158" s="213" t="str">
        <v>Meter Type 5</v>
      </c>
      <c r="J158" s="218">
        <v>0</v>
      </c>
      <c r="K158" s="218" t="str">
        <v>INT 3ph</v>
      </c>
      <c r="L158" s="221" t="s">
        <v>85</v>
      </c>
      <c r="M158" s="260">
        <f t="shared" si="35"/>
        <v>43617</v>
      </c>
      <c r="N158"/>
      <c r="O158" s="261">
        <v>0</v>
      </c>
      <c r="P158" s="435">
        <v>0</v>
      </c>
      <c r="Q158" s="437">
        <v>0</v>
      </c>
      <c r="R158" s="261">
        <v>0</v>
      </c>
      <c r="S158" s="261">
        <v>0</v>
      </c>
      <c r="T158" s="261">
        <v>0</v>
      </c>
      <c r="U158" s="261">
        <v>0</v>
      </c>
      <c r="V158" s="231">
        <f t="shared" si="36"/>
        <v>0</v>
      </c>
    </row>
    <row r="159" spans="4:22" s="201" customFormat="1" ht="13" hidden="1" outlineLevel="1" x14ac:dyDescent="0.25">
      <c r="E159" s="229"/>
      <c r="F159" s="213" t="str">
        <v>Non AMI - Type 5 Locally read Interval - 3 Phase - CT</v>
      </c>
      <c r="G159" s="213" t="str">
        <v>Multi Phase Meter Population</v>
      </c>
      <c r="H159" s="213" t="str">
        <v>Current Transformer Connected Meter Population</v>
      </c>
      <c r="I159" s="213" t="str">
        <v>Meter Type 5</v>
      </c>
      <c r="J159" s="218">
        <v>0</v>
      </c>
      <c r="K159" s="218" t="str">
        <v>INT 3ph CT</v>
      </c>
      <c r="L159" s="221" t="s">
        <v>85</v>
      </c>
      <c r="M159" s="260">
        <f t="shared" si="35"/>
        <v>43617</v>
      </c>
      <c r="N159"/>
      <c r="O159" s="261">
        <v>0</v>
      </c>
      <c r="P159" s="435">
        <v>0</v>
      </c>
      <c r="Q159" s="437">
        <v>0</v>
      </c>
      <c r="R159" s="261">
        <v>0</v>
      </c>
      <c r="S159" s="261">
        <v>0</v>
      </c>
      <c r="T159" s="261">
        <v>0</v>
      </c>
      <c r="U159" s="261">
        <v>0</v>
      </c>
      <c r="V159" s="231">
        <f t="shared" si="36"/>
        <v>0</v>
      </c>
    </row>
    <row r="160" spans="4:22" s="201" customFormat="1" ht="13" hidden="1" outlineLevel="1" x14ac:dyDescent="0.25">
      <c r="E160" s="229"/>
      <c r="F160" s="213" t="str">
        <v>Non AMI - Type 6 Locally read Accumulation - Single Phase</v>
      </c>
      <c r="G160" s="213" t="str">
        <v>Multi Phase Meter Population</v>
      </c>
      <c r="H160" s="213" t="str">
        <v>Direct Connect Meter Population</v>
      </c>
      <c r="I160" s="213" t="str">
        <v>Meter Type 6</v>
      </c>
      <c r="J160" s="218">
        <v>0</v>
      </c>
      <c r="K160" s="218" t="str">
        <v>ACC 1ph</v>
      </c>
      <c r="L160" s="221" t="s">
        <v>85</v>
      </c>
      <c r="M160" s="260">
        <f t="shared" si="35"/>
        <v>43617</v>
      </c>
      <c r="N160"/>
      <c r="O160" s="261">
        <v>0</v>
      </c>
      <c r="P160" s="435">
        <v>0</v>
      </c>
      <c r="Q160" s="437">
        <v>0</v>
      </c>
      <c r="R160" s="261">
        <v>0</v>
      </c>
      <c r="S160" s="261">
        <v>0</v>
      </c>
      <c r="T160" s="261">
        <v>0</v>
      </c>
      <c r="U160" s="261">
        <v>0</v>
      </c>
      <c r="V160" s="231">
        <f t="shared" si="36"/>
        <v>0</v>
      </c>
    </row>
    <row r="161" spans="4:22" s="201" customFormat="1" ht="13" hidden="1" outlineLevel="1" x14ac:dyDescent="0.25">
      <c r="E161" s="229"/>
      <c r="F161" s="213" t="str">
        <v>Non AMI - Type 6 Locally read Accumulation - 3 Phase</v>
      </c>
      <c r="G161" s="213">
        <v>0</v>
      </c>
      <c r="H161" s="213" t="str">
        <v>Direct Connect Meter Population</v>
      </c>
      <c r="I161" s="213" t="str">
        <v>Meter Type 6</v>
      </c>
      <c r="J161" s="218">
        <v>0</v>
      </c>
      <c r="K161" s="218" t="str">
        <v>ACC 3ph</v>
      </c>
      <c r="L161" s="221" t="s">
        <v>85</v>
      </c>
      <c r="M161" s="260">
        <f t="shared" si="35"/>
        <v>43617</v>
      </c>
      <c r="N161"/>
      <c r="O161" s="261">
        <v>0</v>
      </c>
      <c r="P161" s="435">
        <v>0</v>
      </c>
      <c r="Q161" s="437">
        <v>0</v>
      </c>
      <c r="R161" s="261">
        <v>0</v>
      </c>
      <c r="S161" s="261">
        <v>0</v>
      </c>
      <c r="T161" s="261">
        <v>0</v>
      </c>
      <c r="U161" s="261">
        <v>0</v>
      </c>
      <c r="V161" s="231">
        <f t="shared" si="36"/>
        <v>0</v>
      </c>
    </row>
    <row r="162" spans="4:22" s="201" customFormat="1" ht="13" hidden="1" outlineLevel="1" x14ac:dyDescent="0.25">
      <c r="E162" s="229"/>
      <c r="F162" s="213">
        <v>0</v>
      </c>
      <c r="G162" s="213">
        <v>0</v>
      </c>
      <c r="H162" s="213">
        <v>0</v>
      </c>
      <c r="I162" s="213">
        <v>0</v>
      </c>
      <c r="J162" s="218">
        <v>0</v>
      </c>
      <c r="K162" s="218">
        <v>0</v>
      </c>
      <c r="L162" s="221" t="s">
        <v>85</v>
      </c>
      <c r="M162" s="260">
        <f t="shared" si="35"/>
        <v>43617</v>
      </c>
      <c r="N162"/>
      <c r="O162" s="261">
        <v>0</v>
      </c>
      <c r="P162" s="435">
        <v>0</v>
      </c>
      <c r="Q162" s="437">
        <v>0</v>
      </c>
      <c r="R162" s="261">
        <v>0</v>
      </c>
      <c r="S162" s="261">
        <v>0</v>
      </c>
      <c r="T162" s="261">
        <v>0</v>
      </c>
      <c r="U162" s="261">
        <v>0</v>
      </c>
      <c r="V162" s="231">
        <f t="shared" si="36"/>
        <v>0</v>
      </c>
    </row>
    <row r="163" spans="4:22" s="201" customFormat="1" ht="13" hidden="1" outlineLevel="1" x14ac:dyDescent="0.25">
      <c r="E163" s="229"/>
      <c r="F163" s="213">
        <v>0</v>
      </c>
      <c r="G163" s="213">
        <v>0</v>
      </c>
      <c r="H163" s="213">
        <v>0</v>
      </c>
      <c r="I163" s="213">
        <v>0</v>
      </c>
      <c r="J163" s="218">
        <v>0</v>
      </c>
      <c r="K163" s="218">
        <v>0</v>
      </c>
      <c r="L163" s="221" t="s">
        <v>85</v>
      </c>
      <c r="M163" s="260">
        <f t="shared" si="35"/>
        <v>43617</v>
      </c>
      <c r="N163"/>
      <c r="O163" s="261">
        <v>0</v>
      </c>
      <c r="P163" s="435">
        <v>0</v>
      </c>
      <c r="Q163" s="437">
        <v>0</v>
      </c>
      <c r="R163" s="261">
        <v>0</v>
      </c>
      <c r="S163" s="261">
        <v>0</v>
      </c>
      <c r="T163" s="261">
        <v>0</v>
      </c>
      <c r="U163" s="261">
        <v>0</v>
      </c>
      <c r="V163" s="231">
        <f t="shared" si="36"/>
        <v>0</v>
      </c>
    </row>
    <row r="164" spans="4:22" s="201" customFormat="1" ht="13" hidden="1" outlineLevel="1" x14ac:dyDescent="0.25">
      <c r="E164" s="229"/>
      <c r="F164" s="213">
        <v>0</v>
      </c>
      <c r="G164" s="213">
        <v>0</v>
      </c>
      <c r="H164" s="213">
        <v>0</v>
      </c>
      <c r="I164" s="213">
        <v>0</v>
      </c>
      <c r="J164" s="218">
        <v>0</v>
      </c>
      <c r="K164" s="218">
        <v>0</v>
      </c>
      <c r="L164" s="221" t="s">
        <v>85</v>
      </c>
      <c r="M164" s="260">
        <f t="shared" si="35"/>
        <v>43617</v>
      </c>
      <c r="N164"/>
      <c r="O164" s="261">
        <v>0</v>
      </c>
      <c r="P164" s="435">
        <v>0</v>
      </c>
      <c r="Q164" s="437">
        <v>0</v>
      </c>
      <c r="R164" s="261">
        <v>0</v>
      </c>
      <c r="S164" s="261">
        <v>0</v>
      </c>
      <c r="T164" s="261">
        <v>0</v>
      </c>
      <c r="U164" s="261">
        <v>0</v>
      </c>
      <c r="V164" s="231">
        <f t="shared" si="36"/>
        <v>0</v>
      </c>
    </row>
    <row r="165" spans="4:22" s="201" customFormat="1" ht="13" hidden="1" outlineLevel="1" x14ac:dyDescent="0.25">
      <c r="E165" s="229"/>
      <c r="F165" s="213">
        <v>0</v>
      </c>
      <c r="G165" s="213">
        <v>0</v>
      </c>
      <c r="H165" s="213">
        <v>0</v>
      </c>
      <c r="I165" s="213">
        <v>0</v>
      </c>
      <c r="J165" s="218">
        <v>0</v>
      </c>
      <c r="K165" s="218">
        <v>0</v>
      </c>
      <c r="L165" s="221" t="s">
        <v>85</v>
      </c>
      <c r="M165" s="260">
        <f t="shared" si="35"/>
        <v>43617</v>
      </c>
      <c r="N165"/>
      <c r="O165" s="261">
        <v>0</v>
      </c>
      <c r="P165" s="435">
        <v>0</v>
      </c>
      <c r="Q165" s="437">
        <v>0</v>
      </c>
      <c r="R165" s="261">
        <v>0</v>
      </c>
      <c r="S165" s="261">
        <v>0</v>
      </c>
      <c r="T165" s="261">
        <v>0</v>
      </c>
      <c r="U165" s="261">
        <v>0</v>
      </c>
      <c r="V165" s="231">
        <f t="shared" si="36"/>
        <v>0</v>
      </c>
    </row>
    <row r="166" spans="4:22" s="201" customFormat="1" ht="13" hidden="1" outlineLevel="1" x14ac:dyDescent="0.25">
      <c r="E166" s="229"/>
      <c r="F166" s="213">
        <v>0</v>
      </c>
      <c r="G166" s="213">
        <v>0</v>
      </c>
      <c r="H166" s="213">
        <v>0</v>
      </c>
      <c r="I166" s="213">
        <v>0</v>
      </c>
      <c r="J166" s="218">
        <v>0</v>
      </c>
      <c r="K166" s="218">
        <v>0</v>
      </c>
      <c r="L166" s="221" t="s">
        <v>85</v>
      </c>
      <c r="M166" s="260">
        <f t="shared" si="35"/>
        <v>43617</v>
      </c>
      <c r="N166"/>
      <c r="O166" s="261">
        <v>0</v>
      </c>
      <c r="P166" s="435">
        <v>0</v>
      </c>
      <c r="Q166" s="437">
        <v>0</v>
      </c>
      <c r="R166" s="261">
        <v>0</v>
      </c>
      <c r="S166" s="261">
        <v>0</v>
      </c>
      <c r="T166" s="261">
        <v>0</v>
      </c>
      <c r="U166" s="261">
        <v>0</v>
      </c>
      <c r="V166" s="231">
        <f t="shared" si="36"/>
        <v>0</v>
      </c>
    </row>
    <row r="167" spans="4:22" s="201" customFormat="1" ht="13" hidden="1" outlineLevel="1" x14ac:dyDescent="0.25">
      <c r="E167" s="229"/>
      <c r="F167" s="213">
        <v>0</v>
      </c>
      <c r="G167" s="213">
        <v>0</v>
      </c>
      <c r="H167" s="213">
        <v>0</v>
      </c>
      <c r="I167" s="213">
        <v>0</v>
      </c>
      <c r="J167" s="218">
        <v>0</v>
      </c>
      <c r="K167" s="218">
        <v>0</v>
      </c>
      <c r="L167" s="221" t="s">
        <v>85</v>
      </c>
      <c r="M167" s="260">
        <f t="shared" si="35"/>
        <v>43617</v>
      </c>
      <c r="N167"/>
      <c r="O167" s="261">
        <v>0</v>
      </c>
      <c r="P167" s="435">
        <v>0</v>
      </c>
      <c r="Q167" s="437">
        <v>0</v>
      </c>
      <c r="R167" s="261">
        <v>0</v>
      </c>
      <c r="S167" s="261">
        <v>0</v>
      </c>
      <c r="T167" s="261">
        <v>0</v>
      </c>
      <c r="U167" s="261">
        <v>0</v>
      </c>
      <c r="V167" s="231">
        <f t="shared" si="36"/>
        <v>0</v>
      </c>
    </row>
    <row r="168" spans="4:22" s="201" customFormat="1" ht="13" hidden="1" outlineLevel="1" x14ac:dyDescent="0.25">
      <c r="E168" s="229"/>
      <c r="F168" s="151" t="s">
        <v>17</v>
      </c>
      <c r="G168" s="151"/>
      <c r="H168" s="151"/>
      <c r="I168" s="151"/>
      <c r="J168" s="151"/>
      <c r="K168" s="151"/>
      <c r="L168" s="247" t="s">
        <v>85</v>
      </c>
      <c r="M168" s="253">
        <f t="shared" si="35"/>
        <v>43617</v>
      </c>
      <c r="N168"/>
      <c r="O168" s="232">
        <f t="shared" ref="O168" si="37">SUM(O153:O167)</f>
        <v>0</v>
      </c>
      <c r="P168" s="289">
        <f t="shared" ref="P168:U168" si="38">SUM(P153:P167)</f>
        <v>0</v>
      </c>
      <c r="Q168" s="290">
        <f t="shared" si="38"/>
        <v>0</v>
      </c>
      <c r="R168" s="232">
        <f t="shared" si="38"/>
        <v>0</v>
      </c>
      <c r="S168" s="232">
        <f t="shared" si="38"/>
        <v>0</v>
      </c>
      <c r="T168" s="232">
        <f t="shared" si="38"/>
        <v>0</v>
      </c>
      <c r="U168" s="232">
        <f t="shared" si="38"/>
        <v>0</v>
      </c>
      <c r="V168" s="233">
        <f>SUM(Q168:U168)</f>
        <v>0</v>
      </c>
    </row>
    <row r="169" spans="4:22" s="201" customFormat="1" hidden="1" outlineLevel="1" x14ac:dyDescent="0.25">
      <c r="E169" s="22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s="201" customFormat="1" hidden="1" outlineLevel="1" x14ac:dyDescent="0.25">
      <c r="D170" s="201">
        <v>9</v>
      </c>
      <c r="E170" s="229">
        <f>'Input | Meters Vols &amp; Costs'!$G$37</f>
        <v>0</v>
      </c>
      <c r="N170"/>
    </row>
    <row r="171" spans="4:22" s="201" customFormat="1" hidden="1" outlineLevel="1" x14ac:dyDescent="0.25">
      <c r="E171" s="229"/>
      <c r="N171"/>
      <c r="O171"/>
      <c r="P171"/>
      <c r="Q171"/>
      <c r="R171"/>
      <c r="S171"/>
      <c r="T171"/>
      <c r="U171"/>
    </row>
    <row r="172" spans="4:22" s="201" customFormat="1" ht="13" hidden="1" outlineLevel="1" x14ac:dyDescent="0.25">
      <c r="E172" s="229"/>
      <c r="F172" s="121" t="str">
        <f>I_MeterTypes[[#Headers],[Meter Type]]</f>
        <v>Meter Type</v>
      </c>
      <c r="G172" s="121" t="str">
        <f>I_MeterTypes[[#Headers],[RIN Subcategory 1]]</f>
        <v>RIN Subcategory 1</v>
      </c>
      <c r="H172" s="121" t="str">
        <f>I_MeterTypes[[#Headers],[RIN Subcategory 2]]</f>
        <v>RIN Subcategory 2</v>
      </c>
      <c r="I172" s="121" t="str">
        <f>I_MeterTypes[[#Headers],[AER Type]]</f>
        <v>AER Type</v>
      </c>
      <c r="J172" s="121" t="str">
        <f>I_MeterTypes[[#Headers],[RIN Subcategory 3]]</f>
        <v>RIN Subcategory 3</v>
      </c>
      <c r="K172" s="121" t="str">
        <f>I_MeterTypes[[#Headers],[Meter Code]]</f>
        <v>Meter Code</v>
      </c>
      <c r="L172" s="121" t="s">
        <v>6</v>
      </c>
      <c r="M172" s="121" t="s">
        <v>118</v>
      </c>
      <c r="N172"/>
      <c r="O172" s="234" t="str">
        <f>O$12</f>
        <v>2018-19</v>
      </c>
      <c r="P172" s="234" t="str">
        <f t="shared" ref="P172:U172" si="39">P$12</f>
        <v>2019-20</v>
      </c>
      <c r="Q172" s="436" t="str">
        <f t="shared" si="39"/>
        <v>2020-21</v>
      </c>
      <c r="R172" s="234" t="str">
        <f t="shared" si="39"/>
        <v>2021-22</v>
      </c>
      <c r="S172" s="234" t="str">
        <f t="shared" si="39"/>
        <v>2022-23</v>
      </c>
      <c r="T172" s="234" t="str">
        <f t="shared" si="39"/>
        <v>2023-24</v>
      </c>
      <c r="U172" s="234" t="str">
        <f t="shared" si="39"/>
        <v>2024-25</v>
      </c>
      <c r="V172" s="234" t="s">
        <v>17</v>
      </c>
    </row>
    <row r="173" spans="4:22" s="201" customFormat="1" ht="13" hidden="1" outlineLevel="1" x14ac:dyDescent="0.25">
      <c r="E173" s="229"/>
      <c r="F173" s="213" t="str" cm="1">
        <f t="array" ref="F173:F187">I_MeterTypes[Meter Type]</f>
        <v>AMI - Single Phase, single element</v>
      </c>
      <c r="G173" s="213" t="str" cm="1">
        <f t="array" ref="G173:G187">I_MeterTypes[RIN Subcategory 1]</f>
        <v>Single Phase Meter Population</v>
      </c>
      <c r="H173" s="213" t="str" cm="1">
        <f t="array" ref="H173:H187">I_MeterTypes[RIN Subcategory 2]</f>
        <v>Other</v>
      </c>
      <c r="I173" s="213" t="str" cm="1">
        <f t="array" ref="I173:I187">I_MeterTypes[AER Type]</f>
        <v>Meter Type 4</v>
      </c>
      <c r="J173" s="213" t="str" cm="1">
        <f t="array" ref="J173:J187">I_MeterTypes[RIN Subcategory 3]</f>
        <v>Single phase single element - AMI</v>
      </c>
      <c r="K173" s="213" t="str" cm="1">
        <f t="array" ref="K173:K187">I_MeterTypes[Meter Code]</f>
        <v>AMI 1ph 1e</v>
      </c>
      <c r="L173" s="221" t="s">
        <v>85</v>
      </c>
      <c r="M173" s="260">
        <f t="shared" ref="M173:M188" si="40">Basis_Capex</f>
        <v>43617</v>
      </c>
      <c r="N173"/>
      <c r="O173" s="261" cm="1">
        <f t="array" ref="O173:O187">IF('Input | Meters Vols &amp; Costs'!$P$77="Yes",'Input| Prices'!J$51,1)*INDEX(ICM_LabourCost,,$D170)*INDEX(ICM_Vol9,,O$8)</f>
        <v>0</v>
      </c>
      <c r="P173" s="435" cm="1">
        <f t="array" ref="P173:P187">IF('Input | Meters Vols &amp; Costs'!$P$77="Yes",'Input| Prices'!K$51,1)*INDEX(ICM_LabourCost,,$D170)*INDEX(ICM_Vol9,,P$8)</f>
        <v>0</v>
      </c>
      <c r="Q173" s="437" cm="1">
        <f t="array" ref="Q173:Q187">IF('Input | Meters Vols &amp; Costs'!$P$77="Yes",'Input| Prices'!L$51,1)*INDEX(ICM_LabourCost,,$D170)*INDEX(ICM_Vol9,,Q$8)</f>
        <v>0</v>
      </c>
      <c r="R173" s="261" cm="1">
        <f t="array" ref="R173:R187">IF('Input | Meters Vols &amp; Costs'!$P$77="Yes",'Input| Prices'!M$51,1)*INDEX(ICM_LabourCost,,$D170)*INDEX(ICM_Vol9,,R$8)</f>
        <v>0</v>
      </c>
      <c r="S173" s="261" cm="1">
        <f t="array" ref="S173:S187">IF('Input | Meters Vols &amp; Costs'!$P$77="Yes",'Input| Prices'!N$51,1)*INDEX(ICM_LabourCost,,$D170)*INDEX(ICM_Vol9,,S$8)</f>
        <v>0</v>
      </c>
      <c r="T173" s="261" cm="1">
        <f t="array" ref="T173:T187">IF('Input | Meters Vols &amp; Costs'!$P$77="Yes",'Input| Prices'!O$51,1)*INDEX(ICM_LabourCost,,$D170)*INDEX(ICM_Vol9,,T$8)</f>
        <v>0</v>
      </c>
      <c r="U173" s="261" cm="1">
        <f t="array" ref="U173:U187">IF('Input | Meters Vols &amp; Costs'!$P$77="Yes",'Input| Prices'!P$51,1)*INDEX(ICM_LabourCost,,$D170)*INDEX(ICM_Vol9,,U$8)</f>
        <v>0</v>
      </c>
      <c r="V173" s="231">
        <f t="shared" ref="V173:V187" si="41">SUM(N173:U173)</f>
        <v>0</v>
      </c>
    </row>
    <row r="174" spans="4:22" s="201" customFormat="1" ht="13" hidden="1" outlineLevel="1" x14ac:dyDescent="0.25">
      <c r="E174" s="229"/>
      <c r="F174" s="213" t="str">
        <v>AMI - Single Phase, two element</v>
      </c>
      <c r="G174" s="213" t="str">
        <v>Single Phase Meter Population</v>
      </c>
      <c r="H174" s="213" t="str">
        <v>Other</v>
      </c>
      <c r="I174" s="213" t="str">
        <v>Meter Type 4</v>
      </c>
      <c r="J174" s="218" t="str">
        <v>Single phase two element with contactor - AMI</v>
      </c>
      <c r="K174" s="218" t="str">
        <v>AMI 1ph 2e</v>
      </c>
      <c r="L174" s="221" t="s">
        <v>85</v>
      </c>
      <c r="M174" s="260">
        <f t="shared" si="40"/>
        <v>43617</v>
      </c>
      <c r="N174"/>
      <c r="O174" s="261">
        <v>0</v>
      </c>
      <c r="P174" s="435">
        <v>0</v>
      </c>
      <c r="Q174" s="437">
        <v>0</v>
      </c>
      <c r="R174" s="261">
        <v>0</v>
      </c>
      <c r="S174" s="261">
        <v>0</v>
      </c>
      <c r="T174" s="261">
        <v>0</v>
      </c>
      <c r="U174" s="261">
        <v>0</v>
      </c>
      <c r="V174" s="231">
        <f t="shared" si="41"/>
        <v>0</v>
      </c>
    </row>
    <row r="175" spans="4:22" s="201" customFormat="1" ht="13" hidden="1" outlineLevel="1" x14ac:dyDescent="0.25">
      <c r="E175" s="229"/>
      <c r="F175" s="213" t="str">
        <v>AMI - 3 Phase DC</v>
      </c>
      <c r="G175" s="213" t="str">
        <v>Multi Phase Meter Population</v>
      </c>
      <c r="H175" s="213" t="str">
        <v>Direct Connect Meter Population</v>
      </c>
      <c r="I175" s="213" t="str">
        <v>Meter Type 4</v>
      </c>
      <c r="J175" s="218" t="str">
        <v>Three phase - AMI</v>
      </c>
      <c r="K175" s="218" t="str">
        <v>AMI 3ph DC</v>
      </c>
      <c r="L175" s="221" t="s">
        <v>85</v>
      </c>
      <c r="M175" s="260">
        <f t="shared" si="40"/>
        <v>43617</v>
      </c>
      <c r="N175"/>
      <c r="O175" s="261">
        <v>0</v>
      </c>
      <c r="P175" s="435">
        <v>0</v>
      </c>
      <c r="Q175" s="437">
        <v>0</v>
      </c>
      <c r="R175" s="261">
        <v>0</v>
      </c>
      <c r="S175" s="261">
        <v>0</v>
      </c>
      <c r="T175" s="261">
        <v>0</v>
      </c>
      <c r="U175" s="261">
        <v>0</v>
      </c>
      <c r="V175" s="231">
        <f t="shared" si="41"/>
        <v>0</v>
      </c>
    </row>
    <row r="176" spans="4:22" s="201" customFormat="1" ht="13" hidden="1" outlineLevel="1" x14ac:dyDescent="0.25">
      <c r="E176" s="229"/>
      <c r="F176" s="213" t="str">
        <v>AMI 3Ph CT</v>
      </c>
      <c r="G176" s="213" t="str">
        <v>Multi Phase Meter Population</v>
      </c>
      <c r="H176" s="213" t="str">
        <v>Current Transformer Connected Meter Population</v>
      </c>
      <c r="I176" s="213" t="str">
        <v>Meter Type 4</v>
      </c>
      <c r="J176" s="218">
        <v>0</v>
      </c>
      <c r="K176" s="218" t="str">
        <v>AMI 3ph CT</v>
      </c>
      <c r="L176" s="221" t="s">
        <v>85</v>
      </c>
      <c r="M176" s="260">
        <f t="shared" si="40"/>
        <v>43617</v>
      </c>
      <c r="N176"/>
      <c r="O176" s="261">
        <v>0</v>
      </c>
      <c r="P176" s="435">
        <v>0</v>
      </c>
      <c r="Q176" s="437">
        <v>0</v>
      </c>
      <c r="R176" s="261">
        <v>0</v>
      </c>
      <c r="S176" s="261">
        <v>0</v>
      </c>
      <c r="T176" s="261">
        <v>0</v>
      </c>
      <c r="U176" s="261">
        <v>0</v>
      </c>
      <c r="V176" s="231">
        <f t="shared" si="41"/>
        <v>0</v>
      </c>
    </row>
    <row r="177" spans="4:22" s="201" customFormat="1" ht="13" hidden="1" outlineLevel="1" x14ac:dyDescent="0.25">
      <c r="E177" s="229"/>
      <c r="F177" s="213" t="str">
        <v>Non AMI - Type 5 Locally read Interval - Single Phase</v>
      </c>
      <c r="G177" s="213" t="str">
        <v>Single Phase Meter Population</v>
      </c>
      <c r="H177" s="213" t="str">
        <v>Direct Connect Meter Population</v>
      </c>
      <c r="I177" s="213" t="str">
        <v>Meter Type 5</v>
      </c>
      <c r="J177" s="218">
        <v>0</v>
      </c>
      <c r="K177" s="218" t="str">
        <v>INT 1ph</v>
      </c>
      <c r="L177" s="221" t="s">
        <v>85</v>
      </c>
      <c r="M177" s="260">
        <f t="shared" si="40"/>
        <v>43617</v>
      </c>
      <c r="N177"/>
      <c r="O177" s="261">
        <v>0</v>
      </c>
      <c r="P177" s="435">
        <v>0</v>
      </c>
      <c r="Q177" s="437">
        <v>0</v>
      </c>
      <c r="R177" s="261">
        <v>0</v>
      </c>
      <c r="S177" s="261">
        <v>0</v>
      </c>
      <c r="T177" s="261">
        <v>0</v>
      </c>
      <c r="U177" s="261">
        <v>0</v>
      </c>
      <c r="V177" s="231">
        <f t="shared" si="41"/>
        <v>0</v>
      </c>
    </row>
    <row r="178" spans="4:22" s="201" customFormat="1" ht="13" hidden="1" outlineLevel="1" x14ac:dyDescent="0.25">
      <c r="E178" s="229"/>
      <c r="F178" s="213" t="str">
        <v>Non AMI - Type 5 Locally read Interval - 3 Phase</v>
      </c>
      <c r="G178" s="213" t="str">
        <v>Single Phase Meter Population</v>
      </c>
      <c r="H178" s="213" t="str">
        <v>Direct Connect Meter Population</v>
      </c>
      <c r="I178" s="213" t="str">
        <v>Meter Type 5</v>
      </c>
      <c r="J178" s="218">
        <v>0</v>
      </c>
      <c r="K178" s="218" t="str">
        <v>INT 3ph</v>
      </c>
      <c r="L178" s="221" t="s">
        <v>85</v>
      </c>
      <c r="M178" s="260">
        <f t="shared" si="40"/>
        <v>43617</v>
      </c>
      <c r="N178"/>
      <c r="O178" s="261">
        <v>0</v>
      </c>
      <c r="P178" s="435">
        <v>0</v>
      </c>
      <c r="Q178" s="437">
        <v>0</v>
      </c>
      <c r="R178" s="261">
        <v>0</v>
      </c>
      <c r="S178" s="261">
        <v>0</v>
      </c>
      <c r="T178" s="261">
        <v>0</v>
      </c>
      <c r="U178" s="261">
        <v>0</v>
      </c>
      <c r="V178" s="231">
        <f t="shared" si="41"/>
        <v>0</v>
      </c>
    </row>
    <row r="179" spans="4:22" s="201" customFormat="1" ht="13" hidden="1" outlineLevel="1" x14ac:dyDescent="0.25">
      <c r="E179" s="229"/>
      <c r="F179" s="213" t="str">
        <v>Non AMI - Type 5 Locally read Interval - 3 Phase - CT</v>
      </c>
      <c r="G179" s="213" t="str">
        <v>Multi Phase Meter Population</v>
      </c>
      <c r="H179" s="213" t="str">
        <v>Current Transformer Connected Meter Population</v>
      </c>
      <c r="I179" s="213" t="str">
        <v>Meter Type 5</v>
      </c>
      <c r="J179" s="218">
        <v>0</v>
      </c>
      <c r="K179" s="218" t="str">
        <v>INT 3ph CT</v>
      </c>
      <c r="L179" s="221" t="s">
        <v>85</v>
      </c>
      <c r="M179" s="260">
        <f t="shared" si="40"/>
        <v>43617</v>
      </c>
      <c r="N179"/>
      <c r="O179" s="261">
        <v>0</v>
      </c>
      <c r="P179" s="435">
        <v>0</v>
      </c>
      <c r="Q179" s="437">
        <v>0</v>
      </c>
      <c r="R179" s="261">
        <v>0</v>
      </c>
      <c r="S179" s="261">
        <v>0</v>
      </c>
      <c r="T179" s="261">
        <v>0</v>
      </c>
      <c r="U179" s="261">
        <v>0</v>
      </c>
      <c r="V179" s="231">
        <f t="shared" si="41"/>
        <v>0</v>
      </c>
    </row>
    <row r="180" spans="4:22" s="201" customFormat="1" ht="13" hidden="1" outlineLevel="1" x14ac:dyDescent="0.25">
      <c r="E180" s="229"/>
      <c r="F180" s="213" t="str">
        <v>Non AMI - Type 6 Locally read Accumulation - Single Phase</v>
      </c>
      <c r="G180" s="213" t="str">
        <v>Multi Phase Meter Population</v>
      </c>
      <c r="H180" s="213" t="str">
        <v>Direct Connect Meter Population</v>
      </c>
      <c r="I180" s="213" t="str">
        <v>Meter Type 6</v>
      </c>
      <c r="J180" s="218">
        <v>0</v>
      </c>
      <c r="K180" s="218" t="str">
        <v>ACC 1ph</v>
      </c>
      <c r="L180" s="221" t="s">
        <v>85</v>
      </c>
      <c r="M180" s="260">
        <f t="shared" si="40"/>
        <v>43617</v>
      </c>
      <c r="N180"/>
      <c r="O180" s="261">
        <v>0</v>
      </c>
      <c r="P180" s="435">
        <v>0</v>
      </c>
      <c r="Q180" s="437">
        <v>0</v>
      </c>
      <c r="R180" s="261">
        <v>0</v>
      </c>
      <c r="S180" s="261">
        <v>0</v>
      </c>
      <c r="T180" s="261">
        <v>0</v>
      </c>
      <c r="U180" s="261">
        <v>0</v>
      </c>
      <c r="V180" s="231">
        <f t="shared" si="41"/>
        <v>0</v>
      </c>
    </row>
    <row r="181" spans="4:22" s="201" customFormat="1" ht="13" hidden="1" outlineLevel="1" x14ac:dyDescent="0.25">
      <c r="E181" s="229"/>
      <c r="F181" s="213" t="str">
        <v>Non AMI - Type 6 Locally read Accumulation - 3 Phase</v>
      </c>
      <c r="G181" s="213">
        <v>0</v>
      </c>
      <c r="H181" s="213" t="str">
        <v>Direct Connect Meter Population</v>
      </c>
      <c r="I181" s="213" t="str">
        <v>Meter Type 6</v>
      </c>
      <c r="J181" s="218">
        <v>0</v>
      </c>
      <c r="K181" s="218" t="str">
        <v>ACC 3ph</v>
      </c>
      <c r="L181" s="221" t="s">
        <v>85</v>
      </c>
      <c r="M181" s="260">
        <f t="shared" si="40"/>
        <v>43617</v>
      </c>
      <c r="N181"/>
      <c r="O181" s="261">
        <v>0</v>
      </c>
      <c r="P181" s="435">
        <v>0</v>
      </c>
      <c r="Q181" s="437">
        <v>0</v>
      </c>
      <c r="R181" s="261">
        <v>0</v>
      </c>
      <c r="S181" s="261">
        <v>0</v>
      </c>
      <c r="T181" s="261">
        <v>0</v>
      </c>
      <c r="U181" s="261">
        <v>0</v>
      </c>
      <c r="V181" s="231">
        <f t="shared" si="41"/>
        <v>0</v>
      </c>
    </row>
    <row r="182" spans="4:22" s="201" customFormat="1" ht="13" hidden="1" outlineLevel="1" x14ac:dyDescent="0.25">
      <c r="E182" s="229"/>
      <c r="F182" s="213">
        <v>0</v>
      </c>
      <c r="G182" s="213">
        <v>0</v>
      </c>
      <c r="H182" s="213">
        <v>0</v>
      </c>
      <c r="I182" s="213">
        <v>0</v>
      </c>
      <c r="J182" s="218">
        <v>0</v>
      </c>
      <c r="K182" s="218">
        <v>0</v>
      </c>
      <c r="L182" s="221" t="s">
        <v>85</v>
      </c>
      <c r="M182" s="260">
        <f t="shared" si="40"/>
        <v>43617</v>
      </c>
      <c r="N182"/>
      <c r="O182" s="261">
        <v>0</v>
      </c>
      <c r="P182" s="435">
        <v>0</v>
      </c>
      <c r="Q182" s="437">
        <v>0</v>
      </c>
      <c r="R182" s="261">
        <v>0</v>
      </c>
      <c r="S182" s="261">
        <v>0</v>
      </c>
      <c r="T182" s="261">
        <v>0</v>
      </c>
      <c r="U182" s="261">
        <v>0</v>
      </c>
      <c r="V182" s="231">
        <f t="shared" si="41"/>
        <v>0</v>
      </c>
    </row>
    <row r="183" spans="4:22" s="201" customFormat="1" ht="13" hidden="1" outlineLevel="1" x14ac:dyDescent="0.25">
      <c r="E183" s="229"/>
      <c r="F183" s="213">
        <v>0</v>
      </c>
      <c r="G183" s="213">
        <v>0</v>
      </c>
      <c r="H183" s="213">
        <v>0</v>
      </c>
      <c r="I183" s="213">
        <v>0</v>
      </c>
      <c r="J183" s="218">
        <v>0</v>
      </c>
      <c r="K183" s="218">
        <v>0</v>
      </c>
      <c r="L183" s="221" t="s">
        <v>85</v>
      </c>
      <c r="M183" s="260">
        <f t="shared" si="40"/>
        <v>43617</v>
      </c>
      <c r="N183"/>
      <c r="O183" s="261">
        <v>0</v>
      </c>
      <c r="P183" s="435">
        <v>0</v>
      </c>
      <c r="Q183" s="437">
        <v>0</v>
      </c>
      <c r="R183" s="261">
        <v>0</v>
      </c>
      <c r="S183" s="261">
        <v>0</v>
      </c>
      <c r="T183" s="261">
        <v>0</v>
      </c>
      <c r="U183" s="261">
        <v>0</v>
      </c>
      <c r="V183" s="231">
        <f t="shared" si="41"/>
        <v>0</v>
      </c>
    </row>
    <row r="184" spans="4:22" s="201" customFormat="1" ht="13" hidden="1" outlineLevel="1" x14ac:dyDescent="0.25">
      <c r="E184" s="229"/>
      <c r="F184" s="213">
        <v>0</v>
      </c>
      <c r="G184" s="213">
        <v>0</v>
      </c>
      <c r="H184" s="213">
        <v>0</v>
      </c>
      <c r="I184" s="213">
        <v>0</v>
      </c>
      <c r="J184" s="218">
        <v>0</v>
      </c>
      <c r="K184" s="218">
        <v>0</v>
      </c>
      <c r="L184" s="221" t="s">
        <v>85</v>
      </c>
      <c r="M184" s="260">
        <f t="shared" si="40"/>
        <v>43617</v>
      </c>
      <c r="N184"/>
      <c r="O184" s="261">
        <v>0</v>
      </c>
      <c r="P184" s="435">
        <v>0</v>
      </c>
      <c r="Q184" s="437">
        <v>0</v>
      </c>
      <c r="R184" s="261">
        <v>0</v>
      </c>
      <c r="S184" s="261">
        <v>0</v>
      </c>
      <c r="T184" s="261">
        <v>0</v>
      </c>
      <c r="U184" s="261">
        <v>0</v>
      </c>
      <c r="V184" s="231">
        <f t="shared" si="41"/>
        <v>0</v>
      </c>
    </row>
    <row r="185" spans="4:22" s="201" customFormat="1" ht="13" hidden="1" outlineLevel="1" x14ac:dyDescent="0.25">
      <c r="E185" s="229"/>
      <c r="F185" s="213">
        <v>0</v>
      </c>
      <c r="G185" s="213">
        <v>0</v>
      </c>
      <c r="H185" s="213">
        <v>0</v>
      </c>
      <c r="I185" s="213">
        <v>0</v>
      </c>
      <c r="J185" s="218">
        <v>0</v>
      </c>
      <c r="K185" s="218">
        <v>0</v>
      </c>
      <c r="L185" s="221" t="s">
        <v>85</v>
      </c>
      <c r="M185" s="260">
        <f t="shared" si="40"/>
        <v>43617</v>
      </c>
      <c r="N185"/>
      <c r="O185" s="261">
        <v>0</v>
      </c>
      <c r="P185" s="435">
        <v>0</v>
      </c>
      <c r="Q185" s="437">
        <v>0</v>
      </c>
      <c r="R185" s="261">
        <v>0</v>
      </c>
      <c r="S185" s="261">
        <v>0</v>
      </c>
      <c r="T185" s="261">
        <v>0</v>
      </c>
      <c r="U185" s="261">
        <v>0</v>
      </c>
      <c r="V185" s="231">
        <f t="shared" si="41"/>
        <v>0</v>
      </c>
    </row>
    <row r="186" spans="4:22" s="201" customFormat="1" ht="13" hidden="1" outlineLevel="1" x14ac:dyDescent="0.25">
      <c r="E186" s="229"/>
      <c r="F186" s="213">
        <v>0</v>
      </c>
      <c r="G186" s="213">
        <v>0</v>
      </c>
      <c r="H186" s="213">
        <v>0</v>
      </c>
      <c r="I186" s="213">
        <v>0</v>
      </c>
      <c r="J186" s="218">
        <v>0</v>
      </c>
      <c r="K186" s="218">
        <v>0</v>
      </c>
      <c r="L186" s="221" t="s">
        <v>85</v>
      </c>
      <c r="M186" s="260">
        <f t="shared" si="40"/>
        <v>43617</v>
      </c>
      <c r="N186"/>
      <c r="O186" s="261">
        <v>0</v>
      </c>
      <c r="P186" s="435">
        <v>0</v>
      </c>
      <c r="Q186" s="437">
        <v>0</v>
      </c>
      <c r="R186" s="261">
        <v>0</v>
      </c>
      <c r="S186" s="261">
        <v>0</v>
      </c>
      <c r="T186" s="261">
        <v>0</v>
      </c>
      <c r="U186" s="261">
        <v>0</v>
      </c>
      <c r="V186" s="231">
        <f t="shared" si="41"/>
        <v>0</v>
      </c>
    </row>
    <row r="187" spans="4:22" s="201" customFormat="1" ht="13" hidden="1" outlineLevel="1" x14ac:dyDescent="0.25">
      <c r="E187" s="229"/>
      <c r="F187" s="213">
        <v>0</v>
      </c>
      <c r="G187" s="213">
        <v>0</v>
      </c>
      <c r="H187" s="213">
        <v>0</v>
      </c>
      <c r="I187" s="213">
        <v>0</v>
      </c>
      <c r="J187" s="218">
        <v>0</v>
      </c>
      <c r="K187" s="218">
        <v>0</v>
      </c>
      <c r="L187" s="221" t="s">
        <v>85</v>
      </c>
      <c r="M187" s="260">
        <f t="shared" si="40"/>
        <v>43617</v>
      </c>
      <c r="N187"/>
      <c r="O187" s="261">
        <v>0</v>
      </c>
      <c r="P187" s="435">
        <v>0</v>
      </c>
      <c r="Q187" s="437">
        <v>0</v>
      </c>
      <c r="R187" s="261">
        <v>0</v>
      </c>
      <c r="S187" s="261">
        <v>0</v>
      </c>
      <c r="T187" s="261">
        <v>0</v>
      </c>
      <c r="U187" s="261">
        <v>0</v>
      </c>
      <c r="V187" s="231">
        <f t="shared" si="41"/>
        <v>0</v>
      </c>
    </row>
    <row r="188" spans="4:22" s="201" customFormat="1" ht="13" hidden="1" outlineLevel="1" x14ac:dyDescent="0.25">
      <c r="E188" s="229"/>
      <c r="F188" s="151" t="s">
        <v>17</v>
      </c>
      <c r="G188" s="151"/>
      <c r="H188" s="151"/>
      <c r="I188" s="151"/>
      <c r="J188" s="151"/>
      <c r="K188" s="151"/>
      <c r="L188" s="247" t="s">
        <v>85</v>
      </c>
      <c r="M188" s="253">
        <f t="shared" si="40"/>
        <v>43617</v>
      </c>
      <c r="N188"/>
      <c r="O188" s="232">
        <f t="shared" ref="O188" si="42">SUM(O173:O187)</f>
        <v>0</v>
      </c>
      <c r="P188" s="289">
        <f t="shared" ref="P188:U188" si="43">SUM(P173:P187)</f>
        <v>0</v>
      </c>
      <c r="Q188" s="290">
        <f t="shared" si="43"/>
        <v>0</v>
      </c>
      <c r="R188" s="232">
        <f t="shared" si="43"/>
        <v>0</v>
      </c>
      <c r="S188" s="232">
        <f t="shared" si="43"/>
        <v>0</v>
      </c>
      <c r="T188" s="232">
        <f t="shared" si="43"/>
        <v>0</v>
      </c>
      <c r="U188" s="232">
        <f t="shared" si="43"/>
        <v>0</v>
      </c>
      <c r="V188" s="233">
        <f>SUM(Q188:U188)</f>
        <v>0</v>
      </c>
    </row>
    <row r="189" spans="4:22" s="201" customFormat="1" hidden="1" outlineLevel="1" x14ac:dyDescent="0.25">
      <c r="E189" s="22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s="201" customFormat="1" hidden="1" outlineLevel="1" x14ac:dyDescent="0.25">
      <c r="D190" s="201">
        <v>10</v>
      </c>
      <c r="E190" s="229" t="str">
        <f>'Input | Meters Vols &amp; Costs'!$G$38</f>
        <v>Meter abolishments</v>
      </c>
      <c r="N190"/>
    </row>
    <row r="191" spans="4:22" s="201" customFormat="1" hidden="1" outlineLevel="1" x14ac:dyDescent="0.25">
      <c r="E191" s="229"/>
      <c r="N191"/>
      <c r="O191"/>
      <c r="P191"/>
      <c r="Q191"/>
      <c r="R191"/>
      <c r="S191"/>
      <c r="T191"/>
      <c r="U191"/>
    </row>
    <row r="192" spans="4:22" s="201" customFormat="1" ht="13" hidden="1" outlineLevel="1" x14ac:dyDescent="0.25">
      <c r="E192" s="229"/>
      <c r="F192" s="121" t="str">
        <f>I_MeterTypes[[#Headers],[Meter Type]]</f>
        <v>Meter Type</v>
      </c>
      <c r="G192" s="121" t="str">
        <f>I_MeterTypes[[#Headers],[RIN Subcategory 1]]</f>
        <v>RIN Subcategory 1</v>
      </c>
      <c r="H192" s="121" t="str">
        <f>I_MeterTypes[[#Headers],[RIN Subcategory 2]]</f>
        <v>RIN Subcategory 2</v>
      </c>
      <c r="I192" s="121" t="str">
        <f>I_MeterTypes[[#Headers],[AER Type]]</f>
        <v>AER Type</v>
      </c>
      <c r="J192" s="121" t="str">
        <f>I_MeterTypes[[#Headers],[RIN Subcategory 3]]</f>
        <v>RIN Subcategory 3</v>
      </c>
      <c r="K192" s="121" t="str">
        <f>I_MeterTypes[[#Headers],[Meter Code]]</f>
        <v>Meter Code</v>
      </c>
      <c r="L192" s="121" t="s">
        <v>6</v>
      </c>
      <c r="M192" s="121" t="s">
        <v>118</v>
      </c>
      <c r="N192"/>
      <c r="O192" s="234" t="str">
        <f>O$12</f>
        <v>2018-19</v>
      </c>
      <c r="P192" s="234" t="str">
        <f t="shared" ref="P192:U192" si="44">P$12</f>
        <v>2019-20</v>
      </c>
      <c r="Q192" s="436" t="str">
        <f t="shared" si="44"/>
        <v>2020-21</v>
      </c>
      <c r="R192" s="234" t="str">
        <f t="shared" si="44"/>
        <v>2021-22</v>
      </c>
      <c r="S192" s="234" t="str">
        <f t="shared" si="44"/>
        <v>2022-23</v>
      </c>
      <c r="T192" s="234" t="str">
        <f t="shared" si="44"/>
        <v>2023-24</v>
      </c>
      <c r="U192" s="234" t="str">
        <f t="shared" si="44"/>
        <v>2024-25</v>
      </c>
      <c r="V192" s="234" t="s">
        <v>17</v>
      </c>
    </row>
    <row r="193" spans="5:22" s="201" customFormat="1" ht="13" hidden="1" outlineLevel="1" x14ac:dyDescent="0.25">
      <c r="E193" s="229"/>
      <c r="F193" s="213" t="str" cm="1">
        <f t="array" ref="F193:F207">I_MeterTypes[Meter Type]</f>
        <v>AMI - Single Phase, single element</v>
      </c>
      <c r="G193" s="213" t="str" cm="1">
        <f t="array" ref="G193:G207">I_MeterTypes[RIN Subcategory 1]</f>
        <v>Single Phase Meter Population</v>
      </c>
      <c r="H193" s="213" t="str" cm="1">
        <f t="array" ref="H193:H207">I_MeterTypes[RIN Subcategory 2]</f>
        <v>Other</v>
      </c>
      <c r="I193" s="213" t="str" cm="1">
        <f t="array" ref="I193:I207">I_MeterTypes[AER Type]</f>
        <v>Meter Type 4</v>
      </c>
      <c r="J193" s="213" t="str" cm="1">
        <f t="array" ref="J193:J207">I_MeterTypes[RIN Subcategory 3]</f>
        <v>Single phase single element - AMI</v>
      </c>
      <c r="K193" s="213" t="str" cm="1">
        <f t="array" ref="K193:K207">I_MeterTypes[Meter Code]</f>
        <v>AMI 1ph 1e</v>
      </c>
      <c r="L193" s="221" t="s">
        <v>85</v>
      </c>
      <c r="M193" s="260">
        <f t="shared" ref="M193:M208" si="45">Basis_Capex</f>
        <v>43617</v>
      </c>
      <c r="N193" s="228"/>
      <c r="O193" s="261" cm="1">
        <f t="array" ref="O193:O207">IF('Input | Meters Vols &amp; Costs'!$P$77="Yes",'Input| Prices'!J$51,1)*INDEX(ICM_LabourCost,,$D190)*INDEX(ICM_Vol10,,O$8)</f>
        <v>0</v>
      </c>
      <c r="P193" s="435" cm="1">
        <f t="array" ref="P193:P207">IF('Input | Meters Vols &amp; Costs'!$P$77="Yes",'Input| Prices'!K$51,1)*INDEX(ICM_LabourCost,,$D190)*INDEX(ICM_Vol10,,P$8)</f>
        <v>0</v>
      </c>
      <c r="Q193" s="437" cm="1">
        <f t="array" ref="Q193:Q207">IF('Input | Meters Vols &amp; Costs'!$P$77="Yes",'Input| Prices'!L$51,1)*INDEX(ICM_LabourCost,,$D190)*INDEX(ICM_Vol10,,Q$8)</f>
        <v>0</v>
      </c>
      <c r="R193" s="261" cm="1">
        <f t="array" ref="R193:R207">IF('Input | Meters Vols &amp; Costs'!$P$77="Yes",'Input| Prices'!M$51,1)*INDEX(ICM_LabourCost,,$D190)*INDEX(ICM_Vol10,,R$8)</f>
        <v>0</v>
      </c>
      <c r="S193" s="261" cm="1">
        <f t="array" ref="S193:S207">IF('Input | Meters Vols &amp; Costs'!$P$77="Yes",'Input| Prices'!N$51,1)*INDEX(ICM_LabourCost,,$D190)*INDEX(ICM_Vol10,,S$8)</f>
        <v>0</v>
      </c>
      <c r="T193" s="261" cm="1">
        <f t="array" ref="T193:T207">IF('Input | Meters Vols &amp; Costs'!$P$77="Yes",'Input| Prices'!O$51,1)*INDEX(ICM_LabourCost,,$D190)*INDEX(ICM_Vol10,,T$8)</f>
        <v>0</v>
      </c>
      <c r="U193" s="261" cm="1">
        <f t="array" ref="U193:U207">IF('Input | Meters Vols &amp; Costs'!$P$77="Yes",'Input| Prices'!P$51,1)*INDEX(ICM_LabourCost,,$D190)*INDEX(ICM_Vol10,,U$8)</f>
        <v>0</v>
      </c>
      <c r="V193" s="231">
        <f t="shared" ref="V193:V207" si="46">SUM(N193:U193)</f>
        <v>0</v>
      </c>
    </row>
    <row r="194" spans="5:22" s="201" customFormat="1" ht="13" hidden="1" outlineLevel="1" x14ac:dyDescent="0.25">
      <c r="E194" s="229"/>
      <c r="F194" s="213" t="str">
        <v>AMI - Single Phase, two element</v>
      </c>
      <c r="G194" s="213" t="str">
        <v>Single Phase Meter Population</v>
      </c>
      <c r="H194" s="213" t="str">
        <v>Other</v>
      </c>
      <c r="I194" s="213" t="str">
        <v>Meter Type 4</v>
      </c>
      <c r="J194" s="218" t="str">
        <v>Single phase two element with contactor - AMI</v>
      </c>
      <c r="K194" s="218" t="str">
        <v>AMI 1ph 2e</v>
      </c>
      <c r="L194" s="221" t="s">
        <v>85</v>
      </c>
      <c r="M194" s="260">
        <f t="shared" si="45"/>
        <v>43617</v>
      </c>
      <c r="N194" s="228"/>
      <c r="O194" s="261">
        <v>0</v>
      </c>
      <c r="P194" s="435">
        <v>0</v>
      </c>
      <c r="Q194" s="437">
        <v>0</v>
      </c>
      <c r="R194" s="261">
        <v>0</v>
      </c>
      <c r="S194" s="261">
        <v>0</v>
      </c>
      <c r="T194" s="261">
        <v>0</v>
      </c>
      <c r="U194" s="261">
        <v>0</v>
      </c>
      <c r="V194" s="231">
        <f t="shared" si="46"/>
        <v>0</v>
      </c>
    </row>
    <row r="195" spans="5:22" s="201" customFormat="1" ht="13" hidden="1" outlineLevel="1" x14ac:dyDescent="0.25">
      <c r="E195" s="229"/>
      <c r="F195" s="213" t="str">
        <v>AMI - 3 Phase DC</v>
      </c>
      <c r="G195" s="213" t="str">
        <v>Multi Phase Meter Population</v>
      </c>
      <c r="H195" s="213" t="str">
        <v>Direct Connect Meter Population</v>
      </c>
      <c r="I195" s="213" t="str">
        <v>Meter Type 4</v>
      </c>
      <c r="J195" s="218" t="str">
        <v>Three phase - AMI</v>
      </c>
      <c r="K195" s="218" t="str">
        <v>AMI 3ph DC</v>
      </c>
      <c r="L195" s="221" t="s">
        <v>85</v>
      </c>
      <c r="M195" s="260">
        <f t="shared" si="45"/>
        <v>43617</v>
      </c>
      <c r="N195" s="228"/>
      <c r="O195" s="261">
        <v>0</v>
      </c>
      <c r="P195" s="435">
        <v>0</v>
      </c>
      <c r="Q195" s="437">
        <v>0</v>
      </c>
      <c r="R195" s="261">
        <v>0</v>
      </c>
      <c r="S195" s="261">
        <v>0</v>
      </c>
      <c r="T195" s="261">
        <v>0</v>
      </c>
      <c r="U195" s="261">
        <v>0</v>
      </c>
      <c r="V195" s="231">
        <f t="shared" si="46"/>
        <v>0</v>
      </c>
    </row>
    <row r="196" spans="5:22" s="201" customFormat="1" ht="13" hidden="1" outlineLevel="1" x14ac:dyDescent="0.25">
      <c r="E196" s="229"/>
      <c r="F196" s="213" t="str">
        <v>AMI 3Ph CT</v>
      </c>
      <c r="G196" s="213" t="str">
        <v>Multi Phase Meter Population</v>
      </c>
      <c r="H196" s="213" t="str">
        <v>Current Transformer Connected Meter Population</v>
      </c>
      <c r="I196" s="213" t="str">
        <v>Meter Type 4</v>
      </c>
      <c r="J196" s="218">
        <v>0</v>
      </c>
      <c r="K196" s="218" t="str">
        <v>AMI 3ph CT</v>
      </c>
      <c r="L196" s="221" t="s">
        <v>85</v>
      </c>
      <c r="M196" s="260">
        <f t="shared" si="45"/>
        <v>43617</v>
      </c>
      <c r="N196" s="228"/>
      <c r="O196" s="261">
        <v>0</v>
      </c>
      <c r="P196" s="435">
        <v>0</v>
      </c>
      <c r="Q196" s="437">
        <v>0</v>
      </c>
      <c r="R196" s="261">
        <v>0</v>
      </c>
      <c r="S196" s="261">
        <v>0</v>
      </c>
      <c r="T196" s="261">
        <v>0</v>
      </c>
      <c r="U196" s="261">
        <v>0</v>
      </c>
      <c r="V196" s="231">
        <f t="shared" si="46"/>
        <v>0</v>
      </c>
    </row>
    <row r="197" spans="5:22" s="201" customFormat="1" ht="13" hidden="1" outlineLevel="1" x14ac:dyDescent="0.25">
      <c r="E197" s="229"/>
      <c r="F197" s="213" t="str">
        <v>Non AMI - Type 5 Locally read Interval - Single Phase</v>
      </c>
      <c r="G197" s="213" t="str">
        <v>Single Phase Meter Population</v>
      </c>
      <c r="H197" s="213" t="str">
        <v>Direct Connect Meter Population</v>
      </c>
      <c r="I197" s="213" t="str">
        <v>Meter Type 5</v>
      </c>
      <c r="J197" s="218">
        <v>0</v>
      </c>
      <c r="K197" s="218" t="str">
        <v>INT 1ph</v>
      </c>
      <c r="L197" s="221" t="s">
        <v>85</v>
      </c>
      <c r="M197" s="260">
        <f t="shared" si="45"/>
        <v>43617</v>
      </c>
      <c r="N197" s="228"/>
      <c r="O197" s="261">
        <v>0</v>
      </c>
      <c r="P197" s="435">
        <v>0</v>
      </c>
      <c r="Q197" s="437">
        <v>0</v>
      </c>
      <c r="R197" s="261">
        <v>0</v>
      </c>
      <c r="S197" s="261">
        <v>0</v>
      </c>
      <c r="T197" s="261">
        <v>0</v>
      </c>
      <c r="U197" s="261">
        <v>0</v>
      </c>
      <c r="V197" s="231">
        <f t="shared" si="46"/>
        <v>0</v>
      </c>
    </row>
    <row r="198" spans="5:22" s="201" customFormat="1" ht="13" hidden="1" outlineLevel="1" x14ac:dyDescent="0.25">
      <c r="E198" s="229"/>
      <c r="F198" s="213" t="str">
        <v>Non AMI - Type 5 Locally read Interval - 3 Phase</v>
      </c>
      <c r="G198" s="213" t="str">
        <v>Single Phase Meter Population</v>
      </c>
      <c r="H198" s="213" t="str">
        <v>Direct Connect Meter Population</v>
      </c>
      <c r="I198" s="213" t="str">
        <v>Meter Type 5</v>
      </c>
      <c r="J198" s="218">
        <v>0</v>
      </c>
      <c r="K198" s="218" t="str">
        <v>INT 3ph</v>
      </c>
      <c r="L198" s="221" t="s">
        <v>85</v>
      </c>
      <c r="M198" s="260">
        <f t="shared" si="45"/>
        <v>43617</v>
      </c>
      <c r="N198" s="228"/>
      <c r="O198" s="261">
        <v>0</v>
      </c>
      <c r="P198" s="435">
        <v>0</v>
      </c>
      <c r="Q198" s="437">
        <v>0</v>
      </c>
      <c r="R198" s="261">
        <v>0</v>
      </c>
      <c r="S198" s="261">
        <v>0</v>
      </c>
      <c r="T198" s="261">
        <v>0</v>
      </c>
      <c r="U198" s="261">
        <v>0</v>
      </c>
      <c r="V198" s="231">
        <f t="shared" si="46"/>
        <v>0</v>
      </c>
    </row>
    <row r="199" spans="5:22" s="201" customFormat="1" ht="13" hidden="1" outlineLevel="1" x14ac:dyDescent="0.25">
      <c r="E199" s="229"/>
      <c r="F199" s="213" t="str">
        <v>Non AMI - Type 5 Locally read Interval - 3 Phase - CT</v>
      </c>
      <c r="G199" s="213" t="str">
        <v>Multi Phase Meter Population</v>
      </c>
      <c r="H199" s="213" t="str">
        <v>Current Transformer Connected Meter Population</v>
      </c>
      <c r="I199" s="213" t="str">
        <v>Meter Type 5</v>
      </c>
      <c r="J199" s="218">
        <v>0</v>
      </c>
      <c r="K199" s="218" t="str">
        <v>INT 3ph CT</v>
      </c>
      <c r="L199" s="221" t="s">
        <v>85</v>
      </c>
      <c r="M199" s="260">
        <f t="shared" si="45"/>
        <v>43617</v>
      </c>
      <c r="N199" s="228"/>
      <c r="O199" s="261">
        <v>0</v>
      </c>
      <c r="P199" s="435">
        <v>0</v>
      </c>
      <c r="Q199" s="437">
        <v>0</v>
      </c>
      <c r="R199" s="261">
        <v>0</v>
      </c>
      <c r="S199" s="261">
        <v>0</v>
      </c>
      <c r="T199" s="261">
        <v>0</v>
      </c>
      <c r="U199" s="261">
        <v>0</v>
      </c>
      <c r="V199" s="231">
        <f t="shared" si="46"/>
        <v>0</v>
      </c>
    </row>
    <row r="200" spans="5:22" s="201" customFormat="1" ht="13" hidden="1" outlineLevel="1" x14ac:dyDescent="0.25">
      <c r="E200" s="229"/>
      <c r="F200" s="213" t="str">
        <v>Non AMI - Type 6 Locally read Accumulation - Single Phase</v>
      </c>
      <c r="G200" s="213" t="str">
        <v>Multi Phase Meter Population</v>
      </c>
      <c r="H200" s="213" t="str">
        <v>Direct Connect Meter Population</v>
      </c>
      <c r="I200" s="213" t="str">
        <v>Meter Type 6</v>
      </c>
      <c r="J200" s="218">
        <v>0</v>
      </c>
      <c r="K200" s="218" t="str">
        <v>ACC 1ph</v>
      </c>
      <c r="L200" s="221" t="s">
        <v>85</v>
      </c>
      <c r="M200" s="260">
        <f t="shared" si="45"/>
        <v>43617</v>
      </c>
      <c r="N200" s="228"/>
      <c r="O200" s="261">
        <v>0</v>
      </c>
      <c r="P200" s="435">
        <v>0</v>
      </c>
      <c r="Q200" s="437">
        <v>0</v>
      </c>
      <c r="R200" s="261">
        <v>0</v>
      </c>
      <c r="S200" s="261">
        <v>0</v>
      </c>
      <c r="T200" s="261">
        <v>0</v>
      </c>
      <c r="U200" s="261">
        <v>0</v>
      </c>
      <c r="V200" s="231">
        <f t="shared" si="46"/>
        <v>0</v>
      </c>
    </row>
    <row r="201" spans="5:22" s="201" customFormat="1" ht="13" hidden="1" outlineLevel="1" x14ac:dyDescent="0.25">
      <c r="E201" s="229"/>
      <c r="F201" s="213" t="str">
        <v>Non AMI - Type 6 Locally read Accumulation - 3 Phase</v>
      </c>
      <c r="G201" s="213">
        <v>0</v>
      </c>
      <c r="H201" s="213" t="str">
        <v>Direct Connect Meter Population</v>
      </c>
      <c r="I201" s="213" t="str">
        <v>Meter Type 6</v>
      </c>
      <c r="J201" s="218">
        <v>0</v>
      </c>
      <c r="K201" s="218" t="str">
        <v>ACC 3ph</v>
      </c>
      <c r="L201" s="221" t="s">
        <v>85</v>
      </c>
      <c r="M201" s="260">
        <f t="shared" si="45"/>
        <v>43617</v>
      </c>
      <c r="N201" s="228"/>
      <c r="O201" s="261">
        <v>0</v>
      </c>
      <c r="P201" s="435">
        <v>0</v>
      </c>
      <c r="Q201" s="437">
        <v>0</v>
      </c>
      <c r="R201" s="261">
        <v>0</v>
      </c>
      <c r="S201" s="261">
        <v>0</v>
      </c>
      <c r="T201" s="261">
        <v>0</v>
      </c>
      <c r="U201" s="261">
        <v>0</v>
      </c>
      <c r="V201" s="231">
        <f t="shared" si="46"/>
        <v>0</v>
      </c>
    </row>
    <row r="202" spans="5:22" s="201" customFormat="1" ht="13" hidden="1" outlineLevel="1" x14ac:dyDescent="0.25">
      <c r="E202" s="229"/>
      <c r="F202" s="213">
        <v>0</v>
      </c>
      <c r="G202" s="213">
        <v>0</v>
      </c>
      <c r="H202" s="213">
        <v>0</v>
      </c>
      <c r="I202" s="213">
        <v>0</v>
      </c>
      <c r="J202" s="218">
        <v>0</v>
      </c>
      <c r="K202" s="218">
        <v>0</v>
      </c>
      <c r="L202" s="221" t="s">
        <v>85</v>
      </c>
      <c r="M202" s="260">
        <f t="shared" si="45"/>
        <v>43617</v>
      </c>
      <c r="N202" s="228"/>
      <c r="O202" s="261">
        <v>0</v>
      </c>
      <c r="P202" s="435">
        <v>0</v>
      </c>
      <c r="Q202" s="437">
        <v>0</v>
      </c>
      <c r="R202" s="261">
        <v>0</v>
      </c>
      <c r="S202" s="261">
        <v>0</v>
      </c>
      <c r="T202" s="261">
        <v>0</v>
      </c>
      <c r="U202" s="261">
        <v>0</v>
      </c>
      <c r="V202" s="231">
        <f t="shared" si="46"/>
        <v>0</v>
      </c>
    </row>
    <row r="203" spans="5:22" s="201" customFormat="1" ht="13" hidden="1" outlineLevel="1" x14ac:dyDescent="0.25">
      <c r="E203" s="229"/>
      <c r="F203" s="213">
        <v>0</v>
      </c>
      <c r="G203" s="213">
        <v>0</v>
      </c>
      <c r="H203" s="213">
        <v>0</v>
      </c>
      <c r="I203" s="213">
        <v>0</v>
      </c>
      <c r="J203" s="218">
        <v>0</v>
      </c>
      <c r="K203" s="218">
        <v>0</v>
      </c>
      <c r="L203" s="221" t="s">
        <v>85</v>
      </c>
      <c r="M203" s="260">
        <f t="shared" si="45"/>
        <v>43617</v>
      </c>
      <c r="N203" s="228"/>
      <c r="O203" s="261">
        <v>0</v>
      </c>
      <c r="P203" s="435">
        <v>0</v>
      </c>
      <c r="Q203" s="437">
        <v>0</v>
      </c>
      <c r="R203" s="261">
        <v>0</v>
      </c>
      <c r="S203" s="261">
        <v>0</v>
      </c>
      <c r="T203" s="261">
        <v>0</v>
      </c>
      <c r="U203" s="261">
        <v>0</v>
      </c>
      <c r="V203" s="231">
        <f t="shared" si="46"/>
        <v>0</v>
      </c>
    </row>
    <row r="204" spans="5:22" s="201" customFormat="1" ht="13" hidden="1" outlineLevel="1" x14ac:dyDescent="0.25">
      <c r="E204" s="229"/>
      <c r="F204" s="213">
        <v>0</v>
      </c>
      <c r="G204" s="213">
        <v>0</v>
      </c>
      <c r="H204" s="213">
        <v>0</v>
      </c>
      <c r="I204" s="213">
        <v>0</v>
      </c>
      <c r="J204" s="218">
        <v>0</v>
      </c>
      <c r="K204" s="218">
        <v>0</v>
      </c>
      <c r="L204" s="221" t="s">
        <v>85</v>
      </c>
      <c r="M204" s="260">
        <f t="shared" si="45"/>
        <v>43617</v>
      </c>
      <c r="N204" s="228"/>
      <c r="O204" s="261">
        <v>0</v>
      </c>
      <c r="P204" s="435">
        <v>0</v>
      </c>
      <c r="Q204" s="437">
        <v>0</v>
      </c>
      <c r="R204" s="261">
        <v>0</v>
      </c>
      <c r="S204" s="261">
        <v>0</v>
      </c>
      <c r="T204" s="261">
        <v>0</v>
      </c>
      <c r="U204" s="261">
        <v>0</v>
      </c>
      <c r="V204" s="231">
        <f t="shared" si="46"/>
        <v>0</v>
      </c>
    </row>
    <row r="205" spans="5:22" s="201" customFormat="1" ht="13" hidden="1" outlineLevel="1" x14ac:dyDescent="0.25">
      <c r="E205" s="229"/>
      <c r="F205" s="213">
        <v>0</v>
      </c>
      <c r="G205" s="213">
        <v>0</v>
      </c>
      <c r="H205" s="213">
        <v>0</v>
      </c>
      <c r="I205" s="213">
        <v>0</v>
      </c>
      <c r="J205" s="218">
        <v>0</v>
      </c>
      <c r="K205" s="218">
        <v>0</v>
      </c>
      <c r="L205" s="221" t="s">
        <v>85</v>
      </c>
      <c r="M205" s="260">
        <f t="shared" si="45"/>
        <v>43617</v>
      </c>
      <c r="N205" s="228"/>
      <c r="O205" s="261">
        <v>0</v>
      </c>
      <c r="P205" s="435">
        <v>0</v>
      </c>
      <c r="Q205" s="437">
        <v>0</v>
      </c>
      <c r="R205" s="261">
        <v>0</v>
      </c>
      <c r="S205" s="261">
        <v>0</v>
      </c>
      <c r="T205" s="261">
        <v>0</v>
      </c>
      <c r="U205" s="261">
        <v>0</v>
      </c>
      <c r="V205" s="231">
        <f t="shared" si="46"/>
        <v>0</v>
      </c>
    </row>
    <row r="206" spans="5:22" s="201" customFormat="1" ht="13" hidden="1" outlineLevel="1" x14ac:dyDescent="0.25">
      <c r="E206" s="229"/>
      <c r="F206" s="213">
        <v>0</v>
      </c>
      <c r="G206" s="213">
        <v>0</v>
      </c>
      <c r="H206" s="213">
        <v>0</v>
      </c>
      <c r="I206" s="213">
        <v>0</v>
      </c>
      <c r="J206" s="218">
        <v>0</v>
      </c>
      <c r="K206" s="218">
        <v>0</v>
      </c>
      <c r="L206" s="221" t="s">
        <v>85</v>
      </c>
      <c r="M206" s="260">
        <f t="shared" si="45"/>
        <v>43617</v>
      </c>
      <c r="N206" s="228"/>
      <c r="O206" s="261">
        <v>0</v>
      </c>
      <c r="P206" s="435">
        <v>0</v>
      </c>
      <c r="Q206" s="437">
        <v>0</v>
      </c>
      <c r="R206" s="261">
        <v>0</v>
      </c>
      <c r="S206" s="261">
        <v>0</v>
      </c>
      <c r="T206" s="261">
        <v>0</v>
      </c>
      <c r="U206" s="261">
        <v>0</v>
      </c>
      <c r="V206" s="231">
        <f t="shared" si="46"/>
        <v>0</v>
      </c>
    </row>
    <row r="207" spans="5:22" s="201" customFormat="1" ht="13" hidden="1" outlineLevel="1" x14ac:dyDescent="0.25">
      <c r="E207" s="229"/>
      <c r="F207" s="213">
        <v>0</v>
      </c>
      <c r="G207" s="213">
        <v>0</v>
      </c>
      <c r="H207" s="213">
        <v>0</v>
      </c>
      <c r="I207" s="213">
        <v>0</v>
      </c>
      <c r="J207" s="218">
        <v>0</v>
      </c>
      <c r="K207" s="218">
        <v>0</v>
      </c>
      <c r="L207" s="221" t="s">
        <v>85</v>
      </c>
      <c r="M207" s="260">
        <f t="shared" si="45"/>
        <v>43617</v>
      </c>
      <c r="N207" s="228"/>
      <c r="O207" s="261">
        <v>0</v>
      </c>
      <c r="P207" s="435">
        <v>0</v>
      </c>
      <c r="Q207" s="437">
        <v>0</v>
      </c>
      <c r="R207" s="261">
        <v>0</v>
      </c>
      <c r="S207" s="261">
        <v>0</v>
      </c>
      <c r="T207" s="261">
        <v>0</v>
      </c>
      <c r="U207" s="261">
        <v>0</v>
      </c>
      <c r="V207" s="231">
        <f t="shared" si="46"/>
        <v>0</v>
      </c>
    </row>
    <row r="208" spans="5:22" s="201" customFormat="1" ht="13" hidden="1" outlineLevel="1" x14ac:dyDescent="0.25">
      <c r="E208" s="229"/>
      <c r="F208" s="151" t="s">
        <v>17</v>
      </c>
      <c r="G208" s="151"/>
      <c r="H208" s="151"/>
      <c r="I208" s="151"/>
      <c r="J208" s="151"/>
      <c r="K208" s="151"/>
      <c r="L208" s="247" t="s">
        <v>85</v>
      </c>
      <c r="M208" s="253">
        <f t="shared" si="45"/>
        <v>43617</v>
      </c>
      <c r="N208" s="228"/>
      <c r="O208" s="232">
        <f t="shared" ref="O208" si="47">SUM(O193:O207)</f>
        <v>0</v>
      </c>
      <c r="P208" s="289">
        <f t="shared" ref="P208:U208" si="48">SUM(P193:P207)</f>
        <v>0</v>
      </c>
      <c r="Q208" s="290">
        <f t="shared" si="48"/>
        <v>0</v>
      </c>
      <c r="R208" s="232">
        <f t="shared" si="48"/>
        <v>0</v>
      </c>
      <c r="S208" s="232">
        <f t="shared" si="48"/>
        <v>0</v>
      </c>
      <c r="T208" s="232">
        <f t="shared" si="48"/>
        <v>0</v>
      </c>
      <c r="U208" s="232">
        <f t="shared" si="48"/>
        <v>0</v>
      </c>
      <c r="V208" s="233">
        <f>SUM(Q208:U208)</f>
        <v>0</v>
      </c>
    </row>
    <row r="209" spans="4:22" s="201" customFormat="1" ht="15" hidden="1" customHeight="1" outlineLevel="1" x14ac:dyDescent="0.25">
      <c r="N209" s="228"/>
    </row>
    <row r="210" spans="4:22" s="201" customFormat="1" ht="15" hidden="1" customHeight="1" outlineLevel="1" x14ac:dyDescent="0.3">
      <c r="D210" s="202" t="s">
        <v>385</v>
      </c>
      <c r="E210" s="229"/>
    </row>
    <row r="211" spans="4:22" s="201" customFormat="1" ht="15" hidden="1" customHeight="1" outlineLevel="1" x14ac:dyDescent="0.25">
      <c r="E211" s="229"/>
      <c r="O211"/>
      <c r="P211"/>
      <c r="Q211"/>
      <c r="R211"/>
      <c r="S211"/>
      <c r="T211"/>
      <c r="U211"/>
    </row>
    <row r="212" spans="4:22" s="201" customFormat="1" ht="15" hidden="1" customHeight="1" outlineLevel="1" x14ac:dyDescent="0.25">
      <c r="E212" s="229"/>
      <c r="F212" s="594" t="str">
        <f>I_MeterTypes[[#Headers],[Meter Type]]</f>
        <v>Meter Type</v>
      </c>
      <c r="G212" s="594" t="str">
        <f>I_MeterTypes[[#Headers],[RIN Subcategory 1]]</f>
        <v>RIN Subcategory 1</v>
      </c>
      <c r="H212" s="594" t="str">
        <f>I_MeterTypes[[#Headers],[RIN Subcategory 2]]</f>
        <v>RIN Subcategory 2</v>
      </c>
      <c r="I212" s="594" t="str">
        <f>I_MeterTypes[[#Headers],[AER Type]]</f>
        <v>AER Type</v>
      </c>
      <c r="J212" s="594" t="str">
        <f>I_MeterTypes[[#Headers],[RIN Subcategory 3]]</f>
        <v>RIN Subcategory 3</v>
      </c>
      <c r="K212" s="594" t="str">
        <f>I_MeterTypes[[#Headers],[Meter Code]]</f>
        <v>Meter Code</v>
      </c>
      <c r="L212" s="594" t="s">
        <v>6</v>
      </c>
      <c r="M212" s="594" t="s">
        <v>118</v>
      </c>
      <c r="O212" s="592" t="str">
        <f>O$12</f>
        <v>2018-19</v>
      </c>
      <c r="P212" s="592" t="str">
        <f t="shared" ref="P212:U212" si="49">P$12</f>
        <v>2019-20</v>
      </c>
      <c r="Q212" s="593" t="str">
        <f t="shared" si="49"/>
        <v>2020-21</v>
      </c>
      <c r="R212" s="592" t="str">
        <f t="shared" si="49"/>
        <v>2021-22</v>
      </c>
      <c r="S212" s="592" t="str">
        <f t="shared" si="49"/>
        <v>2022-23</v>
      </c>
      <c r="T212" s="592" t="str">
        <f t="shared" si="49"/>
        <v>2023-24</v>
      </c>
      <c r="U212" s="592" t="str">
        <f t="shared" si="49"/>
        <v>2024-25</v>
      </c>
      <c r="V212" s="592" t="s">
        <v>17</v>
      </c>
    </row>
    <row r="213" spans="4:22" s="201" customFormat="1" ht="15" hidden="1" customHeight="1" outlineLevel="1" x14ac:dyDescent="0.25">
      <c r="E213" s="229"/>
      <c r="F213" s="213" t="str" cm="1">
        <f t="array" ref="F213:F227">I_MeterTypes[Meter Type]</f>
        <v>AMI - Single Phase, single element</v>
      </c>
      <c r="G213" s="213" t="str" cm="1">
        <f t="array" ref="G213:G227">I_MeterTypes[RIN Subcategory 1]</f>
        <v>Single Phase Meter Population</v>
      </c>
      <c r="H213" s="213" t="str" cm="1">
        <f t="array" ref="H213:H227">I_MeterTypes[RIN Subcategory 2]</f>
        <v>Other</v>
      </c>
      <c r="I213" s="213" t="str" cm="1">
        <f t="array" ref="I213:I227">I_MeterTypes[AER Type]</f>
        <v>Meter Type 4</v>
      </c>
      <c r="J213" s="213" t="str" cm="1">
        <f t="array" ref="J213:J227">I_MeterTypes[RIN Subcategory 3]</f>
        <v>Single phase single element - AMI</v>
      </c>
      <c r="K213" s="213" t="str" cm="1">
        <f t="array" ref="K213:K227">I_MeterTypes[Meter Code]</f>
        <v>AMI 1ph 1e</v>
      </c>
      <c r="L213" s="221" t="s">
        <v>85</v>
      </c>
      <c r="M213" s="260">
        <f t="shared" ref="M213:M228" si="50">Basis_Capex</f>
        <v>43617</v>
      </c>
      <c r="O213" s="261">
        <f>O13+O33+O53+O73+O93+O113+O133+O153+O173+O193</f>
        <v>0</v>
      </c>
      <c r="P213" s="261">
        <f t="shared" ref="P213:U213" si="51">P13+P33+P53+P73+P93+P113+P133+P153+P173+P193</f>
        <v>2462064.5489449138</v>
      </c>
      <c r="Q213" s="261">
        <f t="shared" si="51"/>
        <v>2486772.0127358148</v>
      </c>
      <c r="R213" s="261">
        <f t="shared" si="51"/>
        <v>2503251.5088603511</v>
      </c>
      <c r="S213" s="261">
        <f t="shared" si="51"/>
        <v>2518499.4889109577</v>
      </c>
      <c r="T213" s="261">
        <f t="shared" si="51"/>
        <v>2536954.367937326</v>
      </c>
      <c r="U213" s="261">
        <f t="shared" si="51"/>
        <v>2561079.4549180213</v>
      </c>
      <c r="V213" s="231">
        <f t="shared" ref="V213:V227" si="52">SUM(N213:U213)</f>
        <v>15068621.382307386</v>
      </c>
    </row>
    <row r="214" spans="4:22" s="201" customFormat="1" ht="15" hidden="1" customHeight="1" outlineLevel="1" x14ac:dyDescent="0.25">
      <c r="E214" s="229"/>
      <c r="F214" s="213" t="str">
        <v>AMI - Single Phase, two element</v>
      </c>
      <c r="G214" s="213" t="str">
        <v>Single Phase Meter Population</v>
      </c>
      <c r="H214" s="213" t="str">
        <v>Other</v>
      </c>
      <c r="I214" s="213" t="str">
        <v>Meter Type 4</v>
      </c>
      <c r="J214" s="218" t="str">
        <v>Single phase two element with contactor - AMI</v>
      </c>
      <c r="K214" s="218" t="str">
        <v>AMI 1ph 2e</v>
      </c>
      <c r="L214" s="221" t="s">
        <v>85</v>
      </c>
      <c r="M214" s="260">
        <f t="shared" si="50"/>
        <v>43617</v>
      </c>
      <c r="O214" s="261">
        <f t="shared" ref="O214:U214" si="53">O14+O34+O54+O74+O94+O114+O134+O154+O174+O194</f>
        <v>0</v>
      </c>
      <c r="P214" s="435">
        <f t="shared" si="53"/>
        <v>0</v>
      </c>
      <c r="Q214" s="437">
        <f t="shared" si="53"/>
        <v>0</v>
      </c>
      <c r="R214" s="261">
        <f t="shared" si="53"/>
        <v>0</v>
      </c>
      <c r="S214" s="261">
        <f t="shared" si="53"/>
        <v>0</v>
      </c>
      <c r="T214" s="261">
        <f t="shared" si="53"/>
        <v>0</v>
      </c>
      <c r="U214" s="261">
        <f t="shared" si="53"/>
        <v>0</v>
      </c>
      <c r="V214" s="231">
        <f t="shared" si="52"/>
        <v>0</v>
      </c>
    </row>
    <row r="215" spans="4:22" s="201" customFormat="1" ht="15" hidden="1" customHeight="1" outlineLevel="1" x14ac:dyDescent="0.25">
      <c r="E215" s="229"/>
      <c r="F215" s="213" t="str">
        <v>AMI - 3 Phase DC</v>
      </c>
      <c r="G215" s="213" t="str">
        <v>Multi Phase Meter Population</v>
      </c>
      <c r="H215" s="213" t="str">
        <v>Direct Connect Meter Population</v>
      </c>
      <c r="I215" s="213" t="str">
        <v>Meter Type 4</v>
      </c>
      <c r="J215" s="218" t="str">
        <v>Three phase - AMI</v>
      </c>
      <c r="K215" s="218" t="str">
        <v>AMI 3ph DC</v>
      </c>
      <c r="L215" s="221" t="s">
        <v>85</v>
      </c>
      <c r="M215" s="260">
        <f t="shared" si="50"/>
        <v>43617</v>
      </c>
      <c r="O215" s="261">
        <f t="shared" ref="O215:U215" si="54">O15+O35+O55+O75+O95+O115+O135+O155+O175+O195</f>
        <v>0</v>
      </c>
      <c r="P215" s="435">
        <f t="shared" si="54"/>
        <v>0</v>
      </c>
      <c r="Q215" s="437">
        <f t="shared" si="54"/>
        <v>0</v>
      </c>
      <c r="R215" s="261">
        <f t="shared" si="54"/>
        <v>0</v>
      </c>
      <c r="S215" s="261">
        <f t="shared" si="54"/>
        <v>0</v>
      </c>
      <c r="T215" s="261">
        <f t="shared" si="54"/>
        <v>0</v>
      </c>
      <c r="U215" s="261">
        <f t="shared" si="54"/>
        <v>0</v>
      </c>
      <c r="V215" s="231">
        <f t="shared" si="52"/>
        <v>0</v>
      </c>
    </row>
    <row r="216" spans="4:22" s="201" customFormat="1" ht="15" hidden="1" customHeight="1" outlineLevel="1" x14ac:dyDescent="0.25">
      <c r="E216" s="229"/>
      <c r="F216" s="213" t="str">
        <v>AMI 3Ph CT</v>
      </c>
      <c r="G216" s="213" t="str">
        <v>Multi Phase Meter Population</v>
      </c>
      <c r="H216" s="213" t="str">
        <v>Current Transformer Connected Meter Population</v>
      </c>
      <c r="I216" s="213" t="str">
        <v>Meter Type 4</v>
      </c>
      <c r="J216" s="218">
        <v>0</v>
      </c>
      <c r="K216" s="218" t="str">
        <v>AMI 3ph CT</v>
      </c>
      <c r="L216" s="221" t="s">
        <v>85</v>
      </c>
      <c r="M216" s="260">
        <f t="shared" si="50"/>
        <v>43617</v>
      </c>
      <c r="O216" s="261">
        <f t="shared" ref="O216:U216" si="55">O16+O36+O56+O76+O96+O116+O136+O156+O176+O196</f>
        <v>0</v>
      </c>
      <c r="P216" s="435">
        <f t="shared" si="55"/>
        <v>0</v>
      </c>
      <c r="Q216" s="437">
        <f t="shared" si="55"/>
        <v>0</v>
      </c>
      <c r="R216" s="261">
        <f t="shared" si="55"/>
        <v>0</v>
      </c>
      <c r="S216" s="261">
        <f t="shared" si="55"/>
        <v>0</v>
      </c>
      <c r="T216" s="261">
        <f t="shared" si="55"/>
        <v>0</v>
      </c>
      <c r="U216" s="261">
        <f t="shared" si="55"/>
        <v>0</v>
      </c>
      <c r="V216" s="231">
        <f t="shared" si="52"/>
        <v>0</v>
      </c>
    </row>
    <row r="217" spans="4:22" s="201" customFormat="1" ht="15" hidden="1" customHeight="1" outlineLevel="1" x14ac:dyDescent="0.25">
      <c r="E217" s="229"/>
      <c r="F217" s="213" t="str">
        <v>Non AMI - Type 5 Locally read Interval - Single Phase</v>
      </c>
      <c r="G217" s="213" t="str">
        <v>Single Phase Meter Population</v>
      </c>
      <c r="H217" s="213" t="str">
        <v>Direct Connect Meter Population</v>
      </c>
      <c r="I217" s="213" t="str">
        <v>Meter Type 5</v>
      </c>
      <c r="J217" s="218">
        <v>0</v>
      </c>
      <c r="K217" s="218" t="str">
        <v>INT 1ph</v>
      </c>
      <c r="L217" s="221" t="s">
        <v>85</v>
      </c>
      <c r="M217" s="260">
        <f t="shared" si="50"/>
        <v>43617</v>
      </c>
      <c r="O217" s="261">
        <f t="shared" ref="O217:U217" si="56">O17+O37+O57+O77+O97+O117+O137+O157+O177+O197</f>
        <v>0</v>
      </c>
      <c r="P217" s="435">
        <f t="shared" si="56"/>
        <v>0</v>
      </c>
      <c r="Q217" s="437">
        <f t="shared" si="56"/>
        <v>0</v>
      </c>
      <c r="R217" s="261">
        <f t="shared" si="56"/>
        <v>0</v>
      </c>
      <c r="S217" s="261">
        <f t="shared" si="56"/>
        <v>0</v>
      </c>
      <c r="T217" s="261">
        <f t="shared" si="56"/>
        <v>0</v>
      </c>
      <c r="U217" s="261">
        <f t="shared" si="56"/>
        <v>0</v>
      </c>
      <c r="V217" s="231">
        <f t="shared" si="52"/>
        <v>0</v>
      </c>
    </row>
    <row r="218" spans="4:22" s="201" customFormat="1" ht="15" hidden="1" customHeight="1" outlineLevel="1" x14ac:dyDescent="0.25">
      <c r="E218" s="229"/>
      <c r="F218" s="213" t="str">
        <v>Non AMI - Type 5 Locally read Interval - 3 Phase</v>
      </c>
      <c r="G218" s="213" t="str">
        <v>Single Phase Meter Population</v>
      </c>
      <c r="H218" s="213" t="str">
        <v>Direct Connect Meter Population</v>
      </c>
      <c r="I218" s="213" t="str">
        <v>Meter Type 5</v>
      </c>
      <c r="J218" s="218">
        <v>0</v>
      </c>
      <c r="K218" s="218" t="str">
        <v>INT 3ph</v>
      </c>
      <c r="L218" s="221" t="s">
        <v>85</v>
      </c>
      <c r="M218" s="260">
        <f t="shared" si="50"/>
        <v>43617</v>
      </c>
      <c r="O218" s="261">
        <f t="shared" ref="O218:U218" si="57">O18+O38+O58+O78+O98+O118+O138+O158+O178+O198</f>
        <v>0</v>
      </c>
      <c r="P218" s="435">
        <f t="shared" si="57"/>
        <v>0</v>
      </c>
      <c r="Q218" s="437">
        <f t="shared" si="57"/>
        <v>0</v>
      </c>
      <c r="R218" s="261">
        <f t="shared" si="57"/>
        <v>0</v>
      </c>
      <c r="S218" s="261">
        <f t="shared" si="57"/>
        <v>0</v>
      </c>
      <c r="T218" s="261">
        <f t="shared" si="57"/>
        <v>0</v>
      </c>
      <c r="U218" s="261">
        <f t="shared" si="57"/>
        <v>0</v>
      </c>
      <c r="V218" s="231">
        <f t="shared" si="52"/>
        <v>0</v>
      </c>
    </row>
    <row r="219" spans="4:22" s="201" customFormat="1" ht="15" hidden="1" customHeight="1" outlineLevel="1" x14ac:dyDescent="0.25">
      <c r="E219" s="229"/>
      <c r="F219" s="213" t="str">
        <v>Non AMI - Type 5 Locally read Interval - 3 Phase - CT</v>
      </c>
      <c r="G219" s="213" t="str">
        <v>Multi Phase Meter Population</v>
      </c>
      <c r="H219" s="213" t="str">
        <v>Current Transformer Connected Meter Population</v>
      </c>
      <c r="I219" s="213" t="str">
        <v>Meter Type 5</v>
      </c>
      <c r="J219" s="218">
        <v>0</v>
      </c>
      <c r="K219" s="218" t="str">
        <v>INT 3ph CT</v>
      </c>
      <c r="L219" s="221" t="s">
        <v>85</v>
      </c>
      <c r="M219" s="260">
        <f t="shared" si="50"/>
        <v>43617</v>
      </c>
      <c r="O219" s="261">
        <f t="shared" ref="O219:U219" si="58">O19+O39+O59+O79+O99+O119+O139+O159+O179+O199</f>
        <v>0</v>
      </c>
      <c r="P219" s="435">
        <f t="shared" si="58"/>
        <v>0</v>
      </c>
      <c r="Q219" s="437">
        <f t="shared" si="58"/>
        <v>0</v>
      </c>
      <c r="R219" s="261">
        <f t="shared" si="58"/>
        <v>0</v>
      </c>
      <c r="S219" s="261">
        <f t="shared" si="58"/>
        <v>0</v>
      </c>
      <c r="T219" s="261">
        <f t="shared" si="58"/>
        <v>0</v>
      </c>
      <c r="U219" s="261">
        <f t="shared" si="58"/>
        <v>0</v>
      </c>
      <c r="V219" s="231">
        <f t="shared" si="52"/>
        <v>0</v>
      </c>
    </row>
    <row r="220" spans="4:22" s="201" customFormat="1" ht="15" hidden="1" customHeight="1" outlineLevel="1" x14ac:dyDescent="0.25">
      <c r="E220" s="229"/>
      <c r="F220" s="213" t="str">
        <v>Non AMI - Type 6 Locally read Accumulation - Single Phase</v>
      </c>
      <c r="G220" s="213" t="str">
        <v>Multi Phase Meter Population</v>
      </c>
      <c r="H220" s="213" t="str">
        <v>Direct Connect Meter Population</v>
      </c>
      <c r="I220" s="213" t="str">
        <v>Meter Type 6</v>
      </c>
      <c r="J220" s="218">
        <v>0</v>
      </c>
      <c r="K220" s="218" t="str">
        <v>ACC 1ph</v>
      </c>
      <c r="L220" s="221" t="s">
        <v>85</v>
      </c>
      <c r="M220" s="260">
        <f t="shared" si="50"/>
        <v>43617</v>
      </c>
      <c r="N220" s="228"/>
      <c r="O220" s="261">
        <f t="shared" ref="O220:U220" si="59">O20+O40+O60+O80+O100+O120+O140+O160+O180+O200</f>
        <v>0</v>
      </c>
      <c r="P220" s="435">
        <f t="shared" si="59"/>
        <v>0</v>
      </c>
      <c r="Q220" s="437">
        <f t="shared" si="59"/>
        <v>0</v>
      </c>
      <c r="R220" s="261">
        <f t="shared" si="59"/>
        <v>0</v>
      </c>
      <c r="S220" s="261">
        <f t="shared" si="59"/>
        <v>0</v>
      </c>
      <c r="T220" s="261">
        <f t="shared" si="59"/>
        <v>0</v>
      </c>
      <c r="U220" s="261">
        <f t="shared" si="59"/>
        <v>0</v>
      </c>
      <c r="V220" s="231">
        <f t="shared" si="52"/>
        <v>0</v>
      </c>
    </row>
    <row r="221" spans="4:22" s="201" customFormat="1" ht="15" hidden="1" customHeight="1" outlineLevel="1" x14ac:dyDescent="0.25">
      <c r="E221" s="229"/>
      <c r="F221" s="213" t="str">
        <v>Non AMI - Type 6 Locally read Accumulation - 3 Phase</v>
      </c>
      <c r="G221" s="213">
        <v>0</v>
      </c>
      <c r="H221" s="213" t="str">
        <v>Direct Connect Meter Population</v>
      </c>
      <c r="I221" s="213" t="str">
        <v>Meter Type 6</v>
      </c>
      <c r="J221" s="218">
        <v>0</v>
      </c>
      <c r="K221" s="218" t="str">
        <v>ACC 3ph</v>
      </c>
      <c r="L221" s="221" t="s">
        <v>85</v>
      </c>
      <c r="M221" s="260">
        <f t="shared" si="50"/>
        <v>43617</v>
      </c>
      <c r="N221" s="228"/>
      <c r="O221" s="261">
        <f t="shared" ref="O221:U221" si="60">O21+O41+O61+O81+O101+O121+O141+O161+O181+O201</f>
        <v>0</v>
      </c>
      <c r="P221" s="435">
        <f t="shared" si="60"/>
        <v>0</v>
      </c>
      <c r="Q221" s="437">
        <f t="shared" si="60"/>
        <v>0</v>
      </c>
      <c r="R221" s="261">
        <f t="shared" si="60"/>
        <v>0</v>
      </c>
      <c r="S221" s="261">
        <f t="shared" si="60"/>
        <v>0</v>
      </c>
      <c r="T221" s="261">
        <f t="shared" si="60"/>
        <v>0</v>
      </c>
      <c r="U221" s="261">
        <f t="shared" si="60"/>
        <v>0</v>
      </c>
      <c r="V221" s="231">
        <f t="shared" si="52"/>
        <v>0</v>
      </c>
    </row>
    <row r="222" spans="4:22" s="201" customFormat="1" ht="15" hidden="1" customHeight="1" outlineLevel="1" x14ac:dyDescent="0.25">
      <c r="E222" s="229"/>
      <c r="F222" s="213">
        <v>0</v>
      </c>
      <c r="G222" s="213">
        <v>0</v>
      </c>
      <c r="H222" s="213">
        <v>0</v>
      </c>
      <c r="I222" s="213">
        <v>0</v>
      </c>
      <c r="J222" s="218">
        <v>0</v>
      </c>
      <c r="K222" s="218">
        <v>0</v>
      </c>
      <c r="L222" s="221" t="s">
        <v>85</v>
      </c>
      <c r="M222" s="260">
        <f t="shared" si="50"/>
        <v>43617</v>
      </c>
      <c r="N222" s="228"/>
      <c r="O222" s="261">
        <f t="shared" ref="O222:U222" si="61">O22+O42+O62+O82+O102+O122+O142+O162+O182+O202</f>
        <v>0</v>
      </c>
      <c r="P222" s="435">
        <f t="shared" si="61"/>
        <v>0</v>
      </c>
      <c r="Q222" s="437">
        <f t="shared" si="61"/>
        <v>0</v>
      </c>
      <c r="R222" s="261">
        <f t="shared" si="61"/>
        <v>0</v>
      </c>
      <c r="S222" s="261">
        <f t="shared" si="61"/>
        <v>0</v>
      </c>
      <c r="T222" s="261">
        <f t="shared" si="61"/>
        <v>0</v>
      </c>
      <c r="U222" s="261">
        <f t="shared" si="61"/>
        <v>0</v>
      </c>
      <c r="V222" s="231">
        <f t="shared" si="52"/>
        <v>0</v>
      </c>
    </row>
    <row r="223" spans="4:22" s="201" customFormat="1" ht="15" hidden="1" customHeight="1" outlineLevel="1" x14ac:dyDescent="0.25">
      <c r="E223" s="229"/>
      <c r="F223" s="213">
        <v>0</v>
      </c>
      <c r="G223" s="213">
        <v>0</v>
      </c>
      <c r="H223" s="213">
        <v>0</v>
      </c>
      <c r="I223" s="213">
        <v>0</v>
      </c>
      <c r="J223" s="218">
        <v>0</v>
      </c>
      <c r="K223" s="218">
        <v>0</v>
      </c>
      <c r="L223" s="221" t="s">
        <v>85</v>
      </c>
      <c r="M223" s="260">
        <f t="shared" si="50"/>
        <v>43617</v>
      </c>
      <c r="N223" s="228"/>
      <c r="O223" s="261">
        <f t="shared" ref="O223:U223" si="62">O23+O43+O63+O83+O103+O123+O143+O163+O183+O203</f>
        <v>0</v>
      </c>
      <c r="P223" s="435">
        <f t="shared" si="62"/>
        <v>0</v>
      </c>
      <c r="Q223" s="437">
        <f t="shared" si="62"/>
        <v>0</v>
      </c>
      <c r="R223" s="261">
        <f t="shared" si="62"/>
        <v>0</v>
      </c>
      <c r="S223" s="261">
        <f t="shared" si="62"/>
        <v>0</v>
      </c>
      <c r="T223" s="261">
        <f t="shared" si="62"/>
        <v>0</v>
      </c>
      <c r="U223" s="261">
        <f t="shared" si="62"/>
        <v>0</v>
      </c>
      <c r="V223" s="231">
        <f t="shared" si="52"/>
        <v>0</v>
      </c>
    </row>
    <row r="224" spans="4:22" s="201" customFormat="1" ht="15" hidden="1" customHeight="1" outlineLevel="1" x14ac:dyDescent="0.25">
      <c r="E224" s="229"/>
      <c r="F224" s="213">
        <v>0</v>
      </c>
      <c r="G224" s="213">
        <v>0</v>
      </c>
      <c r="H224" s="213">
        <v>0</v>
      </c>
      <c r="I224" s="213">
        <v>0</v>
      </c>
      <c r="J224" s="218">
        <v>0</v>
      </c>
      <c r="K224" s="218">
        <v>0</v>
      </c>
      <c r="L224" s="221" t="s">
        <v>85</v>
      </c>
      <c r="M224" s="260">
        <f t="shared" si="50"/>
        <v>43617</v>
      </c>
      <c r="N224" s="228"/>
      <c r="O224" s="261">
        <f t="shared" ref="O224:U224" si="63">O24+O44+O64+O84+O104+O124+O144+O164+O184+O204</f>
        <v>0</v>
      </c>
      <c r="P224" s="435">
        <f t="shared" si="63"/>
        <v>0</v>
      </c>
      <c r="Q224" s="437">
        <f t="shared" si="63"/>
        <v>0</v>
      </c>
      <c r="R224" s="261">
        <f t="shared" si="63"/>
        <v>0</v>
      </c>
      <c r="S224" s="261">
        <f t="shared" si="63"/>
        <v>0</v>
      </c>
      <c r="T224" s="261">
        <f t="shared" si="63"/>
        <v>0</v>
      </c>
      <c r="U224" s="261">
        <f t="shared" si="63"/>
        <v>0</v>
      </c>
      <c r="V224" s="231">
        <f t="shared" si="52"/>
        <v>0</v>
      </c>
    </row>
    <row r="225" spans="2:22" s="201" customFormat="1" ht="15" hidden="1" customHeight="1" outlineLevel="1" x14ac:dyDescent="0.25">
      <c r="E225" s="229"/>
      <c r="F225" s="213">
        <v>0</v>
      </c>
      <c r="G225" s="213">
        <v>0</v>
      </c>
      <c r="H225" s="213">
        <v>0</v>
      </c>
      <c r="I225" s="213">
        <v>0</v>
      </c>
      <c r="J225" s="218">
        <v>0</v>
      </c>
      <c r="K225" s="218">
        <v>0</v>
      </c>
      <c r="L225" s="221" t="s">
        <v>85</v>
      </c>
      <c r="M225" s="260">
        <f t="shared" si="50"/>
        <v>43617</v>
      </c>
      <c r="N225" s="228"/>
      <c r="O225" s="261">
        <f t="shared" ref="O225:U225" si="64">O25+O45+O65+O85+O105+O125+O145+O165+O185+O205</f>
        <v>0</v>
      </c>
      <c r="P225" s="435">
        <f t="shared" si="64"/>
        <v>0</v>
      </c>
      <c r="Q225" s="437">
        <f t="shared" si="64"/>
        <v>0</v>
      </c>
      <c r="R225" s="261">
        <f t="shared" si="64"/>
        <v>0</v>
      </c>
      <c r="S225" s="261">
        <f t="shared" si="64"/>
        <v>0</v>
      </c>
      <c r="T225" s="261">
        <f t="shared" si="64"/>
        <v>0</v>
      </c>
      <c r="U225" s="261">
        <f t="shared" si="64"/>
        <v>0</v>
      </c>
      <c r="V225" s="231">
        <f t="shared" si="52"/>
        <v>0</v>
      </c>
    </row>
    <row r="226" spans="2:22" s="201" customFormat="1" ht="15" hidden="1" customHeight="1" outlineLevel="1" x14ac:dyDescent="0.25">
      <c r="E226" s="229"/>
      <c r="F226" s="213">
        <v>0</v>
      </c>
      <c r="G226" s="213">
        <v>0</v>
      </c>
      <c r="H226" s="213">
        <v>0</v>
      </c>
      <c r="I226" s="213">
        <v>0</v>
      </c>
      <c r="J226" s="218">
        <v>0</v>
      </c>
      <c r="K226" s="218">
        <v>0</v>
      </c>
      <c r="L226" s="221" t="s">
        <v>85</v>
      </c>
      <c r="M226" s="260">
        <f t="shared" si="50"/>
        <v>43617</v>
      </c>
      <c r="N226" s="228"/>
      <c r="O226" s="261">
        <f t="shared" ref="O226:U226" si="65">O26+O46+O66+O86+O106+O126+O146+O166+O186+O206</f>
        <v>0</v>
      </c>
      <c r="P226" s="435">
        <f t="shared" si="65"/>
        <v>0</v>
      </c>
      <c r="Q226" s="437">
        <f t="shared" si="65"/>
        <v>0</v>
      </c>
      <c r="R226" s="261">
        <f t="shared" si="65"/>
        <v>0</v>
      </c>
      <c r="S226" s="261">
        <f t="shared" si="65"/>
        <v>0</v>
      </c>
      <c r="T226" s="261">
        <f t="shared" si="65"/>
        <v>0</v>
      </c>
      <c r="U226" s="261">
        <f t="shared" si="65"/>
        <v>0</v>
      </c>
      <c r="V226" s="231">
        <f t="shared" si="52"/>
        <v>0</v>
      </c>
    </row>
    <row r="227" spans="2:22" s="201" customFormat="1" ht="15" hidden="1" customHeight="1" outlineLevel="1" x14ac:dyDescent="0.25">
      <c r="E227" s="229"/>
      <c r="F227" s="213">
        <v>0</v>
      </c>
      <c r="G227" s="213">
        <v>0</v>
      </c>
      <c r="H227" s="213">
        <v>0</v>
      </c>
      <c r="I227" s="213">
        <v>0</v>
      </c>
      <c r="J227" s="218">
        <v>0</v>
      </c>
      <c r="K227" s="218">
        <v>0</v>
      </c>
      <c r="L227" s="221" t="s">
        <v>85</v>
      </c>
      <c r="M227" s="260">
        <f t="shared" si="50"/>
        <v>43617</v>
      </c>
      <c r="N227" s="228"/>
      <c r="O227" s="261">
        <f t="shared" ref="O227:U227" si="66">O27+O47+O67+O87+O107+O127+O147+O167+O187+O207</f>
        <v>0</v>
      </c>
      <c r="P227" s="435">
        <f t="shared" si="66"/>
        <v>0</v>
      </c>
      <c r="Q227" s="437">
        <f t="shared" si="66"/>
        <v>0</v>
      </c>
      <c r="R227" s="261">
        <f t="shared" si="66"/>
        <v>0</v>
      </c>
      <c r="S227" s="261">
        <f t="shared" si="66"/>
        <v>0</v>
      </c>
      <c r="T227" s="261">
        <f t="shared" si="66"/>
        <v>0</v>
      </c>
      <c r="U227" s="261">
        <f t="shared" si="66"/>
        <v>0</v>
      </c>
      <c r="V227" s="231">
        <f t="shared" si="52"/>
        <v>0</v>
      </c>
    </row>
    <row r="228" spans="2:22" s="201" customFormat="1" ht="15" hidden="1" customHeight="1" outlineLevel="1" x14ac:dyDescent="0.25">
      <c r="E228" s="229"/>
      <c r="F228" s="151" t="s">
        <v>17</v>
      </c>
      <c r="G228" s="151"/>
      <c r="H228" s="151"/>
      <c r="I228" s="151"/>
      <c r="J228" s="151"/>
      <c r="K228" s="151"/>
      <c r="L228" s="247" t="s">
        <v>85</v>
      </c>
      <c r="M228" s="253">
        <f t="shared" si="50"/>
        <v>43617</v>
      </c>
      <c r="N228" s="228"/>
      <c r="O228" s="232">
        <f t="shared" ref="O228:U228" si="67">SUM(O213:O227)</f>
        <v>0</v>
      </c>
      <c r="P228" s="289">
        <f t="shared" si="67"/>
        <v>2462064.5489449138</v>
      </c>
      <c r="Q228" s="290">
        <f t="shared" si="67"/>
        <v>2486772.0127358148</v>
      </c>
      <c r="R228" s="232">
        <f t="shared" si="67"/>
        <v>2503251.5088603511</v>
      </c>
      <c r="S228" s="232">
        <f t="shared" si="67"/>
        <v>2518499.4889109577</v>
      </c>
      <c r="T228" s="232">
        <f t="shared" si="67"/>
        <v>2536954.367937326</v>
      </c>
      <c r="U228" s="232">
        <f t="shared" si="67"/>
        <v>2561079.4549180213</v>
      </c>
      <c r="V228" s="233">
        <f>SUM(Q228:U228)</f>
        <v>12606556.833362471</v>
      </c>
    </row>
    <row r="229" spans="2:22" s="201" customFormat="1" ht="15" hidden="1" customHeight="1" outlineLevel="1" x14ac:dyDescent="0.25">
      <c r="N229" s="228"/>
    </row>
    <row r="230" spans="2:22" s="201" customFormat="1" ht="15" hidden="1" customHeight="1" outlineLevel="1" x14ac:dyDescent="0.25">
      <c r="N230" s="228"/>
    </row>
    <row r="231" spans="2:22" s="201" customFormat="1" ht="15" hidden="1" customHeight="1" outlineLevel="1" x14ac:dyDescent="0.25">
      <c r="N231" s="228"/>
    </row>
    <row r="232" spans="2:22" s="201" customFormat="1" ht="15" hidden="1" customHeight="1" outlineLevel="1" x14ac:dyDescent="0.25">
      <c r="N232" s="228"/>
    </row>
    <row r="233" spans="2:22" s="201" customFormat="1" ht="15" hidden="1" customHeight="1" outlineLevel="1" x14ac:dyDescent="0.25">
      <c r="N233" s="228"/>
    </row>
    <row r="234" spans="2:22" s="201" customFormat="1" ht="15" hidden="1" customHeight="1" outlineLevel="1" x14ac:dyDescent="0.25">
      <c r="N234" s="228"/>
    </row>
    <row r="235" spans="2:22" s="201" customFormat="1" ht="15" hidden="1" customHeight="1" outlineLevel="1" x14ac:dyDescent="0.25">
      <c r="N235" s="228"/>
    </row>
    <row r="236" spans="2:22" s="201" customFormat="1" ht="15" hidden="1" customHeight="1" outlineLevel="1" x14ac:dyDescent="0.25">
      <c r="N236" s="228"/>
    </row>
    <row r="237" spans="2:22" s="201" customFormat="1" ht="15" hidden="1" customHeight="1" outlineLevel="1" x14ac:dyDescent="0.25">
      <c r="N237" s="228"/>
    </row>
    <row r="238" spans="2:22" s="201" customFormat="1" ht="15" hidden="1" customHeight="1" outlineLevel="1" x14ac:dyDescent="0.25">
      <c r="N238" s="228"/>
    </row>
    <row r="239" spans="2:22" s="201" customFormat="1" ht="15" hidden="1" customHeight="1" outlineLevel="1" x14ac:dyDescent="0.25">
      <c r="N239" s="228"/>
    </row>
    <row r="240" spans="2:22" s="201" customFormat="1" ht="13" collapsed="1" x14ac:dyDescent="0.3">
      <c r="B240" s="202" t="s">
        <v>8</v>
      </c>
      <c r="C240" s="202" t="s">
        <v>149</v>
      </c>
      <c r="N240" s="228"/>
    </row>
    <row r="241" spans="4:22" s="201" customFormat="1" hidden="1" outlineLevel="1" x14ac:dyDescent="0.25">
      <c r="D241" s="201">
        <v>1</v>
      </c>
      <c r="E241" s="229" t="str">
        <f>'Input | Meters Vols &amp; Costs'!$G$29</f>
        <v>New Meter Installations - Growth</v>
      </c>
      <c r="N241" s="228"/>
    </row>
    <row r="242" spans="4:22" s="201" customFormat="1" hidden="1" outlineLevel="1" x14ac:dyDescent="0.25">
      <c r="E242" s="229"/>
      <c r="N242" s="228"/>
      <c r="O242"/>
      <c r="P242"/>
      <c r="Q242"/>
      <c r="R242"/>
      <c r="S242"/>
      <c r="T242"/>
      <c r="U242"/>
    </row>
    <row r="243" spans="4:22" s="201" customFormat="1" ht="13" hidden="1" outlineLevel="1" x14ac:dyDescent="0.25">
      <c r="E243" s="229"/>
      <c r="F243" s="121" t="str">
        <f>I_MeterTypes[[#Headers],[Meter Type]]</f>
        <v>Meter Type</v>
      </c>
      <c r="G243" s="121" t="str">
        <f>I_MeterTypes[[#Headers],[RIN Subcategory 1]]</f>
        <v>RIN Subcategory 1</v>
      </c>
      <c r="H243" s="121" t="str">
        <f>I_MeterTypes[[#Headers],[RIN Subcategory 2]]</f>
        <v>RIN Subcategory 2</v>
      </c>
      <c r="I243" s="121" t="str">
        <f>I_MeterTypes[[#Headers],[AER Type]]</f>
        <v>AER Type</v>
      </c>
      <c r="J243" s="121" t="str">
        <f>I_MeterTypes[[#Headers],[RIN Subcategory 3]]</f>
        <v>RIN Subcategory 3</v>
      </c>
      <c r="K243" s="121" t="str">
        <f>I_MeterTypes[[#Headers],[Meter Code]]</f>
        <v>Meter Code</v>
      </c>
      <c r="L243" s="121" t="s">
        <v>6</v>
      </c>
      <c r="M243" s="121" t="s">
        <v>118</v>
      </c>
      <c r="N243"/>
      <c r="O243" s="234" t="str">
        <f>O$12</f>
        <v>2018-19</v>
      </c>
      <c r="P243" s="234" t="str">
        <f t="shared" ref="P243:U243" si="68">P$12</f>
        <v>2019-20</v>
      </c>
      <c r="Q243" s="436" t="str">
        <f t="shared" si="68"/>
        <v>2020-21</v>
      </c>
      <c r="R243" s="234" t="str">
        <f t="shared" si="68"/>
        <v>2021-22</v>
      </c>
      <c r="S243" s="234" t="str">
        <f t="shared" si="68"/>
        <v>2022-23</v>
      </c>
      <c r="T243" s="234" t="str">
        <f t="shared" si="68"/>
        <v>2023-24</v>
      </c>
      <c r="U243" s="234" t="str">
        <f t="shared" si="68"/>
        <v>2024-25</v>
      </c>
      <c r="V243" s="234" t="s">
        <v>17</v>
      </c>
    </row>
    <row r="244" spans="4:22" s="201" customFormat="1" ht="13" hidden="1" outlineLevel="1" x14ac:dyDescent="0.25">
      <c r="E244" s="229"/>
      <c r="F244" s="213" t="str" cm="1">
        <f t="array" ref="F244:F258">I_MeterTypes[Meter Type]</f>
        <v>AMI - Single Phase, single element</v>
      </c>
      <c r="G244" s="213" t="str" cm="1">
        <f t="array" ref="G244:G258">I_MeterTypes[RIN Subcategory 1]</f>
        <v>Single Phase Meter Population</v>
      </c>
      <c r="H244" s="213" t="str" cm="1">
        <f t="array" ref="H244:H258">I_MeterTypes[RIN Subcategory 2]</f>
        <v>Other</v>
      </c>
      <c r="I244" s="213" t="str" cm="1">
        <f t="array" ref="I244:I258">I_MeterTypes[AER Type]</f>
        <v>Meter Type 4</v>
      </c>
      <c r="J244" s="213" t="str" cm="1">
        <f t="array" ref="J244:J258">I_MeterTypes[RIN Subcategory 3]</f>
        <v>Single phase single element - AMI</v>
      </c>
      <c r="K244" s="213" t="str" cm="1">
        <f t="array" ref="K244:K258">I_MeterTypes[Meter Code]</f>
        <v>AMI 1ph 1e</v>
      </c>
      <c r="L244" s="221" t="s">
        <v>85</v>
      </c>
      <c r="M244" s="260">
        <f t="shared" ref="M244:M259" si="69">Basis_Capex</f>
        <v>43617</v>
      </c>
      <c r="N244" s="228"/>
      <c r="O244" s="261" cm="1">
        <f t="array" ref="O244:U258">'Input | Meters Vols &amp; Costs'!$O169:$U183*ICM_UnitCost*INDEX(ICM_UnitCostSign,$D241)</f>
        <v>0</v>
      </c>
      <c r="P244" s="261">
        <v>900000</v>
      </c>
      <c r="Q244" s="261">
        <v>900000</v>
      </c>
      <c r="R244" s="261">
        <v>900000</v>
      </c>
      <c r="S244" s="261">
        <v>900000</v>
      </c>
      <c r="T244" s="261">
        <v>900000</v>
      </c>
      <c r="U244" s="261">
        <v>900000</v>
      </c>
      <c r="V244" s="231">
        <f t="shared" ref="V244:V258" si="70">SUM(N244:U244)</f>
        <v>5400000</v>
      </c>
    </row>
    <row r="245" spans="4:22" s="201" customFormat="1" ht="13" hidden="1" outlineLevel="1" x14ac:dyDescent="0.25">
      <c r="E245" s="229"/>
      <c r="F245" s="213" t="str">
        <v>AMI - Single Phase, two element</v>
      </c>
      <c r="G245" s="213" t="str">
        <v>Single Phase Meter Population</v>
      </c>
      <c r="H245" s="213" t="str">
        <v>Other</v>
      </c>
      <c r="I245" s="213" t="str">
        <v>Meter Type 4</v>
      </c>
      <c r="J245" s="218" t="str">
        <v>Single phase two element with contactor - AMI</v>
      </c>
      <c r="K245" s="218" t="str">
        <v>AMI 1ph 2e</v>
      </c>
      <c r="L245" s="221" t="s">
        <v>85</v>
      </c>
      <c r="M245" s="260">
        <f t="shared" si="69"/>
        <v>43617</v>
      </c>
      <c r="N245" s="228"/>
      <c r="O245" s="261">
        <v>0</v>
      </c>
      <c r="P245" s="435">
        <v>0</v>
      </c>
      <c r="Q245" s="437">
        <v>0</v>
      </c>
      <c r="R245" s="261">
        <v>0</v>
      </c>
      <c r="S245" s="261">
        <v>0</v>
      </c>
      <c r="T245" s="261">
        <v>0</v>
      </c>
      <c r="U245" s="261">
        <v>0</v>
      </c>
      <c r="V245" s="231">
        <f t="shared" si="70"/>
        <v>0</v>
      </c>
    </row>
    <row r="246" spans="4:22" s="201" customFormat="1" ht="13" hidden="1" outlineLevel="1" x14ac:dyDescent="0.25">
      <c r="E246" s="229"/>
      <c r="F246" s="213" t="str">
        <v>AMI - 3 Phase DC</v>
      </c>
      <c r="G246" s="213" t="str">
        <v>Multi Phase Meter Population</v>
      </c>
      <c r="H246" s="213" t="str">
        <v>Direct Connect Meter Population</v>
      </c>
      <c r="I246" s="213" t="str">
        <v>Meter Type 4</v>
      </c>
      <c r="J246" s="218" t="str">
        <v>Three phase - AMI</v>
      </c>
      <c r="K246" s="218" t="str">
        <v>AMI 3ph DC</v>
      </c>
      <c r="L246" s="221" t="s">
        <v>85</v>
      </c>
      <c r="M246" s="260">
        <f t="shared" si="69"/>
        <v>43617</v>
      </c>
      <c r="N246" s="228"/>
      <c r="O246" s="261">
        <v>0</v>
      </c>
      <c r="P246" s="435">
        <v>0</v>
      </c>
      <c r="Q246" s="437">
        <v>0</v>
      </c>
      <c r="R246" s="261">
        <v>0</v>
      </c>
      <c r="S246" s="261">
        <v>0</v>
      </c>
      <c r="T246" s="261">
        <v>0</v>
      </c>
      <c r="U246" s="261">
        <v>0</v>
      </c>
      <c r="V246" s="231">
        <f t="shared" si="70"/>
        <v>0</v>
      </c>
    </row>
    <row r="247" spans="4:22" s="201" customFormat="1" ht="13" hidden="1" outlineLevel="1" x14ac:dyDescent="0.25">
      <c r="E247" s="229"/>
      <c r="F247" s="213" t="str">
        <v>AMI 3Ph CT</v>
      </c>
      <c r="G247" s="213" t="str">
        <v>Multi Phase Meter Population</v>
      </c>
      <c r="H247" s="213" t="str">
        <v>Current Transformer Connected Meter Population</v>
      </c>
      <c r="I247" s="213" t="str">
        <v>Meter Type 4</v>
      </c>
      <c r="J247" s="218">
        <v>0</v>
      </c>
      <c r="K247" s="218" t="str">
        <v>AMI 3ph CT</v>
      </c>
      <c r="L247" s="221" t="s">
        <v>85</v>
      </c>
      <c r="M247" s="260">
        <f t="shared" si="69"/>
        <v>43617</v>
      </c>
      <c r="N247" s="228"/>
      <c r="O247" s="261">
        <v>0</v>
      </c>
      <c r="P247" s="435">
        <v>0</v>
      </c>
      <c r="Q247" s="437">
        <v>0</v>
      </c>
      <c r="R247" s="261">
        <v>0</v>
      </c>
      <c r="S247" s="261">
        <v>0</v>
      </c>
      <c r="T247" s="261">
        <v>0</v>
      </c>
      <c r="U247" s="261">
        <v>0</v>
      </c>
      <c r="V247" s="231">
        <f t="shared" si="70"/>
        <v>0</v>
      </c>
    </row>
    <row r="248" spans="4:22" s="201" customFormat="1" ht="13" hidden="1" outlineLevel="1" x14ac:dyDescent="0.25">
      <c r="E248" s="229"/>
      <c r="F248" s="213" t="str">
        <v>Non AMI - Type 5 Locally read Interval - Single Phase</v>
      </c>
      <c r="G248" s="213" t="str">
        <v>Single Phase Meter Population</v>
      </c>
      <c r="H248" s="213" t="str">
        <v>Direct Connect Meter Population</v>
      </c>
      <c r="I248" s="213" t="str">
        <v>Meter Type 5</v>
      </c>
      <c r="J248" s="218">
        <v>0</v>
      </c>
      <c r="K248" s="218" t="str">
        <v>INT 1ph</v>
      </c>
      <c r="L248" s="221" t="s">
        <v>85</v>
      </c>
      <c r="M248" s="260">
        <f t="shared" si="69"/>
        <v>43617</v>
      </c>
      <c r="N248" s="228"/>
      <c r="O248" s="261">
        <v>0</v>
      </c>
      <c r="P248" s="435">
        <v>0</v>
      </c>
      <c r="Q248" s="437">
        <v>0</v>
      </c>
      <c r="R248" s="261">
        <v>0</v>
      </c>
      <c r="S248" s="261">
        <v>0</v>
      </c>
      <c r="T248" s="261">
        <v>0</v>
      </c>
      <c r="U248" s="261">
        <v>0</v>
      </c>
      <c r="V248" s="231">
        <f t="shared" si="70"/>
        <v>0</v>
      </c>
    </row>
    <row r="249" spans="4:22" s="201" customFormat="1" ht="13" hidden="1" outlineLevel="1" x14ac:dyDescent="0.25">
      <c r="E249" s="229"/>
      <c r="F249" s="213" t="str">
        <v>Non AMI - Type 5 Locally read Interval - 3 Phase</v>
      </c>
      <c r="G249" s="213" t="str">
        <v>Single Phase Meter Population</v>
      </c>
      <c r="H249" s="213" t="str">
        <v>Direct Connect Meter Population</v>
      </c>
      <c r="I249" s="213" t="str">
        <v>Meter Type 5</v>
      </c>
      <c r="J249" s="218">
        <v>0</v>
      </c>
      <c r="K249" s="218" t="str">
        <v>INT 3ph</v>
      </c>
      <c r="L249" s="221" t="s">
        <v>85</v>
      </c>
      <c r="M249" s="260">
        <f t="shared" si="69"/>
        <v>43617</v>
      </c>
      <c r="N249" s="228"/>
      <c r="O249" s="261">
        <v>0</v>
      </c>
      <c r="P249" s="435">
        <v>0</v>
      </c>
      <c r="Q249" s="437">
        <v>0</v>
      </c>
      <c r="R249" s="261">
        <v>0</v>
      </c>
      <c r="S249" s="261">
        <v>0</v>
      </c>
      <c r="T249" s="261">
        <v>0</v>
      </c>
      <c r="U249" s="261">
        <v>0</v>
      </c>
      <c r="V249" s="231">
        <f t="shared" si="70"/>
        <v>0</v>
      </c>
    </row>
    <row r="250" spans="4:22" s="201" customFormat="1" ht="13" hidden="1" outlineLevel="1" x14ac:dyDescent="0.25">
      <c r="E250" s="229"/>
      <c r="F250" s="213" t="str">
        <v>Non AMI - Type 5 Locally read Interval - 3 Phase - CT</v>
      </c>
      <c r="G250" s="213" t="str">
        <v>Multi Phase Meter Population</v>
      </c>
      <c r="H250" s="213" t="str">
        <v>Current Transformer Connected Meter Population</v>
      </c>
      <c r="I250" s="213" t="str">
        <v>Meter Type 5</v>
      </c>
      <c r="J250" s="218">
        <v>0</v>
      </c>
      <c r="K250" s="218" t="str">
        <v>INT 3ph CT</v>
      </c>
      <c r="L250" s="221" t="s">
        <v>85</v>
      </c>
      <c r="M250" s="260">
        <f t="shared" si="69"/>
        <v>43617</v>
      </c>
      <c r="N250" s="228"/>
      <c r="O250" s="261">
        <v>0</v>
      </c>
      <c r="P250" s="435">
        <v>0</v>
      </c>
      <c r="Q250" s="437">
        <v>0</v>
      </c>
      <c r="R250" s="261">
        <v>0</v>
      </c>
      <c r="S250" s="261">
        <v>0</v>
      </c>
      <c r="T250" s="261">
        <v>0</v>
      </c>
      <c r="U250" s="261">
        <v>0</v>
      </c>
      <c r="V250" s="231">
        <f t="shared" si="70"/>
        <v>0</v>
      </c>
    </row>
    <row r="251" spans="4:22" s="201" customFormat="1" ht="13" hidden="1" outlineLevel="1" x14ac:dyDescent="0.25">
      <c r="E251" s="229"/>
      <c r="F251" s="213" t="str">
        <v>Non AMI - Type 6 Locally read Accumulation - Single Phase</v>
      </c>
      <c r="G251" s="213" t="str">
        <v>Multi Phase Meter Population</v>
      </c>
      <c r="H251" s="213" t="str">
        <v>Direct Connect Meter Population</v>
      </c>
      <c r="I251" s="213" t="str">
        <v>Meter Type 6</v>
      </c>
      <c r="J251" s="218">
        <v>0</v>
      </c>
      <c r="K251" s="218" t="str">
        <v>ACC 1ph</v>
      </c>
      <c r="L251" s="221" t="s">
        <v>85</v>
      </c>
      <c r="M251" s="260">
        <f t="shared" si="69"/>
        <v>43617</v>
      </c>
      <c r="N251" s="228"/>
      <c r="O251" s="261">
        <v>0</v>
      </c>
      <c r="P251" s="435">
        <v>0</v>
      </c>
      <c r="Q251" s="437">
        <v>0</v>
      </c>
      <c r="R251" s="261">
        <v>0</v>
      </c>
      <c r="S251" s="261">
        <v>0</v>
      </c>
      <c r="T251" s="261">
        <v>0</v>
      </c>
      <c r="U251" s="261">
        <v>0</v>
      </c>
      <c r="V251" s="231">
        <f t="shared" si="70"/>
        <v>0</v>
      </c>
    </row>
    <row r="252" spans="4:22" s="201" customFormat="1" ht="13" hidden="1" outlineLevel="1" x14ac:dyDescent="0.25">
      <c r="E252" s="229"/>
      <c r="F252" s="213" t="str">
        <v>Non AMI - Type 6 Locally read Accumulation - 3 Phase</v>
      </c>
      <c r="G252" s="213">
        <v>0</v>
      </c>
      <c r="H252" s="213" t="str">
        <v>Direct Connect Meter Population</v>
      </c>
      <c r="I252" s="213" t="str">
        <v>Meter Type 6</v>
      </c>
      <c r="J252" s="218">
        <v>0</v>
      </c>
      <c r="K252" s="218" t="str">
        <v>ACC 3ph</v>
      </c>
      <c r="L252" s="221" t="s">
        <v>85</v>
      </c>
      <c r="M252" s="260">
        <f t="shared" si="69"/>
        <v>43617</v>
      </c>
      <c r="N252" s="228"/>
      <c r="O252" s="261">
        <v>0</v>
      </c>
      <c r="P252" s="435">
        <v>0</v>
      </c>
      <c r="Q252" s="437">
        <v>0</v>
      </c>
      <c r="R252" s="261">
        <v>0</v>
      </c>
      <c r="S252" s="261">
        <v>0</v>
      </c>
      <c r="T252" s="261">
        <v>0</v>
      </c>
      <c r="U252" s="261">
        <v>0</v>
      </c>
      <c r="V252" s="231">
        <f t="shared" si="70"/>
        <v>0</v>
      </c>
    </row>
    <row r="253" spans="4:22" s="201" customFormat="1" ht="13" hidden="1" outlineLevel="1" x14ac:dyDescent="0.25">
      <c r="E253" s="229"/>
      <c r="F253" s="213">
        <v>0</v>
      </c>
      <c r="G253" s="213">
        <v>0</v>
      </c>
      <c r="H253" s="213">
        <v>0</v>
      </c>
      <c r="I253" s="213">
        <v>0</v>
      </c>
      <c r="J253" s="218">
        <v>0</v>
      </c>
      <c r="K253" s="218">
        <v>0</v>
      </c>
      <c r="L253" s="221" t="s">
        <v>85</v>
      </c>
      <c r="M253" s="260">
        <f t="shared" si="69"/>
        <v>43617</v>
      </c>
      <c r="N253" s="228"/>
      <c r="O253" s="261">
        <v>0</v>
      </c>
      <c r="P253" s="435">
        <v>0</v>
      </c>
      <c r="Q253" s="437">
        <v>0</v>
      </c>
      <c r="R253" s="261">
        <v>0</v>
      </c>
      <c r="S253" s="261">
        <v>0</v>
      </c>
      <c r="T253" s="261">
        <v>0</v>
      </c>
      <c r="U253" s="261">
        <v>0</v>
      </c>
      <c r="V253" s="231">
        <f t="shared" si="70"/>
        <v>0</v>
      </c>
    </row>
    <row r="254" spans="4:22" s="201" customFormat="1" ht="13" hidden="1" outlineLevel="1" x14ac:dyDescent="0.25">
      <c r="E254" s="229"/>
      <c r="F254" s="213">
        <v>0</v>
      </c>
      <c r="G254" s="213">
        <v>0</v>
      </c>
      <c r="H254" s="213">
        <v>0</v>
      </c>
      <c r="I254" s="213">
        <v>0</v>
      </c>
      <c r="J254" s="218">
        <v>0</v>
      </c>
      <c r="K254" s="218">
        <v>0</v>
      </c>
      <c r="L254" s="221" t="s">
        <v>85</v>
      </c>
      <c r="M254" s="260">
        <f t="shared" si="69"/>
        <v>43617</v>
      </c>
      <c r="N254" s="228"/>
      <c r="O254" s="261">
        <v>0</v>
      </c>
      <c r="P254" s="435">
        <v>0</v>
      </c>
      <c r="Q254" s="437">
        <v>0</v>
      </c>
      <c r="R254" s="261">
        <v>0</v>
      </c>
      <c r="S254" s="261">
        <v>0</v>
      </c>
      <c r="T254" s="261">
        <v>0</v>
      </c>
      <c r="U254" s="261">
        <v>0</v>
      </c>
      <c r="V254" s="231">
        <f t="shared" si="70"/>
        <v>0</v>
      </c>
    </row>
    <row r="255" spans="4:22" s="201" customFormat="1" ht="13" hidden="1" outlineLevel="1" x14ac:dyDescent="0.25">
      <c r="E255" s="229"/>
      <c r="F255" s="213">
        <v>0</v>
      </c>
      <c r="G255" s="213">
        <v>0</v>
      </c>
      <c r="H255" s="213">
        <v>0</v>
      </c>
      <c r="I255" s="213">
        <v>0</v>
      </c>
      <c r="J255" s="218">
        <v>0</v>
      </c>
      <c r="K255" s="218">
        <v>0</v>
      </c>
      <c r="L255" s="221" t="s">
        <v>85</v>
      </c>
      <c r="M255" s="260">
        <f t="shared" si="69"/>
        <v>43617</v>
      </c>
      <c r="N255" s="228"/>
      <c r="O255" s="261">
        <v>0</v>
      </c>
      <c r="P255" s="435">
        <v>0</v>
      </c>
      <c r="Q255" s="437">
        <v>0</v>
      </c>
      <c r="R255" s="261">
        <v>0</v>
      </c>
      <c r="S255" s="261">
        <v>0</v>
      </c>
      <c r="T255" s="261">
        <v>0</v>
      </c>
      <c r="U255" s="261">
        <v>0</v>
      </c>
      <c r="V255" s="231">
        <f t="shared" si="70"/>
        <v>0</v>
      </c>
    </row>
    <row r="256" spans="4:22" s="201" customFormat="1" ht="13" hidden="1" outlineLevel="1" x14ac:dyDescent="0.25">
      <c r="E256" s="229"/>
      <c r="F256" s="213">
        <v>0</v>
      </c>
      <c r="G256" s="213">
        <v>0</v>
      </c>
      <c r="H256" s="213">
        <v>0</v>
      </c>
      <c r="I256" s="213">
        <v>0</v>
      </c>
      <c r="J256" s="218">
        <v>0</v>
      </c>
      <c r="K256" s="218">
        <v>0</v>
      </c>
      <c r="L256" s="221" t="s">
        <v>85</v>
      </c>
      <c r="M256" s="260">
        <f t="shared" si="69"/>
        <v>43617</v>
      </c>
      <c r="N256" s="228"/>
      <c r="O256" s="261">
        <v>0</v>
      </c>
      <c r="P256" s="435">
        <v>0</v>
      </c>
      <c r="Q256" s="437">
        <v>0</v>
      </c>
      <c r="R256" s="261">
        <v>0</v>
      </c>
      <c r="S256" s="261">
        <v>0</v>
      </c>
      <c r="T256" s="261">
        <v>0</v>
      </c>
      <c r="U256" s="261">
        <v>0</v>
      </c>
      <c r="V256" s="231">
        <f t="shared" si="70"/>
        <v>0</v>
      </c>
    </row>
    <row r="257" spans="4:22" s="201" customFormat="1" ht="13" hidden="1" outlineLevel="1" x14ac:dyDescent="0.25">
      <c r="E257" s="229"/>
      <c r="F257" s="213">
        <v>0</v>
      </c>
      <c r="G257" s="213">
        <v>0</v>
      </c>
      <c r="H257" s="213">
        <v>0</v>
      </c>
      <c r="I257" s="213">
        <v>0</v>
      </c>
      <c r="J257" s="218">
        <v>0</v>
      </c>
      <c r="K257" s="218">
        <v>0</v>
      </c>
      <c r="L257" s="221" t="s">
        <v>85</v>
      </c>
      <c r="M257" s="260">
        <f t="shared" si="69"/>
        <v>43617</v>
      </c>
      <c r="N257" s="228"/>
      <c r="O257" s="261">
        <v>0</v>
      </c>
      <c r="P257" s="435">
        <v>0</v>
      </c>
      <c r="Q257" s="437">
        <v>0</v>
      </c>
      <c r="R257" s="261">
        <v>0</v>
      </c>
      <c r="S257" s="261">
        <v>0</v>
      </c>
      <c r="T257" s="261">
        <v>0</v>
      </c>
      <c r="U257" s="261">
        <v>0</v>
      </c>
      <c r="V257" s="231">
        <f t="shared" si="70"/>
        <v>0</v>
      </c>
    </row>
    <row r="258" spans="4:22" s="201" customFormat="1" ht="13" hidden="1" outlineLevel="1" x14ac:dyDescent="0.25">
      <c r="E258" s="229"/>
      <c r="F258" s="213">
        <v>0</v>
      </c>
      <c r="G258" s="213">
        <v>0</v>
      </c>
      <c r="H258" s="213">
        <v>0</v>
      </c>
      <c r="I258" s="213">
        <v>0</v>
      </c>
      <c r="J258" s="218">
        <v>0</v>
      </c>
      <c r="K258" s="218">
        <v>0</v>
      </c>
      <c r="L258" s="221" t="s">
        <v>85</v>
      </c>
      <c r="M258" s="260">
        <f t="shared" si="69"/>
        <v>43617</v>
      </c>
      <c r="N258" s="228"/>
      <c r="O258" s="261">
        <v>0</v>
      </c>
      <c r="P258" s="435">
        <v>0</v>
      </c>
      <c r="Q258" s="437">
        <v>0</v>
      </c>
      <c r="R258" s="261">
        <v>0</v>
      </c>
      <c r="S258" s="261">
        <v>0</v>
      </c>
      <c r="T258" s="261">
        <v>0</v>
      </c>
      <c r="U258" s="261">
        <v>0</v>
      </c>
      <c r="V258" s="231">
        <f t="shared" si="70"/>
        <v>0</v>
      </c>
    </row>
    <row r="259" spans="4:22" s="201" customFormat="1" ht="13" hidden="1" outlineLevel="1" x14ac:dyDescent="0.25">
      <c r="E259" s="229"/>
      <c r="F259" s="151" t="s">
        <v>17</v>
      </c>
      <c r="G259" s="151"/>
      <c r="H259" s="151"/>
      <c r="I259" s="151"/>
      <c r="J259" s="151"/>
      <c r="K259" s="151"/>
      <c r="L259" s="247" t="s">
        <v>85</v>
      </c>
      <c r="M259" s="253">
        <f t="shared" si="69"/>
        <v>43617</v>
      </c>
      <c r="N259" s="228"/>
      <c r="O259" s="232">
        <f t="shared" ref="O259" si="71">SUM(O244:O258)</f>
        <v>0</v>
      </c>
      <c r="P259" s="289">
        <f t="shared" ref="P259:U259" si="72">SUM(P244:P258)</f>
        <v>900000</v>
      </c>
      <c r="Q259" s="290">
        <f t="shared" si="72"/>
        <v>900000</v>
      </c>
      <c r="R259" s="232">
        <f t="shared" si="72"/>
        <v>900000</v>
      </c>
      <c r="S259" s="232">
        <f t="shared" si="72"/>
        <v>900000</v>
      </c>
      <c r="T259" s="232">
        <f t="shared" si="72"/>
        <v>900000</v>
      </c>
      <c r="U259" s="232">
        <f t="shared" si="72"/>
        <v>900000</v>
      </c>
      <c r="V259" s="233">
        <f>SUM(Q259:U259)</f>
        <v>4500000</v>
      </c>
    </row>
    <row r="260" spans="4:22" s="201" customFormat="1" hidden="1" outlineLevel="1" x14ac:dyDescent="0.25">
      <c r="E260" s="229"/>
      <c r="N260" s="228"/>
    </row>
    <row r="261" spans="4:22" s="201" customFormat="1" hidden="1" outlineLevel="1" x14ac:dyDescent="0.25">
      <c r="D261" s="201">
        <v>2</v>
      </c>
      <c r="E261" s="229" t="str">
        <f>'Input | Meters Vols &amp; Costs'!$G$30</f>
        <v>Refurbished meters</v>
      </c>
      <c r="N261" s="228"/>
    </row>
    <row r="262" spans="4:22" s="201" customFormat="1" hidden="1" outlineLevel="1" x14ac:dyDescent="0.25">
      <c r="E262" s="229"/>
      <c r="O262"/>
      <c r="P262"/>
      <c r="Q262"/>
      <c r="R262"/>
      <c r="S262"/>
      <c r="T262"/>
      <c r="U262"/>
    </row>
    <row r="263" spans="4:22" s="201" customFormat="1" ht="13" hidden="1" outlineLevel="1" x14ac:dyDescent="0.25">
      <c r="E263" s="229"/>
      <c r="F263" s="121" t="str">
        <f>I_MeterTypes[[#Headers],[Meter Type]]</f>
        <v>Meter Type</v>
      </c>
      <c r="G263" s="121" t="str">
        <f>I_MeterTypes[[#Headers],[RIN Subcategory 1]]</f>
        <v>RIN Subcategory 1</v>
      </c>
      <c r="H263" s="121" t="str">
        <f>I_MeterTypes[[#Headers],[RIN Subcategory 2]]</f>
        <v>RIN Subcategory 2</v>
      </c>
      <c r="I263" s="121" t="str">
        <f>I_MeterTypes[[#Headers],[AER Type]]</f>
        <v>AER Type</v>
      </c>
      <c r="J263" s="121" t="str">
        <f>I_MeterTypes[[#Headers],[RIN Subcategory 3]]</f>
        <v>RIN Subcategory 3</v>
      </c>
      <c r="K263" s="121" t="str">
        <f>I_MeterTypes[[#Headers],[Meter Code]]</f>
        <v>Meter Code</v>
      </c>
      <c r="L263" s="121" t="s">
        <v>6</v>
      </c>
      <c r="M263" s="121" t="s">
        <v>118</v>
      </c>
      <c r="O263" s="234" t="str">
        <f>O$12</f>
        <v>2018-19</v>
      </c>
      <c r="P263" s="234" t="str">
        <f t="shared" ref="P263:U263" si="73">P$12</f>
        <v>2019-20</v>
      </c>
      <c r="Q263" s="436" t="str">
        <f t="shared" si="73"/>
        <v>2020-21</v>
      </c>
      <c r="R263" s="234" t="str">
        <f t="shared" si="73"/>
        <v>2021-22</v>
      </c>
      <c r="S263" s="234" t="str">
        <f t="shared" si="73"/>
        <v>2022-23</v>
      </c>
      <c r="T263" s="234" t="str">
        <f t="shared" si="73"/>
        <v>2023-24</v>
      </c>
      <c r="U263" s="234" t="str">
        <f t="shared" si="73"/>
        <v>2024-25</v>
      </c>
      <c r="V263" s="234" t="s">
        <v>17</v>
      </c>
    </row>
    <row r="264" spans="4:22" s="201" customFormat="1" ht="13" hidden="1" outlineLevel="1" x14ac:dyDescent="0.25">
      <c r="E264" s="229"/>
      <c r="F264" s="213" t="str" cm="1">
        <f t="array" ref="F264:F278">I_MeterTypes[Meter Type]</f>
        <v>AMI - Single Phase, single element</v>
      </c>
      <c r="G264" s="213" t="str" cm="1">
        <f t="array" ref="G264:G278">I_MeterTypes[RIN Subcategory 1]</f>
        <v>Single Phase Meter Population</v>
      </c>
      <c r="H264" s="213" t="str" cm="1">
        <f t="array" ref="H264:H278">I_MeterTypes[RIN Subcategory 2]</f>
        <v>Other</v>
      </c>
      <c r="I264" s="213" t="str" cm="1">
        <f t="array" ref="I264:I278">I_MeterTypes[AER Type]</f>
        <v>Meter Type 4</v>
      </c>
      <c r="J264" s="213" t="str" cm="1">
        <f t="array" ref="J264:J278">I_MeterTypes[RIN Subcategory 3]</f>
        <v>Single phase single element - AMI</v>
      </c>
      <c r="K264" s="213" t="str" cm="1">
        <f t="array" ref="K264:K278">I_MeterTypes[Meter Code]</f>
        <v>AMI 1ph 1e</v>
      </c>
      <c r="L264" s="221" t="s">
        <v>85</v>
      </c>
      <c r="M264" s="260">
        <f t="shared" ref="M264:M279" si="74">Basis_Capex</f>
        <v>43617</v>
      </c>
      <c r="O264" s="261" cm="1">
        <f t="array" ref="O264:U278">'Input | Meters Vols &amp; Costs'!$O189:$U203*ICM_UnitCost*INDEX(ICM_UnitCostSign,$D261)</f>
        <v>0</v>
      </c>
      <c r="P264" s="261">
        <v>-90000</v>
      </c>
      <c r="Q264" s="261">
        <v>-90000</v>
      </c>
      <c r="R264" s="261">
        <v>-90000</v>
      </c>
      <c r="S264" s="261">
        <v>-90000</v>
      </c>
      <c r="T264" s="261">
        <v>-90000</v>
      </c>
      <c r="U264" s="261">
        <v>-90000</v>
      </c>
      <c r="V264" s="231">
        <f t="shared" ref="V264:V278" si="75">SUM(N264:U264)</f>
        <v>-540000</v>
      </c>
    </row>
    <row r="265" spans="4:22" s="201" customFormat="1" ht="13" hidden="1" outlineLevel="1" x14ac:dyDescent="0.25">
      <c r="E265" s="229"/>
      <c r="F265" s="213" t="str">
        <v>AMI - Single Phase, two element</v>
      </c>
      <c r="G265" s="213" t="str">
        <v>Single Phase Meter Population</v>
      </c>
      <c r="H265" s="213" t="str">
        <v>Other</v>
      </c>
      <c r="I265" s="213" t="str">
        <v>Meter Type 4</v>
      </c>
      <c r="J265" s="218" t="str">
        <v>Single phase two element with contactor - AMI</v>
      </c>
      <c r="K265" s="218" t="str">
        <v>AMI 1ph 2e</v>
      </c>
      <c r="L265" s="221" t="s">
        <v>85</v>
      </c>
      <c r="M265" s="260">
        <f t="shared" si="74"/>
        <v>43617</v>
      </c>
      <c r="O265" s="261">
        <v>0</v>
      </c>
      <c r="P265" s="435">
        <v>0</v>
      </c>
      <c r="Q265" s="437">
        <v>0</v>
      </c>
      <c r="R265" s="261">
        <v>0</v>
      </c>
      <c r="S265" s="261">
        <v>0</v>
      </c>
      <c r="T265" s="261">
        <v>0</v>
      </c>
      <c r="U265" s="261">
        <v>0</v>
      </c>
      <c r="V265" s="231">
        <f t="shared" si="75"/>
        <v>0</v>
      </c>
    </row>
    <row r="266" spans="4:22" s="201" customFormat="1" ht="13" hidden="1" outlineLevel="1" x14ac:dyDescent="0.25">
      <c r="E266" s="229"/>
      <c r="F266" s="213" t="str">
        <v>AMI - 3 Phase DC</v>
      </c>
      <c r="G266" s="213" t="str">
        <v>Multi Phase Meter Population</v>
      </c>
      <c r="H266" s="213" t="str">
        <v>Direct Connect Meter Population</v>
      </c>
      <c r="I266" s="213" t="str">
        <v>Meter Type 4</v>
      </c>
      <c r="J266" s="218" t="str">
        <v>Three phase - AMI</v>
      </c>
      <c r="K266" s="218" t="str">
        <v>AMI 3ph DC</v>
      </c>
      <c r="L266" s="221" t="s">
        <v>85</v>
      </c>
      <c r="M266" s="260">
        <f t="shared" si="74"/>
        <v>43617</v>
      </c>
      <c r="O266" s="261">
        <v>0</v>
      </c>
      <c r="P266" s="435">
        <v>0</v>
      </c>
      <c r="Q266" s="437">
        <v>0</v>
      </c>
      <c r="R266" s="261">
        <v>0</v>
      </c>
      <c r="S266" s="261">
        <v>0</v>
      </c>
      <c r="T266" s="261">
        <v>0</v>
      </c>
      <c r="U266" s="261">
        <v>0</v>
      </c>
      <c r="V266" s="231">
        <f t="shared" si="75"/>
        <v>0</v>
      </c>
    </row>
    <row r="267" spans="4:22" s="201" customFormat="1" ht="13" hidden="1" outlineLevel="1" x14ac:dyDescent="0.25">
      <c r="E267" s="229"/>
      <c r="F267" s="213" t="str">
        <v>AMI 3Ph CT</v>
      </c>
      <c r="G267" s="213" t="str">
        <v>Multi Phase Meter Population</v>
      </c>
      <c r="H267" s="213" t="str">
        <v>Current Transformer Connected Meter Population</v>
      </c>
      <c r="I267" s="213" t="str">
        <v>Meter Type 4</v>
      </c>
      <c r="J267" s="218">
        <v>0</v>
      </c>
      <c r="K267" s="218" t="str">
        <v>AMI 3ph CT</v>
      </c>
      <c r="L267" s="221" t="s">
        <v>85</v>
      </c>
      <c r="M267" s="260">
        <f t="shared" si="74"/>
        <v>43617</v>
      </c>
      <c r="O267" s="261">
        <v>0</v>
      </c>
      <c r="P267" s="435">
        <v>0</v>
      </c>
      <c r="Q267" s="437">
        <v>0</v>
      </c>
      <c r="R267" s="261">
        <v>0</v>
      </c>
      <c r="S267" s="261">
        <v>0</v>
      </c>
      <c r="T267" s="261">
        <v>0</v>
      </c>
      <c r="U267" s="261">
        <v>0</v>
      </c>
      <c r="V267" s="231">
        <f t="shared" si="75"/>
        <v>0</v>
      </c>
    </row>
    <row r="268" spans="4:22" s="201" customFormat="1" ht="13" hidden="1" outlineLevel="1" x14ac:dyDescent="0.25">
      <c r="E268" s="229"/>
      <c r="F268" s="213" t="str">
        <v>Non AMI - Type 5 Locally read Interval - Single Phase</v>
      </c>
      <c r="G268" s="213" t="str">
        <v>Single Phase Meter Population</v>
      </c>
      <c r="H268" s="213" t="str">
        <v>Direct Connect Meter Population</v>
      </c>
      <c r="I268" s="213" t="str">
        <v>Meter Type 5</v>
      </c>
      <c r="J268" s="218">
        <v>0</v>
      </c>
      <c r="K268" s="218" t="str">
        <v>INT 1ph</v>
      </c>
      <c r="L268" s="221" t="s">
        <v>85</v>
      </c>
      <c r="M268" s="260">
        <f t="shared" si="74"/>
        <v>43617</v>
      </c>
      <c r="O268" s="261">
        <v>0</v>
      </c>
      <c r="P268" s="435">
        <v>0</v>
      </c>
      <c r="Q268" s="437">
        <v>0</v>
      </c>
      <c r="R268" s="261">
        <v>0</v>
      </c>
      <c r="S268" s="261">
        <v>0</v>
      </c>
      <c r="T268" s="261">
        <v>0</v>
      </c>
      <c r="U268" s="261">
        <v>0</v>
      </c>
      <c r="V268" s="231">
        <f t="shared" si="75"/>
        <v>0</v>
      </c>
    </row>
    <row r="269" spans="4:22" s="201" customFormat="1" ht="13" hidden="1" outlineLevel="1" x14ac:dyDescent="0.25">
      <c r="E269" s="229"/>
      <c r="F269" s="213" t="str">
        <v>Non AMI - Type 5 Locally read Interval - 3 Phase</v>
      </c>
      <c r="G269" s="213" t="str">
        <v>Single Phase Meter Population</v>
      </c>
      <c r="H269" s="213" t="str">
        <v>Direct Connect Meter Population</v>
      </c>
      <c r="I269" s="213" t="str">
        <v>Meter Type 5</v>
      </c>
      <c r="J269" s="218">
        <v>0</v>
      </c>
      <c r="K269" s="218" t="str">
        <v>INT 3ph</v>
      </c>
      <c r="L269" s="221" t="s">
        <v>85</v>
      </c>
      <c r="M269" s="260">
        <f t="shared" si="74"/>
        <v>43617</v>
      </c>
      <c r="O269" s="261">
        <v>0</v>
      </c>
      <c r="P269" s="435">
        <v>0</v>
      </c>
      <c r="Q269" s="437">
        <v>0</v>
      </c>
      <c r="R269" s="261">
        <v>0</v>
      </c>
      <c r="S269" s="261">
        <v>0</v>
      </c>
      <c r="T269" s="261">
        <v>0</v>
      </c>
      <c r="U269" s="261">
        <v>0</v>
      </c>
      <c r="V269" s="231">
        <f t="shared" si="75"/>
        <v>0</v>
      </c>
    </row>
    <row r="270" spans="4:22" s="201" customFormat="1" ht="13" hidden="1" outlineLevel="1" x14ac:dyDescent="0.25">
      <c r="E270" s="229"/>
      <c r="F270" s="213" t="str">
        <v>Non AMI - Type 5 Locally read Interval - 3 Phase - CT</v>
      </c>
      <c r="G270" s="213" t="str">
        <v>Multi Phase Meter Population</v>
      </c>
      <c r="H270" s="213" t="str">
        <v>Current Transformer Connected Meter Population</v>
      </c>
      <c r="I270" s="213" t="str">
        <v>Meter Type 5</v>
      </c>
      <c r="J270" s="218">
        <v>0</v>
      </c>
      <c r="K270" s="218" t="str">
        <v>INT 3ph CT</v>
      </c>
      <c r="L270" s="221" t="s">
        <v>85</v>
      </c>
      <c r="M270" s="260">
        <f t="shared" si="74"/>
        <v>43617</v>
      </c>
      <c r="O270" s="261">
        <v>0</v>
      </c>
      <c r="P270" s="435">
        <v>0</v>
      </c>
      <c r="Q270" s="437">
        <v>0</v>
      </c>
      <c r="R270" s="261">
        <v>0</v>
      </c>
      <c r="S270" s="261">
        <v>0</v>
      </c>
      <c r="T270" s="261">
        <v>0</v>
      </c>
      <c r="U270" s="261">
        <v>0</v>
      </c>
      <c r="V270" s="231">
        <f t="shared" si="75"/>
        <v>0</v>
      </c>
    </row>
    <row r="271" spans="4:22" s="201" customFormat="1" ht="13" hidden="1" outlineLevel="1" x14ac:dyDescent="0.25">
      <c r="E271" s="229"/>
      <c r="F271" s="213" t="str">
        <v>Non AMI - Type 6 Locally read Accumulation - Single Phase</v>
      </c>
      <c r="G271" s="213" t="str">
        <v>Multi Phase Meter Population</v>
      </c>
      <c r="H271" s="213" t="str">
        <v>Direct Connect Meter Population</v>
      </c>
      <c r="I271" s="213" t="str">
        <v>Meter Type 6</v>
      </c>
      <c r="J271" s="218">
        <v>0</v>
      </c>
      <c r="K271" s="218" t="str">
        <v>ACC 1ph</v>
      </c>
      <c r="L271" s="221" t="s">
        <v>85</v>
      </c>
      <c r="M271" s="260">
        <f t="shared" si="74"/>
        <v>43617</v>
      </c>
      <c r="O271" s="261">
        <v>0</v>
      </c>
      <c r="P271" s="435">
        <v>0</v>
      </c>
      <c r="Q271" s="437">
        <v>0</v>
      </c>
      <c r="R271" s="261">
        <v>0</v>
      </c>
      <c r="S271" s="261">
        <v>0</v>
      </c>
      <c r="T271" s="261">
        <v>0</v>
      </c>
      <c r="U271" s="261">
        <v>0</v>
      </c>
      <c r="V271" s="231">
        <f t="shared" si="75"/>
        <v>0</v>
      </c>
    </row>
    <row r="272" spans="4:22" s="201" customFormat="1" ht="13" hidden="1" outlineLevel="1" x14ac:dyDescent="0.25">
      <c r="E272" s="229"/>
      <c r="F272" s="213" t="str">
        <v>Non AMI - Type 6 Locally read Accumulation - 3 Phase</v>
      </c>
      <c r="G272" s="213">
        <v>0</v>
      </c>
      <c r="H272" s="213" t="str">
        <v>Direct Connect Meter Population</v>
      </c>
      <c r="I272" s="213" t="str">
        <v>Meter Type 6</v>
      </c>
      <c r="J272" s="218">
        <v>0</v>
      </c>
      <c r="K272" s="218" t="str">
        <v>ACC 3ph</v>
      </c>
      <c r="L272" s="221" t="s">
        <v>85</v>
      </c>
      <c r="M272" s="260">
        <f t="shared" si="74"/>
        <v>43617</v>
      </c>
      <c r="O272" s="261">
        <v>0</v>
      </c>
      <c r="P272" s="435">
        <v>0</v>
      </c>
      <c r="Q272" s="437">
        <v>0</v>
      </c>
      <c r="R272" s="261">
        <v>0</v>
      </c>
      <c r="S272" s="261">
        <v>0</v>
      </c>
      <c r="T272" s="261">
        <v>0</v>
      </c>
      <c r="U272" s="261">
        <v>0</v>
      </c>
      <c r="V272" s="231">
        <f t="shared" si="75"/>
        <v>0</v>
      </c>
    </row>
    <row r="273" spans="4:22" s="201" customFormat="1" ht="13" hidden="1" outlineLevel="1" x14ac:dyDescent="0.25">
      <c r="E273" s="229"/>
      <c r="F273" s="213">
        <v>0</v>
      </c>
      <c r="G273" s="213">
        <v>0</v>
      </c>
      <c r="H273" s="213">
        <v>0</v>
      </c>
      <c r="I273" s="213">
        <v>0</v>
      </c>
      <c r="J273" s="218">
        <v>0</v>
      </c>
      <c r="K273" s="218">
        <v>0</v>
      </c>
      <c r="L273" s="221" t="s">
        <v>85</v>
      </c>
      <c r="M273" s="260">
        <f t="shared" si="74"/>
        <v>43617</v>
      </c>
      <c r="O273" s="261">
        <v>0</v>
      </c>
      <c r="P273" s="435">
        <v>0</v>
      </c>
      <c r="Q273" s="437">
        <v>0</v>
      </c>
      <c r="R273" s="261">
        <v>0</v>
      </c>
      <c r="S273" s="261">
        <v>0</v>
      </c>
      <c r="T273" s="261">
        <v>0</v>
      </c>
      <c r="U273" s="261">
        <v>0</v>
      </c>
      <c r="V273" s="231">
        <f t="shared" si="75"/>
        <v>0</v>
      </c>
    </row>
    <row r="274" spans="4:22" s="201" customFormat="1" ht="13" hidden="1" outlineLevel="1" x14ac:dyDescent="0.25">
      <c r="E274" s="229"/>
      <c r="F274" s="213">
        <v>0</v>
      </c>
      <c r="G274" s="213">
        <v>0</v>
      </c>
      <c r="H274" s="213">
        <v>0</v>
      </c>
      <c r="I274" s="213">
        <v>0</v>
      </c>
      <c r="J274" s="218">
        <v>0</v>
      </c>
      <c r="K274" s="218">
        <v>0</v>
      </c>
      <c r="L274" s="221" t="s">
        <v>85</v>
      </c>
      <c r="M274" s="260">
        <f t="shared" si="74"/>
        <v>43617</v>
      </c>
      <c r="O274" s="261">
        <v>0</v>
      </c>
      <c r="P274" s="435">
        <v>0</v>
      </c>
      <c r="Q274" s="437">
        <v>0</v>
      </c>
      <c r="R274" s="261">
        <v>0</v>
      </c>
      <c r="S274" s="261">
        <v>0</v>
      </c>
      <c r="T274" s="261">
        <v>0</v>
      </c>
      <c r="U274" s="261">
        <v>0</v>
      </c>
      <c r="V274" s="231">
        <f t="shared" si="75"/>
        <v>0</v>
      </c>
    </row>
    <row r="275" spans="4:22" s="201" customFormat="1" ht="13" hidden="1" outlineLevel="1" x14ac:dyDescent="0.25">
      <c r="E275" s="229"/>
      <c r="F275" s="213">
        <v>0</v>
      </c>
      <c r="G275" s="213">
        <v>0</v>
      </c>
      <c r="H275" s="213">
        <v>0</v>
      </c>
      <c r="I275" s="213">
        <v>0</v>
      </c>
      <c r="J275" s="218">
        <v>0</v>
      </c>
      <c r="K275" s="218">
        <v>0</v>
      </c>
      <c r="L275" s="221" t="s">
        <v>85</v>
      </c>
      <c r="M275" s="260">
        <f t="shared" si="74"/>
        <v>43617</v>
      </c>
      <c r="O275" s="261">
        <v>0</v>
      </c>
      <c r="P275" s="435">
        <v>0</v>
      </c>
      <c r="Q275" s="437">
        <v>0</v>
      </c>
      <c r="R275" s="261">
        <v>0</v>
      </c>
      <c r="S275" s="261">
        <v>0</v>
      </c>
      <c r="T275" s="261">
        <v>0</v>
      </c>
      <c r="U275" s="261">
        <v>0</v>
      </c>
      <c r="V275" s="231">
        <f t="shared" si="75"/>
        <v>0</v>
      </c>
    </row>
    <row r="276" spans="4:22" s="201" customFormat="1" ht="13" hidden="1" outlineLevel="1" x14ac:dyDescent="0.25">
      <c r="E276" s="229"/>
      <c r="F276" s="213">
        <v>0</v>
      </c>
      <c r="G276" s="213">
        <v>0</v>
      </c>
      <c r="H276" s="213">
        <v>0</v>
      </c>
      <c r="I276" s="213">
        <v>0</v>
      </c>
      <c r="J276" s="218">
        <v>0</v>
      </c>
      <c r="K276" s="218">
        <v>0</v>
      </c>
      <c r="L276" s="221" t="s">
        <v>85</v>
      </c>
      <c r="M276" s="260">
        <f t="shared" si="74"/>
        <v>43617</v>
      </c>
      <c r="O276" s="261">
        <v>0</v>
      </c>
      <c r="P276" s="435">
        <v>0</v>
      </c>
      <c r="Q276" s="437">
        <v>0</v>
      </c>
      <c r="R276" s="261">
        <v>0</v>
      </c>
      <c r="S276" s="261">
        <v>0</v>
      </c>
      <c r="T276" s="261">
        <v>0</v>
      </c>
      <c r="U276" s="261">
        <v>0</v>
      </c>
      <c r="V276" s="231">
        <f t="shared" si="75"/>
        <v>0</v>
      </c>
    </row>
    <row r="277" spans="4:22" s="201" customFormat="1" ht="13" hidden="1" outlineLevel="1" x14ac:dyDescent="0.25">
      <c r="E277" s="229"/>
      <c r="F277" s="213">
        <v>0</v>
      </c>
      <c r="G277" s="213">
        <v>0</v>
      </c>
      <c r="H277" s="213">
        <v>0</v>
      </c>
      <c r="I277" s="213">
        <v>0</v>
      </c>
      <c r="J277" s="218">
        <v>0</v>
      </c>
      <c r="K277" s="218">
        <v>0</v>
      </c>
      <c r="L277" s="221" t="s">
        <v>85</v>
      </c>
      <c r="M277" s="260">
        <f t="shared" si="74"/>
        <v>43617</v>
      </c>
      <c r="O277" s="261">
        <v>0</v>
      </c>
      <c r="P277" s="435">
        <v>0</v>
      </c>
      <c r="Q277" s="437">
        <v>0</v>
      </c>
      <c r="R277" s="261">
        <v>0</v>
      </c>
      <c r="S277" s="261">
        <v>0</v>
      </c>
      <c r="T277" s="261">
        <v>0</v>
      </c>
      <c r="U277" s="261">
        <v>0</v>
      </c>
      <c r="V277" s="231">
        <f t="shared" si="75"/>
        <v>0</v>
      </c>
    </row>
    <row r="278" spans="4:22" s="201" customFormat="1" ht="13" hidden="1" outlineLevel="1" x14ac:dyDescent="0.25">
      <c r="E278" s="229"/>
      <c r="F278" s="213">
        <v>0</v>
      </c>
      <c r="G278" s="213">
        <v>0</v>
      </c>
      <c r="H278" s="213">
        <v>0</v>
      </c>
      <c r="I278" s="213">
        <v>0</v>
      </c>
      <c r="J278" s="218">
        <v>0</v>
      </c>
      <c r="K278" s="218">
        <v>0</v>
      </c>
      <c r="L278" s="221" t="s">
        <v>85</v>
      </c>
      <c r="M278" s="260">
        <f t="shared" si="74"/>
        <v>43617</v>
      </c>
      <c r="O278" s="261">
        <v>0</v>
      </c>
      <c r="P278" s="435">
        <v>0</v>
      </c>
      <c r="Q278" s="437">
        <v>0</v>
      </c>
      <c r="R278" s="261">
        <v>0</v>
      </c>
      <c r="S278" s="261">
        <v>0</v>
      </c>
      <c r="T278" s="261">
        <v>0</v>
      </c>
      <c r="U278" s="261">
        <v>0</v>
      </c>
      <c r="V278" s="231">
        <f t="shared" si="75"/>
        <v>0</v>
      </c>
    </row>
    <row r="279" spans="4:22" s="201" customFormat="1" ht="13" hidden="1" outlineLevel="1" x14ac:dyDescent="0.25">
      <c r="E279" s="229"/>
      <c r="F279" s="151" t="s">
        <v>17</v>
      </c>
      <c r="G279" s="151"/>
      <c r="H279" s="151"/>
      <c r="I279" s="151"/>
      <c r="J279" s="151"/>
      <c r="K279" s="151"/>
      <c r="L279" s="247" t="s">
        <v>85</v>
      </c>
      <c r="M279" s="253">
        <f t="shared" si="74"/>
        <v>43617</v>
      </c>
      <c r="O279" s="232">
        <f t="shared" ref="O279" si="76">SUM(O264:O278)</f>
        <v>0</v>
      </c>
      <c r="P279" s="289">
        <f t="shared" ref="P279:U279" si="77">SUM(P264:P278)</f>
        <v>-90000</v>
      </c>
      <c r="Q279" s="290">
        <f t="shared" si="77"/>
        <v>-90000</v>
      </c>
      <c r="R279" s="232">
        <f t="shared" si="77"/>
        <v>-90000</v>
      </c>
      <c r="S279" s="232">
        <f t="shared" si="77"/>
        <v>-90000</v>
      </c>
      <c r="T279" s="232">
        <f t="shared" si="77"/>
        <v>-90000</v>
      </c>
      <c r="U279" s="232">
        <f t="shared" si="77"/>
        <v>-90000</v>
      </c>
      <c r="V279" s="233">
        <f>SUM(Q279:U279)</f>
        <v>-450000</v>
      </c>
    </row>
    <row r="280" spans="4:22" s="201" customFormat="1" hidden="1" outlineLevel="1" x14ac:dyDescent="0.25">
      <c r="E280" s="229"/>
    </row>
    <row r="281" spans="4:22" s="201" customFormat="1" hidden="1" outlineLevel="1" x14ac:dyDescent="0.25">
      <c r="D281" s="201">
        <v>3</v>
      </c>
      <c r="E281" s="229" t="str">
        <f>'Input | Meters Vols &amp; Costs'!$G$31</f>
        <v>Replacements - End of life</v>
      </c>
    </row>
    <row r="282" spans="4:22" s="201" customFormat="1" hidden="1" outlineLevel="1" x14ac:dyDescent="0.25">
      <c r="E282" s="229"/>
      <c r="O282"/>
      <c r="P282"/>
      <c r="Q282"/>
      <c r="R282"/>
      <c r="S282"/>
      <c r="T282"/>
      <c r="U282"/>
    </row>
    <row r="283" spans="4:22" s="201" customFormat="1" ht="13" hidden="1" outlineLevel="1" x14ac:dyDescent="0.25">
      <c r="E283" s="229"/>
      <c r="F283" s="121" t="str">
        <f>I_MeterTypes[[#Headers],[Meter Type]]</f>
        <v>Meter Type</v>
      </c>
      <c r="G283" s="121" t="str">
        <f>I_MeterTypes[[#Headers],[RIN Subcategory 1]]</f>
        <v>RIN Subcategory 1</v>
      </c>
      <c r="H283" s="121" t="str">
        <f>I_MeterTypes[[#Headers],[RIN Subcategory 2]]</f>
        <v>RIN Subcategory 2</v>
      </c>
      <c r="I283" s="121" t="str">
        <f>I_MeterTypes[[#Headers],[AER Type]]</f>
        <v>AER Type</v>
      </c>
      <c r="J283" s="121" t="str">
        <f>I_MeterTypes[[#Headers],[RIN Subcategory 3]]</f>
        <v>RIN Subcategory 3</v>
      </c>
      <c r="K283" s="121" t="str">
        <f>I_MeterTypes[[#Headers],[Meter Code]]</f>
        <v>Meter Code</v>
      </c>
      <c r="L283" s="121" t="s">
        <v>6</v>
      </c>
      <c r="M283" s="121" t="s">
        <v>118</v>
      </c>
      <c r="O283" s="234" t="str">
        <f>O$12</f>
        <v>2018-19</v>
      </c>
      <c r="P283" s="234" t="str">
        <f t="shared" ref="P283:U283" si="78">P$12</f>
        <v>2019-20</v>
      </c>
      <c r="Q283" s="436" t="str">
        <f t="shared" si="78"/>
        <v>2020-21</v>
      </c>
      <c r="R283" s="234" t="str">
        <f t="shared" si="78"/>
        <v>2021-22</v>
      </c>
      <c r="S283" s="234" t="str">
        <f t="shared" si="78"/>
        <v>2022-23</v>
      </c>
      <c r="T283" s="234" t="str">
        <f t="shared" si="78"/>
        <v>2023-24</v>
      </c>
      <c r="U283" s="234" t="str">
        <f t="shared" si="78"/>
        <v>2024-25</v>
      </c>
      <c r="V283" s="234" t="s">
        <v>17</v>
      </c>
    </row>
    <row r="284" spans="4:22" s="201" customFormat="1" ht="13" hidden="1" outlineLevel="1" x14ac:dyDescent="0.25">
      <c r="E284" s="229"/>
      <c r="F284" s="213" t="str" cm="1">
        <f t="array" ref="F284:F298">I_MeterTypes[Meter Type]</f>
        <v>AMI - Single Phase, single element</v>
      </c>
      <c r="G284" s="213" t="str" cm="1">
        <f t="array" ref="G284:G298">I_MeterTypes[RIN Subcategory 1]</f>
        <v>Single Phase Meter Population</v>
      </c>
      <c r="H284" s="213" t="str" cm="1">
        <f t="array" ref="H284:H298">I_MeterTypes[RIN Subcategory 2]</f>
        <v>Other</v>
      </c>
      <c r="I284" s="213" t="str" cm="1">
        <f t="array" ref="I284:I298">I_MeterTypes[AER Type]</f>
        <v>Meter Type 4</v>
      </c>
      <c r="J284" s="213" t="str" cm="1">
        <f t="array" ref="J284:J298">I_MeterTypes[RIN Subcategory 3]</f>
        <v>Single phase single element - AMI</v>
      </c>
      <c r="K284" s="213" t="str" cm="1">
        <f t="array" ref="K284:K298">I_MeterTypes[Meter Code]</f>
        <v>AMI 1ph 1e</v>
      </c>
      <c r="L284" s="221" t="s">
        <v>85</v>
      </c>
      <c r="M284" s="260">
        <f t="shared" ref="M284:M299" si="79">Basis_Capex</f>
        <v>43617</v>
      </c>
      <c r="O284" s="261" cm="1">
        <f t="array" ref="O284:U298">'Input | Meters Vols &amp; Costs'!$O209:$U223*ICM_UnitCost*INDEX(ICM_UnitCostSign,$D281)</f>
        <v>0</v>
      </c>
      <c r="P284" s="261">
        <v>1260000</v>
      </c>
      <c r="Q284" s="261">
        <v>1260000</v>
      </c>
      <c r="R284" s="261">
        <v>1260000</v>
      </c>
      <c r="S284" s="261">
        <v>1260000</v>
      </c>
      <c r="T284" s="261">
        <v>1260000</v>
      </c>
      <c r="U284" s="261">
        <v>1260000</v>
      </c>
      <c r="V284" s="231">
        <f t="shared" ref="V284:V298" si="80">SUM(N284:U284)</f>
        <v>7560000</v>
      </c>
    </row>
    <row r="285" spans="4:22" s="201" customFormat="1" ht="13" hidden="1" outlineLevel="1" x14ac:dyDescent="0.25">
      <c r="E285" s="229"/>
      <c r="F285" s="213" t="str">
        <v>AMI - Single Phase, two element</v>
      </c>
      <c r="G285" s="213" t="str">
        <v>Single Phase Meter Population</v>
      </c>
      <c r="H285" s="213" t="str">
        <v>Other</v>
      </c>
      <c r="I285" s="213" t="str">
        <v>Meter Type 4</v>
      </c>
      <c r="J285" s="218" t="str">
        <v>Single phase two element with contactor - AMI</v>
      </c>
      <c r="K285" s="218" t="str">
        <v>AMI 1ph 2e</v>
      </c>
      <c r="L285" s="221" t="s">
        <v>85</v>
      </c>
      <c r="M285" s="260">
        <f t="shared" si="79"/>
        <v>43617</v>
      </c>
      <c r="O285" s="261">
        <v>0</v>
      </c>
      <c r="P285" s="435">
        <v>0</v>
      </c>
      <c r="Q285" s="437">
        <v>0</v>
      </c>
      <c r="R285" s="261">
        <v>0</v>
      </c>
      <c r="S285" s="261">
        <v>0</v>
      </c>
      <c r="T285" s="261">
        <v>0</v>
      </c>
      <c r="U285" s="261">
        <v>0</v>
      </c>
      <c r="V285" s="231">
        <f t="shared" si="80"/>
        <v>0</v>
      </c>
    </row>
    <row r="286" spans="4:22" s="201" customFormat="1" ht="13" hidden="1" outlineLevel="1" x14ac:dyDescent="0.25">
      <c r="E286" s="229"/>
      <c r="F286" s="213" t="str">
        <v>AMI - 3 Phase DC</v>
      </c>
      <c r="G286" s="213" t="str">
        <v>Multi Phase Meter Population</v>
      </c>
      <c r="H286" s="213" t="str">
        <v>Direct Connect Meter Population</v>
      </c>
      <c r="I286" s="213" t="str">
        <v>Meter Type 4</v>
      </c>
      <c r="J286" s="218" t="str">
        <v>Three phase - AMI</v>
      </c>
      <c r="K286" s="218" t="str">
        <v>AMI 3ph DC</v>
      </c>
      <c r="L286" s="221" t="s">
        <v>85</v>
      </c>
      <c r="M286" s="260">
        <f t="shared" si="79"/>
        <v>43617</v>
      </c>
      <c r="O286" s="261">
        <v>0</v>
      </c>
      <c r="P286" s="435">
        <v>0</v>
      </c>
      <c r="Q286" s="437">
        <v>0</v>
      </c>
      <c r="R286" s="261">
        <v>0</v>
      </c>
      <c r="S286" s="261">
        <v>0</v>
      </c>
      <c r="T286" s="261">
        <v>0</v>
      </c>
      <c r="U286" s="261">
        <v>0</v>
      </c>
      <c r="V286" s="231">
        <f t="shared" si="80"/>
        <v>0</v>
      </c>
    </row>
    <row r="287" spans="4:22" s="201" customFormat="1" ht="13" hidden="1" outlineLevel="1" x14ac:dyDescent="0.25">
      <c r="E287" s="229"/>
      <c r="F287" s="213" t="str">
        <v>AMI 3Ph CT</v>
      </c>
      <c r="G287" s="213" t="str">
        <v>Multi Phase Meter Population</v>
      </c>
      <c r="H287" s="213" t="str">
        <v>Current Transformer Connected Meter Population</v>
      </c>
      <c r="I287" s="213" t="str">
        <v>Meter Type 4</v>
      </c>
      <c r="J287" s="218">
        <v>0</v>
      </c>
      <c r="K287" s="218" t="str">
        <v>AMI 3ph CT</v>
      </c>
      <c r="L287" s="221" t="s">
        <v>85</v>
      </c>
      <c r="M287" s="260">
        <f t="shared" si="79"/>
        <v>43617</v>
      </c>
      <c r="O287" s="261">
        <v>0</v>
      </c>
      <c r="P287" s="435">
        <v>0</v>
      </c>
      <c r="Q287" s="437">
        <v>0</v>
      </c>
      <c r="R287" s="261">
        <v>0</v>
      </c>
      <c r="S287" s="261">
        <v>0</v>
      </c>
      <c r="T287" s="261">
        <v>0</v>
      </c>
      <c r="U287" s="261">
        <v>0</v>
      </c>
      <c r="V287" s="231">
        <f t="shared" si="80"/>
        <v>0</v>
      </c>
    </row>
    <row r="288" spans="4:22" s="201" customFormat="1" ht="13" hidden="1" outlineLevel="1" x14ac:dyDescent="0.25">
      <c r="E288" s="229"/>
      <c r="F288" s="213" t="str">
        <v>Non AMI - Type 5 Locally read Interval - Single Phase</v>
      </c>
      <c r="G288" s="213" t="str">
        <v>Single Phase Meter Population</v>
      </c>
      <c r="H288" s="213" t="str">
        <v>Direct Connect Meter Population</v>
      </c>
      <c r="I288" s="213" t="str">
        <v>Meter Type 5</v>
      </c>
      <c r="J288" s="218">
        <v>0</v>
      </c>
      <c r="K288" s="218" t="str">
        <v>INT 1ph</v>
      </c>
      <c r="L288" s="221" t="s">
        <v>85</v>
      </c>
      <c r="M288" s="260">
        <f t="shared" si="79"/>
        <v>43617</v>
      </c>
      <c r="O288" s="261">
        <v>0</v>
      </c>
      <c r="P288" s="435">
        <v>0</v>
      </c>
      <c r="Q288" s="437">
        <v>0</v>
      </c>
      <c r="R288" s="261">
        <v>0</v>
      </c>
      <c r="S288" s="261">
        <v>0</v>
      </c>
      <c r="T288" s="261">
        <v>0</v>
      </c>
      <c r="U288" s="261">
        <v>0</v>
      </c>
      <c r="V288" s="231">
        <f t="shared" si="80"/>
        <v>0</v>
      </c>
    </row>
    <row r="289" spans="4:22" s="201" customFormat="1" ht="13" hidden="1" outlineLevel="1" x14ac:dyDescent="0.25">
      <c r="E289" s="229"/>
      <c r="F289" s="213" t="str">
        <v>Non AMI - Type 5 Locally read Interval - 3 Phase</v>
      </c>
      <c r="G289" s="213" t="str">
        <v>Single Phase Meter Population</v>
      </c>
      <c r="H289" s="213" t="str">
        <v>Direct Connect Meter Population</v>
      </c>
      <c r="I289" s="213" t="str">
        <v>Meter Type 5</v>
      </c>
      <c r="J289" s="218">
        <v>0</v>
      </c>
      <c r="K289" s="218" t="str">
        <v>INT 3ph</v>
      </c>
      <c r="L289" s="221" t="s">
        <v>85</v>
      </c>
      <c r="M289" s="260">
        <f t="shared" si="79"/>
        <v>43617</v>
      </c>
      <c r="O289" s="261">
        <v>0</v>
      </c>
      <c r="P289" s="435">
        <v>0</v>
      </c>
      <c r="Q289" s="437">
        <v>0</v>
      </c>
      <c r="R289" s="261">
        <v>0</v>
      </c>
      <c r="S289" s="261">
        <v>0</v>
      </c>
      <c r="T289" s="261">
        <v>0</v>
      </c>
      <c r="U289" s="261">
        <v>0</v>
      </c>
      <c r="V289" s="231">
        <f t="shared" si="80"/>
        <v>0</v>
      </c>
    </row>
    <row r="290" spans="4:22" s="201" customFormat="1" ht="13" hidden="1" outlineLevel="1" x14ac:dyDescent="0.25">
      <c r="E290" s="229"/>
      <c r="F290" s="213" t="str">
        <v>Non AMI - Type 5 Locally read Interval - 3 Phase - CT</v>
      </c>
      <c r="G290" s="213" t="str">
        <v>Multi Phase Meter Population</v>
      </c>
      <c r="H290" s="213" t="str">
        <v>Current Transformer Connected Meter Population</v>
      </c>
      <c r="I290" s="213" t="str">
        <v>Meter Type 5</v>
      </c>
      <c r="J290" s="218">
        <v>0</v>
      </c>
      <c r="K290" s="218" t="str">
        <v>INT 3ph CT</v>
      </c>
      <c r="L290" s="221" t="s">
        <v>85</v>
      </c>
      <c r="M290" s="260">
        <f t="shared" si="79"/>
        <v>43617</v>
      </c>
      <c r="O290" s="261">
        <v>0</v>
      </c>
      <c r="P290" s="435">
        <v>0</v>
      </c>
      <c r="Q290" s="437">
        <v>0</v>
      </c>
      <c r="R290" s="261">
        <v>0</v>
      </c>
      <c r="S290" s="261">
        <v>0</v>
      </c>
      <c r="T290" s="261">
        <v>0</v>
      </c>
      <c r="U290" s="261">
        <v>0</v>
      </c>
      <c r="V290" s="231">
        <f t="shared" si="80"/>
        <v>0</v>
      </c>
    </row>
    <row r="291" spans="4:22" s="201" customFormat="1" ht="13" hidden="1" outlineLevel="1" x14ac:dyDescent="0.25">
      <c r="E291" s="229"/>
      <c r="F291" s="213" t="str">
        <v>Non AMI - Type 6 Locally read Accumulation - Single Phase</v>
      </c>
      <c r="G291" s="213" t="str">
        <v>Multi Phase Meter Population</v>
      </c>
      <c r="H291" s="213" t="str">
        <v>Direct Connect Meter Population</v>
      </c>
      <c r="I291" s="213" t="str">
        <v>Meter Type 6</v>
      </c>
      <c r="J291" s="218">
        <v>0</v>
      </c>
      <c r="K291" s="218" t="str">
        <v>ACC 1ph</v>
      </c>
      <c r="L291" s="221" t="s">
        <v>85</v>
      </c>
      <c r="M291" s="260">
        <f t="shared" si="79"/>
        <v>43617</v>
      </c>
      <c r="O291" s="261">
        <v>0</v>
      </c>
      <c r="P291" s="435">
        <v>0</v>
      </c>
      <c r="Q291" s="437">
        <v>0</v>
      </c>
      <c r="R291" s="261">
        <v>0</v>
      </c>
      <c r="S291" s="261">
        <v>0</v>
      </c>
      <c r="T291" s="261">
        <v>0</v>
      </c>
      <c r="U291" s="261">
        <v>0</v>
      </c>
      <c r="V291" s="231">
        <f t="shared" si="80"/>
        <v>0</v>
      </c>
    </row>
    <row r="292" spans="4:22" s="201" customFormat="1" ht="13" hidden="1" outlineLevel="1" x14ac:dyDescent="0.25">
      <c r="E292" s="229"/>
      <c r="F292" s="213" t="str">
        <v>Non AMI - Type 6 Locally read Accumulation - 3 Phase</v>
      </c>
      <c r="G292" s="213">
        <v>0</v>
      </c>
      <c r="H292" s="213" t="str">
        <v>Direct Connect Meter Population</v>
      </c>
      <c r="I292" s="213" t="str">
        <v>Meter Type 6</v>
      </c>
      <c r="J292" s="218">
        <v>0</v>
      </c>
      <c r="K292" s="218" t="str">
        <v>ACC 3ph</v>
      </c>
      <c r="L292" s="221" t="s">
        <v>85</v>
      </c>
      <c r="M292" s="260">
        <f t="shared" si="79"/>
        <v>43617</v>
      </c>
      <c r="O292" s="261">
        <v>0</v>
      </c>
      <c r="P292" s="435">
        <v>0</v>
      </c>
      <c r="Q292" s="437">
        <v>0</v>
      </c>
      <c r="R292" s="261">
        <v>0</v>
      </c>
      <c r="S292" s="261">
        <v>0</v>
      </c>
      <c r="T292" s="261">
        <v>0</v>
      </c>
      <c r="U292" s="261">
        <v>0</v>
      </c>
      <c r="V292" s="231">
        <f t="shared" si="80"/>
        <v>0</v>
      </c>
    </row>
    <row r="293" spans="4:22" s="201" customFormat="1" ht="13" hidden="1" outlineLevel="1" x14ac:dyDescent="0.25">
      <c r="E293" s="229"/>
      <c r="F293" s="213">
        <v>0</v>
      </c>
      <c r="G293" s="213">
        <v>0</v>
      </c>
      <c r="H293" s="213">
        <v>0</v>
      </c>
      <c r="I293" s="213">
        <v>0</v>
      </c>
      <c r="J293" s="218">
        <v>0</v>
      </c>
      <c r="K293" s="218">
        <v>0</v>
      </c>
      <c r="L293" s="221" t="s">
        <v>85</v>
      </c>
      <c r="M293" s="260">
        <f t="shared" si="79"/>
        <v>43617</v>
      </c>
      <c r="O293" s="261">
        <v>0</v>
      </c>
      <c r="P293" s="435">
        <v>0</v>
      </c>
      <c r="Q293" s="437">
        <v>0</v>
      </c>
      <c r="R293" s="261">
        <v>0</v>
      </c>
      <c r="S293" s="261">
        <v>0</v>
      </c>
      <c r="T293" s="261">
        <v>0</v>
      </c>
      <c r="U293" s="261">
        <v>0</v>
      </c>
      <c r="V293" s="231">
        <f t="shared" si="80"/>
        <v>0</v>
      </c>
    </row>
    <row r="294" spans="4:22" s="201" customFormat="1" ht="13" hidden="1" outlineLevel="1" x14ac:dyDescent="0.25">
      <c r="E294" s="229"/>
      <c r="F294" s="213">
        <v>0</v>
      </c>
      <c r="G294" s="213">
        <v>0</v>
      </c>
      <c r="H294" s="213">
        <v>0</v>
      </c>
      <c r="I294" s="213">
        <v>0</v>
      </c>
      <c r="J294" s="218">
        <v>0</v>
      </c>
      <c r="K294" s="218">
        <v>0</v>
      </c>
      <c r="L294" s="221" t="s">
        <v>85</v>
      </c>
      <c r="M294" s="260">
        <f t="shared" si="79"/>
        <v>43617</v>
      </c>
      <c r="O294" s="261">
        <v>0</v>
      </c>
      <c r="P294" s="435">
        <v>0</v>
      </c>
      <c r="Q294" s="437">
        <v>0</v>
      </c>
      <c r="R294" s="261">
        <v>0</v>
      </c>
      <c r="S294" s="261">
        <v>0</v>
      </c>
      <c r="T294" s="261">
        <v>0</v>
      </c>
      <c r="U294" s="261">
        <v>0</v>
      </c>
      <c r="V294" s="231">
        <f t="shared" si="80"/>
        <v>0</v>
      </c>
    </row>
    <row r="295" spans="4:22" s="201" customFormat="1" ht="13" hidden="1" outlineLevel="1" x14ac:dyDescent="0.25">
      <c r="E295" s="229"/>
      <c r="F295" s="213">
        <v>0</v>
      </c>
      <c r="G295" s="213">
        <v>0</v>
      </c>
      <c r="H295" s="213">
        <v>0</v>
      </c>
      <c r="I295" s="213">
        <v>0</v>
      </c>
      <c r="J295" s="218">
        <v>0</v>
      </c>
      <c r="K295" s="218">
        <v>0</v>
      </c>
      <c r="L295" s="221" t="s">
        <v>85</v>
      </c>
      <c r="M295" s="260">
        <f t="shared" si="79"/>
        <v>43617</v>
      </c>
      <c r="O295" s="261">
        <v>0</v>
      </c>
      <c r="P295" s="435">
        <v>0</v>
      </c>
      <c r="Q295" s="437">
        <v>0</v>
      </c>
      <c r="R295" s="261">
        <v>0</v>
      </c>
      <c r="S295" s="261">
        <v>0</v>
      </c>
      <c r="T295" s="261">
        <v>0</v>
      </c>
      <c r="U295" s="261">
        <v>0</v>
      </c>
      <c r="V295" s="231">
        <f t="shared" si="80"/>
        <v>0</v>
      </c>
    </row>
    <row r="296" spans="4:22" s="201" customFormat="1" ht="13" hidden="1" outlineLevel="1" x14ac:dyDescent="0.25">
      <c r="E296" s="229"/>
      <c r="F296" s="213">
        <v>0</v>
      </c>
      <c r="G296" s="213">
        <v>0</v>
      </c>
      <c r="H296" s="213">
        <v>0</v>
      </c>
      <c r="I296" s="213">
        <v>0</v>
      </c>
      <c r="J296" s="218">
        <v>0</v>
      </c>
      <c r="K296" s="218">
        <v>0</v>
      </c>
      <c r="L296" s="221" t="s">
        <v>85</v>
      </c>
      <c r="M296" s="260">
        <f t="shared" si="79"/>
        <v>43617</v>
      </c>
      <c r="O296" s="261">
        <v>0</v>
      </c>
      <c r="P296" s="435">
        <v>0</v>
      </c>
      <c r="Q296" s="437">
        <v>0</v>
      </c>
      <c r="R296" s="261">
        <v>0</v>
      </c>
      <c r="S296" s="261">
        <v>0</v>
      </c>
      <c r="T296" s="261">
        <v>0</v>
      </c>
      <c r="U296" s="261">
        <v>0</v>
      </c>
      <c r="V296" s="231">
        <f t="shared" si="80"/>
        <v>0</v>
      </c>
    </row>
    <row r="297" spans="4:22" s="201" customFormat="1" ht="13" hidden="1" outlineLevel="1" x14ac:dyDescent="0.25">
      <c r="E297" s="229"/>
      <c r="F297" s="213">
        <v>0</v>
      </c>
      <c r="G297" s="213">
        <v>0</v>
      </c>
      <c r="H297" s="213">
        <v>0</v>
      </c>
      <c r="I297" s="213">
        <v>0</v>
      </c>
      <c r="J297" s="218">
        <v>0</v>
      </c>
      <c r="K297" s="218">
        <v>0</v>
      </c>
      <c r="L297" s="221" t="s">
        <v>85</v>
      </c>
      <c r="M297" s="260">
        <f t="shared" si="79"/>
        <v>43617</v>
      </c>
      <c r="O297" s="261">
        <v>0</v>
      </c>
      <c r="P297" s="435">
        <v>0</v>
      </c>
      <c r="Q297" s="437">
        <v>0</v>
      </c>
      <c r="R297" s="261">
        <v>0</v>
      </c>
      <c r="S297" s="261">
        <v>0</v>
      </c>
      <c r="T297" s="261">
        <v>0</v>
      </c>
      <c r="U297" s="261">
        <v>0</v>
      </c>
      <c r="V297" s="231">
        <f t="shared" si="80"/>
        <v>0</v>
      </c>
    </row>
    <row r="298" spans="4:22" s="201" customFormat="1" ht="13" hidden="1" outlineLevel="1" x14ac:dyDescent="0.25">
      <c r="E298" s="229"/>
      <c r="F298" s="213">
        <v>0</v>
      </c>
      <c r="G298" s="213">
        <v>0</v>
      </c>
      <c r="H298" s="213">
        <v>0</v>
      </c>
      <c r="I298" s="213">
        <v>0</v>
      </c>
      <c r="J298" s="218">
        <v>0</v>
      </c>
      <c r="K298" s="218">
        <v>0</v>
      </c>
      <c r="L298" s="221" t="s">
        <v>85</v>
      </c>
      <c r="M298" s="260">
        <f t="shared" si="79"/>
        <v>43617</v>
      </c>
      <c r="O298" s="261">
        <v>0</v>
      </c>
      <c r="P298" s="435">
        <v>0</v>
      </c>
      <c r="Q298" s="437">
        <v>0</v>
      </c>
      <c r="R298" s="261">
        <v>0</v>
      </c>
      <c r="S298" s="261">
        <v>0</v>
      </c>
      <c r="T298" s="261">
        <v>0</v>
      </c>
      <c r="U298" s="261">
        <v>0</v>
      </c>
      <c r="V298" s="231">
        <f t="shared" si="80"/>
        <v>0</v>
      </c>
    </row>
    <row r="299" spans="4:22" s="201" customFormat="1" ht="13" hidden="1" outlineLevel="1" x14ac:dyDescent="0.25">
      <c r="E299" s="229"/>
      <c r="F299" s="151" t="s">
        <v>17</v>
      </c>
      <c r="G299" s="151"/>
      <c r="H299" s="151"/>
      <c r="I299" s="151"/>
      <c r="J299" s="151"/>
      <c r="K299" s="151"/>
      <c r="L299" s="247" t="s">
        <v>85</v>
      </c>
      <c r="M299" s="253">
        <f t="shared" si="79"/>
        <v>43617</v>
      </c>
      <c r="O299" s="232">
        <f t="shared" ref="O299" si="81">SUM(O284:O291)</f>
        <v>0</v>
      </c>
      <c r="P299" s="289">
        <f t="shared" ref="P299:U299" si="82">SUM(P284:P291)</f>
        <v>1260000</v>
      </c>
      <c r="Q299" s="290">
        <f t="shared" si="82"/>
        <v>1260000</v>
      </c>
      <c r="R299" s="232">
        <f t="shared" si="82"/>
        <v>1260000</v>
      </c>
      <c r="S299" s="232">
        <f t="shared" si="82"/>
        <v>1260000</v>
      </c>
      <c r="T299" s="232">
        <f t="shared" si="82"/>
        <v>1260000</v>
      </c>
      <c r="U299" s="232">
        <f t="shared" si="82"/>
        <v>1260000</v>
      </c>
      <c r="V299" s="233">
        <f>SUM(Q299:U299)</f>
        <v>6300000</v>
      </c>
    </row>
    <row r="300" spans="4:22" s="201" customFormat="1" hidden="1" outlineLevel="1" x14ac:dyDescent="0.25">
      <c r="E300" s="229"/>
    </row>
    <row r="301" spans="4:22" s="201" customFormat="1" hidden="1" outlineLevel="1" x14ac:dyDescent="0.25">
      <c r="D301" s="201">
        <v>4</v>
      </c>
      <c r="E301" s="229" t="str">
        <f>'Input | Meters Vols &amp; Costs'!$G$32</f>
        <v>Replacements - Failures and faults</v>
      </c>
    </row>
    <row r="302" spans="4:22" s="201" customFormat="1" hidden="1" outlineLevel="1" x14ac:dyDescent="0.25">
      <c r="E302" s="229"/>
      <c r="O302"/>
      <c r="P302"/>
      <c r="Q302"/>
      <c r="R302"/>
      <c r="S302"/>
      <c r="T302"/>
      <c r="U302"/>
    </row>
    <row r="303" spans="4:22" s="201" customFormat="1" ht="13" hidden="1" outlineLevel="1" x14ac:dyDescent="0.25">
      <c r="E303" s="229"/>
      <c r="F303" s="121" t="str">
        <f>I_MeterTypes[[#Headers],[Meter Type]]</f>
        <v>Meter Type</v>
      </c>
      <c r="G303" s="121" t="str">
        <f>I_MeterTypes[[#Headers],[RIN Subcategory 1]]</f>
        <v>RIN Subcategory 1</v>
      </c>
      <c r="H303" s="121" t="str">
        <f>I_MeterTypes[[#Headers],[RIN Subcategory 2]]</f>
        <v>RIN Subcategory 2</v>
      </c>
      <c r="I303" s="121" t="str">
        <f>I_MeterTypes[[#Headers],[AER Type]]</f>
        <v>AER Type</v>
      </c>
      <c r="J303" s="121" t="str">
        <f>I_MeterTypes[[#Headers],[RIN Subcategory 3]]</f>
        <v>RIN Subcategory 3</v>
      </c>
      <c r="K303" s="121" t="str">
        <f>I_MeterTypes[[#Headers],[Meter Code]]</f>
        <v>Meter Code</v>
      </c>
      <c r="L303" s="121" t="s">
        <v>6</v>
      </c>
      <c r="M303" s="121" t="s">
        <v>118</v>
      </c>
      <c r="O303" s="234" t="str">
        <f>O$12</f>
        <v>2018-19</v>
      </c>
      <c r="P303" s="234" t="str">
        <f t="shared" ref="P303:U303" si="83">P$12</f>
        <v>2019-20</v>
      </c>
      <c r="Q303" s="436" t="str">
        <f t="shared" si="83"/>
        <v>2020-21</v>
      </c>
      <c r="R303" s="234" t="str">
        <f t="shared" si="83"/>
        <v>2021-22</v>
      </c>
      <c r="S303" s="234" t="str">
        <f t="shared" si="83"/>
        <v>2022-23</v>
      </c>
      <c r="T303" s="234" t="str">
        <f t="shared" si="83"/>
        <v>2023-24</v>
      </c>
      <c r="U303" s="234" t="str">
        <f t="shared" si="83"/>
        <v>2024-25</v>
      </c>
      <c r="V303" s="234" t="s">
        <v>17</v>
      </c>
    </row>
    <row r="304" spans="4:22" s="201" customFormat="1" ht="13" hidden="1" outlineLevel="1" x14ac:dyDescent="0.25">
      <c r="E304" s="229"/>
      <c r="F304" s="213" t="str" cm="1">
        <f t="array" ref="F304:F318">I_MeterTypes[Meter Type]</f>
        <v>AMI - Single Phase, single element</v>
      </c>
      <c r="G304" s="213" t="str" cm="1">
        <f t="array" ref="G304:G318">I_MeterTypes[RIN Subcategory 1]</f>
        <v>Single Phase Meter Population</v>
      </c>
      <c r="H304" s="213" t="str" cm="1">
        <f t="array" ref="H304:H318">I_MeterTypes[RIN Subcategory 2]</f>
        <v>Other</v>
      </c>
      <c r="I304" s="213" t="str" cm="1">
        <f t="array" ref="I304:I318">I_MeterTypes[AER Type]</f>
        <v>Meter Type 4</v>
      </c>
      <c r="J304" s="213" t="str" cm="1">
        <f t="array" ref="J304:J318">I_MeterTypes[RIN Subcategory 3]</f>
        <v>Single phase single element - AMI</v>
      </c>
      <c r="K304" s="213" t="str" cm="1">
        <f t="array" ref="K304:K318">I_MeterTypes[Meter Code]</f>
        <v>AMI 1ph 1e</v>
      </c>
      <c r="L304" s="221" t="s">
        <v>85</v>
      </c>
      <c r="M304" s="260">
        <f t="shared" ref="M304:M319" si="84">Basis_Capex</f>
        <v>43617</v>
      </c>
      <c r="O304" s="261" cm="1">
        <f t="array" ref="O304:U318">'Input | Meters Vols &amp; Costs'!$O229:$U243*ICM_UnitCost*INDEX(ICM_UnitCostSign,$D301)</f>
        <v>0</v>
      </c>
      <c r="P304" s="261">
        <v>315000</v>
      </c>
      <c r="Q304" s="261">
        <v>315000</v>
      </c>
      <c r="R304" s="261">
        <v>315000</v>
      </c>
      <c r="S304" s="261">
        <v>315000</v>
      </c>
      <c r="T304" s="261">
        <v>315000</v>
      </c>
      <c r="U304" s="261">
        <v>315000</v>
      </c>
      <c r="V304" s="231">
        <f t="shared" ref="V304:V318" si="85">SUM(N304:U304)</f>
        <v>1890000</v>
      </c>
    </row>
    <row r="305" spans="5:22" s="201" customFormat="1" ht="13" hidden="1" outlineLevel="1" x14ac:dyDescent="0.25">
      <c r="E305" s="229"/>
      <c r="F305" s="213" t="str">
        <v>AMI - Single Phase, two element</v>
      </c>
      <c r="G305" s="213" t="str">
        <v>Single Phase Meter Population</v>
      </c>
      <c r="H305" s="213" t="str">
        <v>Other</v>
      </c>
      <c r="I305" s="213" t="str">
        <v>Meter Type 4</v>
      </c>
      <c r="J305" s="218" t="str">
        <v>Single phase two element with contactor - AMI</v>
      </c>
      <c r="K305" s="218" t="str">
        <v>AMI 1ph 2e</v>
      </c>
      <c r="L305" s="221" t="s">
        <v>85</v>
      </c>
      <c r="M305" s="260">
        <f t="shared" si="84"/>
        <v>43617</v>
      </c>
      <c r="O305" s="261">
        <v>0</v>
      </c>
      <c r="P305" s="435">
        <v>0</v>
      </c>
      <c r="Q305" s="437">
        <v>0</v>
      </c>
      <c r="R305" s="261">
        <v>0</v>
      </c>
      <c r="S305" s="261">
        <v>0</v>
      </c>
      <c r="T305" s="261">
        <v>0</v>
      </c>
      <c r="U305" s="261">
        <v>0</v>
      </c>
      <c r="V305" s="231">
        <f t="shared" si="85"/>
        <v>0</v>
      </c>
    </row>
    <row r="306" spans="5:22" s="201" customFormat="1" ht="13" hidden="1" outlineLevel="1" x14ac:dyDescent="0.25">
      <c r="E306" s="229"/>
      <c r="F306" s="213" t="str">
        <v>AMI - 3 Phase DC</v>
      </c>
      <c r="G306" s="213" t="str">
        <v>Multi Phase Meter Population</v>
      </c>
      <c r="H306" s="213" t="str">
        <v>Direct Connect Meter Population</v>
      </c>
      <c r="I306" s="213" t="str">
        <v>Meter Type 4</v>
      </c>
      <c r="J306" s="218" t="str">
        <v>Three phase - AMI</v>
      </c>
      <c r="K306" s="218" t="str">
        <v>AMI 3ph DC</v>
      </c>
      <c r="L306" s="221" t="s">
        <v>85</v>
      </c>
      <c r="M306" s="260">
        <f t="shared" si="84"/>
        <v>43617</v>
      </c>
      <c r="O306" s="261">
        <v>0</v>
      </c>
      <c r="P306" s="435">
        <v>0</v>
      </c>
      <c r="Q306" s="437">
        <v>0</v>
      </c>
      <c r="R306" s="261">
        <v>0</v>
      </c>
      <c r="S306" s="261">
        <v>0</v>
      </c>
      <c r="T306" s="261">
        <v>0</v>
      </c>
      <c r="U306" s="261">
        <v>0</v>
      </c>
      <c r="V306" s="231">
        <f t="shared" si="85"/>
        <v>0</v>
      </c>
    </row>
    <row r="307" spans="5:22" s="201" customFormat="1" ht="13" hidden="1" outlineLevel="1" x14ac:dyDescent="0.25">
      <c r="E307" s="229"/>
      <c r="F307" s="213" t="str">
        <v>AMI 3Ph CT</v>
      </c>
      <c r="G307" s="213" t="str">
        <v>Multi Phase Meter Population</v>
      </c>
      <c r="H307" s="213" t="str">
        <v>Current Transformer Connected Meter Population</v>
      </c>
      <c r="I307" s="213" t="str">
        <v>Meter Type 4</v>
      </c>
      <c r="J307" s="218">
        <v>0</v>
      </c>
      <c r="K307" s="218" t="str">
        <v>AMI 3ph CT</v>
      </c>
      <c r="L307" s="221" t="s">
        <v>85</v>
      </c>
      <c r="M307" s="260">
        <f t="shared" si="84"/>
        <v>43617</v>
      </c>
      <c r="O307" s="261">
        <v>0</v>
      </c>
      <c r="P307" s="435">
        <v>0</v>
      </c>
      <c r="Q307" s="437">
        <v>0</v>
      </c>
      <c r="R307" s="261">
        <v>0</v>
      </c>
      <c r="S307" s="261">
        <v>0</v>
      </c>
      <c r="T307" s="261">
        <v>0</v>
      </c>
      <c r="U307" s="261">
        <v>0</v>
      </c>
      <c r="V307" s="231">
        <f t="shared" si="85"/>
        <v>0</v>
      </c>
    </row>
    <row r="308" spans="5:22" s="201" customFormat="1" ht="13" hidden="1" outlineLevel="1" x14ac:dyDescent="0.25">
      <c r="E308" s="229"/>
      <c r="F308" s="213" t="str">
        <v>Non AMI - Type 5 Locally read Interval - Single Phase</v>
      </c>
      <c r="G308" s="213" t="str">
        <v>Single Phase Meter Population</v>
      </c>
      <c r="H308" s="213" t="str">
        <v>Direct Connect Meter Population</v>
      </c>
      <c r="I308" s="213" t="str">
        <v>Meter Type 5</v>
      </c>
      <c r="J308" s="218">
        <v>0</v>
      </c>
      <c r="K308" s="218" t="str">
        <v>INT 1ph</v>
      </c>
      <c r="L308" s="221" t="s">
        <v>85</v>
      </c>
      <c r="M308" s="260">
        <f t="shared" si="84"/>
        <v>43617</v>
      </c>
      <c r="O308" s="261">
        <v>0</v>
      </c>
      <c r="P308" s="435">
        <v>0</v>
      </c>
      <c r="Q308" s="437">
        <v>0</v>
      </c>
      <c r="R308" s="261">
        <v>0</v>
      </c>
      <c r="S308" s="261">
        <v>0</v>
      </c>
      <c r="T308" s="261">
        <v>0</v>
      </c>
      <c r="U308" s="261">
        <v>0</v>
      </c>
      <c r="V308" s="231">
        <f t="shared" si="85"/>
        <v>0</v>
      </c>
    </row>
    <row r="309" spans="5:22" s="201" customFormat="1" ht="13" hidden="1" outlineLevel="1" x14ac:dyDescent="0.25">
      <c r="E309" s="229"/>
      <c r="F309" s="213" t="str">
        <v>Non AMI - Type 5 Locally read Interval - 3 Phase</v>
      </c>
      <c r="G309" s="213" t="str">
        <v>Single Phase Meter Population</v>
      </c>
      <c r="H309" s="213" t="str">
        <v>Direct Connect Meter Population</v>
      </c>
      <c r="I309" s="213" t="str">
        <v>Meter Type 5</v>
      </c>
      <c r="J309" s="218">
        <v>0</v>
      </c>
      <c r="K309" s="218" t="str">
        <v>INT 3ph</v>
      </c>
      <c r="L309" s="221" t="s">
        <v>85</v>
      </c>
      <c r="M309" s="260">
        <f t="shared" si="84"/>
        <v>43617</v>
      </c>
      <c r="O309" s="261">
        <v>0</v>
      </c>
      <c r="P309" s="435">
        <v>0</v>
      </c>
      <c r="Q309" s="437">
        <v>0</v>
      </c>
      <c r="R309" s="261">
        <v>0</v>
      </c>
      <c r="S309" s="261">
        <v>0</v>
      </c>
      <c r="T309" s="261">
        <v>0</v>
      </c>
      <c r="U309" s="261">
        <v>0</v>
      </c>
      <c r="V309" s="231">
        <f t="shared" si="85"/>
        <v>0</v>
      </c>
    </row>
    <row r="310" spans="5:22" s="201" customFormat="1" ht="13" hidden="1" outlineLevel="1" x14ac:dyDescent="0.25">
      <c r="E310" s="229"/>
      <c r="F310" s="213" t="str">
        <v>Non AMI - Type 5 Locally read Interval - 3 Phase - CT</v>
      </c>
      <c r="G310" s="213" t="str">
        <v>Multi Phase Meter Population</v>
      </c>
      <c r="H310" s="213" t="str">
        <v>Current Transformer Connected Meter Population</v>
      </c>
      <c r="I310" s="213" t="str">
        <v>Meter Type 5</v>
      </c>
      <c r="J310" s="218">
        <v>0</v>
      </c>
      <c r="K310" s="218" t="str">
        <v>INT 3ph CT</v>
      </c>
      <c r="L310" s="221" t="s">
        <v>85</v>
      </c>
      <c r="M310" s="260">
        <f t="shared" si="84"/>
        <v>43617</v>
      </c>
      <c r="O310" s="261">
        <v>0</v>
      </c>
      <c r="P310" s="435">
        <v>0</v>
      </c>
      <c r="Q310" s="437">
        <v>0</v>
      </c>
      <c r="R310" s="261">
        <v>0</v>
      </c>
      <c r="S310" s="261">
        <v>0</v>
      </c>
      <c r="T310" s="261">
        <v>0</v>
      </c>
      <c r="U310" s="261">
        <v>0</v>
      </c>
      <c r="V310" s="231">
        <f t="shared" si="85"/>
        <v>0</v>
      </c>
    </row>
    <row r="311" spans="5:22" s="201" customFormat="1" ht="13" hidden="1" outlineLevel="1" x14ac:dyDescent="0.25">
      <c r="E311" s="229"/>
      <c r="F311" s="213" t="str">
        <v>Non AMI - Type 6 Locally read Accumulation - Single Phase</v>
      </c>
      <c r="G311" s="213" t="str">
        <v>Multi Phase Meter Population</v>
      </c>
      <c r="H311" s="213" t="str">
        <v>Direct Connect Meter Population</v>
      </c>
      <c r="I311" s="213" t="str">
        <v>Meter Type 6</v>
      </c>
      <c r="J311" s="218">
        <v>0</v>
      </c>
      <c r="K311" s="218" t="str">
        <v>ACC 1ph</v>
      </c>
      <c r="L311" s="221" t="s">
        <v>85</v>
      </c>
      <c r="M311" s="260">
        <f t="shared" si="84"/>
        <v>43617</v>
      </c>
      <c r="O311" s="261">
        <v>0</v>
      </c>
      <c r="P311" s="435">
        <v>0</v>
      </c>
      <c r="Q311" s="437">
        <v>0</v>
      </c>
      <c r="R311" s="261">
        <v>0</v>
      </c>
      <c r="S311" s="261">
        <v>0</v>
      </c>
      <c r="T311" s="261">
        <v>0</v>
      </c>
      <c r="U311" s="261">
        <v>0</v>
      </c>
      <c r="V311" s="231">
        <f t="shared" si="85"/>
        <v>0</v>
      </c>
    </row>
    <row r="312" spans="5:22" s="201" customFormat="1" ht="13" hidden="1" outlineLevel="1" x14ac:dyDescent="0.25">
      <c r="E312" s="229"/>
      <c r="F312" s="213" t="str">
        <v>Non AMI - Type 6 Locally read Accumulation - 3 Phase</v>
      </c>
      <c r="G312" s="213">
        <v>0</v>
      </c>
      <c r="H312" s="213" t="str">
        <v>Direct Connect Meter Population</v>
      </c>
      <c r="I312" s="213" t="str">
        <v>Meter Type 6</v>
      </c>
      <c r="J312" s="218">
        <v>0</v>
      </c>
      <c r="K312" s="218" t="str">
        <v>ACC 3ph</v>
      </c>
      <c r="L312" s="221" t="s">
        <v>85</v>
      </c>
      <c r="M312" s="260">
        <f t="shared" si="84"/>
        <v>43617</v>
      </c>
      <c r="O312" s="261">
        <v>0</v>
      </c>
      <c r="P312" s="435">
        <v>0</v>
      </c>
      <c r="Q312" s="437">
        <v>0</v>
      </c>
      <c r="R312" s="261">
        <v>0</v>
      </c>
      <c r="S312" s="261">
        <v>0</v>
      </c>
      <c r="T312" s="261">
        <v>0</v>
      </c>
      <c r="U312" s="261">
        <v>0</v>
      </c>
      <c r="V312" s="231">
        <f t="shared" si="85"/>
        <v>0</v>
      </c>
    </row>
    <row r="313" spans="5:22" s="201" customFormat="1" ht="13" hidden="1" outlineLevel="1" x14ac:dyDescent="0.25">
      <c r="E313" s="229"/>
      <c r="F313" s="213">
        <v>0</v>
      </c>
      <c r="G313" s="213">
        <v>0</v>
      </c>
      <c r="H313" s="213">
        <v>0</v>
      </c>
      <c r="I313" s="213">
        <v>0</v>
      </c>
      <c r="J313" s="218">
        <v>0</v>
      </c>
      <c r="K313" s="218">
        <v>0</v>
      </c>
      <c r="L313" s="221" t="s">
        <v>85</v>
      </c>
      <c r="M313" s="260">
        <f t="shared" si="84"/>
        <v>43617</v>
      </c>
      <c r="O313" s="261">
        <v>0</v>
      </c>
      <c r="P313" s="435">
        <v>0</v>
      </c>
      <c r="Q313" s="437">
        <v>0</v>
      </c>
      <c r="R313" s="261">
        <v>0</v>
      </c>
      <c r="S313" s="261">
        <v>0</v>
      </c>
      <c r="T313" s="261">
        <v>0</v>
      </c>
      <c r="U313" s="261">
        <v>0</v>
      </c>
      <c r="V313" s="231">
        <f t="shared" si="85"/>
        <v>0</v>
      </c>
    </row>
    <row r="314" spans="5:22" s="201" customFormat="1" ht="13" hidden="1" outlineLevel="1" x14ac:dyDescent="0.25">
      <c r="E314" s="229"/>
      <c r="F314" s="213">
        <v>0</v>
      </c>
      <c r="G314" s="213">
        <v>0</v>
      </c>
      <c r="H314" s="213">
        <v>0</v>
      </c>
      <c r="I314" s="213">
        <v>0</v>
      </c>
      <c r="J314" s="218">
        <v>0</v>
      </c>
      <c r="K314" s="218">
        <v>0</v>
      </c>
      <c r="L314" s="221" t="s">
        <v>85</v>
      </c>
      <c r="M314" s="260">
        <f t="shared" si="84"/>
        <v>43617</v>
      </c>
      <c r="O314" s="261">
        <v>0</v>
      </c>
      <c r="P314" s="435">
        <v>0</v>
      </c>
      <c r="Q314" s="437">
        <v>0</v>
      </c>
      <c r="R314" s="261">
        <v>0</v>
      </c>
      <c r="S314" s="261">
        <v>0</v>
      </c>
      <c r="T314" s="261">
        <v>0</v>
      </c>
      <c r="U314" s="261">
        <v>0</v>
      </c>
      <c r="V314" s="231">
        <f t="shared" si="85"/>
        <v>0</v>
      </c>
    </row>
    <row r="315" spans="5:22" s="201" customFormat="1" ht="13" hidden="1" outlineLevel="1" x14ac:dyDescent="0.25">
      <c r="E315" s="229"/>
      <c r="F315" s="213">
        <v>0</v>
      </c>
      <c r="G315" s="213">
        <v>0</v>
      </c>
      <c r="H315" s="213">
        <v>0</v>
      </c>
      <c r="I315" s="213">
        <v>0</v>
      </c>
      <c r="J315" s="218">
        <v>0</v>
      </c>
      <c r="K315" s="218">
        <v>0</v>
      </c>
      <c r="L315" s="221" t="s">
        <v>85</v>
      </c>
      <c r="M315" s="260">
        <f t="shared" si="84"/>
        <v>43617</v>
      </c>
      <c r="O315" s="261">
        <v>0</v>
      </c>
      <c r="P315" s="435">
        <v>0</v>
      </c>
      <c r="Q315" s="437">
        <v>0</v>
      </c>
      <c r="R315" s="261">
        <v>0</v>
      </c>
      <c r="S315" s="261">
        <v>0</v>
      </c>
      <c r="T315" s="261">
        <v>0</v>
      </c>
      <c r="U315" s="261">
        <v>0</v>
      </c>
      <c r="V315" s="231">
        <f t="shared" si="85"/>
        <v>0</v>
      </c>
    </row>
    <row r="316" spans="5:22" s="201" customFormat="1" ht="13" hidden="1" outlineLevel="1" x14ac:dyDescent="0.25">
      <c r="E316" s="229"/>
      <c r="F316" s="213">
        <v>0</v>
      </c>
      <c r="G316" s="213">
        <v>0</v>
      </c>
      <c r="H316" s="213">
        <v>0</v>
      </c>
      <c r="I316" s="213">
        <v>0</v>
      </c>
      <c r="J316" s="218">
        <v>0</v>
      </c>
      <c r="K316" s="218">
        <v>0</v>
      </c>
      <c r="L316" s="221" t="s">
        <v>85</v>
      </c>
      <c r="M316" s="260">
        <f t="shared" si="84"/>
        <v>43617</v>
      </c>
      <c r="O316" s="261">
        <v>0</v>
      </c>
      <c r="P316" s="435">
        <v>0</v>
      </c>
      <c r="Q316" s="437">
        <v>0</v>
      </c>
      <c r="R316" s="261">
        <v>0</v>
      </c>
      <c r="S316" s="261">
        <v>0</v>
      </c>
      <c r="T316" s="261">
        <v>0</v>
      </c>
      <c r="U316" s="261">
        <v>0</v>
      </c>
      <c r="V316" s="231">
        <f t="shared" si="85"/>
        <v>0</v>
      </c>
    </row>
    <row r="317" spans="5:22" s="201" customFormat="1" ht="13" hidden="1" outlineLevel="1" x14ac:dyDescent="0.25">
      <c r="E317" s="229"/>
      <c r="F317" s="213">
        <v>0</v>
      </c>
      <c r="G317" s="213">
        <v>0</v>
      </c>
      <c r="H317" s="213">
        <v>0</v>
      </c>
      <c r="I317" s="213">
        <v>0</v>
      </c>
      <c r="J317" s="218">
        <v>0</v>
      </c>
      <c r="K317" s="218">
        <v>0</v>
      </c>
      <c r="L317" s="221" t="s">
        <v>85</v>
      </c>
      <c r="M317" s="260">
        <f t="shared" si="84"/>
        <v>43617</v>
      </c>
      <c r="O317" s="261">
        <v>0</v>
      </c>
      <c r="P317" s="435">
        <v>0</v>
      </c>
      <c r="Q317" s="437">
        <v>0</v>
      </c>
      <c r="R317" s="261">
        <v>0</v>
      </c>
      <c r="S317" s="261">
        <v>0</v>
      </c>
      <c r="T317" s="261">
        <v>0</v>
      </c>
      <c r="U317" s="261">
        <v>0</v>
      </c>
      <c r="V317" s="231">
        <f t="shared" si="85"/>
        <v>0</v>
      </c>
    </row>
    <row r="318" spans="5:22" s="201" customFormat="1" ht="13" hidden="1" outlineLevel="1" x14ac:dyDescent="0.25">
      <c r="E318" s="229"/>
      <c r="F318" s="213">
        <v>0</v>
      </c>
      <c r="G318" s="213">
        <v>0</v>
      </c>
      <c r="H318" s="213">
        <v>0</v>
      </c>
      <c r="I318" s="213">
        <v>0</v>
      </c>
      <c r="J318" s="218">
        <v>0</v>
      </c>
      <c r="K318" s="218">
        <v>0</v>
      </c>
      <c r="L318" s="221" t="s">
        <v>85</v>
      </c>
      <c r="M318" s="260">
        <f t="shared" si="84"/>
        <v>43617</v>
      </c>
      <c r="O318" s="261">
        <v>0</v>
      </c>
      <c r="P318" s="435">
        <v>0</v>
      </c>
      <c r="Q318" s="437">
        <v>0</v>
      </c>
      <c r="R318" s="261">
        <v>0</v>
      </c>
      <c r="S318" s="261">
        <v>0</v>
      </c>
      <c r="T318" s="261">
        <v>0</v>
      </c>
      <c r="U318" s="261">
        <v>0</v>
      </c>
      <c r="V318" s="231">
        <f t="shared" si="85"/>
        <v>0</v>
      </c>
    </row>
    <row r="319" spans="5:22" s="201" customFormat="1" ht="13" hidden="1" outlineLevel="1" x14ac:dyDescent="0.25">
      <c r="E319" s="229"/>
      <c r="F319" s="151" t="s">
        <v>17</v>
      </c>
      <c r="G319" s="151"/>
      <c r="H319" s="151"/>
      <c r="I319" s="151"/>
      <c r="J319" s="151"/>
      <c r="K319" s="151"/>
      <c r="L319" s="247" t="s">
        <v>85</v>
      </c>
      <c r="M319" s="253">
        <f t="shared" si="84"/>
        <v>43617</v>
      </c>
      <c r="O319" s="232">
        <f t="shared" ref="O319" si="86">SUM(O304:O318)</f>
        <v>0</v>
      </c>
      <c r="P319" s="289">
        <f t="shared" ref="P319:U319" si="87">SUM(P304:P318)</f>
        <v>315000</v>
      </c>
      <c r="Q319" s="290">
        <f t="shared" si="87"/>
        <v>315000</v>
      </c>
      <c r="R319" s="232">
        <f t="shared" si="87"/>
        <v>315000</v>
      </c>
      <c r="S319" s="232">
        <f t="shared" si="87"/>
        <v>315000</v>
      </c>
      <c r="T319" s="232">
        <f t="shared" si="87"/>
        <v>315000</v>
      </c>
      <c r="U319" s="232">
        <f t="shared" si="87"/>
        <v>315000</v>
      </c>
      <c r="V319" s="233">
        <f>SUM(Q319:U319)</f>
        <v>1575000</v>
      </c>
    </row>
    <row r="320" spans="5:22" s="201" customFormat="1" hidden="1" outlineLevel="1" x14ac:dyDescent="0.25">
      <c r="E320" s="229"/>
    </row>
    <row r="321" spans="4:22" s="201" customFormat="1" hidden="1" outlineLevel="1" x14ac:dyDescent="0.25">
      <c r="D321" s="201">
        <v>5</v>
      </c>
      <c r="E321" s="229">
        <f>'Input | Meters Vols &amp; Costs'!$G$33</f>
        <v>0</v>
      </c>
    </row>
    <row r="322" spans="4:22" s="201" customFormat="1" hidden="1" outlineLevel="1" x14ac:dyDescent="0.25">
      <c r="E322" s="229"/>
      <c r="O322"/>
      <c r="P322"/>
      <c r="Q322"/>
      <c r="R322"/>
      <c r="S322"/>
      <c r="T322"/>
      <c r="U322"/>
    </row>
    <row r="323" spans="4:22" s="201" customFormat="1" ht="13" hidden="1" outlineLevel="1" x14ac:dyDescent="0.25">
      <c r="E323" s="229"/>
      <c r="F323" s="121" t="str">
        <f>I_MeterTypes[[#Headers],[Meter Type]]</f>
        <v>Meter Type</v>
      </c>
      <c r="G323" s="121" t="str">
        <f>I_MeterTypes[[#Headers],[RIN Subcategory 1]]</f>
        <v>RIN Subcategory 1</v>
      </c>
      <c r="H323" s="121" t="str">
        <f>I_MeterTypes[[#Headers],[RIN Subcategory 2]]</f>
        <v>RIN Subcategory 2</v>
      </c>
      <c r="I323" s="121" t="str">
        <f>I_MeterTypes[[#Headers],[AER Type]]</f>
        <v>AER Type</v>
      </c>
      <c r="J323" s="121" t="str">
        <f>I_MeterTypes[[#Headers],[RIN Subcategory 3]]</f>
        <v>RIN Subcategory 3</v>
      </c>
      <c r="K323" s="121" t="str">
        <f>I_MeterTypes[[#Headers],[Meter Code]]</f>
        <v>Meter Code</v>
      </c>
      <c r="L323" s="121" t="s">
        <v>6</v>
      </c>
      <c r="M323" s="121" t="s">
        <v>118</v>
      </c>
      <c r="O323" s="234" t="str">
        <f>O$12</f>
        <v>2018-19</v>
      </c>
      <c r="P323" s="234" t="str">
        <f t="shared" ref="P323:U323" si="88">P$12</f>
        <v>2019-20</v>
      </c>
      <c r="Q323" s="436" t="str">
        <f t="shared" si="88"/>
        <v>2020-21</v>
      </c>
      <c r="R323" s="234" t="str">
        <f t="shared" si="88"/>
        <v>2021-22</v>
      </c>
      <c r="S323" s="234" t="str">
        <f t="shared" si="88"/>
        <v>2022-23</v>
      </c>
      <c r="T323" s="234" t="str">
        <f t="shared" si="88"/>
        <v>2023-24</v>
      </c>
      <c r="U323" s="234" t="str">
        <f t="shared" si="88"/>
        <v>2024-25</v>
      </c>
      <c r="V323" s="234" t="s">
        <v>17</v>
      </c>
    </row>
    <row r="324" spans="4:22" s="201" customFormat="1" ht="13" hidden="1" outlineLevel="1" x14ac:dyDescent="0.25">
      <c r="E324" s="229"/>
      <c r="F324" s="213" t="str" cm="1">
        <f t="array" ref="F324:F338">I_MeterTypes[Meter Type]</f>
        <v>AMI - Single Phase, single element</v>
      </c>
      <c r="G324" s="213" t="str" cm="1">
        <f t="array" ref="G324:G338">I_MeterTypes[RIN Subcategory 1]</f>
        <v>Single Phase Meter Population</v>
      </c>
      <c r="H324" s="213" t="str" cm="1">
        <f t="array" ref="H324:H338">I_MeterTypes[RIN Subcategory 2]</f>
        <v>Other</v>
      </c>
      <c r="I324" s="213" t="str" cm="1">
        <f t="array" ref="I324:I338">I_MeterTypes[AER Type]</f>
        <v>Meter Type 4</v>
      </c>
      <c r="J324" s="213" t="str" cm="1">
        <f t="array" ref="J324:J338">I_MeterTypes[RIN Subcategory 3]</f>
        <v>Single phase single element - AMI</v>
      </c>
      <c r="K324" s="213" t="str" cm="1">
        <f t="array" ref="K324:K338">I_MeterTypes[Meter Code]</f>
        <v>AMI 1ph 1e</v>
      </c>
      <c r="L324" s="221" t="s">
        <v>85</v>
      </c>
      <c r="M324" s="260">
        <f t="shared" ref="M324:M339" si="89">Basis_Capex</f>
        <v>43617</v>
      </c>
      <c r="O324" s="261" cm="1">
        <f t="array" ref="O324:U338">'Input | Meters Vols &amp; Costs'!$O249:$U263*ICM_UnitCost*INDEX(ICM_UnitCostSign,$D321)</f>
        <v>0</v>
      </c>
      <c r="P324" s="261">
        <v>0</v>
      </c>
      <c r="Q324" s="261">
        <v>0</v>
      </c>
      <c r="R324" s="261">
        <v>0</v>
      </c>
      <c r="S324" s="261">
        <v>0</v>
      </c>
      <c r="T324" s="261">
        <v>0</v>
      </c>
      <c r="U324" s="261">
        <v>0</v>
      </c>
      <c r="V324" s="231">
        <f t="shared" ref="V324:V338" si="90">SUM(N324:U324)</f>
        <v>0</v>
      </c>
    </row>
    <row r="325" spans="4:22" s="201" customFormat="1" ht="13" hidden="1" outlineLevel="1" x14ac:dyDescent="0.25">
      <c r="E325" s="229"/>
      <c r="F325" s="213" t="str">
        <v>AMI - Single Phase, two element</v>
      </c>
      <c r="G325" s="213" t="str">
        <v>Single Phase Meter Population</v>
      </c>
      <c r="H325" s="213" t="str">
        <v>Other</v>
      </c>
      <c r="I325" s="213" t="str">
        <v>Meter Type 4</v>
      </c>
      <c r="J325" s="218" t="str">
        <v>Single phase two element with contactor - AMI</v>
      </c>
      <c r="K325" s="218" t="str">
        <v>AMI 1ph 2e</v>
      </c>
      <c r="L325" s="221" t="s">
        <v>85</v>
      </c>
      <c r="M325" s="260">
        <f t="shared" si="89"/>
        <v>43617</v>
      </c>
      <c r="O325" s="261">
        <v>0</v>
      </c>
      <c r="P325" s="435">
        <v>0</v>
      </c>
      <c r="Q325" s="437">
        <v>0</v>
      </c>
      <c r="R325" s="261">
        <v>0</v>
      </c>
      <c r="S325" s="261">
        <v>0</v>
      </c>
      <c r="T325" s="261">
        <v>0</v>
      </c>
      <c r="U325" s="261">
        <v>0</v>
      </c>
      <c r="V325" s="231">
        <f t="shared" si="90"/>
        <v>0</v>
      </c>
    </row>
    <row r="326" spans="4:22" s="201" customFormat="1" ht="13" hidden="1" outlineLevel="1" x14ac:dyDescent="0.25">
      <c r="E326" s="229"/>
      <c r="F326" s="213" t="str">
        <v>AMI - 3 Phase DC</v>
      </c>
      <c r="G326" s="213" t="str">
        <v>Multi Phase Meter Population</v>
      </c>
      <c r="H326" s="213" t="str">
        <v>Direct Connect Meter Population</v>
      </c>
      <c r="I326" s="213" t="str">
        <v>Meter Type 4</v>
      </c>
      <c r="J326" s="218" t="str">
        <v>Three phase - AMI</v>
      </c>
      <c r="K326" s="218" t="str">
        <v>AMI 3ph DC</v>
      </c>
      <c r="L326" s="221" t="s">
        <v>85</v>
      </c>
      <c r="M326" s="260">
        <f t="shared" si="89"/>
        <v>43617</v>
      </c>
      <c r="O326" s="261">
        <v>0</v>
      </c>
      <c r="P326" s="435">
        <v>0</v>
      </c>
      <c r="Q326" s="437">
        <v>0</v>
      </c>
      <c r="R326" s="261">
        <v>0</v>
      </c>
      <c r="S326" s="261">
        <v>0</v>
      </c>
      <c r="T326" s="261">
        <v>0</v>
      </c>
      <c r="U326" s="261">
        <v>0</v>
      </c>
      <c r="V326" s="231">
        <f t="shared" si="90"/>
        <v>0</v>
      </c>
    </row>
    <row r="327" spans="4:22" s="201" customFormat="1" ht="13" hidden="1" outlineLevel="1" x14ac:dyDescent="0.25">
      <c r="E327" s="229"/>
      <c r="F327" s="213" t="str">
        <v>AMI 3Ph CT</v>
      </c>
      <c r="G327" s="213" t="str">
        <v>Multi Phase Meter Population</v>
      </c>
      <c r="H327" s="213" t="str">
        <v>Current Transformer Connected Meter Population</v>
      </c>
      <c r="I327" s="213" t="str">
        <v>Meter Type 4</v>
      </c>
      <c r="J327" s="218">
        <v>0</v>
      </c>
      <c r="K327" s="218" t="str">
        <v>AMI 3ph CT</v>
      </c>
      <c r="L327" s="221" t="s">
        <v>85</v>
      </c>
      <c r="M327" s="260">
        <f t="shared" si="89"/>
        <v>43617</v>
      </c>
      <c r="O327" s="261">
        <v>0</v>
      </c>
      <c r="P327" s="435">
        <v>0</v>
      </c>
      <c r="Q327" s="437">
        <v>0</v>
      </c>
      <c r="R327" s="261">
        <v>0</v>
      </c>
      <c r="S327" s="261">
        <v>0</v>
      </c>
      <c r="T327" s="261">
        <v>0</v>
      </c>
      <c r="U327" s="261">
        <v>0</v>
      </c>
      <c r="V327" s="231">
        <f t="shared" si="90"/>
        <v>0</v>
      </c>
    </row>
    <row r="328" spans="4:22" s="201" customFormat="1" ht="13" hidden="1" outlineLevel="1" x14ac:dyDescent="0.25">
      <c r="E328" s="229"/>
      <c r="F328" s="213" t="str">
        <v>Non AMI - Type 5 Locally read Interval - Single Phase</v>
      </c>
      <c r="G328" s="213" t="str">
        <v>Single Phase Meter Population</v>
      </c>
      <c r="H328" s="213" t="str">
        <v>Direct Connect Meter Population</v>
      </c>
      <c r="I328" s="213" t="str">
        <v>Meter Type 5</v>
      </c>
      <c r="J328" s="218">
        <v>0</v>
      </c>
      <c r="K328" s="218" t="str">
        <v>INT 1ph</v>
      </c>
      <c r="L328" s="221" t="s">
        <v>85</v>
      </c>
      <c r="M328" s="260">
        <f t="shared" si="89"/>
        <v>43617</v>
      </c>
      <c r="O328" s="261">
        <v>0</v>
      </c>
      <c r="P328" s="435">
        <v>0</v>
      </c>
      <c r="Q328" s="437">
        <v>0</v>
      </c>
      <c r="R328" s="261">
        <v>0</v>
      </c>
      <c r="S328" s="261">
        <v>0</v>
      </c>
      <c r="T328" s="261">
        <v>0</v>
      </c>
      <c r="U328" s="261">
        <v>0</v>
      </c>
      <c r="V328" s="231">
        <f t="shared" si="90"/>
        <v>0</v>
      </c>
    </row>
    <row r="329" spans="4:22" s="201" customFormat="1" ht="13" hidden="1" outlineLevel="1" x14ac:dyDescent="0.25">
      <c r="E329" s="229"/>
      <c r="F329" s="213" t="str">
        <v>Non AMI - Type 5 Locally read Interval - 3 Phase</v>
      </c>
      <c r="G329" s="213" t="str">
        <v>Single Phase Meter Population</v>
      </c>
      <c r="H329" s="213" t="str">
        <v>Direct Connect Meter Population</v>
      </c>
      <c r="I329" s="213" t="str">
        <v>Meter Type 5</v>
      </c>
      <c r="J329" s="218">
        <v>0</v>
      </c>
      <c r="K329" s="218" t="str">
        <v>INT 3ph</v>
      </c>
      <c r="L329" s="221" t="s">
        <v>85</v>
      </c>
      <c r="M329" s="260">
        <f t="shared" si="89"/>
        <v>43617</v>
      </c>
      <c r="O329" s="261">
        <v>0</v>
      </c>
      <c r="P329" s="435">
        <v>0</v>
      </c>
      <c r="Q329" s="437">
        <v>0</v>
      </c>
      <c r="R329" s="261">
        <v>0</v>
      </c>
      <c r="S329" s="261">
        <v>0</v>
      </c>
      <c r="T329" s="261">
        <v>0</v>
      </c>
      <c r="U329" s="261">
        <v>0</v>
      </c>
      <c r="V329" s="231">
        <f t="shared" si="90"/>
        <v>0</v>
      </c>
    </row>
    <row r="330" spans="4:22" s="201" customFormat="1" ht="13" hidden="1" outlineLevel="1" x14ac:dyDescent="0.25">
      <c r="E330" s="229"/>
      <c r="F330" s="213" t="str">
        <v>Non AMI - Type 5 Locally read Interval - 3 Phase - CT</v>
      </c>
      <c r="G330" s="213" t="str">
        <v>Multi Phase Meter Population</v>
      </c>
      <c r="H330" s="213" t="str">
        <v>Current Transformer Connected Meter Population</v>
      </c>
      <c r="I330" s="213" t="str">
        <v>Meter Type 5</v>
      </c>
      <c r="J330" s="218">
        <v>0</v>
      </c>
      <c r="K330" s="218" t="str">
        <v>INT 3ph CT</v>
      </c>
      <c r="L330" s="221" t="s">
        <v>85</v>
      </c>
      <c r="M330" s="260">
        <f t="shared" si="89"/>
        <v>43617</v>
      </c>
      <c r="O330" s="261">
        <v>0</v>
      </c>
      <c r="P330" s="435">
        <v>0</v>
      </c>
      <c r="Q330" s="437">
        <v>0</v>
      </c>
      <c r="R330" s="261">
        <v>0</v>
      </c>
      <c r="S330" s="261">
        <v>0</v>
      </c>
      <c r="T330" s="261">
        <v>0</v>
      </c>
      <c r="U330" s="261">
        <v>0</v>
      </c>
      <c r="V330" s="231">
        <f t="shared" si="90"/>
        <v>0</v>
      </c>
    </row>
    <row r="331" spans="4:22" s="201" customFormat="1" ht="13" hidden="1" outlineLevel="1" x14ac:dyDescent="0.25">
      <c r="E331" s="229"/>
      <c r="F331" s="213" t="str">
        <v>Non AMI - Type 6 Locally read Accumulation - Single Phase</v>
      </c>
      <c r="G331" s="213" t="str">
        <v>Multi Phase Meter Population</v>
      </c>
      <c r="H331" s="213" t="str">
        <v>Direct Connect Meter Population</v>
      </c>
      <c r="I331" s="213" t="str">
        <v>Meter Type 6</v>
      </c>
      <c r="J331" s="218">
        <v>0</v>
      </c>
      <c r="K331" s="218" t="str">
        <v>ACC 1ph</v>
      </c>
      <c r="L331" s="221" t="s">
        <v>85</v>
      </c>
      <c r="M331" s="260">
        <f t="shared" si="89"/>
        <v>43617</v>
      </c>
      <c r="O331" s="261">
        <v>0</v>
      </c>
      <c r="P331" s="435">
        <v>0</v>
      </c>
      <c r="Q331" s="437">
        <v>0</v>
      </c>
      <c r="R331" s="261">
        <v>0</v>
      </c>
      <c r="S331" s="261">
        <v>0</v>
      </c>
      <c r="T331" s="261">
        <v>0</v>
      </c>
      <c r="U331" s="261">
        <v>0</v>
      </c>
      <c r="V331" s="231">
        <f t="shared" si="90"/>
        <v>0</v>
      </c>
    </row>
    <row r="332" spans="4:22" s="201" customFormat="1" ht="13" hidden="1" outlineLevel="1" x14ac:dyDescent="0.25">
      <c r="E332" s="229"/>
      <c r="F332" s="213" t="str">
        <v>Non AMI - Type 6 Locally read Accumulation - 3 Phase</v>
      </c>
      <c r="G332" s="213">
        <v>0</v>
      </c>
      <c r="H332" s="213" t="str">
        <v>Direct Connect Meter Population</v>
      </c>
      <c r="I332" s="213" t="str">
        <v>Meter Type 6</v>
      </c>
      <c r="J332" s="218">
        <v>0</v>
      </c>
      <c r="K332" s="218" t="str">
        <v>ACC 3ph</v>
      </c>
      <c r="L332" s="221" t="s">
        <v>85</v>
      </c>
      <c r="M332" s="260">
        <f t="shared" si="89"/>
        <v>43617</v>
      </c>
      <c r="O332" s="261">
        <v>0</v>
      </c>
      <c r="P332" s="435">
        <v>0</v>
      </c>
      <c r="Q332" s="437">
        <v>0</v>
      </c>
      <c r="R332" s="261">
        <v>0</v>
      </c>
      <c r="S332" s="261">
        <v>0</v>
      </c>
      <c r="T332" s="261">
        <v>0</v>
      </c>
      <c r="U332" s="261">
        <v>0</v>
      </c>
      <c r="V332" s="231">
        <f t="shared" si="90"/>
        <v>0</v>
      </c>
    </row>
    <row r="333" spans="4:22" s="201" customFormat="1" ht="13" hidden="1" outlineLevel="1" x14ac:dyDescent="0.25">
      <c r="E333" s="229"/>
      <c r="F333" s="213">
        <v>0</v>
      </c>
      <c r="G333" s="213">
        <v>0</v>
      </c>
      <c r="H333" s="213">
        <v>0</v>
      </c>
      <c r="I333" s="213">
        <v>0</v>
      </c>
      <c r="J333" s="218">
        <v>0</v>
      </c>
      <c r="K333" s="218">
        <v>0</v>
      </c>
      <c r="L333" s="221" t="s">
        <v>85</v>
      </c>
      <c r="M333" s="260">
        <f t="shared" si="89"/>
        <v>43617</v>
      </c>
      <c r="O333" s="261">
        <v>0</v>
      </c>
      <c r="P333" s="435">
        <v>0</v>
      </c>
      <c r="Q333" s="437">
        <v>0</v>
      </c>
      <c r="R333" s="261">
        <v>0</v>
      </c>
      <c r="S333" s="261">
        <v>0</v>
      </c>
      <c r="T333" s="261">
        <v>0</v>
      </c>
      <c r="U333" s="261">
        <v>0</v>
      </c>
      <c r="V333" s="231">
        <f t="shared" si="90"/>
        <v>0</v>
      </c>
    </row>
    <row r="334" spans="4:22" s="201" customFormat="1" ht="13" hidden="1" outlineLevel="1" x14ac:dyDescent="0.25">
      <c r="E334" s="229"/>
      <c r="F334" s="213">
        <v>0</v>
      </c>
      <c r="G334" s="213">
        <v>0</v>
      </c>
      <c r="H334" s="213">
        <v>0</v>
      </c>
      <c r="I334" s="213">
        <v>0</v>
      </c>
      <c r="J334" s="218">
        <v>0</v>
      </c>
      <c r="K334" s="218">
        <v>0</v>
      </c>
      <c r="L334" s="221" t="s">
        <v>85</v>
      </c>
      <c r="M334" s="260">
        <f t="shared" si="89"/>
        <v>43617</v>
      </c>
      <c r="O334" s="261">
        <v>0</v>
      </c>
      <c r="P334" s="435">
        <v>0</v>
      </c>
      <c r="Q334" s="437">
        <v>0</v>
      </c>
      <c r="R334" s="261">
        <v>0</v>
      </c>
      <c r="S334" s="261">
        <v>0</v>
      </c>
      <c r="T334" s="261">
        <v>0</v>
      </c>
      <c r="U334" s="261">
        <v>0</v>
      </c>
      <c r="V334" s="231">
        <f t="shared" si="90"/>
        <v>0</v>
      </c>
    </row>
    <row r="335" spans="4:22" s="201" customFormat="1" ht="13" hidden="1" outlineLevel="1" x14ac:dyDescent="0.25">
      <c r="E335" s="229"/>
      <c r="F335" s="213">
        <v>0</v>
      </c>
      <c r="G335" s="213">
        <v>0</v>
      </c>
      <c r="H335" s="213">
        <v>0</v>
      </c>
      <c r="I335" s="213">
        <v>0</v>
      </c>
      <c r="J335" s="218">
        <v>0</v>
      </c>
      <c r="K335" s="218">
        <v>0</v>
      </c>
      <c r="L335" s="221" t="s">
        <v>85</v>
      </c>
      <c r="M335" s="260">
        <f t="shared" si="89"/>
        <v>43617</v>
      </c>
      <c r="O335" s="261">
        <v>0</v>
      </c>
      <c r="P335" s="435">
        <v>0</v>
      </c>
      <c r="Q335" s="437">
        <v>0</v>
      </c>
      <c r="R335" s="261">
        <v>0</v>
      </c>
      <c r="S335" s="261">
        <v>0</v>
      </c>
      <c r="T335" s="261">
        <v>0</v>
      </c>
      <c r="U335" s="261">
        <v>0</v>
      </c>
      <c r="V335" s="231">
        <f t="shared" si="90"/>
        <v>0</v>
      </c>
    </row>
    <row r="336" spans="4:22" s="201" customFormat="1" ht="13" hidden="1" outlineLevel="1" x14ac:dyDescent="0.25">
      <c r="E336" s="229"/>
      <c r="F336" s="213">
        <v>0</v>
      </c>
      <c r="G336" s="213">
        <v>0</v>
      </c>
      <c r="H336" s="213">
        <v>0</v>
      </c>
      <c r="I336" s="213">
        <v>0</v>
      </c>
      <c r="J336" s="218">
        <v>0</v>
      </c>
      <c r="K336" s="218">
        <v>0</v>
      </c>
      <c r="L336" s="221" t="s">
        <v>85</v>
      </c>
      <c r="M336" s="260">
        <f t="shared" si="89"/>
        <v>43617</v>
      </c>
      <c r="O336" s="261">
        <v>0</v>
      </c>
      <c r="P336" s="435">
        <v>0</v>
      </c>
      <c r="Q336" s="437">
        <v>0</v>
      </c>
      <c r="R336" s="261">
        <v>0</v>
      </c>
      <c r="S336" s="261">
        <v>0</v>
      </c>
      <c r="T336" s="261">
        <v>0</v>
      </c>
      <c r="U336" s="261">
        <v>0</v>
      </c>
      <c r="V336" s="231">
        <f t="shared" si="90"/>
        <v>0</v>
      </c>
    </row>
    <row r="337" spans="4:22" s="201" customFormat="1" ht="13" hidden="1" outlineLevel="1" x14ac:dyDescent="0.25">
      <c r="E337" s="229"/>
      <c r="F337" s="213">
        <v>0</v>
      </c>
      <c r="G337" s="213">
        <v>0</v>
      </c>
      <c r="H337" s="213">
        <v>0</v>
      </c>
      <c r="I337" s="213">
        <v>0</v>
      </c>
      <c r="J337" s="218">
        <v>0</v>
      </c>
      <c r="K337" s="218">
        <v>0</v>
      </c>
      <c r="L337" s="221" t="s">
        <v>85</v>
      </c>
      <c r="M337" s="260">
        <f t="shared" si="89"/>
        <v>43617</v>
      </c>
      <c r="O337" s="261">
        <v>0</v>
      </c>
      <c r="P337" s="435">
        <v>0</v>
      </c>
      <c r="Q337" s="437">
        <v>0</v>
      </c>
      <c r="R337" s="261">
        <v>0</v>
      </c>
      <c r="S337" s="261">
        <v>0</v>
      </c>
      <c r="T337" s="261">
        <v>0</v>
      </c>
      <c r="U337" s="261">
        <v>0</v>
      </c>
      <c r="V337" s="231">
        <f t="shared" si="90"/>
        <v>0</v>
      </c>
    </row>
    <row r="338" spans="4:22" s="201" customFormat="1" ht="13" hidden="1" outlineLevel="1" x14ac:dyDescent="0.25">
      <c r="E338" s="229"/>
      <c r="F338" s="213">
        <v>0</v>
      </c>
      <c r="G338" s="213">
        <v>0</v>
      </c>
      <c r="H338" s="213">
        <v>0</v>
      </c>
      <c r="I338" s="213">
        <v>0</v>
      </c>
      <c r="J338" s="218">
        <v>0</v>
      </c>
      <c r="K338" s="218">
        <v>0</v>
      </c>
      <c r="L338" s="221" t="s">
        <v>85</v>
      </c>
      <c r="M338" s="260">
        <f t="shared" si="89"/>
        <v>43617</v>
      </c>
      <c r="O338" s="261">
        <v>0</v>
      </c>
      <c r="P338" s="435">
        <v>0</v>
      </c>
      <c r="Q338" s="437">
        <v>0</v>
      </c>
      <c r="R338" s="261">
        <v>0</v>
      </c>
      <c r="S338" s="261">
        <v>0</v>
      </c>
      <c r="T338" s="261">
        <v>0</v>
      </c>
      <c r="U338" s="261">
        <v>0</v>
      </c>
      <c r="V338" s="231">
        <f t="shared" si="90"/>
        <v>0</v>
      </c>
    </row>
    <row r="339" spans="4:22" s="201" customFormat="1" ht="13" hidden="1" outlineLevel="1" x14ac:dyDescent="0.25">
      <c r="E339" s="229"/>
      <c r="F339" s="151" t="s">
        <v>17</v>
      </c>
      <c r="G339" s="151"/>
      <c r="H339" s="151"/>
      <c r="I339" s="151"/>
      <c r="J339" s="151"/>
      <c r="K339" s="151"/>
      <c r="L339" s="247" t="s">
        <v>85</v>
      </c>
      <c r="M339" s="253">
        <f t="shared" si="89"/>
        <v>43617</v>
      </c>
      <c r="O339" s="232">
        <f t="shared" ref="O339" si="91">SUM(O324:O338)</f>
        <v>0</v>
      </c>
      <c r="P339" s="289">
        <f t="shared" ref="P339:U339" si="92">SUM(P324:P338)</f>
        <v>0</v>
      </c>
      <c r="Q339" s="290">
        <f t="shared" si="92"/>
        <v>0</v>
      </c>
      <c r="R339" s="232">
        <f t="shared" si="92"/>
        <v>0</v>
      </c>
      <c r="S339" s="232">
        <f t="shared" si="92"/>
        <v>0</v>
      </c>
      <c r="T339" s="232">
        <f t="shared" si="92"/>
        <v>0</v>
      </c>
      <c r="U339" s="232">
        <f t="shared" si="92"/>
        <v>0</v>
      </c>
      <c r="V339" s="233">
        <f>SUM(Q339:U339)</f>
        <v>0</v>
      </c>
    </row>
    <row r="340" spans="4:22" s="201" customFormat="1" hidden="1" outlineLevel="1" x14ac:dyDescent="0.25">
      <c r="E340" s="229"/>
    </row>
    <row r="341" spans="4:22" s="201" customFormat="1" hidden="1" outlineLevel="1" x14ac:dyDescent="0.25">
      <c r="D341" s="201">
        <v>6</v>
      </c>
      <c r="E341" s="229">
        <f>'Input | Meters Vols &amp; Costs'!$G$34</f>
        <v>0</v>
      </c>
    </row>
    <row r="342" spans="4:22" s="201" customFormat="1" hidden="1" outlineLevel="1" x14ac:dyDescent="0.25">
      <c r="E342" s="229"/>
      <c r="O342"/>
      <c r="P342"/>
      <c r="Q342"/>
      <c r="R342"/>
      <c r="S342"/>
      <c r="T342"/>
      <c r="U342"/>
    </row>
    <row r="343" spans="4:22" s="201" customFormat="1" ht="13" hidden="1" outlineLevel="1" x14ac:dyDescent="0.25">
      <c r="E343" s="229"/>
      <c r="F343" s="121" t="str">
        <f>I_MeterTypes[[#Headers],[Meter Type]]</f>
        <v>Meter Type</v>
      </c>
      <c r="G343" s="121" t="str">
        <f>I_MeterTypes[[#Headers],[RIN Subcategory 1]]</f>
        <v>RIN Subcategory 1</v>
      </c>
      <c r="H343" s="121" t="str">
        <f>I_MeterTypes[[#Headers],[RIN Subcategory 2]]</f>
        <v>RIN Subcategory 2</v>
      </c>
      <c r="I343" s="121" t="str">
        <f>I_MeterTypes[[#Headers],[AER Type]]</f>
        <v>AER Type</v>
      </c>
      <c r="J343" s="121" t="str">
        <f>I_MeterTypes[[#Headers],[RIN Subcategory 3]]</f>
        <v>RIN Subcategory 3</v>
      </c>
      <c r="K343" s="121" t="str">
        <f>I_MeterTypes[[#Headers],[Meter Code]]</f>
        <v>Meter Code</v>
      </c>
      <c r="L343" s="121" t="s">
        <v>6</v>
      </c>
      <c r="M343" s="121" t="s">
        <v>118</v>
      </c>
      <c r="O343" s="234" t="str">
        <f>O$12</f>
        <v>2018-19</v>
      </c>
      <c r="P343" s="234" t="str">
        <f t="shared" ref="P343:U343" si="93">P$12</f>
        <v>2019-20</v>
      </c>
      <c r="Q343" s="436" t="str">
        <f t="shared" si="93"/>
        <v>2020-21</v>
      </c>
      <c r="R343" s="234" t="str">
        <f t="shared" si="93"/>
        <v>2021-22</v>
      </c>
      <c r="S343" s="234" t="str">
        <f t="shared" si="93"/>
        <v>2022-23</v>
      </c>
      <c r="T343" s="234" t="str">
        <f t="shared" si="93"/>
        <v>2023-24</v>
      </c>
      <c r="U343" s="234" t="str">
        <f t="shared" si="93"/>
        <v>2024-25</v>
      </c>
      <c r="V343" s="234" t="s">
        <v>17</v>
      </c>
    </row>
    <row r="344" spans="4:22" s="201" customFormat="1" ht="13" hidden="1" outlineLevel="1" x14ac:dyDescent="0.25">
      <c r="E344" s="229"/>
      <c r="F344" s="213" t="str" cm="1">
        <f t="array" ref="F344:F358">I_MeterTypes[Meter Type]</f>
        <v>AMI - Single Phase, single element</v>
      </c>
      <c r="G344" s="213" t="str" cm="1">
        <f t="array" ref="G344:G358">I_MeterTypes[RIN Subcategory 1]</f>
        <v>Single Phase Meter Population</v>
      </c>
      <c r="H344" s="213" t="str" cm="1">
        <f t="array" ref="H344:H358">I_MeterTypes[RIN Subcategory 2]</f>
        <v>Other</v>
      </c>
      <c r="I344" s="213" t="str" cm="1">
        <f t="array" ref="I344:I358">I_MeterTypes[AER Type]</f>
        <v>Meter Type 4</v>
      </c>
      <c r="J344" s="213" t="str" cm="1">
        <f t="array" ref="J344:J358">I_MeterTypes[RIN Subcategory 3]</f>
        <v>Single phase single element - AMI</v>
      </c>
      <c r="K344" s="213" t="str" cm="1">
        <f t="array" ref="K344:K358">I_MeterTypes[Meter Code]</f>
        <v>AMI 1ph 1e</v>
      </c>
      <c r="L344" s="221" t="s">
        <v>85</v>
      </c>
      <c r="M344" s="260">
        <f t="shared" ref="M344:M359" si="94">Basis_Capex</f>
        <v>43617</v>
      </c>
      <c r="O344" s="261" cm="1">
        <f t="array" ref="O344:U358">'Input | Meters Vols &amp; Costs'!$O269:$U283*ICM_UnitCost*INDEX(ICM_UnitCostSign,$D341)</f>
        <v>0</v>
      </c>
      <c r="P344" s="435">
        <v>0</v>
      </c>
      <c r="Q344" s="437">
        <v>0</v>
      </c>
      <c r="R344" s="261">
        <v>0</v>
      </c>
      <c r="S344" s="261">
        <v>0</v>
      </c>
      <c r="T344" s="261">
        <v>0</v>
      </c>
      <c r="U344" s="261">
        <v>0</v>
      </c>
      <c r="V344" s="231">
        <f t="shared" ref="V344:V358" si="95">SUM(N344:U344)</f>
        <v>0</v>
      </c>
    </row>
    <row r="345" spans="4:22" s="201" customFormat="1" ht="13" hidden="1" outlineLevel="1" x14ac:dyDescent="0.25">
      <c r="E345" s="229"/>
      <c r="F345" s="213" t="str">
        <v>AMI - Single Phase, two element</v>
      </c>
      <c r="G345" s="213" t="str">
        <v>Single Phase Meter Population</v>
      </c>
      <c r="H345" s="213" t="str">
        <v>Other</v>
      </c>
      <c r="I345" s="213" t="str">
        <v>Meter Type 4</v>
      </c>
      <c r="J345" s="218" t="str">
        <v>Single phase two element with contactor - AMI</v>
      </c>
      <c r="K345" s="218" t="str">
        <v>AMI 1ph 2e</v>
      </c>
      <c r="L345" s="221" t="s">
        <v>85</v>
      </c>
      <c r="M345" s="260">
        <f t="shared" si="94"/>
        <v>43617</v>
      </c>
      <c r="O345" s="261">
        <v>0</v>
      </c>
      <c r="P345" s="435">
        <v>0</v>
      </c>
      <c r="Q345" s="437">
        <v>0</v>
      </c>
      <c r="R345" s="261">
        <v>0</v>
      </c>
      <c r="S345" s="261">
        <v>0</v>
      </c>
      <c r="T345" s="261">
        <v>0</v>
      </c>
      <c r="U345" s="261">
        <v>0</v>
      </c>
      <c r="V345" s="231">
        <f t="shared" si="95"/>
        <v>0</v>
      </c>
    </row>
    <row r="346" spans="4:22" s="201" customFormat="1" ht="13" hidden="1" outlineLevel="1" x14ac:dyDescent="0.25">
      <c r="E346" s="229"/>
      <c r="F346" s="213" t="str">
        <v>AMI - 3 Phase DC</v>
      </c>
      <c r="G346" s="213" t="str">
        <v>Multi Phase Meter Population</v>
      </c>
      <c r="H346" s="213" t="str">
        <v>Direct Connect Meter Population</v>
      </c>
      <c r="I346" s="213" t="str">
        <v>Meter Type 4</v>
      </c>
      <c r="J346" s="218" t="str">
        <v>Three phase - AMI</v>
      </c>
      <c r="K346" s="218" t="str">
        <v>AMI 3ph DC</v>
      </c>
      <c r="L346" s="221" t="s">
        <v>85</v>
      </c>
      <c r="M346" s="260">
        <f t="shared" si="94"/>
        <v>43617</v>
      </c>
      <c r="O346" s="261">
        <v>0</v>
      </c>
      <c r="P346" s="435">
        <v>0</v>
      </c>
      <c r="Q346" s="437">
        <v>0</v>
      </c>
      <c r="R346" s="261">
        <v>0</v>
      </c>
      <c r="S346" s="261">
        <v>0</v>
      </c>
      <c r="T346" s="261">
        <v>0</v>
      </c>
      <c r="U346" s="261">
        <v>0</v>
      </c>
      <c r="V346" s="231">
        <f t="shared" si="95"/>
        <v>0</v>
      </c>
    </row>
    <row r="347" spans="4:22" s="201" customFormat="1" ht="13" hidden="1" outlineLevel="1" x14ac:dyDescent="0.25">
      <c r="E347" s="229"/>
      <c r="F347" s="213" t="str">
        <v>AMI 3Ph CT</v>
      </c>
      <c r="G347" s="213" t="str">
        <v>Multi Phase Meter Population</v>
      </c>
      <c r="H347" s="213" t="str">
        <v>Current Transformer Connected Meter Population</v>
      </c>
      <c r="I347" s="213" t="str">
        <v>Meter Type 4</v>
      </c>
      <c r="J347" s="218">
        <v>0</v>
      </c>
      <c r="K347" s="218" t="str">
        <v>AMI 3ph CT</v>
      </c>
      <c r="L347" s="221" t="s">
        <v>85</v>
      </c>
      <c r="M347" s="260">
        <f t="shared" si="94"/>
        <v>43617</v>
      </c>
      <c r="O347" s="261">
        <v>0</v>
      </c>
      <c r="P347" s="435">
        <v>0</v>
      </c>
      <c r="Q347" s="437">
        <v>0</v>
      </c>
      <c r="R347" s="261">
        <v>0</v>
      </c>
      <c r="S347" s="261">
        <v>0</v>
      </c>
      <c r="T347" s="261">
        <v>0</v>
      </c>
      <c r="U347" s="261">
        <v>0</v>
      </c>
      <c r="V347" s="231">
        <f t="shared" si="95"/>
        <v>0</v>
      </c>
    </row>
    <row r="348" spans="4:22" s="201" customFormat="1" ht="13" hidden="1" outlineLevel="1" x14ac:dyDescent="0.25">
      <c r="E348" s="229"/>
      <c r="F348" s="213" t="str">
        <v>Non AMI - Type 5 Locally read Interval - Single Phase</v>
      </c>
      <c r="G348" s="213" t="str">
        <v>Single Phase Meter Population</v>
      </c>
      <c r="H348" s="213" t="str">
        <v>Direct Connect Meter Population</v>
      </c>
      <c r="I348" s="213" t="str">
        <v>Meter Type 5</v>
      </c>
      <c r="J348" s="218">
        <v>0</v>
      </c>
      <c r="K348" s="218" t="str">
        <v>INT 1ph</v>
      </c>
      <c r="L348" s="221" t="s">
        <v>85</v>
      </c>
      <c r="M348" s="260">
        <f t="shared" si="94"/>
        <v>43617</v>
      </c>
      <c r="O348" s="261">
        <v>0</v>
      </c>
      <c r="P348" s="435">
        <v>0</v>
      </c>
      <c r="Q348" s="437">
        <v>0</v>
      </c>
      <c r="R348" s="261">
        <v>0</v>
      </c>
      <c r="S348" s="261">
        <v>0</v>
      </c>
      <c r="T348" s="261">
        <v>0</v>
      </c>
      <c r="U348" s="261">
        <v>0</v>
      </c>
      <c r="V348" s="231">
        <f t="shared" si="95"/>
        <v>0</v>
      </c>
    </row>
    <row r="349" spans="4:22" s="201" customFormat="1" ht="13" hidden="1" outlineLevel="1" x14ac:dyDescent="0.25">
      <c r="E349" s="229"/>
      <c r="F349" s="213" t="str">
        <v>Non AMI - Type 5 Locally read Interval - 3 Phase</v>
      </c>
      <c r="G349" s="213" t="str">
        <v>Single Phase Meter Population</v>
      </c>
      <c r="H349" s="213" t="str">
        <v>Direct Connect Meter Population</v>
      </c>
      <c r="I349" s="213" t="str">
        <v>Meter Type 5</v>
      </c>
      <c r="J349" s="218">
        <v>0</v>
      </c>
      <c r="K349" s="218" t="str">
        <v>INT 3ph</v>
      </c>
      <c r="L349" s="221" t="s">
        <v>85</v>
      </c>
      <c r="M349" s="260">
        <f t="shared" si="94"/>
        <v>43617</v>
      </c>
      <c r="O349" s="261">
        <v>0</v>
      </c>
      <c r="P349" s="435">
        <v>0</v>
      </c>
      <c r="Q349" s="437">
        <v>0</v>
      </c>
      <c r="R349" s="261">
        <v>0</v>
      </c>
      <c r="S349" s="261">
        <v>0</v>
      </c>
      <c r="T349" s="261">
        <v>0</v>
      </c>
      <c r="U349" s="261">
        <v>0</v>
      </c>
      <c r="V349" s="231">
        <f t="shared" si="95"/>
        <v>0</v>
      </c>
    </row>
    <row r="350" spans="4:22" s="201" customFormat="1" ht="13" hidden="1" outlineLevel="1" x14ac:dyDescent="0.25">
      <c r="E350" s="229"/>
      <c r="F350" s="213" t="str">
        <v>Non AMI - Type 5 Locally read Interval - 3 Phase - CT</v>
      </c>
      <c r="G350" s="213" t="str">
        <v>Multi Phase Meter Population</v>
      </c>
      <c r="H350" s="213" t="str">
        <v>Current Transformer Connected Meter Population</v>
      </c>
      <c r="I350" s="213" t="str">
        <v>Meter Type 5</v>
      </c>
      <c r="J350" s="218">
        <v>0</v>
      </c>
      <c r="K350" s="218" t="str">
        <v>INT 3ph CT</v>
      </c>
      <c r="L350" s="221" t="s">
        <v>85</v>
      </c>
      <c r="M350" s="260">
        <f t="shared" si="94"/>
        <v>43617</v>
      </c>
      <c r="O350" s="261">
        <v>0</v>
      </c>
      <c r="P350" s="435">
        <v>0</v>
      </c>
      <c r="Q350" s="437">
        <v>0</v>
      </c>
      <c r="R350" s="261">
        <v>0</v>
      </c>
      <c r="S350" s="261">
        <v>0</v>
      </c>
      <c r="T350" s="261">
        <v>0</v>
      </c>
      <c r="U350" s="261">
        <v>0</v>
      </c>
      <c r="V350" s="231">
        <f t="shared" si="95"/>
        <v>0</v>
      </c>
    </row>
    <row r="351" spans="4:22" s="201" customFormat="1" ht="13" hidden="1" outlineLevel="1" x14ac:dyDescent="0.25">
      <c r="E351" s="229"/>
      <c r="F351" s="213" t="str">
        <v>Non AMI - Type 6 Locally read Accumulation - Single Phase</v>
      </c>
      <c r="G351" s="213" t="str">
        <v>Multi Phase Meter Population</v>
      </c>
      <c r="H351" s="213" t="str">
        <v>Direct Connect Meter Population</v>
      </c>
      <c r="I351" s="213" t="str">
        <v>Meter Type 6</v>
      </c>
      <c r="J351" s="218">
        <v>0</v>
      </c>
      <c r="K351" s="218" t="str">
        <v>ACC 1ph</v>
      </c>
      <c r="L351" s="221" t="s">
        <v>85</v>
      </c>
      <c r="M351" s="260">
        <f t="shared" si="94"/>
        <v>43617</v>
      </c>
      <c r="O351" s="261">
        <v>0</v>
      </c>
      <c r="P351" s="435">
        <v>0</v>
      </c>
      <c r="Q351" s="437">
        <v>0</v>
      </c>
      <c r="R351" s="261">
        <v>0</v>
      </c>
      <c r="S351" s="261">
        <v>0</v>
      </c>
      <c r="T351" s="261">
        <v>0</v>
      </c>
      <c r="U351" s="261">
        <v>0</v>
      </c>
      <c r="V351" s="231">
        <f t="shared" si="95"/>
        <v>0</v>
      </c>
    </row>
    <row r="352" spans="4:22" s="201" customFormat="1" ht="13" hidden="1" outlineLevel="1" x14ac:dyDescent="0.25">
      <c r="E352" s="229"/>
      <c r="F352" s="213" t="str">
        <v>Non AMI - Type 6 Locally read Accumulation - 3 Phase</v>
      </c>
      <c r="G352" s="213">
        <v>0</v>
      </c>
      <c r="H352" s="213" t="str">
        <v>Direct Connect Meter Population</v>
      </c>
      <c r="I352" s="213" t="str">
        <v>Meter Type 6</v>
      </c>
      <c r="J352" s="218">
        <v>0</v>
      </c>
      <c r="K352" s="218" t="str">
        <v>ACC 3ph</v>
      </c>
      <c r="L352" s="221" t="s">
        <v>85</v>
      </c>
      <c r="M352" s="260">
        <f t="shared" si="94"/>
        <v>43617</v>
      </c>
      <c r="O352" s="261">
        <v>0</v>
      </c>
      <c r="P352" s="435">
        <v>0</v>
      </c>
      <c r="Q352" s="437">
        <v>0</v>
      </c>
      <c r="R352" s="261">
        <v>0</v>
      </c>
      <c r="S352" s="261">
        <v>0</v>
      </c>
      <c r="T352" s="261">
        <v>0</v>
      </c>
      <c r="U352" s="261">
        <v>0</v>
      </c>
      <c r="V352" s="231">
        <f t="shared" si="95"/>
        <v>0</v>
      </c>
    </row>
    <row r="353" spans="4:22" s="201" customFormat="1" ht="13" hidden="1" outlineLevel="1" x14ac:dyDescent="0.25">
      <c r="E353" s="229"/>
      <c r="F353" s="213">
        <v>0</v>
      </c>
      <c r="G353" s="213">
        <v>0</v>
      </c>
      <c r="H353" s="213">
        <v>0</v>
      </c>
      <c r="I353" s="213">
        <v>0</v>
      </c>
      <c r="J353" s="218">
        <v>0</v>
      </c>
      <c r="K353" s="218">
        <v>0</v>
      </c>
      <c r="L353" s="221" t="s">
        <v>85</v>
      </c>
      <c r="M353" s="260">
        <f t="shared" si="94"/>
        <v>43617</v>
      </c>
      <c r="O353" s="261">
        <v>0</v>
      </c>
      <c r="P353" s="435">
        <v>0</v>
      </c>
      <c r="Q353" s="437">
        <v>0</v>
      </c>
      <c r="R353" s="261">
        <v>0</v>
      </c>
      <c r="S353" s="261">
        <v>0</v>
      </c>
      <c r="T353" s="261">
        <v>0</v>
      </c>
      <c r="U353" s="261">
        <v>0</v>
      </c>
      <c r="V353" s="231">
        <f t="shared" si="95"/>
        <v>0</v>
      </c>
    </row>
    <row r="354" spans="4:22" s="201" customFormat="1" ht="13" hidden="1" outlineLevel="1" x14ac:dyDescent="0.25">
      <c r="E354" s="229"/>
      <c r="F354" s="213">
        <v>0</v>
      </c>
      <c r="G354" s="213">
        <v>0</v>
      </c>
      <c r="H354" s="213">
        <v>0</v>
      </c>
      <c r="I354" s="213">
        <v>0</v>
      </c>
      <c r="J354" s="218">
        <v>0</v>
      </c>
      <c r="K354" s="218">
        <v>0</v>
      </c>
      <c r="L354" s="221" t="s">
        <v>85</v>
      </c>
      <c r="M354" s="260">
        <f t="shared" si="94"/>
        <v>43617</v>
      </c>
      <c r="O354" s="261">
        <v>0</v>
      </c>
      <c r="P354" s="435">
        <v>0</v>
      </c>
      <c r="Q354" s="437">
        <v>0</v>
      </c>
      <c r="R354" s="261">
        <v>0</v>
      </c>
      <c r="S354" s="261">
        <v>0</v>
      </c>
      <c r="T354" s="261">
        <v>0</v>
      </c>
      <c r="U354" s="261">
        <v>0</v>
      </c>
      <c r="V354" s="231">
        <f t="shared" si="95"/>
        <v>0</v>
      </c>
    </row>
    <row r="355" spans="4:22" s="201" customFormat="1" ht="13" hidden="1" outlineLevel="1" x14ac:dyDescent="0.25">
      <c r="E355" s="229"/>
      <c r="F355" s="213">
        <v>0</v>
      </c>
      <c r="G355" s="213">
        <v>0</v>
      </c>
      <c r="H355" s="213">
        <v>0</v>
      </c>
      <c r="I355" s="213">
        <v>0</v>
      </c>
      <c r="J355" s="218">
        <v>0</v>
      </c>
      <c r="K355" s="218">
        <v>0</v>
      </c>
      <c r="L355" s="221" t="s">
        <v>85</v>
      </c>
      <c r="M355" s="260">
        <f t="shared" si="94"/>
        <v>43617</v>
      </c>
      <c r="O355" s="261">
        <v>0</v>
      </c>
      <c r="P355" s="435">
        <v>0</v>
      </c>
      <c r="Q355" s="437">
        <v>0</v>
      </c>
      <c r="R355" s="261">
        <v>0</v>
      </c>
      <c r="S355" s="261">
        <v>0</v>
      </c>
      <c r="T355" s="261">
        <v>0</v>
      </c>
      <c r="U355" s="261">
        <v>0</v>
      </c>
      <c r="V355" s="231">
        <f t="shared" si="95"/>
        <v>0</v>
      </c>
    </row>
    <row r="356" spans="4:22" s="201" customFormat="1" ht="13" hidden="1" outlineLevel="1" x14ac:dyDescent="0.25">
      <c r="E356" s="229"/>
      <c r="F356" s="213">
        <v>0</v>
      </c>
      <c r="G356" s="213">
        <v>0</v>
      </c>
      <c r="H356" s="213">
        <v>0</v>
      </c>
      <c r="I356" s="213">
        <v>0</v>
      </c>
      <c r="J356" s="218">
        <v>0</v>
      </c>
      <c r="K356" s="218">
        <v>0</v>
      </c>
      <c r="L356" s="221" t="s">
        <v>85</v>
      </c>
      <c r="M356" s="260">
        <f t="shared" si="94"/>
        <v>43617</v>
      </c>
      <c r="O356" s="261">
        <v>0</v>
      </c>
      <c r="P356" s="435">
        <v>0</v>
      </c>
      <c r="Q356" s="437">
        <v>0</v>
      </c>
      <c r="R356" s="261">
        <v>0</v>
      </c>
      <c r="S356" s="261">
        <v>0</v>
      </c>
      <c r="T356" s="261">
        <v>0</v>
      </c>
      <c r="U356" s="261">
        <v>0</v>
      </c>
      <c r="V356" s="231">
        <f t="shared" si="95"/>
        <v>0</v>
      </c>
    </row>
    <row r="357" spans="4:22" s="201" customFormat="1" ht="13" hidden="1" outlineLevel="1" x14ac:dyDescent="0.25">
      <c r="E357" s="229"/>
      <c r="F357" s="213">
        <v>0</v>
      </c>
      <c r="G357" s="213">
        <v>0</v>
      </c>
      <c r="H357" s="213">
        <v>0</v>
      </c>
      <c r="I357" s="213">
        <v>0</v>
      </c>
      <c r="J357" s="218">
        <v>0</v>
      </c>
      <c r="K357" s="218">
        <v>0</v>
      </c>
      <c r="L357" s="221" t="s">
        <v>85</v>
      </c>
      <c r="M357" s="260">
        <f t="shared" si="94"/>
        <v>43617</v>
      </c>
      <c r="O357" s="261">
        <v>0</v>
      </c>
      <c r="P357" s="435">
        <v>0</v>
      </c>
      <c r="Q357" s="437">
        <v>0</v>
      </c>
      <c r="R357" s="261">
        <v>0</v>
      </c>
      <c r="S357" s="261">
        <v>0</v>
      </c>
      <c r="T357" s="261">
        <v>0</v>
      </c>
      <c r="U357" s="261">
        <v>0</v>
      </c>
      <c r="V357" s="231">
        <f t="shared" si="95"/>
        <v>0</v>
      </c>
    </row>
    <row r="358" spans="4:22" s="201" customFormat="1" ht="13" hidden="1" outlineLevel="1" x14ac:dyDescent="0.25">
      <c r="E358" s="229"/>
      <c r="F358" s="213">
        <v>0</v>
      </c>
      <c r="G358" s="213">
        <v>0</v>
      </c>
      <c r="H358" s="213">
        <v>0</v>
      </c>
      <c r="I358" s="213">
        <v>0</v>
      </c>
      <c r="J358" s="218">
        <v>0</v>
      </c>
      <c r="K358" s="218">
        <v>0</v>
      </c>
      <c r="L358" s="221" t="s">
        <v>85</v>
      </c>
      <c r="M358" s="260">
        <f t="shared" si="94"/>
        <v>43617</v>
      </c>
      <c r="O358" s="261">
        <v>0</v>
      </c>
      <c r="P358" s="435">
        <v>0</v>
      </c>
      <c r="Q358" s="437">
        <v>0</v>
      </c>
      <c r="R358" s="261">
        <v>0</v>
      </c>
      <c r="S358" s="261">
        <v>0</v>
      </c>
      <c r="T358" s="261">
        <v>0</v>
      </c>
      <c r="U358" s="261">
        <v>0</v>
      </c>
      <c r="V358" s="231">
        <f t="shared" si="95"/>
        <v>0</v>
      </c>
    </row>
    <row r="359" spans="4:22" s="201" customFormat="1" ht="13" hidden="1" outlineLevel="1" x14ac:dyDescent="0.25">
      <c r="E359" s="229"/>
      <c r="F359" s="151" t="s">
        <v>17</v>
      </c>
      <c r="G359" s="151"/>
      <c r="H359" s="151"/>
      <c r="I359" s="151"/>
      <c r="J359" s="151"/>
      <c r="K359" s="151"/>
      <c r="L359" s="247" t="s">
        <v>85</v>
      </c>
      <c r="M359" s="253">
        <f t="shared" si="94"/>
        <v>43617</v>
      </c>
      <c r="O359" s="232">
        <f t="shared" ref="O359" si="96">SUM(O344:O358)</f>
        <v>0</v>
      </c>
      <c r="P359" s="289">
        <f t="shared" ref="P359:U359" si="97">SUM(P344:P358)</f>
        <v>0</v>
      </c>
      <c r="Q359" s="290">
        <f t="shared" si="97"/>
        <v>0</v>
      </c>
      <c r="R359" s="232">
        <f t="shared" si="97"/>
        <v>0</v>
      </c>
      <c r="S359" s="232">
        <f t="shared" si="97"/>
        <v>0</v>
      </c>
      <c r="T359" s="232">
        <f t="shared" si="97"/>
        <v>0</v>
      </c>
      <c r="U359" s="232">
        <f t="shared" si="97"/>
        <v>0</v>
      </c>
      <c r="V359" s="233">
        <f>SUM(Q359:U359)</f>
        <v>0</v>
      </c>
    </row>
    <row r="360" spans="4:22" s="201" customFormat="1" hidden="1" outlineLevel="1" x14ac:dyDescent="0.25">
      <c r="E360" s="229"/>
    </row>
    <row r="361" spans="4:22" s="201" customFormat="1" hidden="1" outlineLevel="1" x14ac:dyDescent="0.25">
      <c r="D361" s="201">
        <v>7</v>
      </c>
      <c r="E361" s="229">
        <f>'Input | Meters Vols &amp; Costs'!$G$35</f>
        <v>0</v>
      </c>
    </row>
    <row r="362" spans="4:22" s="201" customFormat="1" hidden="1" outlineLevel="1" x14ac:dyDescent="0.25">
      <c r="E362" s="229"/>
      <c r="O362"/>
      <c r="P362"/>
      <c r="Q362"/>
      <c r="R362"/>
      <c r="S362"/>
      <c r="T362"/>
      <c r="U362"/>
    </row>
    <row r="363" spans="4:22" s="201" customFormat="1" ht="13" hidden="1" outlineLevel="1" x14ac:dyDescent="0.25">
      <c r="E363" s="229"/>
      <c r="F363" s="121" t="str">
        <f>I_MeterTypes[[#Headers],[Meter Type]]</f>
        <v>Meter Type</v>
      </c>
      <c r="G363" s="121" t="str">
        <f>I_MeterTypes[[#Headers],[RIN Subcategory 1]]</f>
        <v>RIN Subcategory 1</v>
      </c>
      <c r="H363" s="121" t="str">
        <f>I_MeterTypes[[#Headers],[RIN Subcategory 2]]</f>
        <v>RIN Subcategory 2</v>
      </c>
      <c r="I363" s="121" t="str">
        <f>I_MeterTypes[[#Headers],[AER Type]]</f>
        <v>AER Type</v>
      </c>
      <c r="J363" s="121" t="str">
        <f>I_MeterTypes[[#Headers],[RIN Subcategory 3]]</f>
        <v>RIN Subcategory 3</v>
      </c>
      <c r="K363" s="121" t="str">
        <f>I_MeterTypes[[#Headers],[Meter Code]]</f>
        <v>Meter Code</v>
      </c>
      <c r="L363" s="121" t="s">
        <v>6</v>
      </c>
      <c r="M363" s="121" t="s">
        <v>118</v>
      </c>
      <c r="O363" s="234" t="str">
        <f>O$12</f>
        <v>2018-19</v>
      </c>
      <c r="P363" s="234" t="str">
        <f t="shared" ref="P363:U363" si="98">P$12</f>
        <v>2019-20</v>
      </c>
      <c r="Q363" s="436" t="str">
        <f t="shared" si="98"/>
        <v>2020-21</v>
      </c>
      <c r="R363" s="234" t="str">
        <f t="shared" si="98"/>
        <v>2021-22</v>
      </c>
      <c r="S363" s="234" t="str">
        <f t="shared" si="98"/>
        <v>2022-23</v>
      </c>
      <c r="T363" s="234" t="str">
        <f t="shared" si="98"/>
        <v>2023-24</v>
      </c>
      <c r="U363" s="234" t="str">
        <f t="shared" si="98"/>
        <v>2024-25</v>
      </c>
      <c r="V363" s="234" t="s">
        <v>17</v>
      </c>
    </row>
    <row r="364" spans="4:22" s="201" customFormat="1" ht="13" hidden="1" outlineLevel="1" x14ac:dyDescent="0.25">
      <c r="E364" s="229"/>
      <c r="F364" s="213" t="str" cm="1">
        <f t="array" ref="F364:F378">I_MeterTypes[Meter Type]</f>
        <v>AMI - Single Phase, single element</v>
      </c>
      <c r="G364" s="213" t="str" cm="1">
        <f t="array" ref="G364:G378">I_MeterTypes[RIN Subcategory 1]</f>
        <v>Single Phase Meter Population</v>
      </c>
      <c r="H364" s="213" t="str" cm="1">
        <f t="array" ref="H364:H378">I_MeterTypes[RIN Subcategory 2]</f>
        <v>Other</v>
      </c>
      <c r="I364" s="213" t="str" cm="1">
        <f t="array" ref="I364:I378">I_MeterTypes[AER Type]</f>
        <v>Meter Type 4</v>
      </c>
      <c r="J364" s="213" t="str" cm="1">
        <f t="array" ref="J364:J378">I_MeterTypes[RIN Subcategory 3]</f>
        <v>Single phase single element - AMI</v>
      </c>
      <c r="K364" s="213" t="str" cm="1">
        <f t="array" ref="K364:K378">I_MeterTypes[Meter Code]</f>
        <v>AMI 1ph 1e</v>
      </c>
      <c r="L364" s="221" t="s">
        <v>85</v>
      </c>
      <c r="M364" s="260">
        <f t="shared" ref="M364:M379" si="99">Basis_Capex</f>
        <v>43617</v>
      </c>
      <c r="O364" s="261" cm="1">
        <f t="array" ref="O364:U378">'Input | Meters Vols &amp; Costs'!$O289:$U303*ICM_UnitCost*INDEX(ICM_UnitCostSign,$D361)</f>
        <v>0</v>
      </c>
      <c r="P364" s="261">
        <v>0</v>
      </c>
      <c r="Q364" s="261">
        <v>0</v>
      </c>
      <c r="R364" s="261">
        <v>0</v>
      </c>
      <c r="S364" s="261">
        <v>0</v>
      </c>
      <c r="T364" s="261">
        <v>0</v>
      </c>
      <c r="U364" s="261">
        <v>0</v>
      </c>
      <c r="V364" s="231">
        <f t="shared" ref="V364:V378" si="100">SUM(N364:U364)</f>
        <v>0</v>
      </c>
    </row>
    <row r="365" spans="4:22" s="201" customFormat="1" ht="13" hidden="1" outlineLevel="1" x14ac:dyDescent="0.25">
      <c r="E365" s="229"/>
      <c r="F365" s="213" t="str">
        <v>AMI - Single Phase, two element</v>
      </c>
      <c r="G365" s="213" t="str">
        <v>Single Phase Meter Population</v>
      </c>
      <c r="H365" s="213" t="str">
        <v>Other</v>
      </c>
      <c r="I365" s="213" t="str">
        <v>Meter Type 4</v>
      </c>
      <c r="J365" s="218" t="str">
        <v>Single phase two element with contactor - AMI</v>
      </c>
      <c r="K365" s="218" t="str">
        <v>AMI 1ph 2e</v>
      </c>
      <c r="L365" s="221" t="s">
        <v>85</v>
      </c>
      <c r="M365" s="260">
        <f t="shared" si="99"/>
        <v>43617</v>
      </c>
      <c r="O365" s="261">
        <v>0</v>
      </c>
      <c r="P365" s="435">
        <v>0</v>
      </c>
      <c r="Q365" s="437">
        <v>0</v>
      </c>
      <c r="R365" s="261">
        <v>0</v>
      </c>
      <c r="S365" s="261">
        <v>0</v>
      </c>
      <c r="T365" s="261">
        <v>0</v>
      </c>
      <c r="U365" s="261">
        <v>0</v>
      </c>
      <c r="V365" s="231">
        <f t="shared" si="100"/>
        <v>0</v>
      </c>
    </row>
    <row r="366" spans="4:22" s="201" customFormat="1" ht="13" hidden="1" outlineLevel="1" x14ac:dyDescent="0.25">
      <c r="E366" s="229"/>
      <c r="F366" s="213" t="str">
        <v>AMI - 3 Phase DC</v>
      </c>
      <c r="G366" s="213" t="str">
        <v>Multi Phase Meter Population</v>
      </c>
      <c r="H366" s="213" t="str">
        <v>Direct Connect Meter Population</v>
      </c>
      <c r="I366" s="213" t="str">
        <v>Meter Type 4</v>
      </c>
      <c r="J366" s="218" t="str">
        <v>Three phase - AMI</v>
      </c>
      <c r="K366" s="218" t="str">
        <v>AMI 3ph DC</v>
      </c>
      <c r="L366" s="221" t="s">
        <v>85</v>
      </c>
      <c r="M366" s="260">
        <f t="shared" si="99"/>
        <v>43617</v>
      </c>
      <c r="O366" s="261">
        <v>0</v>
      </c>
      <c r="P366" s="435">
        <v>0</v>
      </c>
      <c r="Q366" s="437">
        <v>0</v>
      </c>
      <c r="R366" s="261">
        <v>0</v>
      </c>
      <c r="S366" s="261">
        <v>0</v>
      </c>
      <c r="T366" s="261">
        <v>0</v>
      </c>
      <c r="U366" s="261">
        <v>0</v>
      </c>
      <c r="V366" s="231">
        <f t="shared" si="100"/>
        <v>0</v>
      </c>
    </row>
    <row r="367" spans="4:22" s="201" customFormat="1" ht="13" hidden="1" outlineLevel="1" x14ac:dyDescent="0.25">
      <c r="E367" s="229"/>
      <c r="F367" s="213" t="str">
        <v>AMI 3Ph CT</v>
      </c>
      <c r="G367" s="213" t="str">
        <v>Multi Phase Meter Population</v>
      </c>
      <c r="H367" s="213" t="str">
        <v>Current Transformer Connected Meter Population</v>
      </c>
      <c r="I367" s="213" t="str">
        <v>Meter Type 4</v>
      </c>
      <c r="J367" s="218">
        <v>0</v>
      </c>
      <c r="K367" s="218" t="str">
        <v>AMI 3ph CT</v>
      </c>
      <c r="L367" s="221" t="s">
        <v>85</v>
      </c>
      <c r="M367" s="260">
        <f t="shared" si="99"/>
        <v>43617</v>
      </c>
      <c r="O367" s="261">
        <v>0</v>
      </c>
      <c r="P367" s="435">
        <v>0</v>
      </c>
      <c r="Q367" s="437">
        <v>0</v>
      </c>
      <c r="R367" s="261">
        <v>0</v>
      </c>
      <c r="S367" s="261">
        <v>0</v>
      </c>
      <c r="T367" s="261">
        <v>0</v>
      </c>
      <c r="U367" s="261">
        <v>0</v>
      </c>
      <c r="V367" s="231">
        <f t="shared" si="100"/>
        <v>0</v>
      </c>
    </row>
    <row r="368" spans="4:22" s="201" customFormat="1" ht="13" hidden="1" outlineLevel="1" x14ac:dyDescent="0.25">
      <c r="E368" s="229"/>
      <c r="F368" s="213" t="str">
        <v>Non AMI - Type 5 Locally read Interval - Single Phase</v>
      </c>
      <c r="G368" s="213" t="str">
        <v>Single Phase Meter Population</v>
      </c>
      <c r="H368" s="213" t="str">
        <v>Direct Connect Meter Population</v>
      </c>
      <c r="I368" s="213" t="str">
        <v>Meter Type 5</v>
      </c>
      <c r="J368" s="218">
        <v>0</v>
      </c>
      <c r="K368" s="218" t="str">
        <v>INT 1ph</v>
      </c>
      <c r="L368" s="221" t="s">
        <v>85</v>
      </c>
      <c r="M368" s="260">
        <f t="shared" si="99"/>
        <v>43617</v>
      </c>
      <c r="O368" s="261">
        <v>0</v>
      </c>
      <c r="P368" s="435">
        <v>0</v>
      </c>
      <c r="Q368" s="437">
        <v>0</v>
      </c>
      <c r="R368" s="261">
        <v>0</v>
      </c>
      <c r="S368" s="261">
        <v>0</v>
      </c>
      <c r="T368" s="261">
        <v>0</v>
      </c>
      <c r="U368" s="261">
        <v>0</v>
      </c>
      <c r="V368" s="231">
        <f t="shared" si="100"/>
        <v>0</v>
      </c>
    </row>
    <row r="369" spans="4:22" s="201" customFormat="1" ht="13" hidden="1" outlineLevel="1" x14ac:dyDescent="0.25">
      <c r="E369" s="229"/>
      <c r="F369" s="213" t="str">
        <v>Non AMI - Type 5 Locally read Interval - 3 Phase</v>
      </c>
      <c r="G369" s="213" t="str">
        <v>Single Phase Meter Population</v>
      </c>
      <c r="H369" s="213" t="str">
        <v>Direct Connect Meter Population</v>
      </c>
      <c r="I369" s="213" t="str">
        <v>Meter Type 5</v>
      </c>
      <c r="J369" s="218">
        <v>0</v>
      </c>
      <c r="K369" s="218" t="str">
        <v>INT 3ph</v>
      </c>
      <c r="L369" s="221" t="s">
        <v>85</v>
      </c>
      <c r="M369" s="260">
        <f t="shared" si="99"/>
        <v>43617</v>
      </c>
      <c r="O369" s="261">
        <v>0</v>
      </c>
      <c r="P369" s="435">
        <v>0</v>
      </c>
      <c r="Q369" s="437">
        <v>0</v>
      </c>
      <c r="R369" s="261">
        <v>0</v>
      </c>
      <c r="S369" s="261">
        <v>0</v>
      </c>
      <c r="T369" s="261">
        <v>0</v>
      </c>
      <c r="U369" s="261">
        <v>0</v>
      </c>
      <c r="V369" s="231">
        <f t="shared" si="100"/>
        <v>0</v>
      </c>
    </row>
    <row r="370" spans="4:22" s="201" customFormat="1" ht="13" hidden="1" outlineLevel="1" x14ac:dyDescent="0.25">
      <c r="E370" s="229"/>
      <c r="F370" s="213" t="str">
        <v>Non AMI - Type 5 Locally read Interval - 3 Phase - CT</v>
      </c>
      <c r="G370" s="213" t="str">
        <v>Multi Phase Meter Population</v>
      </c>
      <c r="H370" s="213" t="str">
        <v>Current Transformer Connected Meter Population</v>
      </c>
      <c r="I370" s="213" t="str">
        <v>Meter Type 5</v>
      </c>
      <c r="J370" s="218">
        <v>0</v>
      </c>
      <c r="K370" s="218" t="str">
        <v>INT 3ph CT</v>
      </c>
      <c r="L370" s="221" t="s">
        <v>85</v>
      </c>
      <c r="M370" s="260">
        <f t="shared" si="99"/>
        <v>43617</v>
      </c>
      <c r="O370" s="261">
        <v>0</v>
      </c>
      <c r="P370" s="435">
        <v>0</v>
      </c>
      <c r="Q370" s="437">
        <v>0</v>
      </c>
      <c r="R370" s="261">
        <v>0</v>
      </c>
      <c r="S370" s="261">
        <v>0</v>
      </c>
      <c r="T370" s="261">
        <v>0</v>
      </c>
      <c r="U370" s="261">
        <v>0</v>
      </c>
      <c r="V370" s="231">
        <f t="shared" si="100"/>
        <v>0</v>
      </c>
    </row>
    <row r="371" spans="4:22" s="201" customFormat="1" ht="13" hidden="1" outlineLevel="1" x14ac:dyDescent="0.25">
      <c r="E371" s="229"/>
      <c r="F371" s="213" t="str">
        <v>Non AMI - Type 6 Locally read Accumulation - Single Phase</v>
      </c>
      <c r="G371" s="213" t="str">
        <v>Multi Phase Meter Population</v>
      </c>
      <c r="H371" s="213" t="str">
        <v>Direct Connect Meter Population</v>
      </c>
      <c r="I371" s="213" t="str">
        <v>Meter Type 6</v>
      </c>
      <c r="J371" s="218">
        <v>0</v>
      </c>
      <c r="K371" s="218" t="str">
        <v>ACC 1ph</v>
      </c>
      <c r="L371" s="221" t="s">
        <v>85</v>
      </c>
      <c r="M371" s="260">
        <f t="shared" si="99"/>
        <v>43617</v>
      </c>
      <c r="O371" s="261">
        <v>0</v>
      </c>
      <c r="P371" s="435">
        <v>0</v>
      </c>
      <c r="Q371" s="437">
        <v>0</v>
      </c>
      <c r="R371" s="261">
        <v>0</v>
      </c>
      <c r="S371" s="261">
        <v>0</v>
      </c>
      <c r="T371" s="261">
        <v>0</v>
      </c>
      <c r="U371" s="261">
        <v>0</v>
      </c>
      <c r="V371" s="231">
        <f t="shared" si="100"/>
        <v>0</v>
      </c>
    </row>
    <row r="372" spans="4:22" s="201" customFormat="1" ht="13" hidden="1" outlineLevel="1" x14ac:dyDescent="0.25">
      <c r="E372" s="229"/>
      <c r="F372" s="213" t="str">
        <v>Non AMI - Type 6 Locally read Accumulation - 3 Phase</v>
      </c>
      <c r="G372" s="213">
        <v>0</v>
      </c>
      <c r="H372" s="213" t="str">
        <v>Direct Connect Meter Population</v>
      </c>
      <c r="I372" s="213" t="str">
        <v>Meter Type 6</v>
      </c>
      <c r="J372" s="218">
        <v>0</v>
      </c>
      <c r="K372" s="218" t="str">
        <v>ACC 3ph</v>
      </c>
      <c r="L372" s="221" t="s">
        <v>85</v>
      </c>
      <c r="M372" s="260">
        <f t="shared" si="99"/>
        <v>43617</v>
      </c>
      <c r="O372" s="261">
        <v>0</v>
      </c>
      <c r="P372" s="435">
        <v>0</v>
      </c>
      <c r="Q372" s="437">
        <v>0</v>
      </c>
      <c r="R372" s="261">
        <v>0</v>
      </c>
      <c r="S372" s="261">
        <v>0</v>
      </c>
      <c r="T372" s="261">
        <v>0</v>
      </c>
      <c r="U372" s="261">
        <v>0</v>
      </c>
      <c r="V372" s="231">
        <f t="shared" si="100"/>
        <v>0</v>
      </c>
    </row>
    <row r="373" spans="4:22" s="201" customFormat="1" ht="13" hidden="1" outlineLevel="1" x14ac:dyDescent="0.25">
      <c r="E373" s="229"/>
      <c r="F373" s="213">
        <v>0</v>
      </c>
      <c r="G373" s="213">
        <v>0</v>
      </c>
      <c r="H373" s="213">
        <v>0</v>
      </c>
      <c r="I373" s="213">
        <v>0</v>
      </c>
      <c r="J373" s="218">
        <v>0</v>
      </c>
      <c r="K373" s="218">
        <v>0</v>
      </c>
      <c r="L373" s="221" t="s">
        <v>85</v>
      </c>
      <c r="M373" s="260">
        <f t="shared" si="99"/>
        <v>43617</v>
      </c>
      <c r="O373" s="261">
        <v>0</v>
      </c>
      <c r="P373" s="435">
        <v>0</v>
      </c>
      <c r="Q373" s="437">
        <v>0</v>
      </c>
      <c r="R373" s="261">
        <v>0</v>
      </c>
      <c r="S373" s="261">
        <v>0</v>
      </c>
      <c r="T373" s="261">
        <v>0</v>
      </c>
      <c r="U373" s="261">
        <v>0</v>
      </c>
      <c r="V373" s="231">
        <f t="shared" si="100"/>
        <v>0</v>
      </c>
    </row>
    <row r="374" spans="4:22" s="201" customFormat="1" ht="13" hidden="1" outlineLevel="1" x14ac:dyDescent="0.25">
      <c r="E374" s="229"/>
      <c r="F374" s="213">
        <v>0</v>
      </c>
      <c r="G374" s="213">
        <v>0</v>
      </c>
      <c r="H374" s="213">
        <v>0</v>
      </c>
      <c r="I374" s="213">
        <v>0</v>
      </c>
      <c r="J374" s="218">
        <v>0</v>
      </c>
      <c r="K374" s="218">
        <v>0</v>
      </c>
      <c r="L374" s="221" t="s">
        <v>85</v>
      </c>
      <c r="M374" s="260">
        <f t="shared" si="99"/>
        <v>43617</v>
      </c>
      <c r="O374" s="261">
        <v>0</v>
      </c>
      <c r="P374" s="435">
        <v>0</v>
      </c>
      <c r="Q374" s="437">
        <v>0</v>
      </c>
      <c r="R374" s="261">
        <v>0</v>
      </c>
      <c r="S374" s="261">
        <v>0</v>
      </c>
      <c r="T374" s="261">
        <v>0</v>
      </c>
      <c r="U374" s="261">
        <v>0</v>
      </c>
      <c r="V374" s="231">
        <f t="shared" si="100"/>
        <v>0</v>
      </c>
    </row>
    <row r="375" spans="4:22" s="201" customFormat="1" ht="13" hidden="1" outlineLevel="1" x14ac:dyDescent="0.25">
      <c r="E375" s="229"/>
      <c r="F375" s="213">
        <v>0</v>
      </c>
      <c r="G375" s="213">
        <v>0</v>
      </c>
      <c r="H375" s="213">
        <v>0</v>
      </c>
      <c r="I375" s="213">
        <v>0</v>
      </c>
      <c r="J375" s="218">
        <v>0</v>
      </c>
      <c r="K375" s="218">
        <v>0</v>
      </c>
      <c r="L375" s="221" t="s">
        <v>85</v>
      </c>
      <c r="M375" s="260">
        <f t="shared" si="99"/>
        <v>43617</v>
      </c>
      <c r="O375" s="261">
        <v>0</v>
      </c>
      <c r="P375" s="435">
        <v>0</v>
      </c>
      <c r="Q375" s="437">
        <v>0</v>
      </c>
      <c r="R375" s="261">
        <v>0</v>
      </c>
      <c r="S375" s="261">
        <v>0</v>
      </c>
      <c r="T375" s="261">
        <v>0</v>
      </c>
      <c r="U375" s="261">
        <v>0</v>
      </c>
      <c r="V375" s="231">
        <f t="shared" si="100"/>
        <v>0</v>
      </c>
    </row>
    <row r="376" spans="4:22" s="201" customFormat="1" ht="13" hidden="1" outlineLevel="1" x14ac:dyDescent="0.25">
      <c r="E376" s="229"/>
      <c r="F376" s="213">
        <v>0</v>
      </c>
      <c r="G376" s="213">
        <v>0</v>
      </c>
      <c r="H376" s="213">
        <v>0</v>
      </c>
      <c r="I376" s="213">
        <v>0</v>
      </c>
      <c r="J376" s="218">
        <v>0</v>
      </c>
      <c r="K376" s="218">
        <v>0</v>
      </c>
      <c r="L376" s="221" t="s">
        <v>85</v>
      </c>
      <c r="M376" s="260">
        <f t="shared" si="99"/>
        <v>43617</v>
      </c>
      <c r="O376" s="261">
        <v>0</v>
      </c>
      <c r="P376" s="435">
        <v>0</v>
      </c>
      <c r="Q376" s="437">
        <v>0</v>
      </c>
      <c r="R376" s="261">
        <v>0</v>
      </c>
      <c r="S376" s="261">
        <v>0</v>
      </c>
      <c r="T376" s="261">
        <v>0</v>
      </c>
      <c r="U376" s="261">
        <v>0</v>
      </c>
      <c r="V376" s="231">
        <f t="shared" si="100"/>
        <v>0</v>
      </c>
    </row>
    <row r="377" spans="4:22" s="201" customFormat="1" ht="13" hidden="1" outlineLevel="1" x14ac:dyDescent="0.25">
      <c r="E377" s="229"/>
      <c r="F377" s="213">
        <v>0</v>
      </c>
      <c r="G377" s="213">
        <v>0</v>
      </c>
      <c r="H377" s="213">
        <v>0</v>
      </c>
      <c r="I377" s="213">
        <v>0</v>
      </c>
      <c r="J377" s="218">
        <v>0</v>
      </c>
      <c r="K377" s="218">
        <v>0</v>
      </c>
      <c r="L377" s="221" t="s">
        <v>85</v>
      </c>
      <c r="M377" s="260">
        <f t="shared" si="99"/>
        <v>43617</v>
      </c>
      <c r="O377" s="261">
        <v>0</v>
      </c>
      <c r="P377" s="435">
        <v>0</v>
      </c>
      <c r="Q377" s="437">
        <v>0</v>
      </c>
      <c r="R377" s="261">
        <v>0</v>
      </c>
      <c r="S377" s="261">
        <v>0</v>
      </c>
      <c r="T377" s="261">
        <v>0</v>
      </c>
      <c r="U377" s="261">
        <v>0</v>
      </c>
      <c r="V377" s="231">
        <f t="shared" si="100"/>
        <v>0</v>
      </c>
    </row>
    <row r="378" spans="4:22" s="201" customFormat="1" ht="13" hidden="1" outlineLevel="1" x14ac:dyDescent="0.25">
      <c r="E378" s="229"/>
      <c r="F378" s="213">
        <v>0</v>
      </c>
      <c r="G378" s="213">
        <v>0</v>
      </c>
      <c r="H378" s="213">
        <v>0</v>
      </c>
      <c r="I378" s="213">
        <v>0</v>
      </c>
      <c r="J378" s="218">
        <v>0</v>
      </c>
      <c r="K378" s="218">
        <v>0</v>
      </c>
      <c r="L378" s="221" t="s">
        <v>85</v>
      </c>
      <c r="M378" s="260">
        <f t="shared" si="99"/>
        <v>43617</v>
      </c>
      <c r="O378" s="261">
        <v>0</v>
      </c>
      <c r="P378" s="435">
        <v>0</v>
      </c>
      <c r="Q378" s="437">
        <v>0</v>
      </c>
      <c r="R378" s="261">
        <v>0</v>
      </c>
      <c r="S378" s="261">
        <v>0</v>
      </c>
      <c r="T378" s="261">
        <v>0</v>
      </c>
      <c r="U378" s="261">
        <v>0</v>
      </c>
      <c r="V378" s="231">
        <f t="shared" si="100"/>
        <v>0</v>
      </c>
    </row>
    <row r="379" spans="4:22" s="201" customFormat="1" ht="13" hidden="1" outlineLevel="1" x14ac:dyDescent="0.25">
      <c r="E379" s="229"/>
      <c r="F379" s="151" t="s">
        <v>17</v>
      </c>
      <c r="G379" s="151"/>
      <c r="H379" s="151"/>
      <c r="I379" s="151"/>
      <c r="J379" s="151"/>
      <c r="K379" s="151"/>
      <c r="L379" s="247" t="s">
        <v>85</v>
      </c>
      <c r="M379" s="253">
        <f t="shared" si="99"/>
        <v>43617</v>
      </c>
      <c r="O379" s="232">
        <f t="shared" ref="O379" si="101">SUM(O364:O378)</f>
        <v>0</v>
      </c>
      <c r="P379" s="289">
        <f t="shared" ref="P379:U379" si="102">SUM(P364:P378)</f>
        <v>0</v>
      </c>
      <c r="Q379" s="290">
        <f t="shared" si="102"/>
        <v>0</v>
      </c>
      <c r="R379" s="232">
        <f t="shared" si="102"/>
        <v>0</v>
      </c>
      <c r="S379" s="232">
        <f t="shared" si="102"/>
        <v>0</v>
      </c>
      <c r="T379" s="232">
        <f t="shared" si="102"/>
        <v>0</v>
      </c>
      <c r="U379" s="232">
        <f t="shared" si="102"/>
        <v>0</v>
      </c>
      <c r="V379" s="233">
        <f>SUM(Q379:U379)</f>
        <v>0</v>
      </c>
    </row>
    <row r="380" spans="4:22" s="201" customFormat="1" hidden="1" outlineLevel="1" x14ac:dyDescent="0.25">
      <c r="E380" s="229"/>
    </row>
    <row r="381" spans="4:22" s="201" customFormat="1" hidden="1" outlineLevel="1" x14ac:dyDescent="0.25">
      <c r="D381" s="201">
        <v>8</v>
      </c>
      <c r="E381" s="229">
        <f>'Input | Meters Vols &amp; Costs'!$G$36</f>
        <v>0</v>
      </c>
    </row>
    <row r="382" spans="4:22" s="201" customFormat="1" hidden="1" outlineLevel="1" x14ac:dyDescent="0.25">
      <c r="E382" s="229"/>
      <c r="O382"/>
      <c r="P382"/>
      <c r="Q382"/>
      <c r="R382"/>
      <c r="S382"/>
      <c r="T382"/>
      <c r="U382"/>
    </row>
    <row r="383" spans="4:22" s="201" customFormat="1" ht="13" hidden="1" outlineLevel="1" x14ac:dyDescent="0.25">
      <c r="E383" s="229"/>
      <c r="F383" s="121" t="str">
        <f>I_MeterTypes[[#Headers],[Meter Type]]</f>
        <v>Meter Type</v>
      </c>
      <c r="G383" s="121" t="str">
        <f>I_MeterTypes[[#Headers],[RIN Subcategory 1]]</f>
        <v>RIN Subcategory 1</v>
      </c>
      <c r="H383" s="121" t="str">
        <f>I_MeterTypes[[#Headers],[RIN Subcategory 2]]</f>
        <v>RIN Subcategory 2</v>
      </c>
      <c r="I383" s="121" t="str">
        <f>I_MeterTypes[[#Headers],[AER Type]]</f>
        <v>AER Type</v>
      </c>
      <c r="J383" s="121" t="str">
        <f>I_MeterTypes[[#Headers],[RIN Subcategory 3]]</f>
        <v>RIN Subcategory 3</v>
      </c>
      <c r="K383" s="121" t="str">
        <f>I_MeterTypes[[#Headers],[Meter Code]]</f>
        <v>Meter Code</v>
      </c>
      <c r="L383" s="121" t="s">
        <v>6</v>
      </c>
      <c r="M383" s="121" t="s">
        <v>118</v>
      </c>
      <c r="O383" s="234" t="str">
        <f>O$12</f>
        <v>2018-19</v>
      </c>
      <c r="P383" s="234" t="str">
        <f t="shared" ref="P383:U383" si="103">P$12</f>
        <v>2019-20</v>
      </c>
      <c r="Q383" s="436" t="str">
        <f t="shared" si="103"/>
        <v>2020-21</v>
      </c>
      <c r="R383" s="234" t="str">
        <f t="shared" si="103"/>
        <v>2021-22</v>
      </c>
      <c r="S383" s="234" t="str">
        <f t="shared" si="103"/>
        <v>2022-23</v>
      </c>
      <c r="T383" s="234" t="str">
        <f t="shared" si="103"/>
        <v>2023-24</v>
      </c>
      <c r="U383" s="234" t="str">
        <f t="shared" si="103"/>
        <v>2024-25</v>
      </c>
      <c r="V383" s="234" t="s">
        <v>17</v>
      </c>
    </row>
    <row r="384" spans="4:22" s="201" customFormat="1" ht="13" hidden="1" outlineLevel="1" x14ac:dyDescent="0.25">
      <c r="E384" s="229"/>
      <c r="F384" s="213" t="str" cm="1">
        <f t="array" ref="F384:F398">I_MeterTypes[Meter Type]</f>
        <v>AMI - Single Phase, single element</v>
      </c>
      <c r="G384" s="213" t="str" cm="1">
        <f t="array" ref="G384:G398">I_MeterTypes[RIN Subcategory 1]</f>
        <v>Single Phase Meter Population</v>
      </c>
      <c r="H384" s="213" t="str" cm="1">
        <f t="array" ref="H384:H398">I_MeterTypes[RIN Subcategory 2]</f>
        <v>Other</v>
      </c>
      <c r="I384" s="213" t="str" cm="1">
        <f t="array" ref="I384:I398">I_MeterTypes[AER Type]</f>
        <v>Meter Type 4</v>
      </c>
      <c r="J384" s="213" t="str" cm="1">
        <f t="array" ref="J384:J398">I_MeterTypes[RIN Subcategory 3]</f>
        <v>Single phase single element - AMI</v>
      </c>
      <c r="K384" s="213" t="str" cm="1">
        <f t="array" ref="K384:K398">I_MeterTypes[Meter Code]</f>
        <v>AMI 1ph 1e</v>
      </c>
      <c r="L384" s="221" t="s">
        <v>85</v>
      </c>
      <c r="M384" s="260">
        <f t="shared" ref="M384:M399" si="104">Basis_Capex</f>
        <v>43617</v>
      </c>
      <c r="O384" s="261" cm="1">
        <f t="array" ref="O384:U398">'Input | Meters Vols &amp; Costs'!$O309:$U323*ICM_UnitCost*INDEX(ICM_UnitCostSign,$D381)</f>
        <v>0</v>
      </c>
      <c r="P384" s="261">
        <v>0</v>
      </c>
      <c r="Q384" s="261">
        <v>0</v>
      </c>
      <c r="R384" s="261">
        <v>0</v>
      </c>
      <c r="S384" s="261">
        <v>0</v>
      </c>
      <c r="T384" s="261">
        <v>0</v>
      </c>
      <c r="U384" s="261">
        <v>0</v>
      </c>
      <c r="V384" s="231">
        <f t="shared" ref="V384:V398" si="105">SUM(N384:U384)</f>
        <v>0</v>
      </c>
    </row>
    <row r="385" spans="5:22" s="201" customFormat="1" ht="13" hidden="1" outlineLevel="1" x14ac:dyDescent="0.25">
      <c r="E385" s="229"/>
      <c r="F385" s="213" t="str">
        <v>AMI - Single Phase, two element</v>
      </c>
      <c r="G385" s="213" t="str">
        <v>Single Phase Meter Population</v>
      </c>
      <c r="H385" s="213" t="str">
        <v>Other</v>
      </c>
      <c r="I385" s="213" t="str">
        <v>Meter Type 4</v>
      </c>
      <c r="J385" s="218" t="str">
        <v>Single phase two element with contactor - AMI</v>
      </c>
      <c r="K385" s="218" t="str">
        <v>AMI 1ph 2e</v>
      </c>
      <c r="L385" s="221" t="s">
        <v>85</v>
      </c>
      <c r="M385" s="260">
        <f t="shared" si="104"/>
        <v>43617</v>
      </c>
      <c r="O385" s="261">
        <v>0</v>
      </c>
      <c r="P385" s="435">
        <v>0</v>
      </c>
      <c r="Q385" s="437">
        <v>0</v>
      </c>
      <c r="R385" s="261">
        <v>0</v>
      </c>
      <c r="S385" s="261">
        <v>0</v>
      </c>
      <c r="T385" s="261">
        <v>0</v>
      </c>
      <c r="U385" s="261">
        <v>0</v>
      </c>
      <c r="V385" s="231">
        <f t="shared" si="105"/>
        <v>0</v>
      </c>
    </row>
    <row r="386" spans="5:22" s="201" customFormat="1" ht="13" hidden="1" outlineLevel="1" x14ac:dyDescent="0.25">
      <c r="E386" s="229"/>
      <c r="F386" s="213" t="str">
        <v>AMI - 3 Phase DC</v>
      </c>
      <c r="G386" s="213" t="str">
        <v>Multi Phase Meter Population</v>
      </c>
      <c r="H386" s="213" t="str">
        <v>Direct Connect Meter Population</v>
      </c>
      <c r="I386" s="213" t="str">
        <v>Meter Type 4</v>
      </c>
      <c r="J386" s="218" t="str">
        <v>Three phase - AMI</v>
      </c>
      <c r="K386" s="218" t="str">
        <v>AMI 3ph DC</v>
      </c>
      <c r="L386" s="221" t="s">
        <v>85</v>
      </c>
      <c r="M386" s="260">
        <f t="shared" si="104"/>
        <v>43617</v>
      </c>
      <c r="O386" s="261">
        <v>0</v>
      </c>
      <c r="P386" s="435">
        <v>0</v>
      </c>
      <c r="Q386" s="437">
        <v>0</v>
      </c>
      <c r="R386" s="261">
        <v>0</v>
      </c>
      <c r="S386" s="261">
        <v>0</v>
      </c>
      <c r="T386" s="261">
        <v>0</v>
      </c>
      <c r="U386" s="261">
        <v>0</v>
      </c>
      <c r="V386" s="231">
        <f t="shared" si="105"/>
        <v>0</v>
      </c>
    </row>
    <row r="387" spans="5:22" s="201" customFormat="1" ht="13" hidden="1" outlineLevel="1" x14ac:dyDescent="0.25">
      <c r="E387" s="229"/>
      <c r="F387" s="213" t="str">
        <v>AMI 3Ph CT</v>
      </c>
      <c r="G387" s="213" t="str">
        <v>Multi Phase Meter Population</v>
      </c>
      <c r="H387" s="213" t="str">
        <v>Current Transformer Connected Meter Population</v>
      </c>
      <c r="I387" s="213" t="str">
        <v>Meter Type 4</v>
      </c>
      <c r="J387" s="218">
        <v>0</v>
      </c>
      <c r="K387" s="218" t="str">
        <v>AMI 3ph CT</v>
      </c>
      <c r="L387" s="221" t="s">
        <v>85</v>
      </c>
      <c r="M387" s="260">
        <f t="shared" si="104"/>
        <v>43617</v>
      </c>
      <c r="O387" s="261">
        <v>0</v>
      </c>
      <c r="P387" s="435">
        <v>0</v>
      </c>
      <c r="Q387" s="437">
        <v>0</v>
      </c>
      <c r="R387" s="261">
        <v>0</v>
      </c>
      <c r="S387" s="261">
        <v>0</v>
      </c>
      <c r="T387" s="261">
        <v>0</v>
      </c>
      <c r="U387" s="261">
        <v>0</v>
      </c>
      <c r="V387" s="231">
        <f t="shared" si="105"/>
        <v>0</v>
      </c>
    </row>
    <row r="388" spans="5:22" s="201" customFormat="1" ht="13" hidden="1" outlineLevel="1" x14ac:dyDescent="0.25">
      <c r="E388" s="229"/>
      <c r="F388" s="213" t="str">
        <v>Non AMI - Type 5 Locally read Interval - Single Phase</v>
      </c>
      <c r="G388" s="213" t="str">
        <v>Single Phase Meter Population</v>
      </c>
      <c r="H388" s="213" t="str">
        <v>Direct Connect Meter Population</v>
      </c>
      <c r="I388" s="213" t="str">
        <v>Meter Type 5</v>
      </c>
      <c r="J388" s="218">
        <v>0</v>
      </c>
      <c r="K388" s="218" t="str">
        <v>INT 1ph</v>
      </c>
      <c r="L388" s="221" t="s">
        <v>85</v>
      </c>
      <c r="M388" s="260">
        <f t="shared" si="104"/>
        <v>43617</v>
      </c>
      <c r="O388" s="261">
        <v>0</v>
      </c>
      <c r="P388" s="435">
        <v>0</v>
      </c>
      <c r="Q388" s="437">
        <v>0</v>
      </c>
      <c r="R388" s="261">
        <v>0</v>
      </c>
      <c r="S388" s="261">
        <v>0</v>
      </c>
      <c r="T388" s="261">
        <v>0</v>
      </c>
      <c r="U388" s="261">
        <v>0</v>
      </c>
      <c r="V388" s="231">
        <f t="shared" si="105"/>
        <v>0</v>
      </c>
    </row>
    <row r="389" spans="5:22" s="201" customFormat="1" ht="13" hidden="1" outlineLevel="1" x14ac:dyDescent="0.25">
      <c r="E389" s="229"/>
      <c r="F389" s="213" t="str">
        <v>Non AMI - Type 5 Locally read Interval - 3 Phase</v>
      </c>
      <c r="G389" s="213" t="str">
        <v>Single Phase Meter Population</v>
      </c>
      <c r="H389" s="213" t="str">
        <v>Direct Connect Meter Population</v>
      </c>
      <c r="I389" s="213" t="str">
        <v>Meter Type 5</v>
      </c>
      <c r="J389" s="218">
        <v>0</v>
      </c>
      <c r="K389" s="218" t="str">
        <v>INT 3ph</v>
      </c>
      <c r="L389" s="221" t="s">
        <v>85</v>
      </c>
      <c r="M389" s="260">
        <f t="shared" si="104"/>
        <v>43617</v>
      </c>
      <c r="O389" s="261">
        <v>0</v>
      </c>
      <c r="P389" s="435">
        <v>0</v>
      </c>
      <c r="Q389" s="437">
        <v>0</v>
      </c>
      <c r="R389" s="261">
        <v>0</v>
      </c>
      <c r="S389" s="261">
        <v>0</v>
      </c>
      <c r="T389" s="261">
        <v>0</v>
      </c>
      <c r="U389" s="261">
        <v>0</v>
      </c>
      <c r="V389" s="231">
        <f t="shared" si="105"/>
        <v>0</v>
      </c>
    </row>
    <row r="390" spans="5:22" s="201" customFormat="1" ht="13" hidden="1" outlineLevel="1" x14ac:dyDescent="0.25">
      <c r="E390" s="229"/>
      <c r="F390" s="213" t="str">
        <v>Non AMI - Type 5 Locally read Interval - 3 Phase - CT</v>
      </c>
      <c r="G390" s="213" t="str">
        <v>Multi Phase Meter Population</v>
      </c>
      <c r="H390" s="213" t="str">
        <v>Current Transformer Connected Meter Population</v>
      </c>
      <c r="I390" s="213" t="str">
        <v>Meter Type 5</v>
      </c>
      <c r="J390" s="218">
        <v>0</v>
      </c>
      <c r="K390" s="218" t="str">
        <v>INT 3ph CT</v>
      </c>
      <c r="L390" s="221" t="s">
        <v>85</v>
      </c>
      <c r="M390" s="260">
        <f t="shared" si="104"/>
        <v>43617</v>
      </c>
      <c r="O390" s="261">
        <v>0</v>
      </c>
      <c r="P390" s="435">
        <v>0</v>
      </c>
      <c r="Q390" s="437">
        <v>0</v>
      </c>
      <c r="R390" s="261">
        <v>0</v>
      </c>
      <c r="S390" s="261">
        <v>0</v>
      </c>
      <c r="T390" s="261">
        <v>0</v>
      </c>
      <c r="U390" s="261">
        <v>0</v>
      </c>
      <c r="V390" s="231">
        <f t="shared" si="105"/>
        <v>0</v>
      </c>
    </row>
    <row r="391" spans="5:22" s="201" customFormat="1" ht="13" hidden="1" outlineLevel="1" x14ac:dyDescent="0.25">
      <c r="E391" s="229"/>
      <c r="F391" s="213" t="str">
        <v>Non AMI - Type 6 Locally read Accumulation - Single Phase</v>
      </c>
      <c r="G391" s="213" t="str">
        <v>Multi Phase Meter Population</v>
      </c>
      <c r="H391" s="213" t="str">
        <v>Direct Connect Meter Population</v>
      </c>
      <c r="I391" s="213" t="str">
        <v>Meter Type 6</v>
      </c>
      <c r="J391" s="218">
        <v>0</v>
      </c>
      <c r="K391" s="218" t="str">
        <v>ACC 1ph</v>
      </c>
      <c r="L391" s="221" t="s">
        <v>85</v>
      </c>
      <c r="M391" s="260">
        <f t="shared" si="104"/>
        <v>43617</v>
      </c>
      <c r="N391" s="228"/>
      <c r="O391" s="261">
        <v>0</v>
      </c>
      <c r="P391" s="435">
        <v>0</v>
      </c>
      <c r="Q391" s="437">
        <v>0</v>
      </c>
      <c r="R391" s="261">
        <v>0</v>
      </c>
      <c r="S391" s="261">
        <v>0</v>
      </c>
      <c r="T391" s="261">
        <v>0</v>
      </c>
      <c r="U391" s="261">
        <v>0</v>
      </c>
      <c r="V391" s="231">
        <f t="shared" si="105"/>
        <v>0</v>
      </c>
    </row>
    <row r="392" spans="5:22" s="201" customFormat="1" ht="13" hidden="1" outlineLevel="1" x14ac:dyDescent="0.25">
      <c r="E392" s="229"/>
      <c r="F392" s="213" t="str">
        <v>Non AMI - Type 6 Locally read Accumulation - 3 Phase</v>
      </c>
      <c r="G392" s="213">
        <v>0</v>
      </c>
      <c r="H392" s="213" t="str">
        <v>Direct Connect Meter Population</v>
      </c>
      <c r="I392" s="213" t="str">
        <v>Meter Type 6</v>
      </c>
      <c r="J392" s="218">
        <v>0</v>
      </c>
      <c r="K392" s="218" t="str">
        <v>ACC 3ph</v>
      </c>
      <c r="L392" s="221" t="s">
        <v>85</v>
      </c>
      <c r="M392" s="260">
        <f t="shared" si="104"/>
        <v>43617</v>
      </c>
      <c r="N392" s="228"/>
      <c r="O392" s="261">
        <v>0</v>
      </c>
      <c r="P392" s="435">
        <v>0</v>
      </c>
      <c r="Q392" s="437">
        <v>0</v>
      </c>
      <c r="R392" s="261">
        <v>0</v>
      </c>
      <c r="S392" s="261">
        <v>0</v>
      </c>
      <c r="T392" s="261">
        <v>0</v>
      </c>
      <c r="U392" s="261">
        <v>0</v>
      </c>
      <c r="V392" s="231">
        <f t="shared" si="105"/>
        <v>0</v>
      </c>
    </row>
    <row r="393" spans="5:22" s="201" customFormat="1" ht="13" hidden="1" outlineLevel="1" x14ac:dyDescent="0.25">
      <c r="E393" s="229"/>
      <c r="F393" s="213">
        <v>0</v>
      </c>
      <c r="G393" s="213">
        <v>0</v>
      </c>
      <c r="H393" s="213">
        <v>0</v>
      </c>
      <c r="I393" s="213">
        <v>0</v>
      </c>
      <c r="J393" s="218">
        <v>0</v>
      </c>
      <c r="K393" s="218">
        <v>0</v>
      </c>
      <c r="L393" s="221" t="s">
        <v>85</v>
      </c>
      <c r="M393" s="260">
        <f t="shared" si="104"/>
        <v>43617</v>
      </c>
      <c r="N393" s="228"/>
      <c r="O393" s="261">
        <v>0</v>
      </c>
      <c r="P393" s="435">
        <v>0</v>
      </c>
      <c r="Q393" s="437">
        <v>0</v>
      </c>
      <c r="R393" s="261">
        <v>0</v>
      </c>
      <c r="S393" s="261">
        <v>0</v>
      </c>
      <c r="T393" s="261">
        <v>0</v>
      </c>
      <c r="U393" s="261">
        <v>0</v>
      </c>
      <c r="V393" s="231">
        <f t="shared" si="105"/>
        <v>0</v>
      </c>
    </row>
    <row r="394" spans="5:22" s="201" customFormat="1" ht="13" hidden="1" outlineLevel="1" x14ac:dyDescent="0.25">
      <c r="E394" s="229"/>
      <c r="F394" s="213">
        <v>0</v>
      </c>
      <c r="G394" s="213">
        <v>0</v>
      </c>
      <c r="H394" s="213">
        <v>0</v>
      </c>
      <c r="I394" s="213">
        <v>0</v>
      </c>
      <c r="J394" s="218">
        <v>0</v>
      </c>
      <c r="K394" s="218">
        <v>0</v>
      </c>
      <c r="L394" s="221" t="s">
        <v>85</v>
      </c>
      <c r="M394" s="260">
        <f t="shared" si="104"/>
        <v>43617</v>
      </c>
      <c r="N394" s="228"/>
      <c r="O394" s="261">
        <v>0</v>
      </c>
      <c r="P394" s="435">
        <v>0</v>
      </c>
      <c r="Q394" s="437">
        <v>0</v>
      </c>
      <c r="R394" s="261">
        <v>0</v>
      </c>
      <c r="S394" s="261">
        <v>0</v>
      </c>
      <c r="T394" s="261">
        <v>0</v>
      </c>
      <c r="U394" s="261">
        <v>0</v>
      </c>
      <c r="V394" s="231">
        <f t="shared" si="105"/>
        <v>0</v>
      </c>
    </row>
    <row r="395" spans="5:22" s="201" customFormat="1" ht="13" hidden="1" outlineLevel="1" x14ac:dyDescent="0.25">
      <c r="E395" s="229"/>
      <c r="F395" s="213">
        <v>0</v>
      </c>
      <c r="G395" s="213">
        <v>0</v>
      </c>
      <c r="H395" s="213">
        <v>0</v>
      </c>
      <c r="I395" s="213">
        <v>0</v>
      </c>
      <c r="J395" s="218">
        <v>0</v>
      </c>
      <c r="K395" s="218">
        <v>0</v>
      </c>
      <c r="L395" s="221" t="s">
        <v>85</v>
      </c>
      <c r="M395" s="260">
        <f t="shared" si="104"/>
        <v>43617</v>
      </c>
      <c r="N395" s="228"/>
      <c r="O395" s="261">
        <v>0</v>
      </c>
      <c r="P395" s="435">
        <v>0</v>
      </c>
      <c r="Q395" s="437">
        <v>0</v>
      </c>
      <c r="R395" s="261">
        <v>0</v>
      </c>
      <c r="S395" s="261">
        <v>0</v>
      </c>
      <c r="T395" s="261">
        <v>0</v>
      </c>
      <c r="U395" s="261">
        <v>0</v>
      </c>
      <c r="V395" s="231">
        <f t="shared" si="105"/>
        <v>0</v>
      </c>
    </row>
    <row r="396" spans="5:22" s="201" customFormat="1" ht="13" hidden="1" outlineLevel="1" x14ac:dyDescent="0.25">
      <c r="E396" s="229"/>
      <c r="F396" s="213">
        <v>0</v>
      </c>
      <c r="G396" s="213">
        <v>0</v>
      </c>
      <c r="H396" s="213">
        <v>0</v>
      </c>
      <c r="I396" s="213">
        <v>0</v>
      </c>
      <c r="J396" s="218">
        <v>0</v>
      </c>
      <c r="K396" s="218">
        <v>0</v>
      </c>
      <c r="L396" s="221" t="s">
        <v>85</v>
      </c>
      <c r="M396" s="260">
        <f t="shared" si="104"/>
        <v>43617</v>
      </c>
      <c r="N396" s="228"/>
      <c r="O396" s="261">
        <v>0</v>
      </c>
      <c r="P396" s="435">
        <v>0</v>
      </c>
      <c r="Q396" s="437">
        <v>0</v>
      </c>
      <c r="R396" s="261">
        <v>0</v>
      </c>
      <c r="S396" s="261">
        <v>0</v>
      </c>
      <c r="T396" s="261">
        <v>0</v>
      </c>
      <c r="U396" s="261">
        <v>0</v>
      </c>
      <c r="V396" s="231">
        <f t="shared" si="105"/>
        <v>0</v>
      </c>
    </row>
    <row r="397" spans="5:22" s="201" customFormat="1" ht="13" hidden="1" outlineLevel="1" x14ac:dyDescent="0.25">
      <c r="E397" s="229"/>
      <c r="F397" s="213">
        <v>0</v>
      </c>
      <c r="G397" s="213">
        <v>0</v>
      </c>
      <c r="H397" s="213">
        <v>0</v>
      </c>
      <c r="I397" s="213">
        <v>0</v>
      </c>
      <c r="J397" s="218">
        <v>0</v>
      </c>
      <c r="K397" s="218">
        <v>0</v>
      </c>
      <c r="L397" s="221" t="s">
        <v>85</v>
      </c>
      <c r="M397" s="260">
        <f t="shared" si="104"/>
        <v>43617</v>
      </c>
      <c r="N397" s="228"/>
      <c r="O397" s="261">
        <v>0</v>
      </c>
      <c r="P397" s="435">
        <v>0</v>
      </c>
      <c r="Q397" s="437">
        <v>0</v>
      </c>
      <c r="R397" s="261">
        <v>0</v>
      </c>
      <c r="S397" s="261">
        <v>0</v>
      </c>
      <c r="T397" s="261">
        <v>0</v>
      </c>
      <c r="U397" s="261">
        <v>0</v>
      </c>
      <c r="V397" s="231">
        <f t="shared" si="105"/>
        <v>0</v>
      </c>
    </row>
    <row r="398" spans="5:22" s="201" customFormat="1" ht="13" hidden="1" outlineLevel="1" x14ac:dyDescent="0.25">
      <c r="E398" s="229"/>
      <c r="F398" s="213">
        <v>0</v>
      </c>
      <c r="G398" s="213">
        <v>0</v>
      </c>
      <c r="H398" s="213">
        <v>0</v>
      </c>
      <c r="I398" s="213">
        <v>0</v>
      </c>
      <c r="J398" s="218">
        <v>0</v>
      </c>
      <c r="K398" s="218">
        <v>0</v>
      </c>
      <c r="L398" s="221" t="s">
        <v>85</v>
      </c>
      <c r="M398" s="260">
        <f t="shared" si="104"/>
        <v>43617</v>
      </c>
      <c r="N398" s="228"/>
      <c r="O398" s="261">
        <v>0</v>
      </c>
      <c r="P398" s="435">
        <v>0</v>
      </c>
      <c r="Q398" s="437">
        <v>0</v>
      </c>
      <c r="R398" s="261">
        <v>0</v>
      </c>
      <c r="S398" s="261">
        <v>0</v>
      </c>
      <c r="T398" s="261">
        <v>0</v>
      </c>
      <c r="U398" s="261">
        <v>0</v>
      </c>
      <c r="V398" s="231">
        <f t="shared" si="105"/>
        <v>0</v>
      </c>
    </row>
    <row r="399" spans="5:22" s="201" customFormat="1" ht="13" hidden="1" outlineLevel="1" x14ac:dyDescent="0.25">
      <c r="E399" s="229"/>
      <c r="F399" s="151" t="s">
        <v>17</v>
      </c>
      <c r="G399" s="151"/>
      <c r="H399" s="151"/>
      <c r="I399" s="151"/>
      <c r="J399" s="151"/>
      <c r="K399" s="151"/>
      <c r="L399" s="247" t="s">
        <v>85</v>
      </c>
      <c r="M399" s="253">
        <f t="shared" si="104"/>
        <v>43617</v>
      </c>
      <c r="N399" s="228"/>
      <c r="O399" s="232">
        <f t="shared" ref="O399" si="106">SUM(O384:O398)</f>
        <v>0</v>
      </c>
      <c r="P399" s="289">
        <f t="shared" ref="P399:U399" si="107">SUM(P384:P398)</f>
        <v>0</v>
      </c>
      <c r="Q399" s="290">
        <f t="shared" si="107"/>
        <v>0</v>
      </c>
      <c r="R399" s="232">
        <f t="shared" si="107"/>
        <v>0</v>
      </c>
      <c r="S399" s="232">
        <f t="shared" si="107"/>
        <v>0</v>
      </c>
      <c r="T399" s="232">
        <f t="shared" si="107"/>
        <v>0</v>
      </c>
      <c r="U399" s="232">
        <f t="shared" si="107"/>
        <v>0</v>
      </c>
      <c r="V399" s="233">
        <f>SUM(Q399:U399)</f>
        <v>0</v>
      </c>
    </row>
    <row r="400" spans="5:22" s="201" customFormat="1" hidden="1" outlineLevel="1" x14ac:dyDescent="0.25">
      <c r="E400" s="229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4:22" s="201" customFormat="1" hidden="1" outlineLevel="1" x14ac:dyDescent="0.25">
      <c r="D401" s="201">
        <v>9</v>
      </c>
      <c r="E401" s="229">
        <f>'Input | Meters Vols &amp; Costs'!$G$37</f>
        <v>0</v>
      </c>
    </row>
    <row r="402" spans="4:22" s="201" customFormat="1" hidden="1" outlineLevel="1" x14ac:dyDescent="0.25">
      <c r="E402" s="229"/>
      <c r="O402"/>
      <c r="P402"/>
      <c r="Q402"/>
      <c r="R402"/>
      <c r="S402"/>
      <c r="T402"/>
      <c r="U402"/>
    </row>
    <row r="403" spans="4:22" s="201" customFormat="1" ht="13" hidden="1" outlineLevel="1" x14ac:dyDescent="0.25">
      <c r="E403" s="229"/>
      <c r="F403" s="121" t="str">
        <f>I_MeterTypes[[#Headers],[Meter Type]]</f>
        <v>Meter Type</v>
      </c>
      <c r="G403" s="121" t="str">
        <f>I_MeterTypes[[#Headers],[RIN Subcategory 1]]</f>
        <v>RIN Subcategory 1</v>
      </c>
      <c r="H403" s="121" t="str">
        <f>I_MeterTypes[[#Headers],[RIN Subcategory 2]]</f>
        <v>RIN Subcategory 2</v>
      </c>
      <c r="I403" s="121" t="str">
        <f>I_MeterTypes[[#Headers],[AER Type]]</f>
        <v>AER Type</v>
      </c>
      <c r="J403" s="121" t="str">
        <f>I_MeterTypes[[#Headers],[RIN Subcategory 3]]</f>
        <v>RIN Subcategory 3</v>
      </c>
      <c r="K403" s="121" t="str">
        <f>I_MeterTypes[[#Headers],[Meter Code]]</f>
        <v>Meter Code</v>
      </c>
      <c r="L403" s="121" t="s">
        <v>6</v>
      </c>
      <c r="M403" s="121" t="s">
        <v>118</v>
      </c>
      <c r="O403" s="234" t="str">
        <f>O$12</f>
        <v>2018-19</v>
      </c>
      <c r="P403" s="234" t="str">
        <f t="shared" ref="P403:U403" si="108">P$12</f>
        <v>2019-20</v>
      </c>
      <c r="Q403" s="436" t="str">
        <f t="shared" si="108"/>
        <v>2020-21</v>
      </c>
      <c r="R403" s="234" t="str">
        <f t="shared" si="108"/>
        <v>2021-22</v>
      </c>
      <c r="S403" s="234" t="str">
        <f t="shared" si="108"/>
        <v>2022-23</v>
      </c>
      <c r="T403" s="234" t="str">
        <f t="shared" si="108"/>
        <v>2023-24</v>
      </c>
      <c r="U403" s="234" t="str">
        <f t="shared" si="108"/>
        <v>2024-25</v>
      </c>
      <c r="V403" s="234" t="s">
        <v>17</v>
      </c>
    </row>
    <row r="404" spans="4:22" s="201" customFormat="1" ht="13" hidden="1" outlineLevel="1" x14ac:dyDescent="0.25">
      <c r="E404" s="229"/>
      <c r="F404" s="213" t="str" cm="1">
        <f t="array" ref="F404:F418">I_MeterTypes[Meter Type]</f>
        <v>AMI - Single Phase, single element</v>
      </c>
      <c r="G404" s="213" t="str" cm="1">
        <f t="array" ref="G404:G418">I_MeterTypes[RIN Subcategory 1]</f>
        <v>Single Phase Meter Population</v>
      </c>
      <c r="H404" s="213" t="str" cm="1">
        <f t="array" ref="H404:H418">I_MeterTypes[RIN Subcategory 2]</f>
        <v>Other</v>
      </c>
      <c r="I404" s="213" t="str" cm="1">
        <f t="array" ref="I404:I418">I_MeterTypes[AER Type]</f>
        <v>Meter Type 4</v>
      </c>
      <c r="J404" s="213" t="str" cm="1">
        <f t="array" ref="J404:J418">I_MeterTypes[RIN Subcategory 3]</f>
        <v>Single phase single element - AMI</v>
      </c>
      <c r="K404" s="213" t="str" cm="1">
        <f t="array" ref="K404:K418">I_MeterTypes[Meter Code]</f>
        <v>AMI 1ph 1e</v>
      </c>
      <c r="L404" s="221" t="s">
        <v>85</v>
      </c>
      <c r="M404" s="260">
        <f t="shared" ref="M404:M419" si="109">Basis_Capex</f>
        <v>43617</v>
      </c>
      <c r="O404" s="261" cm="1">
        <f t="array" ref="O404:U418">'Input | Meters Vols &amp; Costs'!$O329:$U343*ICM_UnitCost*INDEX(ICM_UnitCostSign,$D401)</f>
        <v>0</v>
      </c>
      <c r="P404" s="261">
        <v>0</v>
      </c>
      <c r="Q404" s="261">
        <v>0</v>
      </c>
      <c r="R404" s="261">
        <v>0</v>
      </c>
      <c r="S404" s="261">
        <v>0</v>
      </c>
      <c r="T404" s="261">
        <v>0</v>
      </c>
      <c r="U404" s="261">
        <v>0</v>
      </c>
      <c r="V404" s="231">
        <f t="shared" ref="V404:V418" si="110">SUM(N404:U404)</f>
        <v>0</v>
      </c>
    </row>
    <row r="405" spans="4:22" s="201" customFormat="1" ht="13" hidden="1" outlineLevel="1" x14ac:dyDescent="0.25">
      <c r="E405" s="229"/>
      <c r="F405" s="213" t="str">
        <v>AMI - Single Phase, two element</v>
      </c>
      <c r="G405" s="213" t="str">
        <v>Single Phase Meter Population</v>
      </c>
      <c r="H405" s="213" t="str">
        <v>Other</v>
      </c>
      <c r="I405" s="213" t="str">
        <v>Meter Type 4</v>
      </c>
      <c r="J405" s="218" t="str">
        <v>Single phase two element with contactor - AMI</v>
      </c>
      <c r="K405" s="218" t="str">
        <v>AMI 1ph 2e</v>
      </c>
      <c r="L405" s="221" t="s">
        <v>85</v>
      </c>
      <c r="M405" s="260">
        <f t="shared" si="109"/>
        <v>43617</v>
      </c>
      <c r="O405" s="261">
        <v>0</v>
      </c>
      <c r="P405" s="435">
        <v>0</v>
      </c>
      <c r="Q405" s="437">
        <v>0</v>
      </c>
      <c r="R405" s="261">
        <v>0</v>
      </c>
      <c r="S405" s="261">
        <v>0</v>
      </c>
      <c r="T405" s="261">
        <v>0</v>
      </c>
      <c r="U405" s="261">
        <v>0</v>
      </c>
      <c r="V405" s="231">
        <f t="shared" si="110"/>
        <v>0</v>
      </c>
    </row>
    <row r="406" spans="4:22" s="201" customFormat="1" ht="13" hidden="1" outlineLevel="1" x14ac:dyDescent="0.25">
      <c r="E406" s="229"/>
      <c r="F406" s="213" t="str">
        <v>AMI - 3 Phase DC</v>
      </c>
      <c r="G406" s="213" t="str">
        <v>Multi Phase Meter Population</v>
      </c>
      <c r="H406" s="213" t="str">
        <v>Direct Connect Meter Population</v>
      </c>
      <c r="I406" s="213" t="str">
        <v>Meter Type 4</v>
      </c>
      <c r="J406" s="218" t="str">
        <v>Three phase - AMI</v>
      </c>
      <c r="K406" s="218" t="str">
        <v>AMI 3ph DC</v>
      </c>
      <c r="L406" s="221" t="s">
        <v>85</v>
      </c>
      <c r="M406" s="260">
        <f t="shared" si="109"/>
        <v>43617</v>
      </c>
      <c r="O406" s="261">
        <v>0</v>
      </c>
      <c r="P406" s="435">
        <v>0</v>
      </c>
      <c r="Q406" s="437">
        <v>0</v>
      </c>
      <c r="R406" s="261">
        <v>0</v>
      </c>
      <c r="S406" s="261">
        <v>0</v>
      </c>
      <c r="T406" s="261">
        <v>0</v>
      </c>
      <c r="U406" s="261">
        <v>0</v>
      </c>
      <c r="V406" s="231">
        <f t="shared" si="110"/>
        <v>0</v>
      </c>
    </row>
    <row r="407" spans="4:22" s="201" customFormat="1" ht="13" hidden="1" outlineLevel="1" x14ac:dyDescent="0.25">
      <c r="E407" s="229"/>
      <c r="F407" s="213" t="str">
        <v>AMI 3Ph CT</v>
      </c>
      <c r="G407" s="213" t="str">
        <v>Multi Phase Meter Population</v>
      </c>
      <c r="H407" s="213" t="str">
        <v>Current Transformer Connected Meter Population</v>
      </c>
      <c r="I407" s="213" t="str">
        <v>Meter Type 4</v>
      </c>
      <c r="J407" s="218">
        <v>0</v>
      </c>
      <c r="K407" s="218" t="str">
        <v>AMI 3ph CT</v>
      </c>
      <c r="L407" s="221" t="s">
        <v>85</v>
      </c>
      <c r="M407" s="260">
        <f t="shared" si="109"/>
        <v>43617</v>
      </c>
      <c r="O407" s="261">
        <v>0</v>
      </c>
      <c r="P407" s="435">
        <v>0</v>
      </c>
      <c r="Q407" s="437">
        <v>0</v>
      </c>
      <c r="R407" s="261">
        <v>0</v>
      </c>
      <c r="S407" s="261">
        <v>0</v>
      </c>
      <c r="T407" s="261">
        <v>0</v>
      </c>
      <c r="U407" s="261">
        <v>0</v>
      </c>
      <c r="V407" s="231">
        <f t="shared" si="110"/>
        <v>0</v>
      </c>
    </row>
    <row r="408" spans="4:22" s="201" customFormat="1" ht="13" hidden="1" outlineLevel="1" x14ac:dyDescent="0.25">
      <c r="E408" s="229"/>
      <c r="F408" s="213" t="str">
        <v>Non AMI - Type 5 Locally read Interval - Single Phase</v>
      </c>
      <c r="G408" s="213" t="str">
        <v>Single Phase Meter Population</v>
      </c>
      <c r="H408" s="213" t="str">
        <v>Direct Connect Meter Population</v>
      </c>
      <c r="I408" s="213" t="str">
        <v>Meter Type 5</v>
      </c>
      <c r="J408" s="218">
        <v>0</v>
      </c>
      <c r="K408" s="218" t="str">
        <v>INT 1ph</v>
      </c>
      <c r="L408" s="221" t="s">
        <v>85</v>
      </c>
      <c r="M408" s="260">
        <f t="shared" si="109"/>
        <v>43617</v>
      </c>
      <c r="O408" s="261">
        <v>0</v>
      </c>
      <c r="P408" s="435">
        <v>0</v>
      </c>
      <c r="Q408" s="437">
        <v>0</v>
      </c>
      <c r="R408" s="261">
        <v>0</v>
      </c>
      <c r="S408" s="261">
        <v>0</v>
      </c>
      <c r="T408" s="261">
        <v>0</v>
      </c>
      <c r="U408" s="261">
        <v>0</v>
      </c>
      <c r="V408" s="231">
        <f t="shared" si="110"/>
        <v>0</v>
      </c>
    </row>
    <row r="409" spans="4:22" s="201" customFormat="1" ht="13" hidden="1" outlineLevel="1" x14ac:dyDescent="0.25">
      <c r="E409" s="229"/>
      <c r="F409" s="213" t="str">
        <v>Non AMI - Type 5 Locally read Interval - 3 Phase</v>
      </c>
      <c r="G409" s="213" t="str">
        <v>Single Phase Meter Population</v>
      </c>
      <c r="H409" s="213" t="str">
        <v>Direct Connect Meter Population</v>
      </c>
      <c r="I409" s="213" t="str">
        <v>Meter Type 5</v>
      </c>
      <c r="J409" s="218">
        <v>0</v>
      </c>
      <c r="K409" s="218" t="str">
        <v>INT 3ph</v>
      </c>
      <c r="L409" s="221" t="s">
        <v>85</v>
      </c>
      <c r="M409" s="260">
        <f t="shared" si="109"/>
        <v>43617</v>
      </c>
      <c r="O409" s="261">
        <v>0</v>
      </c>
      <c r="P409" s="435">
        <v>0</v>
      </c>
      <c r="Q409" s="437">
        <v>0</v>
      </c>
      <c r="R409" s="261">
        <v>0</v>
      </c>
      <c r="S409" s="261">
        <v>0</v>
      </c>
      <c r="T409" s="261">
        <v>0</v>
      </c>
      <c r="U409" s="261">
        <v>0</v>
      </c>
      <c r="V409" s="231">
        <f t="shared" si="110"/>
        <v>0</v>
      </c>
    </row>
    <row r="410" spans="4:22" s="201" customFormat="1" ht="13" hidden="1" outlineLevel="1" x14ac:dyDescent="0.25">
      <c r="E410" s="229"/>
      <c r="F410" s="213" t="str">
        <v>Non AMI - Type 5 Locally read Interval - 3 Phase - CT</v>
      </c>
      <c r="G410" s="213" t="str">
        <v>Multi Phase Meter Population</v>
      </c>
      <c r="H410" s="213" t="str">
        <v>Current Transformer Connected Meter Population</v>
      </c>
      <c r="I410" s="213" t="str">
        <v>Meter Type 5</v>
      </c>
      <c r="J410" s="218">
        <v>0</v>
      </c>
      <c r="K410" s="218" t="str">
        <v>INT 3ph CT</v>
      </c>
      <c r="L410" s="221" t="s">
        <v>85</v>
      </c>
      <c r="M410" s="260">
        <f t="shared" si="109"/>
        <v>43617</v>
      </c>
      <c r="O410" s="261">
        <v>0</v>
      </c>
      <c r="P410" s="435">
        <v>0</v>
      </c>
      <c r="Q410" s="437">
        <v>0</v>
      </c>
      <c r="R410" s="261">
        <v>0</v>
      </c>
      <c r="S410" s="261">
        <v>0</v>
      </c>
      <c r="T410" s="261">
        <v>0</v>
      </c>
      <c r="U410" s="261">
        <v>0</v>
      </c>
      <c r="V410" s="231">
        <f t="shared" si="110"/>
        <v>0</v>
      </c>
    </row>
    <row r="411" spans="4:22" s="201" customFormat="1" ht="13" hidden="1" outlineLevel="1" x14ac:dyDescent="0.25">
      <c r="E411" s="229"/>
      <c r="F411" s="213" t="str">
        <v>Non AMI - Type 6 Locally read Accumulation - Single Phase</v>
      </c>
      <c r="G411" s="213" t="str">
        <v>Multi Phase Meter Population</v>
      </c>
      <c r="H411" s="213" t="str">
        <v>Direct Connect Meter Population</v>
      </c>
      <c r="I411" s="213" t="str">
        <v>Meter Type 6</v>
      </c>
      <c r="J411" s="218">
        <v>0</v>
      </c>
      <c r="K411" s="218" t="str">
        <v>ACC 1ph</v>
      </c>
      <c r="L411" s="221" t="s">
        <v>85</v>
      </c>
      <c r="M411" s="260">
        <f t="shared" si="109"/>
        <v>43617</v>
      </c>
      <c r="O411" s="261">
        <v>0</v>
      </c>
      <c r="P411" s="435">
        <v>0</v>
      </c>
      <c r="Q411" s="437">
        <v>0</v>
      </c>
      <c r="R411" s="261">
        <v>0</v>
      </c>
      <c r="S411" s="261">
        <v>0</v>
      </c>
      <c r="T411" s="261">
        <v>0</v>
      </c>
      <c r="U411" s="261">
        <v>0</v>
      </c>
      <c r="V411" s="231">
        <f t="shared" si="110"/>
        <v>0</v>
      </c>
    </row>
    <row r="412" spans="4:22" s="201" customFormat="1" ht="13" hidden="1" outlineLevel="1" x14ac:dyDescent="0.25">
      <c r="E412" s="229"/>
      <c r="F412" s="213" t="str">
        <v>Non AMI - Type 6 Locally read Accumulation - 3 Phase</v>
      </c>
      <c r="G412" s="213">
        <v>0</v>
      </c>
      <c r="H412" s="213" t="str">
        <v>Direct Connect Meter Population</v>
      </c>
      <c r="I412" s="213" t="str">
        <v>Meter Type 6</v>
      </c>
      <c r="J412" s="218">
        <v>0</v>
      </c>
      <c r="K412" s="218" t="str">
        <v>ACC 3ph</v>
      </c>
      <c r="L412" s="221" t="s">
        <v>85</v>
      </c>
      <c r="M412" s="260">
        <f t="shared" si="109"/>
        <v>43617</v>
      </c>
      <c r="O412" s="261">
        <v>0</v>
      </c>
      <c r="P412" s="435">
        <v>0</v>
      </c>
      <c r="Q412" s="437">
        <v>0</v>
      </c>
      <c r="R412" s="261">
        <v>0</v>
      </c>
      <c r="S412" s="261">
        <v>0</v>
      </c>
      <c r="T412" s="261">
        <v>0</v>
      </c>
      <c r="U412" s="261">
        <v>0</v>
      </c>
      <c r="V412" s="231">
        <f t="shared" si="110"/>
        <v>0</v>
      </c>
    </row>
    <row r="413" spans="4:22" s="201" customFormat="1" ht="13" hidden="1" outlineLevel="1" x14ac:dyDescent="0.25">
      <c r="E413" s="229"/>
      <c r="F413" s="213">
        <v>0</v>
      </c>
      <c r="G413" s="213">
        <v>0</v>
      </c>
      <c r="H413" s="213">
        <v>0</v>
      </c>
      <c r="I413" s="213">
        <v>0</v>
      </c>
      <c r="J413" s="218">
        <v>0</v>
      </c>
      <c r="K413" s="218">
        <v>0</v>
      </c>
      <c r="L413" s="221" t="s">
        <v>85</v>
      </c>
      <c r="M413" s="260">
        <f t="shared" si="109"/>
        <v>43617</v>
      </c>
      <c r="O413" s="261">
        <v>0</v>
      </c>
      <c r="P413" s="435">
        <v>0</v>
      </c>
      <c r="Q413" s="437">
        <v>0</v>
      </c>
      <c r="R413" s="261">
        <v>0</v>
      </c>
      <c r="S413" s="261">
        <v>0</v>
      </c>
      <c r="T413" s="261">
        <v>0</v>
      </c>
      <c r="U413" s="261">
        <v>0</v>
      </c>
      <c r="V413" s="231">
        <f t="shared" si="110"/>
        <v>0</v>
      </c>
    </row>
    <row r="414" spans="4:22" s="201" customFormat="1" ht="13" hidden="1" outlineLevel="1" x14ac:dyDescent="0.25">
      <c r="E414" s="229"/>
      <c r="F414" s="213">
        <v>0</v>
      </c>
      <c r="G414" s="213">
        <v>0</v>
      </c>
      <c r="H414" s="213">
        <v>0</v>
      </c>
      <c r="I414" s="213">
        <v>0</v>
      </c>
      <c r="J414" s="218">
        <v>0</v>
      </c>
      <c r="K414" s="218">
        <v>0</v>
      </c>
      <c r="L414" s="221" t="s">
        <v>85</v>
      </c>
      <c r="M414" s="260">
        <f t="shared" si="109"/>
        <v>43617</v>
      </c>
      <c r="O414" s="261">
        <v>0</v>
      </c>
      <c r="P414" s="435">
        <v>0</v>
      </c>
      <c r="Q414" s="437">
        <v>0</v>
      </c>
      <c r="R414" s="261">
        <v>0</v>
      </c>
      <c r="S414" s="261">
        <v>0</v>
      </c>
      <c r="T414" s="261">
        <v>0</v>
      </c>
      <c r="U414" s="261">
        <v>0</v>
      </c>
      <c r="V414" s="231">
        <f t="shared" si="110"/>
        <v>0</v>
      </c>
    </row>
    <row r="415" spans="4:22" s="201" customFormat="1" ht="13" hidden="1" outlineLevel="1" x14ac:dyDescent="0.25">
      <c r="E415" s="229"/>
      <c r="F415" s="213">
        <v>0</v>
      </c>
      <c r="G415" s="213">
        <v>0</v>
      </c>
      <c r="H415" s="213">
        <v>0</v>
      </c>
      <c r="I415" s="213">
        <v>0</v>
      </c>
      <c r="J415" s="218">
        <v>0</v>
      </c>
      <c r="K415" s="218">
        <v>0</v>
      </c>
      <c r="L415" s="221" t="s">
        <v>85</v>
      </c>
      <c r="M415" s="260">
        <f t="shared" si="109"/>
        <v>43617</v>
      </c>
      <c r="O415" s="261">
        <v>0</v>
      </c>
      <c r="P415" s="435">
        <v>0</v>
      </c>
      <c r="Q415" s="437">
        <v>0</v>
      </c>
      <c r="R415" s="261">
        <v>0</v>
      </c>
      <c r="S415" s="261">
        <v>0</v>
      </c>
      <c r="T415" s="261">
        <v>0</v>
      </c>
      <c r="U415" s="261">
        <v>0</v>
      </c>
      <c r="V415" s="231">
        <f t="shared" si="110"/>
        <v>0</v>
      </c>
    </row>
    <row r="416" spans="4:22" s="201" customFormat="1" ht="13" hidden="1" outlineLevel="1" x14ac:dyDescent="0.25">
      <c r="E416" s="229"/>
      <c r="F416" s="213">
        <v>0</v>
      </c>
      <c r="G416" s="213">
        <v>0</v>
      </c>
      <c r="H416" s="213">
        <v>0</v>
      </c>
      <c r="I416" s="213">
        <v>0</v>
      </c>
      <c r="J416" s="218">
        <v>0</v>
      </c>
      <c r="K416" s="218">
        <v>0</v>
      </c>
      <c r="L416" s="221" t="s">
        <v>85</v>
      </c>
      <c r="M416" s="260">
        <f t="shared" si="109"/>
        <v>43617</v>
      </c>
      <c r="O416" s="261">
        <v>0</v>
      </c>
      <c r="P416" s="435">
        <v>0</v>
      </c>
      <c r="Q416" s="437">
        <v>0</v>
      </c>
      <c r="R416" s="261">
        <v>0</v>
      </c>
      <c r="S416" s="261">
        <v>0</v>
      </c>
      <c r="T416" s="261">
        <v>0</v>
      </c>
      <c r="U416" s="261">
        <v>0</v>
      </c>
      <c r="V416" s="231">
        <f t="shared" si="110"/>
        <v>0</v>
      </c>
    </row>
    <row r="417" spans="4:22" s="201" customFormat="1" ht="13" hidden="1" outlineLevel="1" x14ac:dyDescent="0.25">
      <c r="E417" s="229"/>
      <c r="F417" s="213">
        <v>0</v>
      </c>
      <c r="G417" s="213">
        <v>0</v>
      </c>
      <c r="H417" s="213">
        <v>0</v>
      </c>
      <c r="I417" s="213">
        <v>0</v>
      </c>
      <c r="J417" s="218">
        <v>0</v>
      </c>
      <c r="K417" s="218">
        <v>0</v>
      </c>
      <c r="L417" s="221" t="s">
        <v>85</v>
      </c>
      <c r="M417" s="260">
        <f t="shared" si="109"/>
        <v>43617</v>
      </c>
      <c r="O417" s="261">
        <v>0</v>
      </c>
      <c r="P417" s="435">
        <v>0</v>
      </c>
      <c r="Q417" s="437">
        <v>0</v>
      </c>
      <c r="R417" s="261">
        <v>0</v>
      </c>
      <c r="S417" s="261">
        <v>0</v>
      </c>
      <c r="T417" s="261">
        <v>0</v>
      </c>
      <c r="U417" s="261">
        <v>0</v>
      </c>
      <c r="V417" s="231">
        <f t="shared" si="110"/>
        <v>0</v>
      </c>
    </row>
    <row r="418" spans="4:22" s="201" customFormat="1" ht="13" hidden="1" outlineLevel="1" x14ac:dyDescent="0.25">
      <c r="E418" s="229"/>
      <c r="F418" s="213">
        <v>0</v>
      </c>
      <c r="G418" s="213">
        <v>0</v>
      </c>
      <c r="H418" s="213">
        <v>0</v>
      </c>
      <c r="I418" s="213">
        <v>0</v>
      </c>
      <c r="J418" s="218">
        <v>0</v>
      </c>
      <c r="K418" s="218">
        <v>0</v>
      </c>
      <c r="L418" s="221" t="s">
        <v>85</v>
      </c>
      <c r="M418" s="260">
        <f t="shared" si="109"/>
        <v>43617</v>
      </c>
      <c r="O418" s="261">
        <v>0</v>
      </c>
      <c r="P418" s="435">
        <v>0</v>
      </c>
      <c r="Q418" s="437">
        <v>0</v>
      </c>
      <c r="R418" s="261">
        <v>0</v>
      </c>
      <c r="S418" s="261">
        <v>0</v>
      </c>
      <c r="T418" s="261">
        <v>0</v>
      </c>
      <c r="U418" s="261">
        <v>0</v>
      </c>
      <c r="V418" s="231">
        <f t="shared" si="110"/>
        <v>0</v>
      </c>
    </row>
    <row r="419" spans="4:22" s="201" customFormat="1" ht="13" hidden="1" outlineLevel="1" x14ac:dyDescent="0.25">
      <c r="E419" s="229"/>
      <c r="F419" s="151" t="s">
        <v>17</v>
      </c>
      <c r="G419" s="151"/>
      <c r="H419" s="151"/>
      <c r="I419" s="151"/>
      <c r="J419" s="151"/>
      <c r="K419" s="151"/>
      <c r="L419" s="247" t="s">
        <v>85</v>
      </c>
      <c r="M419" s="253">
        <f t="shared" si="109"/>
        <v>43617</v>
      </c>
      <c r="O419" s="232">
        <f t="shared" ref="O419" si="111">SUM(O404:O418)</f>
        <v>0</v>
      </c>
      <c r="P419" s="289">
        <f t="shared" ref="P419:U419" si="112">SUM(P404:P418)</f>
        <v>0</v>
      </c>
      <c r="Q419" s="290">
        <f t="shared" si="112"/>
        <v>0</v>
      </c>
      <c r="R419" s="232">
        <f t="shared" si="112"/>
        <v>0</v>
      </c>
      <c r="S419" s="232">
        <f t="shared" si="112"/>
        <v>0</v>
      </c>
      <c r="T419" s="232">
        <f t="shared" si="112"/>
        <v>0</v>
      </c>
      <c r="U419" s="232">
        <f t="shared" si="112"/>
        <v>0</v>
      </c>
      <c r="V419" s="233">
        <f>SUM(Q419:U419)</f>
        <v>0</v>
      </c>
    </row>
    <row r="420" spans="4:22" s="201" customFormat="1" hidden="1" outlineLevel="1" x14ac:dyDescent="0.25">
      <c r="E420" s="229"/>
    </row>
    <row r="421" spans="4:22" s="201" customFormat="1" hidden="1" outlineLevel="1" x14ac:dyDescent="0.25">
      <c r="D421" s="201">
        <v>10</v>
      </c>
      <c r="E421" s="229" t="str">
        <f>'Input | Meters Vols &amp; Costs'!$G$38</f>
        <v>Meter abolishments</v>
      </c>
    </row>
    <row r="422" spans="4:22" s="201" customFormat="1" hidden="1" outlineLevel="1" x14ac:dyDescent="0.25">
      <c r="E422" s="229"/>
      <c r="O422"/>
      <c r="P422"/>
      <c r="Q422"/>
      <c r="R422"/>
      <c r="S422"/>
      <c r="T422"/>
      <c r="U422"/>
    </row>
    <row r="423" spans="4:22" s="201" customFormat="1" ht="13" hidden="1" outlineLevel="1" x14ac:dyDescent="0.25">
      <c r="E423" s="229"/>
      <c r="F423" s="121" t="str">
        <f>I_MeterTypes[[#Headers],[Meter Type]]</f>
        <v>Meter Type</v>
      </c>
      <c r="G423" s="121" t="str">
        <f>I_MeterTypes[[#Headers],[RIN Subcategory 1]]</f>
        <v>RIN Subcategory 1</v>
      </c>
      <c r="H423" s="121" t="str">
        <f>I_MeterTypes[[#Headers],[RIN Subcategory 2]]</f>
        <v>RIN Subcategory 2</v>
      </c>
      <c r="I423" s="121" t="str">
        <f>I_MeterTypes[[#Headers],[AER Type]]</f>
        <v>AER Type</v>
      </c>
      <c r="J423" s="121" t="str">
        <f>I_MeterTypes[[#Headers],[RIN Subcategory 3]]</f>
        <v>RIN Subcategory 3</v>
      </c>
      <c r="K423" s="121" t="str">
        <f>I_MeterTypes[[#Headers],[Meter Code]]</f>
        <v>Meter Code</v>
      </c>
      <c r="L423" s="121" t="s">
        <v>6</v>
      </c>
      <c r="M423" s="121" t="s">
        <v>118</v>
      </c>
      <c r="O423" s="234" t="str">
        <f>O$12</f>
        <v>2018-19</v>
      </c>
      <c r="P423" s="234" t="str">
        <f t="shared" ref="P423:U423" si="113">P$12</f>
        <v>2019-20</v>
      </c>
      <c r="Q423" s="436" t="str">
        <f t="shared" si="113"/>
        <v>2020-21</v>
      </c>
      <c r="R423" s="234" t="str">
        <f t="shared" si="113"/>
        <v>2021-22</v>
      </c>
      <c r="S423" s="234" t="str">
        <f t="shared" si="113"/>
        <v>2022-23</v>
      </c>
      <c r="T423" s="234" t="str">
        <f t="shared" si="113"/>
        <v>2023-24</v>
      </c>
      <c r="U423" s="234" t="str">
        <f t="shared" si="113"/>
        <v>2024-25</v>
      </c>
      <c r="V423" s="234" t="s">
        <v>17</v>
      </c>
    </row>
    <row r="424" spans="4:22" s="201" customFormat="1" ht="13" hidden="1" outlineLevel="1" x14ac:dyDescent="0.25">
      <c r="E424" s="229"/>
      <c r="F424" s="213" t="str" cm="1">
        <f t="array" ref="F424:F438">I_MeterTypes[Meter Type]</f>
        <v>AMI - Single Phase, single element</v>
      </c>
      <c r="G424" s="213" t="str" cm="1">
        <f t="array" ref="G424:G438">I_MeterTypes[RIN Subcategory 1]</f>
        <v>Single Phase Meter Population</v>
      </c>
      <c r="H424" s="213" t="str" cm="1">
        <f t="array" ref="H424:H438">I_MeterTypes[RIN Subcategory 2]</f>
        <v>Other</v>
      </c>
      <c r="I424" s="213" t="str" cm="1">
        <f t="array" ref="I424:I438">I_MeterTypes[AER Type]</f>
        <v>Meter Type 4</v>
      </c>
      <c r="J424" s="213" t="str" cm="1">
        <f t="array" ref="J424:J438">I_MeterTypes[RIN Subcategory 3]</f>
        <v>Single phase single element - AMI</v>
      </c>
      <c r="K424" s="213" t="str" cm="1">
        <f t="array" ref="K424:K438">I_MeterTypes[Meter Code]</f>
        <v>AMI 1ph 1e</v>
      </c>
      <c r="L424" s="221" t="s">
        <v>85</v>
      </c>
      <c r="M424" s="260">
        <f t="shared" ref="M424:M439" si="114">Basis_Capex</f>
        <v>43617</v>
      </c>
      <c r="O424" s="261" cm="1">
        <f t="array" ref="O424:U438">'Input | Meters Vols &amp; Costs'!$O349:$U363*ICM_UnitCost*INDEX(ICM_UnitCostSign,$D421)</f>
        <v>0</v>
      </c>
      <c r="P424" s="261">
        <v>0</v>
      </c>
      <c r="Q424" s="261">
        <v>0</v>
      </c>
      <c r="R424" s="261">
        <v>0</v>
      </c>
      <c r="S424" s="261">
        <v>0</v>
      </c>
      <c r="T424" s="261">
        <v>0</v>
      </c>
      <c r="U424" s="261">
        <v>0</v>
      </c>
      <c r="V424" s="231">
        <f t="shared" ref="V424:V438" si="115">SUM(N424:U424)</f>
        <v>0</v>
      </c>
    </row>
    <row r="425" spans="4:22" s="201" customFormat="1" ht="13" hidden="1" outlineLevel="1" x14ac:dyDescent="0.25">
      <c r="E425" s="229"/>
      <c r="F425" s="213" t="str">
        <v>AMI - Single Phase, two element</v>
      </c>
      <c r="G425" s="213" t="str">
        <v>Single Phase Meter Population</v>
      </c>
      <c r="H425" s="213" t="str">
        <v>Other</v>
      </c>
      <c r="I425" s="213" t="str">
        <v>Meter Type 4</v>
      </c>
      <c r="J425" s="218" t="str">
        <v>Single phase two element with contactor - AMI</v>
      </c>
      <c r="K425" s="218" t="str">
        <v>AMI 1ph 2e</v>
      </c>
      <c r="L425" s="221" t="s">
        <v>85</v>
      </c>
      <c r="M425" s="260">
        <f t="shared" si="114"/>
        <v>43617</v>
      </c>
      <c r="O425" s="261">
        <v>0</v>
      </c>
      <c r="P425" s="435">
        <v>0</v>
      </c>
      <c r="Q425" s="437">
        <v>0</v>
      </c>
      <c r="R425" s="261">
        <v>0</v>
      </c>
      <c r="S425" s="261">
        <v>0</v>
      </c>
      <c r="T425" s="261">
        <v>0</v>
      </c>
      <c r="U425" s="261">
        <v>0</v>
      </c>
      <c r="V425" s="231">
        <f t="shared" si="115"/>
        <v>0</v>
      </c>
    </row>
    <row r="426" spans="4:22" s="201" customFormat="1" ht="13" hidden="1" outlineLevel="1" x14ac:dyDescent="0.25">
      <c r="E426" s="229"/>
      <c r="F426" s="213" t="str">
        <v>AMI - 3 Phase DC</v>
      </c>
      <c r="G426" s="213" t="str">
        <v>Multi Phase Meter Population</v>
      </c>
      <c r="H426" s="213" t="str">
        <v>Direct Connect Meter Population</v>
      </c>
      <c r="I426" s="213" t="str">
        <v>Meter Type 4</v>
      </c>
      <c r="J426" s="218" t="str">
        <v>Three phase - AMI</v>
      </c>
      <c r="K426" s="218" t="str">
        <v>AMI 3ph DC</v>
      </c>
      <c r="L426" s="221" t="s">
        <v>85</v>
      </c>
      <c r="M426" s="260">
        <f t="shared" si="114"/>
        <v>43617</v>
      </c>
      <c r="O426" s="261">
        <v>0</v>
      </c>
      <c r="P426" s="435">
        <v>0</v>
      </c>
      <c r="Q426" s="437">
        <v>0</v>
      </c>
      <c r="R426" s="261">
        <v>0</v>
      </c>
      <c r="S426" s="261">
        <v>0</v>
      </c>
      <c r="T426" s="261">
        <v>0</v>
      </c>
      <c r="U426" s="261">
        <v>0</v>
      </c>
      <c r="V426" s="231">
        <f t="shared" si="115"/>
        <v>0</v>
      </c>
    </row>
    <row r="427" spans="4:22" s="201" customFormat="1" ht="13" hidden="1" outlineLevel="1" x14ac:dyDescent="0.25">
      <c r="E427" s="229"/>
      <c r="F427" s="213" t="str">
        <v>AMI 3Ph CT</v>
      </c>
      <c r="G427" s="213" t="str">
        <v>Multi Phase Meter Population</v>
      </c>
      <c r="H427" s="213" t="str">
        <v>Current Transformer Connected Meter Population</v>
      </c>
      <c r="I427" s="213" t="str">
        <v>Meter Type 4</v>
      </c>
      <c r="J427" s="218">
        <v>0</v>
      </c>
      <c r="K427" s="218" t="str">
        <v>AMI 3ph CT</v>
      </c>
      <c r="L427" s="221" t="s">
        <v>85</v>
      </c>
      <c r="M427" s="260">
        <f t="shared" si="114"/>
        <v>43617</v>
      </c>
      <c r="O427" s="261">
        <v>0</v>
      </c>
      <c r="P427" s="435">
        <v>0</v>
      </c>
      <c r="Q427" s="437">
        <v>0</v>
      </c>
      <c r="R427" s="261">
        <v>0</v>
      </c>
      <c r="S427" s="261">
        <v>0</v>
      </c>
      <c r="T427" s="261">
        <v>0</v>
      </c>
      <c r="U427" s="261">
        <v>0</v>
      </c>
      <c r="V427" s="231">
        <f t="shared" si="115"/>
        <v>0</v>
      </c>
    </row>
    <row r="428" spans="4:22" s="201" customFormat="1" ht="13" hidden="1" outlineLevel="1" x14ac:dyDescent="0.25">
      <c r="E428" s="229"/>
      <c r="F428" s="213" t="str">
        <v>Non AMI - Type 5 Locally read Interval - Single Phase</v>
      </c>
      <c r="G428" s="213" t="str">
        <v>Single Phase Meter Population</v>
      </c>
      <c r="H428" s="213" t="str">
        <v>Direct Connect Meter Population</v>
      </c>
      <c r="I428" s="213" t="str">
        <v>Meter Type 5</v>
      </c>
      <c r="J428" s="218">
        <v>0</v>
      </c>
      <c r="K428" s="218" t="str">
        <v>INT 1ph</v>
      </c>
      <c r="L428" s="221" t="s">
        <v>85</v>
      </c>
      <c r="M428" s="260">
        <f t="shared" si="114"/>
        <v>43617</v>
      </c>
      <c r="O428" s="261">
        <v>0</v>
      </c>
      <c r="P428" s="435">
        <v>0</v>
      </c>
      <c r="Q428" s="437">
        <v>0</v>
      </c>
      <c r="R428" s="261">
        <v>0</v>
      </c>
      <c r="S428" s="261">
        <v>0</v>
      </c>
      <c r="T428" s="261">
        <v>0</v>
      </c>
      <c r="U428" s="261">
        <v>0</v>
      </c>
      <c r="V428" s="231">
        <f t="shared" si="115"/>
        <v>0</v>
      </c>
    </row>
    <row r="429" spans="4:22" s="201" customFormat="1" ht="13" hidden="1" outlineLevel="1" x14ac:dyDescent="0.25">
      <c r="E429" s="229"/>
      <c r="F429" s="213" t="str">
        <v>Non AMI - Type 5 Locally read Interval - 3 Phase</v>
      </c>
      <c r="G429" s="213" t="str">
        <v>Single Phase Meter Population</v>
      </c>
      <c r="H429" s="213" t="str">
        <v>Direct Connect Meter Population</v>
      </c>
      <c r="I429" s="213" t="str">
        <v>Meter Type 5</v>
      </c>
      <c r="J429" s="218">
        <v>0</v>
      </c>
      <c r="K429" s="218" t="str">
        <v>INT 3ph</v>
      </c>
      <c r="L429" s="221" t="s">
        <v>85</v>
      </c>
      <c r="M429" s="260">
        <f t="shared" si="114"/>
        <v>43617</v>
      </c>
      <c r="O429" s="261">
        <v>0</v>
      </c>
      <c r="P429" s="435">
        <v>0</v>
      </c>
      <c r="Q429" s="437">
        <v>0</v>
      </c>
      <c r="R429" s="261">
        <v>0</v>
      </c>
      <c r="S429" s="261">
        <v>0</v>
      </c>
      <c r="T429" s="261">
        <v>0</v>
      </c>
      <c r="U429" s="261">
        <v>0</v>
      </c>
      <c r="V429" s="231">
        <f t="shared" si="115"/>
        <v>0</v>
      </c>
    </row>
    <row r="430" spans="4:22" s="201" customFormat="1" ht="13" hidden="1" outlineLevel="1" x14ac:dyDescent="0.25">
      <c r="E430" s="229"/>
      <c r="F430" s="213" t="str">
        <v>Non AMI - Type 5 Locally read Interval - 3 Phase - CT</v>
      </c>
      <c r="G430" s="213" t="str">
        <v>Multi Phase Meter Population</v>
      </c>
      <c r="H430" s="213" t="str">
        <v>Current Transformer Connected Meter Population</v>
      </c>
      <c r="I430" s="213" t="str">
        <v>Meter Type 5</v>
      </c>
      <c r="J430" s="218">
        <v>0</v>
      </c>
      <c r="K430" s="218" t="str">
        <v>INT 3ph CT</v>
      </c>
      <c r="L430" s="221" t="s">
        <v>85</v>
      </c>
      <c r="M430" s="260">
        <f t="shared" si="114"/>
        <v>43617</v>
      </c>
      <c r="O430" s="261">
        <v>0</v>
      </c>
      <c r="P430" s="435">
        <v>0</v>
      </c>
      <c r="Q430" s="437">
        <v>0</v>
      </c>
      <c r="R430" s="261">
        <v>0</v>
      </c>
      <c r="S430" s="261">
        <v>0</v>
      </c>
      <c r="T430" s="261">
        <v>0</v>
      </c>
      <c r="U430" s="261">
        <v>0</v>
      </c>
      <c r="V430" s="231">
        <f t="shared" si="115"/>
        <v>0</v>
      </c>
    </row>
    <row r="431" spans="4:22" s="201" customFormat="1" ht="13" hidden="1" outlineLevel="1" x14ac:dyDescent="0.25">
      <c r="E431" s="229"/>
      <c r="F431" s="213" t="str">
        <v>Non AMI - Type 6 Locally read Accumulation - Single Phase</v>
      </c>
      <c r="G431" s="213" t="str">
        <v>Multi Phase Meter Population</v>
      </c>
      <c r="H431" s="213" t="str">
        <v>Direct Connect Meter Population</v>
      </c>
      <c r="I431" s="213" t="str">
        <v>Meter Type 6</v>
      </c>
      <c r="J431" s="218">
        <v>0</v>
      </c>
      <c r="K431" s="218" t="str">
        <v>ACC 1ph</v>
      </c>
      <c r="L431" s="221" t="s">
        <v>85</v>
      </c>
      <c r="M431" s="260">
        <f t="shared" si="114"/>
        <v>43617</v>
      </c>
      <c r="N431" s="228"/>
      <c r="O431" s="261">
        <v>0</v>
      </c>
      <c r="P431" s="435">
        <v>0</v>
      </c>
      <c r="Q431" s="437">
        <v>0</v>
      </c>
      <c r="R431" s="261">
        <v>0</v>
      </c>
      <c r="S431" s="261">
        <v>0</v>
      </c>
      <c r="T431" s="261">
        <v>0</v>
      </c>
      <c r="U431" s="261">
        <v>0</v>
      </c>
      <c r="V431" s="231">
        <f t="shared" si="115"/>
        <v>0</v>
      </c>
    </row>
    <row r="432" spans="4:22" s="201" customFormat="1" ht="13" hidden="1" outlineLevel="1" x14ac:dyDescent="0.25">
      <c r="E432" s="229"/>
      <c r="F432" s="213" t="str">
        <v>Non AMI - Type 6 Locally read Accumulation - 3 Phase</v>
      </c>
      <c r="G432" s="213">
        <v>0</v>
      </c>
      <c r="H432" s="213" t="str">
        <v>Direct Connect Meter Population</v>
      </c>
      <c r="I432" s="213" t="str">
        <v>Meter Type 6</v>
      </c>
      <c r="J432" s="218">
        <v>0</v>
      </c>
      <c r="K432" s="218" t="str">
        <v>ACC 3ph</v>
      </c>
      <c r="L432" s="221" t="s">
        <v>85</v>
      </c>
      <c r="M432" s="260">
        <f t="shared" si="114"/>
        <v>43617</v>
      </c>
      <c r="N432" s="228"/>
      <c r="O432" s="261">
        <v>0</v>
      </c>
      <c r="P432" s="435">
        <v>0</v>
      </c>
      <c r="Q432" s="437">
        <v>0</v>
      </c>
      <c r="R432" s="261">
        <v>0</v>
      </c>
      <c r="S432" s="261">
        <v>0</v>
      </c>
      <c r="T432" s="261">
        <v>0</v>
      </c>
      <c r="U432" s="261">
        <v>0</v>
      </c>
      <c r="V432" s="231">
        <f t="shared" si="115"/>
        <v>0</v>
      </c>
    </row>
    <row r="433" spans="4:22" s="201" customFormat="1" ht="13" hidden="1" outlineLevel="1" x14ac:dyDescent="0.25">
      <c r="E433" s="229"/>
      <c r="F433" s="213">
        <v>0</v>
      </c>
      <c r="G433" s="213">
        <v>0</v>
      </c>
      <c r="H433" s="213">
        <v>0</v>
      </c>
      <c r="I433" s="213">
        <v>0</v>
      </c>
      <c r="J433" s="218">
        <v>0</v>
      </c>
      <c r="K433" s="218">
        <v>0</v>
      </c>
      <c r="L433" s="221" t="s">
        <v>85</v>
      </c>
      <c r="M433" s="260">
        <f t="shared" si="114"/>
        <v>43617</v>
      </c>
      <c r="N433" s="228"/>
      <c r="O433" s="261">
        <v>0</v>
      </c>
      <c r="P433" s="435">
        <v>0</v>
      </c>
      <c r="Q433" s="437">
        <v>0</v>
      </c>
      <c r="R433" s="261">
        <v>0</v>
      </c>
      <c r="S433" s="261">
        <v>0</v>
      </c>
      <c r="T433" s="261">
        <v>0</v>
      </c>
      <c r="U433" s="261">
        <v>0</v>
      </c>
      <c r="V433" s="231">
        <f t="shared" si="115"/>
        <v>0</v>
      </c>
    </row>
    <row r="434" spans="4:22" s="201" customFormat="1" ht="13" hidden="1" outlineLevel="1" x14ac:dyDescent="0.25">
      <c r="E434" s="229"/>
      <c r="F434" s="213">
        <v>0</v>
      </c>
      <c r="G434" s="213">
        <v>0</v>
      </c>
      <c r="H434" s="213">
        <v>0</v>
      </c>
      <c r="I434" s="213">
        <v>0</v>
      </c>
      <c r="J434" s="218">
        <v>0</v>
      </c>
      <c r="K434" s="218">
        <v>0</v>
      </c>
      <c r="L434" s="221" t="s">
        <v>85</v>
      </c>
      <c r="M434" s="260">
        <f t="shared" si="114"/>
        <v>43617</v>
      </c>
      <c r="N434" s="228"/>
      <c r="O434" s="261">
        <v>0</v>
      </c>
      <c r="P434" s="435">
        <v>0</v>
      </c>
      <c r="Q434" s="437">
        <v>0</v>
      </c>
      <c r="R434" s="261">
        <v>0</v>
      </c>
      <c r="S434" s="261">
        <v>0</v>
      </c>
      <c r="T434" s="261">
        <v>0</v>
      </c>
      <c r="U434" s="261">
        <v>0</v>
      </c>
      <c r="V434" s="231">
        <f t="shared" si="115"/>
        <v>0</v>
      </c>
    </row>
    <row r="435" spans="4:22" s="201" customFormat="1" ht="13" hidden="1" outlineLevel="1" x14ac:dyDescent="0.25">
      <c r="E435" s="229"/>
      <c r="F435" s="213">
        <v>0</v>
      </c>
      <c r="G435" s="213">
        <v>0</v>
      </c>
      <c r="H435" s="213">
        <v>0</v>
      </c>
      <c r="I435" s="213">
        <v>0</v>
      </c>
      <c r="J435" s="218">
        <v>0</v>
      </c>
      <c r="K435" s="218">
        <v>0</v>
      </c>
      <c r="L435" s="221" t="s">
        <v>85</v>
      </c>
      <c r="M435" s="260">
        <f t="shared" si="114"/>
        <v>43617</v>
      </c>
      <c r="N435" s="228"/>
      <c r="O435" s="261">
        <v>0</v>
      </c>
      <c r="P435" s="435">
        <v>0</v>
      </c>
      <c r="Q435" s="437">
        <v>0</v>
      </c>
      <c r="R435" s="261">
        <v>0</v>
      </c>
      <c r="S435" s="261">
        <v>0</v>
      </c>
      <c r="T435" s="261">
        <v>0</v>
      </c>
      <c r="U435" s="261">
        <v>0</v>
      </c>
      <c r="V435" s="231">
        <f t="shared" si="115"/>
        <v>0</v>
      </c>
    </row>
    <row r="436" spans="4:22" s="201" customFormat="1" ht="13" hidden="1" outlineLevel="1" x14ac:dyDescent="0.25">
      <c r="E436" s="229"/>
      <c r="F436" s="213">
        <v>0</v>
      </c>
      <c r="G436" s="213">
        <v>0</v>
      </c>
      <c r="H436" s="213">
        <v>0</v>
      </c>
      <c r="I436" s="213">
        <v>0</v>
      </c>
      <c r="J436" s="218">
        <v>0</v>
      </c>
      <c r="K436" s="218">
        <v>0</v>
      </c>
      <c r="L436" s="221" t="s">
        <v>85</v>
      </c>
      <c r="M436" s="260">
        <f t="shared" si="114"/>
        <v>43617</v>
      </c>
      <c r="N436" s="228"/>
      <c r="O436" s="261">
        <v>0</v>
      </c>
      <c r="P436" s="435">
        <v>0</v>
      </c>
      <c r="Q436" s="437">
        <v>0</v>
      </c>
      <c r="R436" s="261">
        <v>0</v>
      </c>
      <c r="S436" s="261">
        <v>0</v>
      </c>
      <c r="T436" s="261">
        <v>0</v>
      </c>
      <c r="U436" s="261">
        <v>0</v>
      </c>
      <c r="V436" s="231">
        <f t="shared" si="115"/>
        <v>0</v>
      </c>
    </row>
    <row r="437" spans="4:22" s="201" customFormat="1" ht="13" hidden="1" outlineLevel="1" x14ac:dyDescent="0.25">
      <c r="E437" s="229"/>
      <c r="F437" s="213">
        <v>0</v>
      </c>
      <c r="G437" s="213">
        <v>0</v>
      </c>
      <c r="H437" s="213">
        <v>0</v>
      </c>
      <c r="I437" s="213">
        <v>0</v>
      </c>
      <c r="J437" s="218">
        <v>0</v>
      </c>
      <c r="K437" s="218">
        <v>0</v>
      </c>
      <c r="L437" s="221" t="s">
        <v>85</v>
      </c>
      <c r="M437" s="260">
        <f t="shared" si="114"/>
        <v>43617</v>
      </c>
      <c r="N437" s="228"/>
      <c r="O437" s="261">
        <v>0</v>
      </c>
      <c r="P437" s="435">
        <v>0</v>
      </c>
      <c r="Q437" s="437">
        <v>0</v>
      </c>
      <c r="R437" s="261">
        <v>0</v>
      </c>
      <c r="S437" s="261">
        <v>0</v>
      </c>
      <c r="T437" s="261">
        <v>0</v>
      </c>
      <c r="U437" s="261">
        <v>0</v>
      </c>
      <c r="V437" s="231">
        <f t="shared" si="115"/>
        <v>0</v>
      </c>
    </row>
    <row r="438" spans="4:22" s="201" customFormat="1" ht="13" hidden="1" outlineLevel="1" x14ac:dyDescent="0.25">
      <c r="E438" s="229"/>
      <c r="F438" s="213">
        <v>0</v>
      </c>
      <c r="G438" s="213">
        <v>0</v>
      </c>
      <c r="H438" s="213">
        <v>0</v>
      </c>
      <c r="I438" s="213">
        <v>0</v>
      </c>
      <c r="J438" s="218">
        <v>0</v>
      </c>
      <c r="K438" s="218">
        <v>0</v>
      </c>
      <c r="L438" s="221" t="s">
        <v>85</v>
      </c>
      <c r="M438" s="260">
        <f t="shared" si="114"/>
        <v>43617</v>
      </c>
      <c r="N438" s="228"/>
      <c r="O438" s="261">
        <v>0</v>
      </c>
      <c r="P438" s="435">
        <v>0</v>
      </c>
      <c r="Q438" s="437">
        <v>0</v>
      </c>
      <c r="R438" s="261">
        <v>0</v>
      </c>
      <c r="S438" s="261">
        <v>0</v>
      </c>
      <c r="T438" s="261">
        <v>0</v>
      </c>
      <c r="U438" s="261">
        <v>0</v>
      </c>
      <c r="V438" s="231">
        <f t="shared" si="115"/>
        <v>0</v>
      </c>
    </row>
    <row r="439" spans="4:22" s="201" customFormat="1" ht="13" hidden="1" outlineLevel="1" x14ac:dyDescent="0.25">
      <c r="E439" s="229"/>
      <c r="F439" s="151" t="s">
        <v>17</v>
      </c>
      <c r="G439" s="151"/>
      <c r="H439" s="151"/>
      <c r="I439" s="151"/>
      <c r="J439" s="151"/>
      <c r="K439" s="151"/>
      <c r="L439" s="247" t="s">
        <v>85</v>
      </c>
      <c r="M439" s="253">
        <f t="shared" si="114"/>
        <v>43617</v>
      </c>
      <c r="N439" s="228"/>
      <c r="O439" s="232">
        <f t="shared" ref="O439" si="116">SUM(O424:O438)</f>
        <v>0</v>
      </c>
      <c r="P439" s="289">
        <f t="shared" ref="P439:U439" si="117">SUM(P424:P438)</f>
        <v>0</v>
      </c>
      <c r="Q439" s="290">
        <f t="shared" si="117"/>
        <v>0</v>
      </c>
      <c r="R439" s="232">
        <f t="shared" si="117"/>
        <v>0</v>
      </c>
      <c r="S439" s="232">
        <f t="shared" si="117"/>
        <v>0</v>
      </c>
      <c r="T439" s="232">
        <f t="shared" si="117"/>
        <v>0</v>
      </c>
      <c r="U439" s="232">
        <f t="shared" si="117"/>
        <v>0</v>
      </c>
      <c r="V439" s="233">
        <f>SUM(Q439:U439)</f>
        <v>0</v>
      </c>
    </row>
    <row r="440" spans="4:22" s="201" customFormat="1" hidden="1" outlineLevel="1" x14ac:dyDescent="0.25">
      <c r="N440" s="228"/>
    </row>
    <row r="441" spans="4:22" s="201" customFormat="1" ht="13" hidden="1" outlineLevel="1" x14ac:dyDescent="0.3">
      <c r="D441" s="202" t="s">
        <v>380</v>
      </c>
      <c r="E441" s="229"/>
    </row>
    <row r="442" spans="4:22" s="201" customFormat="1" hidden="1" outlineLevel="1" x14ac:dyDescent="0.25">
      <c r="E442" s="229"/>
      <c r="O442"/>
      <c r="P442"/>
      <c r="Q442"/>
      <c r="R442"/>
      <c r="S442"/>
      <c r="T442"/>
      <c r="U442"/>
    </row>
    <row r="443" spans="4:22" s="201" customFormat="1" ht="13" hidden="1" outlineLevel="1" x14ac:dyDescent="0.25">
      <c r="E443" s="229"/>
      <c r="F443" s="594" t="str">
        <f>I_MeterTypes[[#Headers],[Meter Type]]</f>
        <v>Meter Type</v>
      </c>
      <c r="G443" s="594" t="str">
        <f>I_MeterTypes[[#Headers],[RIN Subcategory 1]]</f>
        <v>RIN Subcategory 1</v>
      </c>
      <c r="H443" s="594" t="str">
        <f>I_MeterTypes[[#Headers],[RIN Subcategory 2]]</f>
        <v>RIN Subcategory 2</v>
      </c>
      <c r="I443" s="594" t="str">
        <f>I_MeterTypes[[#Headers],[AER Type]]</f>
        <v>AER Type</v>
      </c>
      <c r="J443" s="594" t="str">
        <f>I_MeterTypes[[#Headers],[RIN Subcategory 3]]</f>
        <v>RIN Subcategory 3</v>
      </c>
      <c r="K443" s="594" t="str">
        <f>I_MeterTypes[[#Headers],[Meter Code]]</f>
        <v>Meter Code</v>
      </c>
      <c r="L443" s="594" t="s">
        <v>6</v>
      </c>
      <c r="M443" s="594" t="s">
        <v>118</v>
      </c>
      <c r="O443" s="592" t="str">
        <f>O$12</f>
        <v>2018-19</v>
      </c>
      <c r="P443" s="592" t="str">
        <f t="shared" ref="P443:U443" si="118">P$12</f>
        <v>2019-20</v>
      </c>
      <c r="Q443" s="593" t="str">
        <f t="shared" si="118"/>
        <v>2020-21</v>
      </c>
      <c r="R443" s="592" t="str">
        <f t="shared" si="118"/>
        <v>2021-22</v>
      </c>
      <c r="S443" s="592" t="str">
        <f t="shared" si="118"/>
        <v>2022-23</v>
      </c>
      <c r="T443" s="592" t="str">
        <f t="shared" si="118"/>
        <v>2023-24</v>
      </c>
      <c r="U443" s="592" t="str">
        <f t="shared" si="118"/>
        <v>2024-25</v>
      </c>
      <c r="V443" s="592" t="s">
        <v>17</v>
      </c>
    </row>
    <row r="444" spans="4:22" s="201" customFormat="1" ht="13" hidden="1" outlineLevel="1" x14ac:dyDescent="0.25">
      <c r="E444" s="229"/>
      <c r="F444" s="213" t="str" cm="1">
        <f t="array" ref="F444:F458">I_MeterTypes[Meter Type]</f>
        <v>AMI - Single Phase, single element</v>
      </c>
      <c r="G444" s="213" t="str" cm="1">
        <f t="array" ref="G444:G458">I_MeterTypes[RIN Subcategory 1]</f>
        <v>Single Phase Meter Population</v>
      </c>
      <c r="H444" s="213" t="str" cm="1">
        <f t="array" ref="H444:H458">I_MeterTypes[RIN Subcategory 2]</f>
        <v>Other</v>
      </c>
      <c r="I444" s="213" t="str" cm="1">
        <f t="array" ref="I444:I458">I_MeterTypes[AER Type]</f>
        <v>Meter Type 4</v>
      </c>
      <c r="J444" s="213" t="str" cm="1">
        <f t="array" ref="J444:J458">I_MeterTypes[RIN Subcategory 3]</f>
        <v>Single phase single element - AMI</v>
      </c>
      <c r="K444" s="213" t="str" cm="1">
        <f t="array" ref="K444:K458">I_MeterTypes[Meter Code]</f>
        <v>AMI 1ph 1e</v>
      </c>
      <c r="L444" s="221" t="s">
        <v>85</v>
      </c>
      <c r="M444" s="260">
        <f t="shared" ref="M444:M459" si="119">Basis_Capex</f>
        <v>43617</v>
      </c>
      <c r="O444" s="261">
        <f>O244+O264+O284+O304+O324+O344+O364+O384+O404+O424</f>
        <v>0</v>
      </c>
      <c r="P444" s="261">
        <f t="shared" ref="P444:U444" si="120">P244+P264+P284+P304+P324+P344+P364+P384+P404+P424</f>
        <v>2385000</v>
      </c>
      <c r="Q444" s="261">
        <f t="shared" si="120"/>
        <v>2385000</v>
      </c>
      <c r="R444" s="261">
        <f t="shared" si="120"/>
        <v>2385000</v>
      </c>
      <c r="S444" s="261">
        <f t="shared" si="120"/>
        <v>2385000</v>
      </c>
      <c r="T444" s="261">
        <f t="shared" si="120"/>
        <v>2385000</v>
      </c>
      <c r="U444" s="261">
        <f t="shared" si="120"/>
        <v>2385000</v>
      </c>
      <c r="V444" s="231">
        <f t="shared" ref="V444:V458" si="121">SUM(N444:U444)</f>
        <v>14310000</v>
      </c>
    </row>
    <row r="445" spans="4:22" s="201" customFormat="1" ht="13" hidden="1" outlineLevel="1" x14ac:dyDescent="0.25">
      <c r="E445" s="229"/>
      <c r="F445" s="213" t="str">
        <v>AMI - Single Phase, two element</v>
      </c>
      <c r="G445" s="213" t="str">
        <v>Single Phase Meter Population</v>
      </c>
      <c r="H445" s="213" t="str">
        <v>Other</v>
      </c>
      <c r="I445" s="213" t="str">
        <v>Meter Type 4</v>
      </c>
      <c r="J445" s="218" t="str">
        <v>Single phase two element with contactor - AMI</v>
      </c>
      <c r="K445" s="218" t="str">
        <v>AMI 1ph 2e</v>
      </c>
      <c r="L445" s="221" t="s">
        <v>85</v>
      </c>
      <c r="M445" s="260">
        <f t="shared" si="119"/>
        <v>43617</v>
      </c>
      <c r="O445" s="261">
        <f t="shared" ref="O445:U445" si="122">O245+O265+O285+O305+O325+O345+O365+O385+O405+O425</f>
        <v>0</v>
      </c>
      <c r="P445" s="435">
        <f t="shared" si="122"/>
        <v>0</v>
      </c>
      <c r="Q445" s="437">
        <f t="shared" si="122"/>
        <v>0</v>
      </c>
      <c r="R445" s="261">
        <f t="shared" si="122"/>
        <v>0</v>
      </c>
      <c r="S445" s="261">
        <f t="shared" si="122"/>
        <v>0</v>
      </c>
      <c r="T445" s="261">
        <f t="shared" si="122"/>
        <v>0</v>
      </c>
      <c r="U445" s="261">
        <f t="shared" si="122"/>
        <v>0</v>
      </c>
      <c r="V445" s="231">
        <f t="shared" si="121"/>
        <v>0</v>
      </c>
    </row>
    <row r="446" spans="4:22" s="201" customFormat="1" ht="13" hidden="1" outlineLevel="1" x14ac:dyDescent="0.25">
      <c r="E446" s="229"/>
      <c r="F446" s="213" t="str">
        <v>AMI - 3 Phase DC</v>
      </c>
      <c r="G446" s="213" t="str">
        <v>Multi Phase Meter Population</v>
      </c>
      <c r="H446" s="213" t="str">
        <v>Direct Connect Meter Population</v>
      </c>
      <c r="I446" s="213" t="str">
        <v>Meter Type 4</v>
      </c>
      <c r="J446" s="218" t="str">
        <v>Three phase - AMI</v>
      </c>
      <c r="K446" s="218" t="str">
        <v>AMI 3ph DC</v>
      </c>
      <c r="L446" s="221" t="s">
        <v>85</v>
      </c>
      <c r="M446" s="260">
        <f t="shared" si="119"/>
        <v>43617</v>
      </c>
      <c r="O446" s="261">
        <f t="shared" ref="O446:U446" si="123">O246+O266+O286+O306+O326+O346+O366+O386+O406+O426</f>
        <v>0</v>
      </c>
      <c r="P446" s="435">
        <f t="shared" si="123"/>
        <v>0</v>
      </c>
      <c r="Q446" s="437">
        <f t="shared" si="123"/>
        <v>0</v>
      </c>
      <c r="R446" s="261">
        <f t="shared" si="123"/>
        <v>0</v>
      </c>
      <c r="S446" s="261">
        <f t="shared" si="123"/>
        <v>0</v>
      </c>
      <c r="T446" s="261">
        <f t="shared" si="123"/>
        <v>0</v>
      </c>
      <c r="U446" s="261">
        <f t="shared" si="123"/>
        <v>0</v>
      </c>
      <c r="V446" s="231">
        <f t="shared" si="121"/>
        <v>0</v>
      </c>
    </row>
    <row r="447" spans="4:22" s="201" customFormat="1" ht="13" hidden="1" outlineLevel="1" x14ac:dyDescent="0.25">
      <c r="E447" s="229"/>
      <c r="F447" s="213" t="str">
        <v>AMI 3Ph CT</v>
      </c>
      <c r="G447" s="213" t="str">
        <v>Multi Phase Meter Population</v>
      </c>
      <c r="H447" s="213" t="str">
        <v>Current Transformer Connected Meter Population</v>
      </c>
      <c r="I447" s="213" t="str">
        <v>Meter Type 4</v>
      </c>
      <c r="J447" s="218">
        <v>0</v>
      </c>
      <c r="K447" s="218" t="str">
        <v>AMI 3ph CT</v>
      </c>
      <c r="L447" s="221" t="s">
        <v>85</v>
      </c>
      <c r="M447" s="260">
        <f t="shared" si="119"/>
        <v>43617</v>
      </c>
      <c r="O447" s="261">
        <f t="shared" ref="O447:U447" si="124">O247+O267+O287+O307+O327+O347+O367+O387+O407+O427</f>
        <v>0</v>
      </c>
      <c r="P447" s="435">
        <f t="shared" si="124"/>
        <v>0</v>
      </c>
      <c r="Q447" s="437">
        <f t="shared" si="124"/>
        <v>0</v>
      </c>
      <c r="R447" s="261">
        <f t="shared" si="124"/>
        <v>0</v>
      </c>
      <c r="S447" s="261">
        <f t="shared" si="124"/>
        <v>0</v>
      </c>
      <c r="T447" s="261">
        <f t="shared" si="124"/>
        <v>0</v>
      </c>
      <c r="U447" s="261">
        <f t="shared" si="124"/>
        <v>0</v>
      </c>
      <c r="V447" s="231">
        <f t="shared" si="121"/>
        <v>0</v>
      </c>
    </row>
    <row r="448" spans="4:22" s="201" customFormat="1" ht="13" hidden="1" outlineLevel="1" x14ac:dyDescent="0.25">
      <c r="E448" s="229"/>
      <c r="F448" s="213" t="str">
        <v>Non AMI - Type 5 Locally read Interval - Single Phase</v>
      </c>
      <c r="G448" s="213" t="str">
        <v>Single Phase Meter Population</v>
      </c>
      <c r="H448" s="213" t="str">
        <v>Direct Connect Meter Population</v>
      </c>
      <c r="I448" s="213" t="str">
        <v>Meter Type 5</v>
      </c>
      <c r="J448" s="218">
        <v>0</v>
      </c>
      <c r="K448" s="218" t="str">
        <v>INT 1ph</v>
      </c>
      <c r="L448" s="221" t="s">
        <v>85</v>
      </c>
      <c r="M448" s="260">
        <f t="shared" si="119"/>
        <v>43617</v>
      </c>
      <c r="O448" s="261">
        <f t="shared" ref="O448:U448" si="125">O248+O268+O288+O308+O328+O348+O368+O388+O408+O428</f>
        <v>0</v>
      </c>
      <c r="P448" s="435">
        <f t="shared" si="125"/>
        <v>0</v>
      </c>
      <c r="Q448" s="437">
        <f t="shared" si="125"/>
        <v>0</v>
      </c>
      <c r="R448" s="261">
        <f t="shared" si="125"/>
        <v>0</v>
      </c>
      <c r="S448" s="261">
        <f t="shared" si="125"/>
        <v>0</v>
      </c>
      <c r="T448" s="261">
        <f t="shared" si="125"/>
        <v>0</v>
      </c>
      <c r="U448" s="261">
        <f t="shared" si="125"/>
        <v>0</v>
      </c>
      <c r="V448" s="231">
        <f t="shared" si="121"/>
        <v>0</v>
      </c>
    </row>
    <row r="449" spans="2:22" s="201" customFormat="1" ht="13" hidden="1" outlineLevel="1" x14ac:dyDescent="0.25">
      <c r="E449" s="229"/>
      <c r="F449" s="213" t="str">
        <v>Non AMI - Type 5 Locally read Interval - 3 Phase</v>
      </c>
      <c r="G449" s="213" t="str">
        <v>Single Phase Meter Population</v>
      </c>
      <c r="H449" s="213" t="str">
        <v>Direct Connect Meter Population</v>
      </c>
      <c r="I449" s="213" t="str">
        <v>Meter Type 5</v>
      </c>
      <c r="J449" s="218">
        <v>0</v>
      </c>
      <c r="K449" s="218" t="str">
        <v>INT 3ph</v>
      </c>
      <c r="L449" s="221" t="s">
        <v>85</v>
      </c>
      <c r="M449" s="260">
        <f t="shared" si="119"/>
        <v>43617</v>
      </c>
      <c r="O449" s="261">
        <f t="shared" ref="O449:U449" si="126">O249+O269+O289+O309+O329+O349+O369+O389+O409+O429</f>
        <v>0</v>
      </c>
      <c r="P449" s="435">
        <f t="shared" si="126"/>
        <v>0</v>
      </c>
      <c r="Q449" s="437">
        <f t="shared" si="126"/>
        <v>0</v>
      </c>
      <c r="R449" s="261">
        <f t="shared" si="126"/>
        <v>0</v>
      </c>
      <c r="S449" s="261">
        <f t="shared" si="126"/>
        <v>0</v>
      </c>
      <c r="T449" s="261">
        <f t="shared" si="126"/>
        <v>0</v>
      </c>
      <c r="U449" s="261">
        <f t="shared" si="126"/>
        <v>0</v>
      </c>
      <c r="V449" s="231">
        <f t="shared" si="121"/>
        <v>0</v>
      </c>
    </row>
    <row r="450" spans="2:22" s="201" customFormat="1" ht="13" hidden="1" outlineLevel="1" x14ac:dyDescent="0.25">
      <c r="E450" s="229"/>
      <c r="F450" s="213" t="str">
        <v>Non AMI - Type 5 Locally read Interval - 3 Phase - CT</v>
      </c>
      <c r="G450" s="213" t="str">
        <v>Multi Phase Meter Population</v>
      </c>
      <c r="H450" s="213" t="str">
        <v>Current Transformer Connected Meter Population</v>
      </c>
      <c r="I450" s="213" t="str">
        <v>Meter Type 5</v>
      </c>
      <c r="J450" s="218">
        <v>0</v>
      </c>
      <c r="K450" s="218" t="str">
        <v>INT 3ph CT</v>
      </c>
      <c r="L450" s="221" t="s">
        <v>85</v>
      </c>
      <c r="M450" s="260">
        <f t="shared" si="119"/>
        <v>43617</v>
      </c>
      <c r="O450" s="261">
        <f t="shared" ref="O450:U450" si="127">O250+O270+O290+O310+O330+O350+O370+O390+O410+O430</f>
        <v>0</v>
      </c>
      <c r="P450" s="435">
        <f t="shared" si="127"/>
        <v>0</v>
      </c>
      <c r="Q450" s="437">
        <f t="shared" si="127"/>
        <v>0</v>
      </c>
      <c r="R450" s="261">
        <f t="shared" si="127"/>
        <v>0</v>
      </c>
      <c r="S450" s="261">
        <f t="shared" si="127"/>
        <v>0</v>
      </c>
      <c r="T450" s="261">
        <f t="shared" si="127"/>
        <v>0</v>
      </c>
      <c r="U450" s="261">
        <f t="shared" si="127"/>
        <v>0</v>
      </c>
      <c r="V450" s="231">
        <f t="shared" si="121"/>
        <v>0</v>
      </c>
    </row>
    <row r="451" spans="2:22" s="201" customFormat="1" ht="13" hidden="1" outlineLevel="1" x14ac:dyDescent="0.25">
      <c r="E451" s="229"/>
      <c r="F451" s="213" t="str">
        <v>Non AMI - Type 6 Locally read Accumulation - Single Phase</v>
      </c>
      <c r="G451" s="213" t="str">
        <v>Multi Phase Meter Population</v>
      </c>
      <c r="H451" s="213" t="str">
        <v>Direct Connect Meter Population</v>
      </c>
      <c r="I451" s="213" t="str">
        <v>Meter Type 6</v>
      </c>
      <c r="J451" s="218">
        <v>0</v>
      </c>
      <c r="K451" s="218" t="str">
        <v>ACC 1ph</v>
      </c>
      <c r="L451" s="221" t="s">
        <v>85</v>
      </c>
      <c r="M451" s="260">
        <f t="shared" si="119"/>
        <v>43617</v>
      </c>
      <c r="N451" s="228"/>
      <c r="O451" s="261">
        <f t="shared" ref="O451:U451" si="128">O251+O271+O291+O311+O331+O351+O371+O391+O411+O431</f>
        <v>0</v>
      </c>
      <c r="P451" s="435">
        <f t="shared" si="128"/>
        <v>0</v>
      </c>
      <c r="Q451" s="437">
        <f t="shared" si="128"/>
        <v>0</v>
      </c>
      <c r="R451" s="261">
        <f t="shared" si="128"/>
        <v>0</v>
      </c>
      <c r="S451" s="261">
        <f t="shared" si="128"/>
        <v>0</v>
      </c>
      <c r="T451" s="261">
        <f t="shared" si="128"/>
        <v>0</v>
      </c>
      <c r="U451" s="261">
        <f t="shared" si="128"/>
        <v>0</v>
      </c>
      <c r="V451" s="231">
        <f t="shared" si="121"/>
        <v>0</v>
      </c>
    </row>
    <row r="452" spans="2:22" s="201" customFormat="1" ht="13" hidden="1" outlineLevel="1" x14ac:dyDescent="0.25">
      <c r="E452" s="229"/>
      <c r="F452" s="213" t="str">
        <v>Non AMI - Type 6 Locally read Accumulation - 3 Phase</v>
      </c>
      <c r="G452" s="213">
        <v>0</v>
      </c>
      <c r="H452" s="213" t="str">
        <v>Direct Connect Meter Population</v>
      </c>
      <c r="I452" s="213" t="str">
        <v>Meter Type 6</v>
      </c>
      <c r="J452" s="218">
        <v>0</v>
      </c>
      <c r="K452" s="218" t="str">
        <v>ACC 3ph</v>
      </c>
      <c r="L452" s="221" t="s">
        <v>85</v>
      </c>
      <c r="M452" s="260">
        <f t="shared" si="119"/>
        <v>43617</v>
      </c>
      <c r="N452" s="228"/>
      <c r="O452" s="261">
        <f t="shared" ref="O452:U452" si="129">O252+O272+O292+O312+O332+O352+O372+O392+O412+O432</f>
        <v>0</v>
      </c>
      <c r="P452" s="435">
        <f t="shared" si="129"/>
        <v>0</v>
      </c>
      <c r="Q452" s="437">
        <f t="shared" si="129"/>
        <v>0</v>
      </c>
      <c r="R452" s="261">
        <f t="shared" si="129"/>
        <v>0</v>
      </c>
      <c r="S452" s="261">
        <f t="shared" si="129"/>
        <v>0</v>
      </c>
      <c r="T452" s="261">
        <f t="shared" si="129"/>
        <v>0</v>
      </c>
      <c r="U452" s="261">
        <f t="shared" si="129"/>
        <v>0</v>
      </c>
      <c r="V452" s="231">
        <f t="shared" si="121"/>
        <v>0</v>
      </c>
    </row>
    <row r="453" spans="2:22" s="201" customFormat="1" ht="13" hidden="1" outlineLevel="1" x14ac:dyDescent="0.25">
      <c r="E453" s="229"/>
      <c r="F453" s="213">
        <v>0</v>
      </c>
      <c r="G453" s="213">
        <v>0</v>
      </c>
      <c r="H453" s="213">
        <v>0</v>
      </c>
      <c r="I453" s="213">
        <v>0</v>
      </c>
      <c r="J453" s="218">
        <v>0</v>
      </c>
      <c r="K453" s="218">
        <v>0</v>
      </c>
      <c r="L453" s="221" t="s">
        <v>85</v>
      </c>
      <c r="M453" s="260">
        <f t="shared" si="119"/>
        <v>43617</v>
      </c>
      <c r="N453" s="228"/>
      <c r="O453" s="261">
        <f t="shared" ref="O453:U453" si="130">O253+O273+O293+O313+O333+O353+O373+O393+O413+O433</f>
        <v>0</v>
      </c>
      <c r="P453" s="435">
        <f t="shared" si="130"/>
        <v>0</v>
      </c>
      <c r="Q453" s="437">
        <f t="shared" si="130"/>
        <v>0</v>
      </c>
      <c r="R453" s="261">
        <f t="shared" si="130"/>
        <v>0</v>
      </c>
      <c r="S453" s="261">
        <f t="shared" si="130"/>
        <v>0</v>
      </c>
      <c r="T453" s="261">
        <f t="shared" si="130"/>
        <v>0</v>
      </c>
      <c r="U453" s="261">
        <f t="shared" si="130"/>
        <v>0</v>
      </c>
      <c r="V453" s="231">
        <f t="shared" si="121"/>
        <v>0</v>
      </c>
    </row>
    <row r="454" spans="2:22" s="201" customFormat="1" ht="13" hidden="1" outlineLevel="1" x14ac:dyDescent="0.25">
      <c r="E454" s="229"/>
      <c r="F454" s="213">
        <v>0</v>
      </c>
      <c r="G454" s="213">
        <v>0</v>
      </c>
      <c r="H454" s="213">
        <v>0</v>
      </c>
      <c r="I454" s="213">
        <v>0</v>
      </c>
      <c r="J454" s="218">
        <v>0</v>
      </c>
      <c r="K454" s="218">
        <v>0</v>
      </c>
      <c r="L454" s="221" t="s">
        <v>85</v>
      </c>
      <c r="M454" s="260">
        <f t="shared" si="119"/>
        <v>43617</v>
      </c>
      <c r="N454" s="228"/>
      <c r="O454" s="261">
        <f t="shared" ref="O454:U454" si="131">O254+O274+O294+O314+O334+O354+O374+O394+O414+O434</f>
        <v>0</v>
      </c>
      <c r="P454" s="435">
        <f t="shared" si="131"/>
        <v>0</v>
      </c>
      <c r="Q454" s="437">
        <f t="shared" si="131"/>
        <v>0</v>
      </c>
      <c r="R454" s="261">
        <f t="shared" si="131"/>
        <v>0</v>
      </c>
      <c r="S454" s="261">
        <f t="shared" si="131"/>
        <v>0</v>
      </c>
      <c r="T454" s="261">
        <f t="shared" si="131"/>
        <v>0</v>
      </c>
      <c r="U454" s="261">
        <f t="shared" si="131"/>
        <v>0</v>
      </c>
      <c r="V454" s="231">
        <f t="shared" si="121"/>
        <v>0</v>
      </c>
    </row>
    <row r="455" spans="2:22" s="201" customFormat="1" ht="13" hidden="1" outlineLevel="1" x14ac:dyDescent="0.25">
      <c r="E455" s="229"/>
      <c r="F455" s="213">
        <v>0</v>
      </c>
      <c r="G455" s="213">
        <v>0</v>
      </c>
      <c r="H455" s="213">
        <v>0</v>
      </c>
      <c r="I455" s="213">
        <v>0</v>
      </c>
      <c r="J455" s="218">
        <v>0</v>
      </c>
      <c r="K455" s="218">
        <v>0</v>
      </c>
      <c r="L455" s="221" t="s">
        <v>85</v>
      </c>
      <c r="M455" s="260">
        <f t="shared" si="119"/>
        <v>43617</v>
      </c>
      <c r="N455" s="228"/>
      <c r="O455" s="261">
        <f t="shared" ref="O455:U455" si="132">O255+O275+O295+O315+O335+O355+O375+O395+O415+O435</f>
        <v>0</v>
      </c>
      <c r="P455" s="435">
        <f t="shared" si="132"/>
        <v>0</v>
      </c>
      <c r="Q455" s="437">
        <f t="shared" si="132"/>
        <v>0</v>
      </c>
      <c r="R455" s="261">
        <f t="shared" si="132"/>
        <v>0</v>
      </c>
      <c r="S455" s="261">
        <f t="shared" si="132"/>
        <v>0</v>
      </c>
      <c r="T455" s="261">
        <f t="shared" si="132"/>
        <v>0</v>
      </c>
      <c r="U455" s="261">
        <f t="shared" si="132"/>
        <v>0</v>
      </c>
      <c r="V455" s="231">
        <f t="shared" si="121"/>
        <v>0</v>
      </c>
    </row>
    <row r="456" spans="2:22" s="201" customFormat="1" ht="13" hidden="1" outlineLevel="1" x14ac:dyDescent="0.25">
      <c r="E456" s="229"/>
      <c r="F456" s="213">
        <v>0</v>
      </c>
      <c r="G456" s="213">
        <v>0</v>
      </c>
      <c r="H456" s="213">
        <v>0</v>
      </c>
      <c r="I456" s="213">
        <v>0</v>
      </c>
      <c r="J456" s="218">
        <v>0</v>
      </c>
      <c r="K456" s="218">
        <v>0</v>
      </c>
      <c r="L456" s="221" t="s">
        <v>85</v>
      </c>
      <c r="M456" s="260">
        <f t="shared" si="119"/>
        <v>43617</v>
      </c>
      <c r="N456" s="228"/>
      <c r="O456" s="261">
        <f t="shared" ref="O456:U456" si="133">O256+O276+O296+O316+O336+O356+O376+O396+O416+O436</f>
        <v>0</v>
      </c>
      <c r="P456" s="435">
        <f t="shared" si="133"/>
        <v>0</v>
      </c>
      <c r="Q456" s="437">
        <f t="shared" si="133"/>
        <v>0</v>
      </c>
      <c r="R456" s="261">
        <f t="shared" si="133"/>
        <v>0</v>
      </c>
      <c r="S456" s="261">
        <f t="shared" si="133"/>
        <v>0</v>
      </c>
      <c r="T456" s="261">
        <f t="shared" si="133"/>
        <v>0</v>
      </c>
      <c r="U456" s="261">
        <f t="shared" si="133"/>
        <v>0</v>
      </c>
      <c r="V456" s="231">
        <f t="shared" si="121"/>
        <v>0</v>
      </c>
    </row>
    <row r="457" spans="2:22" s="201" customFormat="1" ht="13" hidden="1" outlineLevel="1" x14ac:dyDescent="0.25">
      <c r="E457" s="229"/>
      <c r="F457" s="213">
        <v>0</v>
      </c>
      <c r="G457" s="213">
        <v>0</v>
      </c>
      <c r="H457" s="213">
        <v>0</v>
      </c>
      <c r="I457" s="213">
        <v>0</v>
      </c>
      <c r="J457" s="218">
        <v>0</v>
      </c>
      <c r="K457" s="218">
        <v>0</v>
      </c>
      <c r="L457" s="221" t="s">
        <v>85</v>
      </c>
      <c r="M457" s="260">
        <f t="shared" si="119"/>
        <v>43617</v>
      </c>
      <c r="N457" s="228"/>
      <c r="O457" s="261">
        <f t="shared" ref="O457:U457" si="134">O257+O277+O297+O317+O337+O357+O377+O397+O417+O437</f>
        <v>0</v>
      </c>
      <c r="P457" s="435">
        <f t="shared" si="134"/>
        <v>0</v>
      </c>
      <c r="Q457" s="437">
        <f t="shared" si="134"/>
        <v>0</v>
      </c>
      <c r="R457" s="261">
        <f t="shared" si="134"/>
        <v>0</v>
      </c>
      <c r="S457" s="261">
        <f t="shared" si="134"/>
        <v>0</v>
      </c>
      <c r="T457" s="261">
        <f t="shared" si="134"/>
        <v>0</v>
      </c>
      <c r="U457" s="261">
        <f t="shared" si="134"/>
        <v>0</v>
      </c>
      <c r="V457" s="231">
        <f t="shared" si="121"/>
        <v>0</v>
      </c>
    </row>
    <row r="458" spans="2:22" s="201" customFormat="1" ht="13" hidden="1" outlineLevel="1" x14ac:dyDescent="0.25">
      <c r="E458" s="229"/>
      <c r="F458" s="213">
        <v>0</v>
      </c>
      <c r="G458" s="213">
        <v>0</v>
      </c>
      <c r="H458" s="213">
        <v>0</v>
      </c>
      <c r="I458" s="213">
        <v>0</v>
      </c>
      <c r="J458" s="218">
        <v>0</v>
      </c>
      <c r="K458" s="218">
        <v>0</v>
      </c>
      <c r="L458" s="221" t="s">
        <v>85</v>
      </c>
      <c r="M458" s="260">
        <f t="shared" si="119"/>
        <v>43617</v>
      </c>
      <c r="N458" s="228"/>
      <c r="O458" s="261">
        <f t="shared" ref="O458:U458" si="135">O258+O278+O298+O318+O338+O358+O378+O398+O418+O438</f>
        <v>0</v>
      </c>
      <c r="P458" s="435">
        <f t="shared" si="135"/>
        <v>0</v>
      </c>
      <c r="Q458" s="437">
        <f t="shared" si="135"/>
        <v>0</v>
      </c>
      <c r="R458" s="261">
        <f t="shared" si="135"/>
        <v>0</v>
      </c>
      <c r="S458" s="261">
        <f t="shared" si="135"/>
        <v>0</v>
      </c>
      <c r="T458" s="261">
        <f t="shared" si="135"/>
        <v>0</v>
      </c>
      <c r="U458" s="261">
        <f t="shared" si="135"/>
        <v>0</v>
      </c>
      <c r="V458" s="231">
        <f t="shared" si="121"/>
        <v>0</v>
      </c>
    </row>
    <row r="459" spans="2:22" s="201" customFormat="1" ht="13" hidden="1" outlineLevel="1" x14ac:dyDescent="0.25">
      <c r="E459" s="229"/>
      <c r="F459" s="151" t="s">
        <v>17</v>
      </c>
      <c r="G459" s="151"/>
      <c r="H459" s="151"/>
      <c r="I459" s="151"/>
      <c r="J459" s="151"/>
      <c r="K459" s="151"/>
      <c r="L459" s="247" t="s">
        <v>85</v>
      </c>
      <c r="M459" s="253">
        <f t="shared" si="119"/>
        <v>43617</v>
      </c>
      <c r="N459" s="228"/>
      <c r="O459" s="232">
        <f t="shared" ref="O459:U459" si="136">SUM(O444:O458)</f>
        <v>0</v>
      </c>
      <c r="P459" s="289">
        <f t="shared" si="136"/>
        <v>2385000</v>
      </c>
      <c r="Q459" s="290">
        <f t="shared" si="136"/>
        <v>2385000</v>
      </c>
      <c r="R459" s="232">
        <f t="shared" si="136"/>
        <v>2385000</v>
      </c>
      <c r="S459" s="232">
        <f t="shared" si="136"/>
        <v>2385000</v>
      </c>
      <c r="T459" s="232">
        <f t="shared" si="136"/>
        <v>2385000</v>
      </c>
      <c r="U459" s="232">
        <f t="shared" si="136"/>
        <v>2385000</v>
      </c>
      <c r="V459" s="233">
        <f>SUM(Q459:U459)</f>
        <v>11925000</v>
      </c>
    </row>
    <row r="460" spans="2:22" s="201" customFormat="1" hidden="1" outlineLevel="1" x14ac:dyDescent="0.25">
      <c r="N460" s="228"/>
    </row>
    <row r="461" spans="2:22" s="201" customFormat="1" hidden="1" outlineLevel="1" x14ac:dyDescent="0.25">
      <c r="N461" s="228"/>
    </row>
    <row r="462" spans="2:22" s="201" customFormat="1" ht="13" collapsed="1" x14ac:dyDescent="0.3">
      <c r="B462" s="202" t="s">
        <v>9</v>
      </c>
      <c r="C462" s="202" t="s">
        <v>150</v>
      </c>
      <c r="N462" s="228"/>
    </row>
    <row r="463" spans="2:22" s="201" customFormat="1" outlineLevel="1" x14ac:dyDescent="0.25">
      <c r="N463" s="228"/>
    </row>
    <row r="464" spans="2:22" s="201" customFormat="1" outlineLevel="1" x14ac:dyDescent="0.25">
      <c r="D464" s="201">
        <v>1</v>
      </c>
      <c r="E464" s="229" t="str">
        <f>'Input | Meters Vols &amp; Costs'!$G$29</f>
        <v>New Meter Installations - Growth</v>
      </c>
      <c r="N464" s="228"/>
    </row>
    <row r="465" spans="5:22" s="201" customFormat="1" outlineLevel="1" x14ac:dyDescent="0.25">
      <c r="E465" s="229"/>
      <c r="N465" s="228"/>
      <c r="O465"/>
      <c r="P465"/>
      <c r="Q465"/>
      <c r="R465"/>
      <c r="S465"/>
      <c r="T465"/>
      <c r="U465"/>
    </row>
    <row r="466" spans="5:22" s="201" customFormat="1" ht="13" outlineLevel="1" x14ac:dyDescent="0.25">
      <c r="E466" s="229"/>
      <c r="F466" s="121" t="str">
        <f>I_MeterTypes[[#Headers],[Meter Type]]</f>
        <v>Meter Type</v>
      </c>
      <c r="G466" s="121" t="str">
        <f>I_MeterTypes[[#Headers],[RIN Subcategory 1]]</f>
        <v>RIN Subcategory 1</v>
      </c>
      <c r="H466" s="121" t="str">
        <f>I_MeterTypes[[#Headers],[RIN Subcategory 2]]</f>
        <v>RIN Subcategory 2</v>
      </c>
      <c r="I466" s="121" t="str">
        <f>I_MeterTypes[[#Headers],[AER Type]]</f>
        <v>AER Type</v>
      </c>
      <c r="J466" s="121" t="str">
        <f>I_MeterTypes[[#Headers],[RIN Subcategory 3]]</f>
        <v>RIN Subcategory 3</v>
      </c>
      <c r="K466" s="121" t="str">
        <f>I_MeterTypes[[#Headers],[Meter Code]]</f>
        <v>Meter Code</v>
      </c>
      <c r="L466" s="121" t="s">
        <v>6</v>
      </c>
      <c r="M466" s="121" t="s">
        <v>118</v>
      </c>
      <c r="N466" s="228"/>
      <c r="O466" s="234" t="str">
        <f>O$12</f>
        <v>2018-19</v>
      </c>
      <c r="P466" s="234" t="str">
        <f t="shared" ref="P466:U466" si="137">P$12</f>
        <v>2019-20</v>
      </c>
      <c r="Q466" s="436" t="str">
        <f t="shared" si="137"/>
        <v>2020-21</v>
      </c>
      <c r="R466" s="234" t="str">
        <f t="shared" si="137"/>
        <v>2021-22</v>
      </c>
      <c r="S466" s="234" t="str">
        <f t="shared" si="137"/>
        <v>2022-23</v>
      </c>
      <c r="T466" s="234" t="str">
        <f t="shared" si="137"/>
        <v>2023-24</v>
      </c>
      <c r="U466" s="234" t="str">
        <f t="shared" si="137"/>
        <v>2024-25</v>
      </c>
      <c r="V466" s="234" t="s">
        <v>17</v>
      </c>
    </row>
    <row r="467" spans="5:22" s="201" customFormat="1" ht="13" outlineLevel="1" x14ac:dyDescent="0.25">
      <c r="E467" s="229"/>
      <c r="F467" s="213" t="str" cm="1">
        <f t="array" ref="F467:F481">I_MeterTypes[Meter Type]</f>
        <v>AMI - Single Phase, single element</v>
      </c>
      <c r="G467" s="213" t="str" cm="1">
        <f t="array" ref="G467:G481">I_MeterTypes[RIN Subcategory 1]</f>
        <v>Single Phase Meter Population</v>
      </c>
      <c r="H467" s="213" t="str" cm="1">
        <f t="array" ref="H467:H481">I_MeterTypes[RIN Subcategory 2]</f>
        <v>Other</v>
      </c>
      <c r="I467" s="213" t="str" cm="1">
        <f t="array" ref="I467:I481">I_MeterTypes[AER Type]</f>
        <v>Meter Type 4</v>
      </c>
      <c r="J467" s="213" t="str" cm="1">
        <f t="array" ref="J467:J481">I_MeterTypes[RIN Subcategory 3]</f>
        <v>Single phase single element - AMI</v>
      </c>
      <c r="K467" s="213" t="str" cm="1">
        <f t="array" ref="K467:K481">I_MeterTypes[Meter Code]</f>
        <v>AMI 1ph 1e</v>
      </c>
      <c r="L467" s="221" t="s">
        <v>85</v>
      </c>
      <c r="M467" s="260">
        <f t="shared" ref="M467:M482" si="138">Basis_Capex</f>
        <v>43617</v>
      </c>
      <c r="N467" s="228"/>
      <c r="O467" s="261">
        <f t="shared" ref="O467" si="139">O13+O244</f>
        <v>0</v>
      </c>
      <c r="P467" s="435">
        <f t="shared" ref="P467:U467" si="140">P13+P244</f>
        <v>900000</v>
      </c>
      <c r="Q467" s="437">
        <f t="shared" si="140"/>
        <v>900000</v>
      </c>
      <c r="R467" s="261">
        <f t="shared" si="140"/>
        <v>900000</v>
      </c>
      <c r="S467" s="261">
        <f t="shared" si="140"/>
        <v>900000</v>
      </c>
      <c r="T467" s="261">
        <f t="shared" si="140"/>
        <v>900000</v>
      </c>
      <c r="U467" s="261">
        <f t="shared" si="140"/>
        <v>900000</v>
      </c>
      <c r="V467" s="231">
        <f t="shared" ref="V467:V481" si="141">SUM(N467:U467)</f>
        <v>5400000</v>
      </c>
    </row>
    <row r="468" spans="5:22" s="201" customFormat="1" ht="13" outlineLevel="1" x14ac:dyDescent="0.25">
      <c r="E468" s="229"/>
      <c r="F468" s="213" t="str">
        <v>AMI - Single Phase, two element</v>
      </c>
      <c r="G468" s="213" t="str">
        <v>Single Phase Meter Population</v>
      </c>
      <c r="H468" s="213" t="str">
        <v>Other</v>
      </c>
      <c r="I468" s="213" t="str">
        <v>Meter Type 4</v>
      </c>
      <c r="J468" s="218" t="str">
        <v>Single phase two element with contactor - AMI</v>
      </c>
      <c r="K468" s="218" t="str">
        <v>AMI 1ph 2e</v>
      </c>
      <c r="L468" s="221" t="s">
        <v>85</v>
      </c>
      <c r="M468" s="260">
        <f t="shared" si="138"/>
        <v>43617</v>
      </c>
      <c r="N468" s="228"/>
      <c r="O468" s="261">
        <f t="shared" ref="O468" si="142">O14+O245</f>
        <v>0</v>
      </c>
      <c r="P468" s="435">
        <f t="shared" ref="P468:U468" si="143">P14+P245</f>
        <v>0</v>
      </c>
      <c r="Q468" s="437">
        <f t="shared" si="143"/>
        <v>0</v>
      </c>
      <c r="R468" s="261">
        <f t="shared" si="143"/>
        <v>0</v>
      </c>
      <c r="S468" s="261">
        <f t="shared" si="143"/>
        <v>0</v>
      </c>
      <c r="T468" s="261">
        <f t="shared" si="143"/>
        <v>0</v>
      </c>
      <c r="U468" s="261">
        <f t="shared" si="143"/>
        <v>0</v>
      </c>
      <c r="V468" s="231">
        <f t="shared" si="141"/>
        <v>0</v>
      </c>
    </row>
    <row r="469" spans="5:22" s="201" customFormat="1" ht="13" outlineLevel="1" x14ac:dyDescent="0.25">
      <c r="E469" s="229"/>
      <c r="F469" s="213" t="str">
        <v>AMI - 3 Phase DC</v>
      </c>
      <c r="G469" s="213" t="str">
        <v>Multi Phase Meter Population</v>
      </c>
      <c r="H469" s="213" t="str">
        <v>Direct Connect Meter Population</v>
      </c>
      <c r="I469" s="213" t="str">
        <v>Meter Type 4</v>
      </c>
      <c r="J469" s="218" t="str">
        <v>Three phase - AMI</v>
      </c>
      <c r="K469" s="218" t="str">
        <v>AMI 3ph DC</v>
      </c>
      <c r="L469" s="221" t="s">
        <v>85</v>
      </c>
      <c r="M469" s="260">
        <f t="shared" si="138"/>
        <v>43617</v>
      </c>
      <c r="N469" s="228"/>
      <c r="O469" s="261">
        <f t="shared" ref="O469" si="144">O15+O246</f>
        <v>0</v>
      </c>
      <c r="P469" s="435">
        <f t="shared" ref="P469:U469" si="145">P15+P246</f>
        <v>0</v>
      </c>
      <c r="Q469" s="437">
        <f t="shared" si="145"/>
        <v>0</v>
      </c>
      <c r="R469" s="261">
        <f t="shared" si="145"/>
        <v>0</v>
      </c>
      <c r="S469" s="261">
        <f t="shared" si="145"/>
        <v>0</v>
      </c>
      <c r="T469" s="261">
        <f t="shared" si="145"/>
        <v>0</v>
      </c>
      <c r="U469" s="261">
        <f t="shared" si="145"/>
        <v>0</v>
      </c>
      <c r="V469" s="231">
        <f t="shared" si="141"/>
        <v>0</v>
      </c>
    </row>
    <row r="470" spans="5:22" s="201" customFormat="1" ht="13" outlineLevel="1" x14ac:dyDescent="0.25">
      <c r="E470" s="229"/>
      <c r="F470" s="213" t="str">
        <v>AMI 3Ph CT</v>
      </c>
      <c r="G470" s="213" t="str">
        <v>Multi Phase Meter Population</v>
      </c>
      <c r="H470" s="213" t="str">
        <v>Current Transformer Connected Meter Population</v>
      </c>
      <c r="I470" s="213" t="str">
        <v>Meter Type 4</v>
      </c>
      <c r="J470" s="218">
        <v>0</v>
      </c>
      <c r="K470" s="218" t="str">
        <v>AMI 3ph CT</v>
      </c>
      <c r="L470" s="221" t="s">
        <v>85</v>
      </c>
      <c r="M470" s="260">
        <f t="shared" si="138"/>
        <v>43617</v>
      </c>
      <c r="N470" s="228"/>
      <c r="O470" s="261">
        <f t="shared" ref="O470" si="146">O16+O247</f>
        <v>0</v>
      </c>
      <c r="P470" s="435">
        <f t="shared" ref="P470:U470" si="147">P16+P247</f>
        <v>0</v>
      </c>
      <c r="Q470" s="437">
        <f t="shared" si="147"/>
        <v>0</v>
      </c>
      <c r="R470" s="261">
        <f t="shared" si="147"/>
        <v>0</v>
      </c>
      <c r="S470" s="261">
        <f t="shared" si="147"/>
        <v>0</v>
      </c>
      <c r="T470" s="261">
        <f t="shared" si="147"/>
        <v>0</v>
      </c>
      <c r="U470" s="261">
        <f t="shared" si="147"/>
        <v>0</v>
      </c>
      <c r="V470" s="231">
        <f t="shared" si="141"/>
        <v>0</v>
      </c>
    </row>
    <row r="471" spans="5:22" s="201" customFormat="1" ht="13" outlineLevel="1" x14ac:dyDescent="0.25">
      <c r="E471" s="229"/>
      <c r="F471" s="213" t="str">
        <v>Non AMI - Type 5 Locally read Interval - Single Phase</v>
      </c>
      <c r="G471" s="213" t="str">
        <v>Single Phase Meter Population</v>
      </c>
      <c r="H471" s="213" t="str">
        <v>Direct Connect Meter Population</v>
      </c>
      <c r="I471" s="213" t="str">
        <v>Meter Type 5</v>
      </c>
      <c r="J471" s="218">
        <v>0</v>
      </c>
      <c r="K471" s="218" t="str">
        <v>INT 1ph</v>
      </c>
      <c r="L471" s="221" t="s">
        <v>85</v>
      </c>
      <c r="M471" s="260">
        <f t="shared" si="138"/>
        <v>43617</v>
      </c>
      <c r="N471" s="228"/>
      <c r="O471" s="261">
        <f t="shared" ref="O471" si="148">O17+O248</f>
        <v>0</v>
      </c>
      <c r="P471" s="435">
        <f t="shared" ref="P471:U471" si="149">P17+P248</f>
        <v>0</v>
      </c>
      <c r="Q471" s="437">
        <f t="shared" si="149"/>
        <v>0</v>
      </c>
      <c r="R471" s="261">
        <f t="shared" si="149"/>
        <v>0</v>
      </c>
      <c r="S471" s="261">
        <f t="shared" si="149"/>
        <v>0</v>
      </c>
      <c r="T471" s="261">
        <f t="shared" si="149"/>
        <v>0</v>
      </c>
      <c r="U471" s="261">
        <f t="shared" si="149"/>
        <v>0</v>
      </c>
      <c r="V471" s="231">
        <f t="shared" si="141"/>
        <v>0</v>
      </c>
    </row>
    <row r="472" spans="5:22" s="201" customFormat="1" ht="13" outlineLevel="1" x14ac:dyDescent="0.25">
      <c r="E472" s="229"/>
      <c r="F472" s="213" t="str">
        <v>Non AMI - Type 5 Locally read Interval - 3 Phase</v>
      </c>
      <c r="G472" s="213" t="str">
        <v>Single Phase Meter Population</v>
      </c>
      <c r="H472" s="213" t="str">
        <v>Direct Connect Meter Population</v>
      </c>
      <c r="I472" s="213" t="str">
        <v>Meter Type 5</v>
      </c>
      <c r="J472" s="218">
        <v>0</v>
      </c>
      <c r="K472" s="218" t="str">
        <v>INT 3ph</v>
      </c>
      <c r="L472" s="221" t="s">
        <v>85</v>
      </c>
      <c r="M472" s="260">
        <f t="shared" si="138"/>
        <v>43617</v>
      </c>
      <c r="N472" s="228"/>
      <c r="O472" s="261">
        <f t="shared" ref="O472" si="150">O18+O249</f>
        <v>0</v>
      </c>
      <c r="P472" s="435">
        <f t="shared" ref="P472:U472" si="151">P18+P249</f>
        <v>0</v>
      </c>
      <c r="Q472" s="437">
        <f t="shared" si="151"/>
        <v>0</v>
      </c>
      <c r="R472" s="261">
        <f t="shared" si="151"/>
        <v>0</v>
      </c>
      <c r="S472" s="261">
        <f t="shared" si="151"/>
        <v>0</v>
      </c>
      <c r="T472" s="261">
        <f t="shared" si="151"/>
        <v>0</v>
      </c>
      <c r="U472" s="261">
        <f t="shared" si="151"/>
        <v>0</v>
      </c>
      <c r="V472" s="231">
        <f t="shared" si="141"/>
        <v>0</v>
      </c>
    </row>
    <row r="473" spans="5:22" s="201" customFormat="1" ht="13" outlineLevel="1" x14ac:dyDescent="0.25">
      <c r="E473" s="229"/>
      <c r="F473" s="213" t="str">
        <v>Non AMI - Type 5 Locally read Interval - 3 Phase - CT</v>
      </c>
      <c r="G473" s="213" t="str">
        <v>Multi Phase Meter Population</v>
      </c>
      <c r="H473" s="213" t="str">
        <v>Current Transformer Connected Meter Population</v>
      </c>
      <c r="I473" s="213" t="str">
        <v>Meter Type 5</v>
      </c>
      <c r="J473" s="218">
        <v>0</v>
      </c>
      <c r="K473" s="218" t="str">
        <v>INT 3ph CT</v>
      </c>
      <c r="L473" s="221" t="s">
        <v>85</v>
      </c>
      <c r="M473" s="260">
        <f t="shared" si="138"/>
        <v>43617</v>
      </c>
      <c r="N473" s="228"/>
      <c r="O473" s="261">
        <f t="shared" ref="O473" si="152">O19+O250</f>
        <v>0</v>
      </c>
      <c r="P473" s="435">
        <f t="shared" ref="P473:U473" si="153">P19+P250</f>
        <v>0</v>
      </c>
      <c r="Q473" s="437">
        <f t="shared" si="153"/>
        <v>0</v>
      </c>
      <c r="R473" s="261">
        <f t="shared" si="153"/>
        <v>0</v>
      </c>
      <c r="S473" s="261">
        <f t="shared" si="153"/>
        <v>0</v>
      </c>
      <c r="T473" s="261">
        <f t="shared" si="153"/>
        <v>0</v>
      </c>
      <c r="U473" s="261">
        <f t="shared" si="153"/>
        <v>0</v>
      </c>
      <c r="V473" s="231">
        <f t="shared" si="141"/>
        <v>0</v>
      </c>
    </row>
    <row r="474" spans="5:22" s="201" customFormat="1" ht="13" outlineLevel="1" x14ac:dyDescent="0.25">
      <c r="E474" s="229"/>
      <c r="F474" s="213" t="str">
        <v>Non AMI - Type 6 Locally read Accumulation - Single Phase</v>
      </c>
      <c r="G474" s="213" t="str">
        <v>Multi Phase Meter Population</v>
      </c>
      <c r="H474" s="213" t="str">
        <v>Direct Connect Meter Population</v>
      </c>
      <c r="I474" s="213" t="str">
        <v>Meter Type 6</v>
      </c>
      <c r="J474" s="218">
        <v>0</v>
      </c>
      <c r="K474" s="218" t="str">
        <v>ACC 1ph</v>
      </c>
      <c r="L474" s="221" t="s">
        <v>85</v>
      </c>
      <c r="M474" s="260">
        <f t="shared" si="138"/>
        <v>43617</v>
      </c>
      <c r="N474" s="228"/>
      <c r="O474" s="261">
        <f t="shared" ref="O474" si="154">O20+O251</f>
        <v>0</v>
      </c>
      <c r="P474" s="435">
        <f t="shared" ref="P474:U474" si="155">P20+P251</f>
        <v>0</v>
      </c>
      <c r="Q474" s="437">
        <f t="shared" si="155"/>
        <v>0</v>
      </c>
      <c r="R474" s="261">
        <f t="shared" si="155"/>
        <v>0</v>
      </c>
      <c r="S474" s="261">
        <f t="shared" si="155"/>
        <v>0</v>
      </c>
      <c r="T474" s="261">
        <f t="shared" si="155"/>
        <v>0</v>
      </c>
      <c r="U474" s="261">
        <f t="shared" si="155"/>
        <v>0</v>
      </c>
      <c r="V474" s="231">
        <f t="shared" si="141"/>
        <v>0</v>
      </c>
    </row>
    <row r="475" spans="5:22" s="201" customFormat="1" ht="13" outlineLevel="1" x14ac:dyDescent="0.25">
      <c r="E475" s="229"/>
      <c r="F475" s="213" t="str">
        <v>Non AMI - Type 6 Locally read Accumulation - 3 Phase</v>
      </c>
      <c r="G475" s="213">
        <v>0</v>
      </c>
      <c r="H475" s="213" t="str">
        <v>Direct Connect Meter Population</v>
      </c>
      <c r="I475" s="213" t="str">
        <v>Meter Type 6</v>
      </c>
      <c r="J475" s="218">
        <v>0</v>
      </c>
      <c r="K475" s="218" t="str">
        <v>ACC 3ph</v>
      </c>
      <c r="L475" s="221" t="s">
        <v>85</v>
      </c>
      <c r="M475" s="260">
        <f t="shared" si="138"/>
        <v>43617</v>
      </c>
      <c r="N475" s="228"/>
      <c r="O475" s="261">
        <f t="shared" ref="O475" si="156">O21+O252</f>
        <v>0</v>
      </c>
      <c r="P475" s="435">
        <f t="shared" ref="P475:U475" si="157">P21+P252</f>
        <v>0</v>
      </c>
      <c r="Q475" s="437">
        <f t="shared" si="157"/>
        <v>0</v>
      </c>
      <c r="R475" s="261">
        <f t="shared" si="157"/>
        <v>0</v>
      </c>
      <c r="S475" s="261">
        <f t="shared" si="157"/>
        <v>0</v>
      </c>
      <c r="T475" s="261">
        <f t="shared" si="157"/>
        <v>0</v>
      </c>
      <c r="U475" s="261">
        <f t="shared" si="157"/>
        <v>0</v>
      </c>
      <c r="V475" s="231">
        <f t="shared" si="141"/>
        <v>0</v>
      </c>
    </row>
    <row r="476" spans="5:22" s="201" customFormat="1" ht="13" outlineLevel="1" x14ac:dyDescent="0.25">
      <c r="E476" s="229"/>
      <c r="F476" s="213">
        <v>0</v>
      </c>
      <c r="G476" s="213">
        <v>0</v>
      </c>
      <c r="H476" s="213">
        <v>0</v>
      </c>
      <c r="I476" s="213">
        <v>0</v>
      </c>
      <c r="J476" s="218">
        <v>0</v>
      </c>
      <c r="K476" s="218">
        <v>0</v>
      </c>
      <c r="L476" s="221" t="s">
        <v>85</v>
      </c>
      <c r="M476" s="260">
        <f t="shared" si="138"/>
        <v>43617</v>
      </c>
      <c r="N476" s="228"/>
      <c r="O476" s="261">
        <f t="shared" ref="O476" si="158">O22+O253</f>
        <v>0</v>
      </c>
      <c r="P476" s="435">
        <f t="shared" ref="P476:U476" si="159">P22+P253</f>
        <v>0</v>
      </c>
      <c r="Q476" s="437">
        <f t="shared" si="159"/>
        <v>0</v>
      </c>
      <c r="R476" s="261">
        <f t="shared" si="159"/>
        <v>0</v>
      </c>
      <c r="S476" s="261">
        <f t="shared" si="159"/>
        <v>0</v>
      </c>
      <c r="T476" s="261">
        <f t="shared" si="159"/>
        <v>0</v>
      </c>
      <c r="U476" s="261">
        <f t="shared" si="159"/>
        <v>0</v>
      </c>
      <c r="V476" s="231">
        <f t="shared" si="141"/>
        <v>0</v>
      </c>
    </row>
    <row r="477" spans="5:22" s="201" customFormat="1" ht="13" outlineLevel="1" x14ac:dyDescent="0.25">
      <c r="E477" s="229"/>
      <c r="F477" s="213">
        <v>0</v>
      </c>
      <c r="G477" s="213">
        <v>0</v>
      </c>
      <c r="H477" s="213">
        <v>0</v>
      </c>
      <c r="I477" s="213">
        <v>0</v>
      </c>
      <c r="J477" s="218">
        <v>0</v>
      </c>
      <c r="K477" s="218">
        <v>0</v>
      </c>
      <c r="L477" s="221" t="s">
        <v>85</v>
      </c>
      <c r="M477" s="260">
        <f t="shared" si="138"/>
        <v>43617</v>
      </c>
      <c r="N477" s="228"/>
      <c r="O477" s="261">
        <f t="shared" ref="O477" si="160">O23+O254</f>
        <v>0</v>
      </c>
      <c r="P477" s="435">
        <f t="shared" ref="P477:U477" si="161">P23+P254</f>
        <v>0</v>
      </c>
      <c r="Q477" s="437">
        <f t="shared" si="161"/>
        <v>0</v>
      </c>
      <c r="R477" s="261">
        <f t="shared" si="161"/>
        <v>0</v>
      </c>
      <c r="S477" s="261">
        <f t="shared" si="161"/>
        <v>0</v>
      </c>
      <c r="T477" s="261">
        <f t="shared" si="161"/>
        <v>0</v>
      </c>
      <c r="U477" s="261">
        <f t="shared" si="161"/>
        <v>0</v>
      </c>
      <c r="V477" s="231">
        <f t="shared" si="141"/>
        <v>0</v>
      </c>
    </row>
    <row r="478" spans="5:22" s="201" customFormat="1" ht="13" outlineLevel="1" x14ac:dyDescent="0.25">
      <c r="E478" s="229"/>
      <c r="F478" s="213">
        <v>0</v>
      </c>
      <c r="G478" s="213">
        <v>0</v>
      </c>
      <c r="H478" s="213">
        <v>0</v>
      </c>
      <c r="I478" s="213">
        <v>0</v>
      </c>
      <c r="J478" s="218">
        <v>0</v>
      </c>
      <c r="K478" s="218">
        <v>0</v>
      </c>
      <c r="L478" s="221" t="s">
        <v>85</v>
      </c>
      <c r="M478" s="260">
        <f t="shared" si="138"/>
        <v>43617</v>
      </c>
      <c r="N478" s="228"/>
      <c r="O478" s="261">
        <f t="shared" ref="O478" si="162">O24+O255</f>
        <v>0</v>
      </c>
      <c r="P478" s="435">
        <f t="shared" ref="P478:U478" si="163">P24+P255</f>
        <v>0</v>
      </c>
      <c r="Q478" s="437">
        <f t="shared" si="163"/>
        <v>0</v>
      </c>
      <c r="R478" s="261">
        <f t="shared" si="163"/>
        <v>0</v>
      </c>
      <c r="S478" s="261">
        <f t="shared" si="163"/>
        <v>0</v>
      </c>
      <c r="T478" s="261">
        <f t="shared" si="163"/>
        <v>0</v>
      </c>
      <c r="U478" s="261">
        <f t="shared" si="163"/>
        <v>0</v>
      </c>
      <c r="V478" s="231">
        <f t="shared" si="141"/>
        <v>0</v>
      </c>
    </row>
    <row r="479" spans="5:22" s="201" customFormat="1" ht="13" outlineLevel="1" x14ac:dyDescent="0.25">
      <c r="E479" s="229"/>
      <c r="F479" s="213">
        <v>0</v>
      </c>
      <c r="G479" s="213">
        <v>0</v>
      </c>
      <c r="H479" s="213">
        <v>0</v>
      </c>
      <c r="I479" s="213">
        <v>0</v>
      </c>
      <c r="J479" s="218">
        <v>0</v>
      </c>
      <c r="K479" s="218">
        <v>0</v>
      </c>
      <c r="L479" s="221" t="s">
        <v>85</v>
      </c>
      <c r="M479" s="260">
        <f t="shared" si="138"/>
        <v>43617</v>
      </c>
      <c r="N479" s="228"/>
      <c r="O479" s="261">
        <f t="shared" ref="O479" si="164">O25+O256</f>
        <v>0</v>
      </c>
      <c r="P479" s="435">
        <f t="shared" ref="P479:U479" si="165">P25+P256</f>
        <v>0</v>
      </c>
      <c r="Q479" s="437">
        <f t="shared" si="165"/>
        <v>0</v>
      </c>
      <c r="R479" s="261">
        <f t="shared" si="165"/>
        <v>0</v>
      </c>
      <c r="S479" s="261">
        <f t="shared" si="165"/>
        <v>0</v>
      </c>
      <c r="T479" s="261">
        <f t="shared" si="165"/>
        <v>0</v>
      </c>
      <c r="U479" s="261">
        <f t="shared" si="165"/>
        <v>0</v>
      </c>
      <c r="V479" s="231">
        <f t="shared" si="141"/>
        <v>0</v>
      </c>
    </row>
    <row r="480" spans="5:22" s="201" customFormat="1" ht="13" outlineLevel="1" x14ac:dyDescent="0.25">
      <c r="E480" s="229"/>
      <c r="F480" s="213">
        <v>0</v>
      </c>
      <c r="G480" s="213">
        <v>0</v>
      </c>
      <c r="H480" s="213">
        <v>0</v>
      </c>
      <c r="I480" s="213">
        <v>0</v>
      </c>
      <c r="J480" s="218">
        <v>0</v>
      </c>
      <c r="K480" s="218">
        <v>0</v>
      </c>
      <c r="L480" s="221" t="s">
        <v>85</v>
      </c>
      <c r="M480" s="260">
        <f t="shared" si="138"/>
        <v>43617</v>
      </c>
      <c r="N480" s="228"/>
      <c r="O480" s="261">
        <f t="shared" ref="O480" si="166">O26+O257</f>
        <v>0</v>
      </c>
      <c r="P480" s="435">
        <f t="shared" ref="P480:U480" si="167">P26+P257</f>
        <v>0</v>
      </c>
      <c r="Q480" s="437">
        <f t="shared" si="167"/>
        <v>0</v>
      </c>
      <c r="R480" s="261">
        <f t="shared" si="167"/>
        <v>0</v>
      </c>
      <c r="S480" s="261">
        <f t="shared" si="167"/>
        <v>0</v>
      </c>
      <c r="T480" s="261">
        <f t="shared" si="167"/>
        <v>0</v>
      </c>
      <c r="U480" s="261">
        <f t="shared" si="167"/>
        <v>0</v>
      </c>
      <c r="V480" s="231">
        <f t="shared" si="141"/>
        <v>0</v>
      </c>
    </row>
    <row r="481" spans="4:22" s="201" customFormat="1" ht="13" outlineLevel="1" x14ac:dyDescent="0.25">
      <c r="E481" s="229"/>
      <c r="F481" s="213">
        <v>0</v>
      </c>
      <c r="G481" s="213">
        <v>0</v>
      </c>
      <c r="H481" s="213">
        <v>0</v>
      </c>
      <c r="I481" s="213">
        <v>0</v>
      </c>
      <c r="J481" s="218">
        <v>0</v>
      </c>
      <c r="K481" s="218">
        <v>0</v>
      </c>
      <c r="L481" s="221" t="s">
        <v>85</v>
      </c>
      <c r="M481" s="260">
        <f t="shared" si="138"/>
        <v>43617</v>
      </c>
      <c r="N481" s="228"/>
      <c r="O481" s="261">
        <f t="shared" ref="O481" si="168">O27+O258</f>
        <v>0</v>
      </c>
      <c r="P481" s="435">
        <f t="shared" ref="P481:U481" si="169">P27+P258</f>
        <v>0</v>
      </c>
      <c r="Q481" s="437">
        <f t="shared" si="169"/>
        <v>0</v>
      </c>
      <c r="R481" s="261">
        <f t="shared" si="169"/>
        <v>0</v>
      </c>
      <c r="S481" s="261">
        <f t="shared" si="169"/>
        <v>0</v>
      </c>
      <c r="T481" s="261">
        <f t="shared" si="169"/>
        <v>0</v>
      </c>
      <c r="U481" s="261">
        <f t="shared" si="169"/>
        <v>0</v>
      </c>
      <c r="V481" s="231">
        <f t="shared" si="141"/>
        <v>0</v>
      </c>
    </row>
    <row r="482" spans="4:22" s="201" customFormat="1" ht="13" outlineLevel="1" x14ac:dyDescent="0.25">
      <c r="E482" s="229"/>
      <c r="F482" s="242" t="s">
        <v>17</v>
      </c>
      <c r="G482" s="243"/>
      <c r="H482" s="243"/>
      <c r="I482" s="243"/>
      <c r="J482" s="243"/>
      <c r="K482" s="244"/>
      <c r="L482" s="247" t="s">
        <v>85</v>
      </c>
      <c r="M482" s="253">
        <f t="shared" si="138"/>
        <v>43617</v>
      </c>
      <c r="N482" s="228"/>
      <c r="O482" s="232">
        <f t="shared" ref="O482" si="170">SUM(O467:O481)</f>
        <v>0</v>
      </c>
      <c r="P482" s="289">
        <f t="shared" ref="P482:U482" si="171">SUM(P467:P481)</f>
        <v>900000</v>
      </c>
      <c r="Q482" s="290">
        <f t="shared" si="171"/>
        <v>900000</v>
      </c>
      <c r="R482" s="232">
        <f t="shared" si="171"/>
        <v>900000</v>
      </c>
      <c r="S482" s="232">
        <f t="shared" si="171"/>
        <v>900000</v>
      </c>
      <c r="T482" s="232">
        <f t="shared" si="171"/>
        <v>900000</v>
      </c>
      <c r="U482" s="232">
        <f t="shared" si="171"/>
        <v>900000</v>
      </c>
      <c r="V482" s="233">
        <f>SUM(Q482:U482)</f>
        <v>4500000</v>
      </c>
    </row>
    <row r="483" spans="4:22" s="201" customFormat="1" outlineLevel="1" x14ac:dyDescent="0.25">
      <c r="E483" s="229"/>
      <c r="N483" s="228"/>
    </row>
    <row r="484" spans="4:22" s="201" customFormat="1" outlineLevel="1" x14ac:dyDescent="0.25">
      <c r="D484" s="201">
        <v>2</v>
      </c>
      <c r="E484" s="229" t="str">
        <f>'Input | Meters Vols &amp; Costs'!$G$30</f>
        <v>Refurbished meters</v>
      </c>
      <c r="N484" s="228"/>
    </row>
    <row r="485" spans="4:22" s="201" customFormat="1" outlineLevel="1" x14ac:dyDescent="0.25">
      <c r="E485" s="229"/>
      <c r="N485" s="228"/>
      <c r="O485"/>
      <c r="P485"/>
      <c r="Q485"/>
      <c r="R485"/>
      <c r="S485"/>
      <c r="T485"/>
      <c r="U485"/>
    </row>
    <row r="486" spans="4:22" s="201" customFormat="1" ht="13" outlineLevel="1" x14ac:dyDescent="0.25">
      <c r="E486" s="229"/>
      <c r="F486" s="121" t="str">
        <f>I_MeterTypes[[#Headers],[Meter Type]]</f>
        <v>Meter Type</v>
      </c>
      <c r="G486" s="121" t="str">
        <f>I_MeterTypes[[#Headers],[RIN Subcategory 1]]</f>
        <v>RIN Subcategory 1</v>
      </c>
      <c r="H486" s="121" t="str">
        <f>I_MeterTypes[[#Headers],[RIN Subcategory 2]]</f>
        <v>RIN Subcategory 2</v>
      </c>
      <c r="I486" s="121" t="str">
        <f>I_MeterTypes[[#Headers],[AER Type]]</f>
        <v>AER Type</v>
      </c>
      <c r="J486" s="121" t="str">
        <f>I_MeterTypes[[#Headers],[RIN Subcategory 3]]</f>
        <v>RIN Subcategory 3</v>
      </c>
      <c r="K486" s="121" t="str">
        <f>I_MeterTypes[[#Headers],[Meter Code]]</f>
        <v>Meter Code</v>
      </c>
      <c r="L486" s="121" t="s">
        <v>6</v>
      </c>
      <c r="M486" s="121" t="s">
        <v>118</v>
      </c>
      <c r="N486" s="228"/>
      <c r="O486" s="234" t="str">
        <f>O$12</f>
        <v>2018-19</v>
      </c>
      <c r="P486" s="234" t="str">
        <f t="shared" ref="P486:U486" si="172">P$12</f>
        <v>2019-20</v>
      </c>
      <c r="Q486" s="436" t="str">
        <f t="shared" si="172"/>
        <v>2020-21</v>
      </c>
      <c r="R486" s="234" t="str">
        <f t="shared" si="172"/>
        <v>2021-22</v>
      </c>
      <c r="S486" s="234" t="str">
        <f t="shared" si="172"/>
        <v>2022-23</v>
      </c>
      <c r="T486" s="234" t="str">
        <f t="shared" si="172"/>
        <v>2023-24</v>
      </c>
      <c r="U486" s="234" t="str">
        <f t="shared" si="172"/>
        <v>2024-25</v>
      </c>
      <c r="V486" s="234" t="s">
        <v>17</v>
      </c>
    </row>
    <row r="487" spans="4:22" s="201" customFormat="1" ht="13" outlineLevel="1" x14ac:dyDescent="0.25">
      <c r="E487" s="229"/>
      <c r="F487" s="213" t="str" cm="1">
        <f t="array" ref="F487:F501">I_MeterTypes[Meter Type]</f>
        <v>AMI - Single Phase, single element</v>
      </c>
      <c r="G487" s="213" t="str" cm="1">
        <f t="array" ref="G487:G501">I_MeterTypes[RIN Subcategory 1]</f>
        <v>Single Phase Meter Population</v>
      </c>
      <c r="H487" s="213" t="str" cm="1">
        <f t="array" ref="H487:H501">I_MeterTypes[RIN Subcategory 2]</f>
        <v>Other</v>
      </c>
      <c r="I487" s="213" t="str" cm="1">
        <f t="array" ref="I487:I501">I_MeterTypes[AER Type]</f>
        <v>Meter Type 4</v>
      </c>
      <c r="J487" s="213" t="str" cm="1">
        <f t="array" ref="J487:J501">I_MeterTypes[RIN Subcategory 3]</f>
        <v>Single phase single element - AMI</v>
      </c>
      <c r="K487" s="213" t="str" cm="1">
        <f t="array" ref="K487:K501">I_MeterTypes[Meter Code]</f>
        <v>AMI 1ph 1e</v>
      </c>
      <c r="L487" s="221" t="s">
        <v>85</v>
      </c>
      <c r="M487" s="260">
        <f t="shared" ref="M487:M502" si="173">Basis_Capex</f>
        <v>43617</v>
      </c>
      <c r="N487" s="228"/>
      <c r="O487" s="261">
        <f t="shared" ref="O487:O501" si="174">O33+O264</f>
        <v>0</v>
      </c>
      <c r="P487" s="435">
        <f t="shared" ref="P487:U487" si="175">P33+P264</f>
        <v>-90000</v>
      </c>
      <c r="Q487" s="437">
        <f t="shared" si="175"/>
        <v>-90000</v>
      </c>
      <c r="R487" s="261">
        <f t="shared" si="175"/>
        <v>-90000</v>
      </c>
      <c r="S487" s="261">
        <f t="shared" si="175"/>
        <v>-90000</v>
      </c>
      <c r="T487" s="261">
        <f t="shared" si="175"/>
        <v>-90000</v>
      </c>
      <c r="U487" s="261">
        <f t="shared" si="175"/>
        <v>-90000</v>
      </c>
      <c r="V487" s="231">
        <f t="shared" ref="V487:V501" si="176">SUM(N487:U487)</f>
        <v>-540000</v>
      </c>
    </row>
    <row r="488" spans="4:22" s="201" customFormat="1" ht="13" outlineLevel="1" x14ac:dyDescent="0.25">
      <c r="E488" s="229"/>
      <c r="F488" s="213" t="str">
        <v>AMI - Single Phase, two element</v>
      </c>
      <c r="G488" s="213" t="str">
        <v>Single Phase Meter Population</v>
      </c>
      <c r="H488" s="213" t="str">
        <v>Other</v>
      </c>
      <c r="I488" s="213" t="str">
        <v>Meter Type 4</v>
      </c>
      <c r="J488" s="218" t="str">
        <v>Single phase two element with contactor - AMI</v>
      </c>
      <c r="K488" s="218" t="str">
        <v>AMI 1ph 2e</v>
      </c>
      <c r="L488" s="221" t="s">
        <v>85</v>
      </c>
      <c r="M488" s="260">
        <f t="shared" si="173"/>
        <v>43617</v>
      </c>
      <c r="N488" s="228"/>
      <c r="O488" s="261">
        <f t="shared" si="174"/>
        <v>0</v>
      </c>
      <c r="P488" s="435">
        <f t="shared" ref="P488:U488" si="177">P34+P265</f>
        <v>0</v>
      </c>
      <c r="Q488" s="437">
        <f t="shared" si="177"/>
        <v>0</v>
      </c>
      <c r="R488" s="261">
        <f t="shared" si="177"/>
        <v>0</v>
      </c>
      <c r="S488" s="261">
        <f t="shared" si="177"/>
        <v>0</v>
      </c>
      <c r="T488" s="261">
        <f t="shared" si="177"/>
        <v>0</v>
      </c>
      <c r="U488" s="261">
        <f t="shared" si="177"/>
        <v>0</v>
      </c>
      <c r="V488" s="231">
        <f t="shared" si="176"/>
        <v>0</v>
      </c>
    </row>
    <row r="489" spans="4:22" s="201" customFormat="1" ht="13" outlineLevel="1" x14ac:dyDescent="0.25">
      <c r="E489" s="229"/>
      <c r="F489" s="213" t="str">
        <v>AMI - 3 Phase DC</v>
      </c>
      <c r="G489" s="213" t="str">
        <v>Multi Phase Meter Population</v>
      </c>
      <c r="H489" s="213" t="str">
        <v>Direct Connect Meter Population</v>
      </c>
      <c r="I489" s="213" t="str">
        <v>Meter Type 4</v>
      </c>
      <c r="J489" s="218" t="str">
        <v>Three phase - AMI</v>
      </c>
      <c r="K489" s="218" t="str">
        <v>AMI 3ph DC</v>
      </c>
      <c r="L489" s="221" t="s">
        <v>85</v>
      </c>
      <c r="M489" s="260">
        <f t="shared" si="173"/>
        <v>43617</v>
      </c>
      <c r="N489" s="228"/>
      <c r="O489" s="261">
        <f t="shared" si="174"/>
        <v>0</v>
      </c>
      <c r="P489" s="435">
        <f t="shared" ref="P489:U489" si="178">P35+P266</f>
        <v>0</v>
      </c>
      <c r="Q489" s="437">
        <f t="shared" si="178"/>
        <v>0</v>
      </c>
      <c r="R489" s="261">
        <f t="shared" si="178"/>
        <v>0</v>
      </c>
      <c r="S489" s="261">
        <f t="shared" si="178"/>
        <v>0</v>
      </c>
      <c r="T489" s="261">
        <f t="shared" si="178"/>
        <v>0</v>
      </c>
      <c r="U489" s="261">
        <f t="shared" si="178"/>
        <v>0</v>
      </c>
      <c r="V489" s="231">
        <f t="shared" si="176"/>
        <v>0</v>
      </c>
    </row>
    <row r="490" spans="4:22" s="201" customFormat="1" ht="13" outlineLevel="1" x14ac:dyDescent="0.25">
      <c r="E490" s="229"/>
      <c r="F490" s="213" t="str">
        <v>AMI 3Ph CT</v>
      </c>
      <c r="G490" s="213" t="str">
        <v>Multi Phase Meter Population</v>
      </c>
      <c r="H490" s="213" t="str">
        <v>Current Transformer Connected Meter Population</v>
      </c>
      <c r="I490" s="213" t="str">
        <v>Meter Type 4</v>
      </c>
      <c r="J490" s="218">
        <v>0</v>
      </c>
      <c r="K490" s="218" t="str">
        <v>AMI 3ph CT</v>
      </c>
      <c r="L490" s="221" t="s">
        <v>85</v>
      </c>
      <c r="M490" s="260">
        <f t="shared" si="173"/>
        <v>43617</v>
      </c>
      <c r="N490" s="228"/>
      <c r="O490" s="261">
        <f t="shared" si="174"/>
        <v>0</v>
      </c>
      <c r="P490" s="435">
        <f t="shared" ref="P490:U490" si="179">P36+P267</f>
        <v>0</v>
      </c>
      <c r="Q490" s="437">
        <f t="shared" si="179"/>
        <v>0</v>
      </c>
      <c r="R490" s="261">
        <f t="shared" si="179"/>
        <v>0</v>
      </c>
      <c r="S490" s="261">
        <f t="shared" si="179"/>
        <v>0</v>
      </c>
      <c r="T490" s="261">
        <f t="shared" si="179"/>
        <v>0</v>
      </c>
      <c r="U490" s="261">
        <f t="shared" si="179"/>
        <v>0</v>
      </c>
      <c r="V490" s="231">
        <f t="shared" si="176"/>
        <v>0</v>
      </c>
    </row>
    <row r="491" spans="4:22" s="201" customFormat="1" ht="13" outlineLevel="1" x14ac:dyDescent="0.25">
      <c r="E491" s="229"/>
      <c r="F491" s="213" t="str">
        <v>Non AMI - Type 5 Locally read Interval - Single Phase</v>
      </c>
      <c r="G491" s="213" t="str">
        <v>Single Phase Meter Population</v>
      </c>
      <c r="H491" s="213" t="str">
        <v>Direct Connect Meter Population</v>
      </c>
      <c r="I491" s="213" t="str">
        <v>Meter Type 5</v>
      </c>
      <c r="J491" s="218">
        <v>0</v>
      </c>
      <c r="K491" s="218" t="str">
        <v>INT 1ph</v>
      </c>
      <c r="L491" s="221" t="s">
        <v>85</v>
      </c>
      <c r="M491" s="260">
        <f t="shared" si="173"/>
        <v>43617</v>
      </c>
      <c r="N491" s="228"/>
      <c r="O491" s="261">
        <f t="shared" si="174"/>
        <v>0</v>
      </c>
      <c r="P491" s="435">
        <f t="shared" ref="P491:U491" si="180">P37+P268</f>
        <v>0</v>
      </c>
      <c r="Q491" s="437">
        <f t="shared" si="180"/>
        <v>0</v>
      </c>
      <c r="R491" s="261">
        <f t="shared" si="180"/>
        <v>0</v>
      </c>
      <c r="S491" s="261">
        <f t="shared" si="180"/>
        <v>0</v>
      </c>
      <c r="T491" s="261">
        <f t="shared" si="180"/>
        <v>0</v>
      </c>
      <c r="U491" s="261">
        <f t="shared" si="180"/>
        <v>0</v>
      </c>
      <c r="V491" s="231">
        <f t="shared" si="176"/>
        <v>0</v>
      </c>
    </row>
    <row r="492" spans="4:22" s="201" customFormat="1" ht="13" outlineLevel="1" x14ac:dyDescent="0.25">
      <c r="E492" s="229"/>
      <c r="F492" s="213" t="str">
        <v>Non AMI - Type 5 Locally read Interval - 3 Phase</v>
      </c>
      <c r="G492" s="213" t="str">
        <v>Single Phase Meter Population</v>
      </c>
      <c r="H492" s="213" t="str">
        <v>Direct Connect Meter Population</v>
      </c>
      <c r="I492" s="213" t="str">
        <v>Meter Type 5</v>
      </c>
      <c r="J492" s="218">
        <v>0</v>
      </c>
      <c r="K492" s="218" t="str">
        <v>INT 3ph</v>
      </c>
      <c r="L492" s="221" t="s">
        <v>85</v>
      </c>
      <c r="M492" s="260">
        <f t="shared" si="173"/>
        <v>43617</v>
      </c>
      <c r="N492" s="228"/>
      <c r="O492" s="261">
        <f t="shared" si="174"/>
        <v>0</v>
      </c>
      <c r="P492" s="435">
        <f t="shared" ref="P492:U492" si="181">P38+P269</f>
        <v>0</v>
      </c>
      <c r="Q492" s="437">
        <f t="shared" si="181"/>
        <v>0</v>
      </c>
      <c r="R492" s="261">
        <f t="shared" si="181"/>
        <v>0</v>
      </c>
      <c r="S492" s="261">
        <f t="shared" si="181"/>
        <v>0</v>
      </c>
      <c r="T492" s="261">
        <f t="shared" si="181"/>
        <v>0</v>
      </c>
      <c r="U492" s="261">
        <f t="shared" si="181"/>
        <v>0</v>
      </c>
      <c r="V492" s="231">
        <f t="shared" si="176"/>
        <v>0</v>
      </c>
    </row>
    <row r="493" spans="4:22" s="201" customFormat="1" ht="13" outlineLevel="1" x14ac:dyDescent="0.25">
      <c r="E493" s="229"/>
      <c r="F493" s="213" t="str">
        <v>Non AMI - Type 5 Locally read Interval - 3 Phase - CT</v>
      </c>
      <c r="G493" s="213" t="str">
        <v>Multi Phase Meter Population</v>
      </c>
      <c r="H493" s="213" t="str">
        <v>Current Transformer Connected Meter Population</v>
      </c>
      <c r="I493" s="213" t="str">
        <v>Meter Type 5</v>
      </c>
      <c r="J493" s="218">
        <v>0</v>
      </c>
      <c r="K493" s="218" t="str">
        <v>INT 3ph CT</v>
      </c>
      <c r="L493" s="221" t="s">
        <v>85</v>
      </c>
      <c r="M493" s="260">
        <f t="shared" si="173"/>
        <v>43617</v>
      </c>
      <c r="N493" s="228"/>
      <c r="O493" s="261">
        <f t="shared" si="174"/>
        <v>0</v>
      </c>
      <c r="P493" s="435">
        <f t="shared" ref="P493:U493" si="182">P39+P270</f>
        <v>0</v>
      </c>
      <c r="Q493" s="437">
        <f t="shared" si="182"/>
        <v>0</v>
      </c>
      <c r="R493" s="261">
        <f t="shared" si="182"/>
        <v>0</v>
      </c>
      <c r="S493" s="261">
        <f t="shared" si="182"/>
        <v>0</v>
      </c>
      <c r="T493" s="261">
        <f t="shared" si="182"/>
        <v>0</v>
      </c>
      <c r="U493" s="261">
        <f t="shared" si="182"/>
        <v>0</v>
      </c>
      <c r="V493" s="231">
        <f t="shared" si="176"/>
        <v>0</v>
      </c>
    </row>
    <row r="494" spans="4:22" s="201" customFormat="1" ht="13" outlineLevel="1" x14ac:dyDescent="0.25">
      <c r="E494" s="229"/>
      <c r="F494" s="213" t="str">
        <v>Non AMI - Type 6 Locally read Accumulation - Single Phase</v>
      </c>
      <c r="G494" s="213" t="str">
        <v>Multi Phase Meter Population</v>
      </c>
      <c r="H494" s="213" t="str">
        <v>Direct Connect Meter Population</v>
      </c>
      <c r="I494" s="213" t="str">
        <v>Meter Type 6</v>
      </c>
      <c r="J494" s="218">
        <v>0</v>
      </c>
      <c r="K494" s="218" t="str">
        <v>ACC 1ph</v>
      </c>
      <c r="L494" s="221" t="s">
        <v>85</v>
      </c>
      <c r="M494" s="260">
        <f t="shared" si="173"/>
        <v>43617</v>
      </c>
      <c r="N494" s="228"/>
      <c r="O494" s="261">
        <f t="shared" si="174"/>
        <v>0</v>
      </c>
      <c r="P494" s="435">
        <f t="shared" ref="P494:U494" si="183">P40+P271</f>
        <v>0</v>
      </c>
      <c r="Q494" s="437">
        <f t="shared" si="183"/>
        <v>0</v>
      </c>
      <c r="R494" s="261">
        <f t="shared" si="183"/>
        <v>0</v>
      </c>
      <c r="S494" s="261">
        <f t="shared" si="183"/>
        <v>0</v>
      </c>
      <c r="T494" s="261">
        <f t="shared" si="183"/>
        <v>0</v>
      </c>
      <c r="U494" s="261">
        <f t="shared" si="183"/>
        <v>0</v>
      </c>
      <c r="V494" s="231">
        <f t="shared" si="176"/>
        <v>0</v>
      </c>
    </row>
    <row r="495" spans="4:22" s="201" customFormat="1" ht="13" outlineLevel="1" x14ac:dyDescent="0.25">
      <c r="E495" s="229"/>
      <c r="F495" s="213" t="str">
        <v>Non AMI - Type 6 Locally read Accumulation - 3 Phase</v>
      </c>
      <c r="G495" s="213">
        <v>0</v>
      </c>
      <c r="H495" s="213" t="str">
        <v>Direct Connect Meter Population</v>
      </c>
      <c r="I495" s="213" t="str">
        <v>Meter Type 6</v>
      </c>
      <c r="J495" s="218">
        <v>0</v>
      </c>
      <c r="K495" s="218" t="str">
        <v>ACC 3ph</v>
      </c>
      <c r="L495" s="221" t="s">
        <v>85</v>
      </c>
      <c r="M495" s="260">
        <f t="shared" si="173"/>
        <v>43617</v>
      </c>
      <c r="N495" s="228"/>
      <c r="O495" s="261">
        <f t="shared" si="174"/>
        <v>0</v>
      </c>
      <c r="P495" s="435">
        <f t="shared" ref="P495:U495" si="184">P41+P272</f>
        <v>0</v>
      </c>
      <c r="Q495" s="437">
        <f t="shared" si="184"/>
        <v>0</v>
      </c>
      <c r="R495" s="261">
        <f t="shared" si="184"/>
        <v>0</v>
      </c>
      <c r="S495" s="261">
        <f t="shared" si="184"/>
        <v>0</v>
      </c>
      <c r="T495" s="261">
        <f t="shared" si="184"/>
        <v>0</v>
      </c>
      <c r="U495" s="261">
        <f t="shared" si="184"/>
        <v>0</v>
      </c>
      <c r="V495" s="231">
        <f t="shared" si="176"/>
        <v>0</v>
      </c>
    </row>
    <row r="496" spans="4:22" s="201" customFormat="1" ht="13" outlineLevel="1" x14ac:dyDescent="0.25">
      <c r="E496" s="229"/>
      <c r="F496" s="213">
        <v>0</v>
      </c>
      <c r="G496" s="213">
        <v>0</v>
      </c>
      <c r="H496" s="213">
        <v>0</v>
      </c>
      <c r="I496" s="213">
        <v>0</v>
      </c>
      <c r="J496" s="218">
        <v>0</v>
      </c>
      <c r="K496" s="218">
        <v>0</v>
      </c>
      <c r="L496" s="221" t="s">
        <v>85</v>
      </c>
      <c r="M496" s="260">
        <f t="shared" si="173"/>
        <v>43617</v>
      </c>
      <c r="N496" s="228"/>
      <c r="O496" s="261">
        <f t="shared" si="174"/>
        <v>0</v>
      </c>
      <c r="P496" s="435">
        <f t="shared" ref="P496:U496" si="185">P42+P273</f>
        <v>0</v>
      </c>
      <c r="Q496" s="437">
        <f t="shared" si="185"/>
        <v>0</v>
      </c>
      <c r="R496" s="261">
        <f t="shared" si="185"/>
        <v>0</v>
      </c>
      <c r="S496" s="261">
        <f t="shared" si="185"/>
        <v>0</v>
      </c>
      <c r="T496" s="261">
        <f t="shared" si="185"/>
        <v>0</v>
      </c>
      <c r="U496" s="261">
        <f t="shared" si="185"/>
        <v>0</v>
      </c>
      <c r="V496" s="231">
        <f t="shared" si="176"/>
        <v>0</v>
      </c>
    </row>
    <row r="497" spans="4:22" s="201" customFormat="1" ht="13" outlineLevel="1" x14ac:dyDescent="0.25">
      <c r="E497" s="229"/>
      <c r="F497" s="213">
        <v>0</v>
      </c>
      <c r="G497" s="213">
        <v>0</v>
      </c>
      <c r="H497" s="213">
        <v>0</v>
      </c>
      <c r="I497" s="213">
        <v>0</v>
      </c>
      <c r="J497" s="218">
        <v>0</v>
      </c>
      <c r="K497" s="218">
        <v>0</v>
      </c>
      <c r="L497" s="221" t="s">
        <v>85</v>
      </c>
      <c r="M497" s="260">
        <f t="shared" si="173"/>
        <v>43617</v>
      </c>
      <c r="N497" s="228"/>
      <c r="O497" s="261">
        <f t="shared" si="174"/>
        <v>0</v>
      </c>
      <c r="P497" s="435">
        <f t="shared" ref="P497:U497" si="186">P43+P274</f>
        <v>0</v>
      </c>
      <c r="Q497" s="437">
        <f t="shared" si="186"/>
        <v>0</v>
      </c>
      <c r="R497" s="261">
        <f t="shared" si="186"/>
        <v>0</v>
      </c>
      <c r="S497" s="261">
        <f t="shared" si="186"/>
        <v>0</v>
      </c>
      <c r="T497" s="261">
        <f t="shared" si="186"/>
        <v>0</v>
      </c>
      <c r="U497" s="261">
        <f t="shared" si="186"/>
        <v>0</v>
      </c>
      <c r="V497" s="231">
        <f t="shared" si="176"/>
        <v>0</v>
      </c>
    </row>
    <row r="498" spans="4:22" s="201" customFormat="1" ht="13" outlineLevel="1" x14ac:dyDescent="0.25">
      <c r="E498" s="229"/>
      <c r="F498" s="213">
        <v>0</v>
      </c>
      <c r="G498" s="213">
        <v>0</v>
      </c>
      <c r="H498" s="213">
        <v>0</v>
      </c>
      <c r="I498" s="213">
        <v>0</v>
      </c>
      <c r="J498" s="218">
        <v>0</v>
      </c>
      <c r="K498" s="218">
        <v>0</v>
      </c>
      <c r="L498" s="221" t="s">
        <v>85</v>
      </c>
      <c r="M498" s="260">
        <f t="shared" si="173"/>
        <v>43617</v>
      </c>
      <c r="N498" s="228"/>
      <c r="O498" s="261">
        <f t="shared" si="174"/>
        <v>0</v>
      </c>
      <c r="P498" s="435">
        <f t="shared" ref="P498:U498" si="187">P44+P275</f>
        <v>0</v>
      </c>
      <c r="Q498" s="437">
        <f t="shared" si="187"/>
        <v>0</v>
      </c>
      <c r="R498" s="261">
        <f t="shared" si="187"/>
        <v>0</v>
      </c>
      <c r="S498" s="261">
        <f t="shared" si="187"/>
        <v>0</v>
      </c>
      <c r="T498" s="261">
        <f t="shared" si="187"/>
        <v>0</v>
      </c>
      <c r="U498" s="261">
        <f t="shared" si="187"/>
        <v>0</v>
      </c>
      <c r="V498" s="231">
        <f t="shared" si="176"/>
        <v>0</v>
      </c>
    </row>
    <row r="499" spans="4:22" s="201" customFormat="1" ht="13" outlineLevel="1" x14ac:dyDescent="0.25">
      <c r="E499" s="229"/>
      <c r="F499" s="213">
        <v>0</v>
      </c>
      <c r="G499" s="213">
        <v>0</v>
      </c>
      <c r="H499" s="213">
        <v>0</v>
      </c>
      <c r="I499" s="213">
        <v>0</v>
      </c>
      <c r="J499" s="218">
        <v>0</v>
      </c>
      <c r="K499" s="218">
        <v>0</v>
      </c>
      <c r="L499" s="221" t="s">
        <v>85</v>
      </c>
      <c r="M499" s="260">
        <f t="shared" si="173"/>
        <v>43617</v>
      </c>
      <c r="N499" s="228"/>
      <c r="O499" s="261">
        <f t="shared" si="174"/>
        <v>0</v>
      </c>
      <c r="P499" s="435">
        <f t="shared" ref="P499:U499" si="188">P45+P276</f>
        <v>0</v>
      </c>
      <c r="Q499" s="437">
        <f t="shared" si="188"/>
        <v>0</v>
      </c>
      <c r="R499" s="261">
        <f t="shared" si="188"/>
        <v>0</v>
      </c>
      <c r="S499" s="261">
        <f t="shared" si="188"/>
        <v>0</v>
      </c>
      <c r="T499" s="261">
        <f t="shared" si="188"/>
        <v>0</v>
      </c>
      <c r="U499" s="261">
        <f t="shared" si="188"/>
        <v>0</v>
      </c>
      <c r="V499" s="231">
        <f t="shared" si="176"/>
        <v>0</v>
      </c>
    </row>
    <row r="500" spans="4:22" s="201" customFormat="1" ht="13" outlineLevel="1" x14ac:dyDescent="0.25">
      <c r="E500" s="229"/>
      <c r="F500" s="213">
        <v>0</v>
      </c>
      <c r="G500" s="213">
        <v>0</v>
      </c>
      <c r="H500" s="213">
        <v>0</v>
      </c>
      <c r="I500" s="213">
        <v>0</v>
      </c>
      <c r="J500" s="218">
        <v>0</v>
      </c>
      <c r="K500" s="218">
        <v>0</v>
      </c>
      <c r="L500" s="221" t="s">
        <v>85</v>
      </c>
      <c r="M500" s="260">
        <f t="shared" si="173"/>
        <v>43617</v>
      </c>
      <c r="N500" s="228"/>
      <c r="O500" s="261">
        <f t="shared" si="174"/>
        <v>0</v>
      </c>
      <c r="P500" s="435">
        <f t="shared" ref="P500:U500" si="189">P46+P277</f>
        <v>0</v>
      </c>
      <c r="Q500" s="437">
        <f t="shared" si="189"/>
        <v>0</v>
      </c>
      <c r="R500" s="261">
        <f t="shared" si="189"/>
        <v>0</v>
      </c>
      <c r="S500" s="261">
        <f t="shared" si="189"/>
        <v>0</v>
      </c>
      <c r="T500" s="261">
        <f t="shared" si="189"/>
        <v>0</v>
      </c>
      <c r="U500" s="261">
        <f t="shared" si="189"/>
        <v>0</v>
      </c>
      <c r="V500" s="231">
        <f t="shared" si="176"/>
        <v>0</v>
      </c>
    </row>
    <row r="501" spans="4:22" s="201" customFormat="1" ht="13" outlineLevel="1" x14ac:dyDescent="0.25">
      <c r="E501" s="229"/>
      <c r="F501" s="213">
        <v>0</v>
      </c>
      <c r="G501" s="213">
        <v>0</v>
      </c>
      <c r="H501" s="213">
        <v>0</v>
      </c>
      <c r="I501" s="213">
        <v>0</v>
      </c>
      <c r="J501" s="218">
        <v>0</v>
      </c>
      <c r="K501" s="218">
        <v>0</v>
      </c>
      <c r="L501" s="221" t="s">
        <v>85</v>
      </c>
      <c r="M501" s="260">
        <f t="shared" si="173"/>
        <v>43617</v>
      </c>
      <c r="N501" s="228"/>
      <c r="O501" s="261">
        <f t="shared" si="174"/>
        <v>0</v>
      </c>
      <c r="P501" s="435">
        <f t="shared" ref="P501:U501" si="190">P47+P278</f>
        <v>0</v>
      </c>
      <c r="Q501" s="437">
        <f t="shared" si="190"/>
        <v>0</v>
      </c>
      <c r="R501" s="261">
        <f t="shared" si="190"/>
        <v>0</v>
      </c>
      <c r="S501" s="261">
        <f t="shared" si="190"/>
        <v>0</v>
      </c>
      <c r="T501" s="261">
        <f t="shared" si="190"/>
        <v>0</v>
      </c>
      <c r="U501" s="261">
        <f t="shared" si="190"/>
        <v>0</v>
      </c>
      <c r="V501" s="231">
        <f t="shared" si="176"/>
        <v>0</v>
      </c>
    </row>
    <row r="502" spans="4:22" s="201" customFormat="1" ht="13" outlineLevel="1" x14ac:dyDescent="0.25">
      <c r="E502" s="229"/>
      <c r="F502" s="242" t="s">
        <v>17</v>
      </c>
      <c r="G502" s="243"/>
      <c r="H502" s="243"/>
      <c r="I502" s="243"/>
      <c r="J502" s="243"/>
      <c r="K502" s="244"/>
      <c r="L502" s="247" t="s">
        <v>85</v>
      </c>
      <c r="M502" s="253">
        <f t="shared" si="173"/>
        <v>43617</v>
      </c>
      <c r="N502" s="228"/>
      <c r="O502" s="232">
        <f t="shared" ref="O502" si="191">SUM(O487:O501)</f>
        <v>0</v>
      </c>
      <c r="P502" s="289">
        <f t="shared" ref="P502:U502" si="192">SUM(P487:P501)</f>
        <v>-90000</v>
      </c>
      <c r="Q502" s="290">
        <f t="shared" si="192"/>
        <v>-90000</v>
      </c>
      <c r="R502" s="232">
        <f t="shared" si="192"/>
        <v>-90000</v>
      </c>
      <c r="S502" s="232">
        <f t="shared" si="192"/>
        <v>-90000</v>
      </c>
      <c r="T502" s="232">
        <f t="shared" si="192"/>
        <v>-90000</v>
      </c>
      <c r="U502" s="232">
        <f t="shared" si="192"/>
        <v>-90000</v>
      </c>
      <c r="V502" s="233">
        <f>SUM(Q502:U502)</f>
        <v>-450000</v>
      </c>
    </row>
    <row r="503" spans="4:22" s="201" customFormat="1" outlineLevel="1" x14ac:dyDescent="0.25">
      <c r="E503" s="229"/>
      <c r="N503" s="228"/>
    </row>
    <row r="504" spans="4:22" s="201" customFormat="1" outlineLevel="1" x14ac:dyDescent="0.25">
      <c r="D504" s="201">
        <v>3</v>
      </c>
      <c r="E504" s="229" t="str">
        <f>'Input | Meters Vols &amp; Costs'!$G$31</f>
        <v>Replacements - End of life</v>
      </c>
      <c r="N504" s="228"/>
    </row>
    <row r="505" spans="4:22" s="201" customFormat="1" outlineLevel="1" x14ac:dyDescent="0.25">
      <c r="E505" s="229"/>
      <c r="N505" s="228"/>
      <c r="O505"/>
      <c r="P505"/>
      <c r="Q505"/>
      <c r="R505"/>
      <c r="S505"/>
      <c r="T505"/>
      <c r="U505"/>
    </row>
    <row r="506" spans="4:22" s="201" customFormat="1" ht="13" outlineLevel="1" x14ac:dyDescent="0.25">
      <c r="E506" s="229"/>
      <c r="F506" s="121" t="str">
        <f>I_MeterTypes[[#Headers],[Meter Type]]</f>
        <v>Meter Type</v>
      </c>
      <c r="G506" s="121" t="str">
        <f>I_MeterTypes[[#Headers],[RIN Subcategory 1]]</f>
        <v>RIN Subcategory 1</v>
      </c>
      <c r="H506" s="121" t="str">
        <f>I_MeterTypes[[#Headers],[RIN Subcategory 2]]</f>
        <v>RIN Subcategory 2</v>
      </c>
      <c r="I506" s="121" t="str">
        <f>I_MeterTypes[[#Headers],[AER Type]]</f>
        <v>AER Type</v>
      </c>
      <c r="J506" s="121" t="str">
        <f>I_MeterTypes[[#Headers],[RIN Subcategory 3]]</f>
        <v>RIN Subcategory 3</v>
      </c>
      <c r="K506" s="121" t="str">
        <f>I_MeterTypes[[#Headers],[Meter Code]]</f>
        <v>Meter Code</v>
      </c>
      <c r="L506" s="121" t="s">
        <v>6</v>
      </c>
      <c r="M506" s="121" t="s">
        <v>118</v>
      </c>
      <c r="N506" s="228"/>
      <c r="O506" s="234" t="str">
        <f>O$12</f>
        <v>2018-19</v>
      </c>
      <c r="P506" s="234" t="str">
        <f t="shared" ref="P506:U506" si="193">P$12</f>
        <v>2019-20</v>
      </c>
      <c r="Q506" s="436" t="str">
        <f t="shared" si="193"/>
        <v>2020-21</v>
      </c>
      <c r="R506" s="234" t="str">
        <f t="shared" si="193"/>
        <v>2021-22</v>
      </c>
      <c r="S506" s="234" t="str">
        <f t="shared" si="193"/>
        <v>2022-23</v>
      </c>
      <c r="T506" s="234" t="str">
        <f t="shared" si="193"/>
        <v>2023-24</v>
      </c>
      <c r="U506" s="234" t="str">
        <f t="shared" si="193"/>
        <v>2024-25</v>
      </c>
      <c r="V506" s="234" t="s">
        <v>17</v>
      </c>
    </row>
    <row r="507" spans="4:22" s="201" customFormat="1" ht="13" outlineLevel="1" x14ac:dyDescent="0.25">
      <c r="E507" s="229"/>
      <c r="F507" s="213" t="str" cm="1">
        <f t="array" ref="F507:F521">I_MeterTypes[Meter Type]</f>
        <v>AMI - Single Phase, single element</v>
      </c>
      <c r="G507" s="213" t="str" cm="1">
        <f t="array" ref="G507:G521">I_MeterTypes[RIN Subcategory 1]</f>
        <v>Single Phase Meter Population</v>
      </c>
      <c r="H507" s="213" t="str" cm="1">
        <f t="array" ref="H507:H521">I_MeterTypes[RIN Subcategory 2]</f>
        <v>Other</v>
      </c>
      <c r="I507" s="213" t="str" cm="1">
        <f t="array" ref="I507:I521">I_MeterTypes[AER Type]</f>
        <v>Meter Type 4</v>
      </c>
      <c r="J507" s="213" t="str" cm="1">
        <f t="array" ref="J507:J521">I_MeterTypes[RIN Subcategory 3]</f>
        <v>Single phase single element - AMI</v>
      </c>
      <c r="K507" s="213" t="str" cm="1">
        <f t="array" ref="K507:K521">I_MeterTypes[Meter Code]</f>
        <v>AMI 1ph 1e</v>
      </c>
      <c r="L507" s="221" t="s">
        <v>85</v>
      </c>
      <c r="M507" s="260">
        <f t="shared" ref="M507:M522" si="194">Basis_Capex</f>
        <v>43617</v>
      </c>
      <c r="N507" s="228"/>
      <c r="O507" s="261">
        <f t="shared" ref="O507:O521" si="195">O53+O284</f>
        <v>0</v>
      </c>
      <c r="P507" s="435">
        <f t="shared" ref="P507:U507" si="196">P53+P284</f>
        <v>3229651.6391559308</v>
      </c>
      <c r="Q507" s="437">
        <f t="shared" si="196"/>
        <v>3249417.6101886518</v>
      </c>
      <c r="R507" s="261">
        <f t="shared" si="196"/>
        <v>3262601.2070882805</v>
      </c>
      <c r="S507" s="261">
        <f t="shared" si="196"/>
        <v>3274799.5911287661</v>
      </c>
      <c r="T507" s="261">
        <f t="shared" si="196"/>
        <v>3289563.4943498606</v>
      </c>
      <c r="U507" s="261">
        <f t="shared" si="196"/>
        <v>3308863.5639344174</v>
      </c>
      <c r="V507" s="231">
        <f t="shared" ref="V507:V521" si="197">SUM(N507:U507)</f>
        <v>19614897.105845906</v>
      </c>
    </row>
    <row r="508" spans="4:22" s="201" customFormat="1" ht="13" outlineLevel="1" x14ac:dyDescent="0.25">
      <c r="E508" s="229"/>
      <c r="F508" s="213" t="str">
        <v>AMI - Single Phase, two element</v>
      </c>
      <c r="G508" s="213" t="str">
        <v>Single Phase Meter Population</v>
      </c>
      <c r="H508" s="213" t="str">
        <v>Other</v>
      </c>
      <c r="I508" s="213" t="str">
        <v>Meter Type 4</v>
      </c>
      <c r="J508" s="218" t="str">
        <v>Single phase two element with contactor - AMI</v>
      </c>
      <c r="K508" s="218" t="str">
        <v>AMI 1ph 2e</v>
      </c>
      <c r="L508" s="221" t="s">
        <v>85</v>
      </c>
      <c r="M508" s="260">
        <f t="shared" si="194"/>
        <v>43617</v>
      </c>
      <c r="N508" s="228"/>
      <c r="O508" s="261">
        <f t="shared" si="195"/>
        <v>0</v>
      </c>
      <c r="P508" s="435">
        <f t="shared" ref="P508:U508" si="198">P54+P285</f>
        <v>0</v>
      </c>
      <c r="Q508" s="437">
        <f t="shared" si="198"/>
        <v>0</v>
      </c>
      <c r="R508" s="261">
        <f t="shared" si="198"/>
        <v>0</v>
      </c>
      <c r="S508" s="261">
        <f t="shared" si="198"/>
        <v>0</v>
      </c>
      <c r="T508" s="261">
        <f t="shared" si="198"/>
        <v>0</v>
      </c>
      <c r="U508" s="261">
        <f t="shared" si="198"/>
        <v>0</v>
      </c>
      <c r="V508" s="231">
        <f t="shared" si="197"/>
        <v>0</v>
      </c>
    </row>
    <row r="509" spans="4:22" s="201" customFormat="1" ht="13" outlineLevel="1" x14ac:dyDescent="0.25">
      <c r="E509" s="229"/>
      <c r="F509" s="213" t="str">
        <v>AMI - 3 Phase DC</v>
      </c>
      <c r="G509" s="213" t="str">
        <v>Multi Phase Meter Population</v>
      </c>
      <c r="H509" s="213" t="str">
        <v>Direct Connect Meter Population</v>
      </c>
      <c r="I509" s="213" t="str">
        <v>Meter Type 4</v>
      </c>
      <c r="J509" s="218" t="str">
        <v>Three phase - AMI</v>
      </c>
      <c r="K509" s="218" t="str">
        <v>AMI 3ph DC</v>
      </c>
      <c r="L509" s="221" t="s">
        <v>85</v>
      </c>
      <c r="M509" s="260">
        <f t="shared" si="194"/>
        <v>43617</v>
      </c>
      <c r="N509" s="228"/>
      <c r="O509" s="261">
        <f t="shared" si="195"/>
        <v>0</v>
      </c>
      <c r="P509" s="435">
        <f t="shared" ref="P509:U509" si="199">P55+P286</f>
        <v>0</v>
      </c>
      <c r="Q509" s="437">
        <f t="shared" si="199"/>
        <v>0</v>
      </c>
      <c r="R509" s="261">
        <f t="shared" si="199"/>
        <v>0</v>
      </c>
      <c r="S509" s="261">
        <f t="shared" si="199"/>
        <v>0</v>
      </c>
      <c r="T509" s="261">
        <f t="shared" si="199"/>
        <v>0</v>
      </c>
      <c r="U509" s="261">
        <f t="shared" si="199"/>
        <v>0</v>
      </c>
      <c r="V509" s="231">
        <f t="shared" si="197"/>
        <v>0</v>
      </c>
    </row>
    <row r="510" spans="4:22" s="201" customFormat="1" ht="13" outlineLevel="1" x14ac:dyDescent="0.25">
      <c r="E510" s="229"/>
      <c r="F510" s="213" t="str">
        <v>AMI 3Ph CT</v>
      </c>
      <c r="G510" s="213" t="str">
        <v>Multi Phase Meter Population</v>
      </c>
      <c r="H510" s="213" t="str">
        <v>Current Transformer Connected Meter Population</v>
      </c>
      <c r="I510" s="213" t="str">
        <v>Meter Type 4</v>
      </c>
      <c r="J510" s="218">
        <v>0</v>
      </c>
      <c r="K510" s="218" t="str">
        <v>AMI 3ph CT</v>
      </c>
      <c r="L510" s="221" t="s">
        <v>85</v>
      </c>
      <c r="M510" s="260">
        <f t="shared" si="194"/>
        <v>43617</v>
      </c>
      <c r="N510" s="228"/>
      <c r="O510" s="261">
        <f t="shared" si="195"/>
        <v>0</v>
      </c>
      <c r="P510" s="435">
        <f t="shared" ref="P510:U510" si="200">P56+P287</f>
        <v>0</v>
      </c>
      <c r="Q510" s="437">
        <f t="shared" si="200"/>
        <v>0</v>
      </c>
      <c r="R510" s="261">
        <f t="shared" si="200"/>
        <v>0</v>
      </c>
      <c r="S510" s="261">
        <f t="shared" si="200"/>
        <v>0</v>
      </c>
      <c r="T510" s="261">
        <f t="shared" si="200"/>
        <v>0</v>
      </c>
      <c r="U510" s="261">
        <f t="shared" si="200"/>
        <v>0</v>
      </c>
      <c r="V510" s="231">
        <f t="shared" si="197"/>
        <v>0</v>
      </c>
    </row>
    <row r="511" spans="4:22" s="201" customFormat="1" ht="13" outlineLevel="1" x14ac:dyDescent="0.25">
      <c r="E511" s="229"/>
      <c r="F511" s="213" t="str">
        <v>Non AMI - Type 5 Locally read Interval - Single Phase</v>
      </c>
      <c r="G511" s="213" t="str">
        <v>Single Phase Meter Population</v>
      </c>
      <c r="H511" s="213" t="str">
        <v>Direct Connect Meter Population</v>
      </c>
      <c r="I511" s="213" t="str">
        <v>Meter Type 5</v>
      </c>
      <c r="J511" s="218">
        <v>0</v>
      </c>
      <c r="K511" s="218" t="str">
        <v>INT 1ph</v>
      </c>
      <c r="L511" s="221" t="s">
        <v>85</v>
      </c>
      <c r="M511" s="260">
        <f t="shared" si="194"/>
        <v>43617</v>
      </c>
      <c r="N511" s="228"/>
      <c r="O511" s="261">
        <f t="shared" si="195"/>
        <v>0</v>
      </c>
      <c r="P511" s="435">
        <f t="shared" ref="P511:U511" si="201">P57+P288</f>
        <v>0</v>
      </c>
      <c r="Q511" s="437">
        <f t="shared" si="201"/>
        <v>0</v>
      </c>
      <c r="R511" s="261">
        <f t="shared" si="201"/>
        <v>0</v>
      </c>
      <c r="S511" s="261">
        <f t="shared" si="201"/>
        <v>0</v>
      </c>
      <c r="T511" s="261">
        <f t="shared" si="201"/>
        <v>0</v>
      </c>
      <c r="U511" s="261">
        <f t="shared" si="201"/>
        <v>0</v>
      </c>
      <c r="V511" s="231">
        <f t="shared" si="197"/>
        <v>0</v>
      </c>
    </row>
    <row r="512" spans="4:22" s="201" customFormat="1" ht="13" outlineLevel="1" x14ac:dyDescent="0.25">
      <c r="E512" s="229"/>
      <c r="F512" s="213" t="str">
        <v>Non AMI - Type 5 Locally read Interval - 3 Phase</v>
      </c>
      <c r="G512" s="213" t="str">
        <v>Single Phase Meter Population</v>
      </c>
      <c r="H512" s="213" t="str">
        <v>Direct Connect Meter Population</v>
      </c>
      <c r="I512" s="213" t="str">
        <v>Meter Type 5</v>
      </c>
      <c r="J512" s="218">
        <v>0</v>
      </c>
      <c r="K512" s="218" t="str">
        <v>INT 3ph</v>
      </c>
      <c r="L512" s="221" t="s">
        <v>85</v>
      </c>
      <c r="M512" s="260">
        <f t="shared" si="194"/>
        <v>43617</v>
      </c>
      <c r="N512" s="228"/>
      <c r="O512" s="261">
        <f t="shared" si="195"/>
        <v>0</v>
      </c>
      <c r="P512" s="435">
        <f t="shared" ref="P512:U512" si="202">P58+P289</f>
        <v>0</v>
      </c>
      <c r="Q512" s="437">
        <f t="shared" si="202"/>
        <v>0</v>
      </c>
      <c r="R512" s="261">
        <f t="shared" si="202"/>
        <v>0</v>
      </c>
      <c r="S512" s="261">
        <f t="shared" si="202"/>
        <v>0</v>
      </c>
      <c r="T512" s="261">
        <f t="shared" si="202"/>
        <v>0</v>
      </c>
      <c r="U512" s="261">
        <f t="shared" si="202"/>
        <v>0</v>
      </c>
      <c r="V512" s="231">
        <f t="shared" si="197"/>
        <v>0</v>
      </c>
    </row>
    <row r="513" spans="4:22" s="201" customFormat="1" ht="13" outlineLevel="1" x14ac:dyDescent="0.25">
      <c r="E513" s="229"/>
      <c r="F513" s="213" t="str">
        <v>Non AMI - Type 5 Locally read Interval - 3 Phase - CT</v>
      </c>
      <c r="G513" s="213" t="str">
        <v>Multi Phase Meter Population</v>
      </c>
      <c r="H513" s="213" t="str">
        <v>Current Transformer Connected Meter Population</v>
      </c>
      <c r="I513" s="213" t="str">
        <v>Meter Type 5</v>
      </c>
      <c r="J513" s="218">
        <v>0</v>
      </c>
      <c r="K513" s="218" t="str">
        <v>INT 3ph CT</v>
      </c>
      <c r="L513" s="221" t="s">
        <v>85</v>
      </c>
      <c r="M513" s="260">
        <f t="shared" si="194"/>
        <v>43617</v>
      </c>
      <c r="N513" s="228"/>
      <c r="O513" s="261">
        <f t="shared" si="195"/>
        <v>0</v>
      </c>
      <c r="P513" s="435">
        <f t="shared" ref="P513:U513" si="203">P59+P290</f>
        <v>0</v>
      </c>
      <c r="Q513" s="437">
        <f t="shared" si="203"/>
        <v>0</v>
      </c>
      <c r="R513" s="261">
        <f t="shared" si="203"/>
        <v>0</v>
      </c>
      <c r="S513" s="261">
        <f t="shared" si="203"/>
        <v>0</v>
      </c>
      <c r="T513" s="261">
        <f t="shared" si="203"/>
        <v>0</v>
      </c>
      <c r="U513" s="261">
        <f t="shared" si="203"/>
        <v>0</v>
      </c>
      <c r="V513" s="231">
        <f t="shared" si="197"/>
        <v>0</v>
      </c>
    </row>
    <row r="514" spans="4:22" s="201" customFormat="1" ht="13" outlineLevel="1" x14ac:dyDescent="0.25">
      <c r="E514" s="229"/>
      <c r="F514" s="213" t="str">
        <v>Non AMI - Type 6 Locally read Accumulation - Single Phase</v>
      </c>
      <c r="G514" s="213" t="str">
        <v>Multi Phase Meter Population</v>
      </c>
      <c r="H514" s="213" t="str">
        <v>Direct Connect Meter Population</v>
      </c>
      <c r="I514" s="213" t="str">
        <v>Meter Type 6</v>
      </c>
      <c r="J514" s="218">
        <v>0</v>
      </c>
      <c r="K514" s="218" t="str">
        <v>ACC 1ph</v>
      </c>
      <c r="L514" s="221" t="s">
        <v>85</v>
      </c>
      <c r="M514" s="260">
        <f t="shared" si="194"/>
        <v>43617</v>
      </c>
      <c r="N514" s="228"/>
      <c r="O514" s="261">
        <f t="shared" si="195"/>
        <v>0</v>
      </c>
      <c r="P514" s="435">
        <f t="shared" ref="P514:U514" si="204">P60+P291</f>
        <v>0</v>
      </c>
      <c r="Q514" s="437">
        <f t="shared" si="204"/>
        <v>0</v>
      </c>
      <c r="R514" s="261">
        <f t="shared" si="204"/>
        <v>0</v>
      </c>
      <c r="S514" s="261">
        <f t="shared" si="204"/>
        <v>0</v>
      </c>
      <c r="T514" s="261">
        <f t="shared" si="204"/>
        <v>0</v>
      </c>
      <c r="U514" s="261">
        <f t="shared" si="204"/>
        <v>0</v>
      </c>
      <c r="V514" s="231">
        <f t="shared" si="197"/>
        <v>0</v>
      </c>
    </row>
    <row r="515" spans="4:22" s="201" customFormat="1" ht="13" outlineLevel="1" x14ac:dyDescent="0.25">
      <c r="E515" s="229"/>
      <c r="F515" s="213" t="str">
        <v>Non AMI - Type 6 Locally read Accumulation - 3 Phase</v>
      </c>
      <c r="G515" s="213">
        <v>0</v>
      </c>
      <c r="H515" s="213" t="str">
        <v>Direct Connect Meter Population</v>
      </c>
      <c r="I515" s="213" t="str">
        <v>Meter Type 6</v>
      </c>
      <c r="J515" s="218">
        <v>0</v>
      </c>
      <c r="K515" s="218" t="str">
        <v>ACC 3ph</v>
      </c>
      <c r="L515" s="221" t="s">
        <v>85</v>
      </c>
      <c r="M515" s="260">
        <f t="shared" si="194"/>
        <v>43617</v>
      </c>
      <c r="N515" s="228"/>
      <c r="O515" s="261">
        <f t="shared" si="195"/>
        <v>0</v>
      </c>
      <c r="P515" s="435">
        <f t="shared" ref="P515:U515" si="205">P61+P292</f>
        <v>0</v>
      </c>
      <c r="Q515" s="437">
        <f t="shared" si="205"/>
        <v>0</v>
      </c>
      <c r="R515" s="261">
        <f t="shared" si="205"/>
        <v>0</v>
      </c>
      <c r="S515" s="261">
        <f t="shared" si="205"/>
        <v>0</v>
      </c>
      <c r="T515" s="261">
        <f t="shared" si="205"/>
        <v>0</v>
      </c>
      <c r="U515" s="261">
        <f t="shared" si="205"/>
        <v>0</v>
      </c>
      <c r="V515" s="231">
        <f t="shared" si="197"/>
        <v>0</v>
      </c>
    </row>
    <row r="516" spans="4:22" s="201" customFormat="1" ht="13" outlineLevel="1" x14ac:dyDescent="0.25">
      <c r="E516" s="229"/>
      <c r="F516" s="213">
        <v>0</v>
      </c>
      <c r="G516" s="213">
        <v>0</v>
      </c>
      <c r="H516" s="213">
        <v>0</v>
      </c>
      <c r="I516" s="213">
        <v>0</v>
      </c>
      <c r="J516" s="218">
        <v>0</v>
      </c>
      <c r="K516" s="218">
        <v>0</v>
      </c>
      <c r="L516" s="221" t="s">
        <v>85</v>
      </c>
      <c r="M516" s="260">
        <f t="shared" si="194"/>
        <v>43617</v>
      </c>
      <c r="N516" s="228"/>
      <c r="O516" s="261">
        <f t="shared" si="195"/>
        <v>0</v>
      </c>
      <c r="P516" s="435">
        <f t="shared" ref="P516:U516" si="206">P62+P293</f>
        <v>0</v>
      </c>
      <c r="Q516" s="437">
        <f t="shared" si="206"/>
        <v>0</v>
      </c>
      <c r="R516" s="261">
        <f t="shared" si="206"/>
        <v>0</v>
      </c>
      <c r="S516" s="261">
        <f t="shared" si="206"/>
        <v>0</v>
      </c>
      <c r="T516" s="261">
        <f t="shared" si="206"/>
        <v>0</v>
      </c>
      <c r="U516" s="261">
        <f t="shared" si="206"/>
        <v>0</v>
      </c>
      <c r="V516" s="231">
        <f t="shared" si="197"/>
        <v>0</v>
      </c>
    </row>
    <row r="517" spans="4:22" s="201" customFormat="1" ht="13" outlineLevel="1" x14ac:dyDescent="0.25">
      <c r="E517" s="229"/>
      <c r="F517" s="213">
        <v>0</v>
      </c>
      <c r="G517" s="213">
        <v>0</v>
      </c>
      <c r="H517" s="213">
        <v>0</v>
      </c>
      <c r="I517" s="213">
        <v>0</v>
      </c>
      <c r="J517" s="218">
        <v>0</v>
      </c>
      <c r="K517" s="218">
        <v>0</v>
      </c>
      <c r="L517" s="221" t="s">
        <v>85</v>
      </c>
      <c r="M517" s="260">
        <f t="shared" si="194"/>
        <v>43617</v>
      </c>
      <c r="N517" s="228"/>
      <c r="O517" s="261">
        <f t="shared" si="195"/>
        <v>0</v>
      </c>
      <c r="P517" s="435">
        <f t="shared" ref="P517:U517" si="207">P63+P294</f>
        <v>0</v>
      </c>
      <c r="Q517" s="437">
        <f t="shared" si="207"/>
        <v>0</v>
      </c>
      <c r="R517" s="261">
        <f t="shared" si="207"/>
        <v>0</v>
      </c>
      <c r="S517" s="261">
        <f t="shared" si="207"/>
        <v>0</v>
      </c>
      <c r="T517" s="261">
        <f t="shared" si="207"/>
        <v>0</v>
      </c>
      <c r="U517" s="261">
        <f t="shared" si="207"/>
        <v>0</v>
      </c>
      <c r="V517" s="231">
        <f t="shared" si="197"/>
        <v>0</v>
      </c>
    </row>
    <row r="518" spans="4:22" s="201" customFormat="1" ht="13" outlineLevel="1" x14ac:dyDescent="0.25">
      <c r="E518" s="229"/>
      <c r="F518" s="213">
        <v>0</v>
      </c>
      <c r="G518" s="213">
        <v>0</v>
      </c>
      <c r="H518" s="213">
        <v>0</v>
      </c>
      <c r="I518" s="213">
        <v>0</v>
      </c>
      <c r="J518" s="218">
        <v>0</v>
      </c>
      <c r="K518" s="218">
        <v>0</v>
      </c>
      <c r="L518" s="221" t="s">
        <v>85</v>
      </c>
      <c r="M518" s="260">
        <f t="shared" si="194"/>
        <v>43617</v>
      </c>
      <c r="N518" s="228"/>
      <c r="O518" s="261">
        <f t="shared" si="195"/>
        <v>0</v>
      </c>
      <c r="P518" s="435">
        <f t="shared" ref="P518:U518" si="208">P64+P295</f>
        <v>0</v>
      </c>
      <c r="Q518" s="437">
        <f t="shared" si="208"/>
        <v>0</v>
      </c>
      <c r="R518" s="261">
        <f t="shared" si="208"/>
        <v>0</v>
      </c>
      <c r="S518" s="261">
        <f t="shared" si="208"/>
        <v>0</v>
      </c>
      <c r="T518" s="261">
        <f t="shared" si="208"/>
        <v>0</v>
      </c>
      <c r="U518" s="261">
        <f t="shared" si="208"/>
        <v>0</v>
      </c>
      <c r="V518" s="231">
        <f t="shared" si="197"/>
        <v>0</v>
      </c>
    </row>
    <row r="519" spans="4:22" s="201" customFormat="1" ht="13" outlineLevel="1" x14ac:dyDescent="0.25">
      <c r="E519" s="229"/>
      <c r="F519" s="213">
        <v>0</v>
      </c>
      <c r="G519" s="213">
        <v>0</v>
      </c>
      <c r="H519" s="213">
        <v>0</v>
      </c>
      <c r="I519" s="213">
        <v>0</v>
      </c>
      <c r="J519" s="218">
        <v>0</v>
      </c>
      <c r="K519" s="218">
        <v>0</v>
      </c>
      <c r="L519" s="221" t="s">
        <v>85</v>
      </c>
      <c r="M519" s="260">
        <f t="shared" si="194"/>
        <v>43617</v>
      </c>
      <c r="N519" s="228"/>
      <c r="O519" s="261">
        <f t="shared" si="195"/>
        <v>0</v>
      </c>
      <c r="P519" s="435">
        <f t="shared" ref="P519:U519" si="209">P65+P296</f>
        <v>0</v>
      </c>
      <c r="Q519" s="437">
        <f t="shared" si="209"/>
        <v>0</v>
      </c>
      <c r="R519" s="261">
        <f t="shared" si="209"/>
        <v>0</v>
      </c>
      <c r="S519" s="261">
        <f t="shared" si="209"/>
        <v>0</v>
      </c>
      <c r="T519" s="261">
        <f t="shared" si="209"/>
        <v>0</v>
      </c>
      <c r="U519" s="261">
        <f t="shared" si="209"/>
        <v>0</v>
      </c>
      <c r="V519" s="231">
        <f t="shared" si="197"/>
        <v>0</v>
      </c>
    </row>
    <row r="520" spans="4:22" s="201" customFormat="1" ht="13" outlineLevel="1" x14ac:dyDescent="0.25">
      <c r="E520" s="229"/>
      <c r="F520" s="213">
        <v>0</v>
      </c>
      <c r="G520" s="213">
        <v>0</v>
      </c>
      <c r="H520" s="213">
        <v>0</v>
      </c>
      <c r="I520" s="213">
        <v>0</v>
      </c>
      <c r="J520" s="218">
        <v>0</v>
      </c>
      <c r="K520" s="218">
        <v>0</v>
      </c>
      <c r="L520" s="221" t="s">
        <v>85</v>
      </c>
      <c r="M520" s="260">
        <f t="shared" si="194"/>
        <v>43617</v>
      </c>
      <c r="N520" s="228"/>
      <c r="O520" s="261">
        <f t="shared" si="195"/>
        <v>0</v>
      </c>
      <c r="P520" s="435">
        <f t="shared" ref="P520:U520" si="210">P66+P297</f>
        <v>0</v>
      </c>
      <c r="Q520" s="437">
        <f t="shared" si="210"/>
        <v>0</v>
      </c>
      <c r="R520" s="261">
        <f t="shared" si="210"/>
        <v>0</v>
      </c>
      <c r="S520" s="261">
        <f t="shared" si="210"/>
        <v>0</v>
      </c>
      <c r="T520" s="261">
        <f t="shared" si="210"/>
        <v>0</v>
      </c>
      <c r="U520" s="261">
        <f t="shared" si="210"/>
        <v>0</v>
      </c>
      <c r="V520" s="231">
        <f t="shared" si="197"/>
        <v>0</v>
      </c>
    </row>
    <row r="521" spans="4:22" s="201" customFormat="1" ht="13" outlineLevel="1" x14ac:dyDescent="0.25">
      <c r="E521" s="229"/>
      <c r="F521" s="213">
        <v>0</v>
      </c>
      <c r="G521" s="213">
        <v>0</v>
      </c>
      <c r="H521" s="213">
        <v>0</v>
      </c>
      <c r="I521" s="213">
        <v>0</v>
      </c>
      <c r="J521" s="218">
        <v>0</v>
      </c>
      <c r="K521" s="218">
        <v>0</v>
      </c>
      <c r="L521" s="221" t="s">
        <v>85</v>
      </c>
      <c r="M521" s="260">
        <f t="shared" si="194"/>
        <v>43617</v>
      </c>
      <c r="N521" s="228"/>
      <c r="O521" s="261">
        <f t="shared" si="195"/>
        <v>0</v>
      </c>
      <c r="P521" s="435">
        <f t="shared" ref="P521:U521" si="211">P67+P298</f>
        <v>0</v>
      </c>
      <c r="Q521" s="437">
        <f t="shared" si="211"/>
        <v>0</v>
      </c>
      <c r="R521" s="261">
        <f t="shared" si="211"/>
        <v>0</v>
      </c>
      <c r="S521" s="261">
        <f t="shared" si="211"/>
        <v>0</v>
      </c>
      <c r="T521" s="261">
        <f t="shared" si="211"/>
        <v>0</v>
      </c>
      <c r="U521" s="261">
        <f t="shared" si="211"/>
        <v>0</v>
      </c>
      <c r="V521" s="231">
        <f t="shared" si="197"/>
        <v>0</v>
      </c>
    </row>
    <row r="522" spans="4:22" s="201" customFormat="1" ht="13" outlineLevel="1" x14ac:dyDescent="0.25">
      <c r="E522" s="229"/>
      <c r="F522" s="242" t="s">
        <v>17</v>
      </c>
      <c r="G522" s="243"/>
      <c r="H522" s="243"/>
      <c r="I522" s="243"/>
      <c r="J522" s="243"/>
      <c r="K522" s="244"/>
      <c r="L522" s="247" t="s">
        <v>85</v>
      </c>
      <c r="M522" s="253">
        <f t="shared" si="194"/>
        <v>43617</v>
      </c>
      <c r="N522" s="228"/>
      <c r="O522" s="232">
        <f t="shared" ref="O522" si="212">SUM(O507:O514)</f>
        <v>0</v>
      </c>
      <c r="P522" s="289">
        <f t="shared" ref="P522:U522" si="213">SUM(P507:P514)</f>
        <v>3229651.6391559308</v>
      </c>
      <c r="Q522" s="290">
        <f t="shared" si="213"/>
        <v>3249417.6101886518</v>
      </c>
      <c r="R522" s="232">
        <f t="shared" si="213"/>
        <v>3262601.2070882805</v>
      </c>
      <c r="S522" s="232">
        <f t="shared" si="213"/>
        <v>3274799.5911287661</v>
      </c>
      <c r="T522" s="232">
        <f t="shared" si="213"/>
        <v>3289563.4943498606</v>
      </c>
      <c r="U522" s="232">
        <f t="shared" si="213"/>
        <v>3308863.5639344174</v>
      </c>
      <c r="V522" s="233">
        <f>SUM(Q522:U522)</f>
        <v>16385245.466689976</v>
      </c>
    </row>
    <row r="523" spans="4:22" s="201" customFormat="1" outlineLevel="1" x14ac:dyDescent="0.25">
      <c r="E523" s="229"/>
      <c r="N523" s="228"/>
    </row>
    <row r="524" spans="4:22" s="201" customFormat="1" outlineLevel="1" x14ac:dyDescent="0.25">
      <c r="D524" s="201">
        <v>4</v>
      </c>
      <c r="E524" s="229" t="str">
        <f>'Input | Meters Vols &amp; Costs'!$G$32</f>
        <v>Replacements - Failures and faults</v>
      </c>
      <c r="N524" s="228"/>
    </row>
    <row r="525" spans="4:22" s="201" customFormat="1" outlineLevel="1" x14ac:dyDescent="0.25">
      <c r="E525" s="229"/>
      <c r="N525" s="228"/>
      <c r="O525" s="591"/>
      <c r="P525"/>
      <c r="Q525"/>
      <c r="R525"/>
      <c r="S525"/>
      <c r="T525"/>
      <c r="U525"/>
    </row>
    <row r="526" spans="4:22" s="201" customFormat="1" ht="13" outlineLevel="1" x14ac:dyDescent="0.25">
      <c r="E526" s="229"/>
      <c r="F526" s="121" t="str">
        <f>I_MeterTypes[[#Headers],[Meter Type]]</f>
        <v>Meter Type</v>
      </c>
      <c r="G526" s="121" t="str">
        <f>I_MeterTypes[[#Headers],[RIN Subcategory 1]]</f>
        <v>RIN Subcategory 1</v>
      </c>
      <c r="H526" s="121" t="str">
        <f>I_MeterTypes[[#Headers],[RIN Subcategory 2]]</f>
        <v>RIN Subcategory 2</v>
      </c>
      <c r="I526" s="121" t="str">
        <f>I_MeterTypes[[#Headers],[AER Type]]</f>
        <v>AER Type</v>
      </c>
      <c r="J526" s="121" t="str">
        <f>I_MeterTypes[[#Headers],[RIN Subcategory 3]]</f>
        <v>RIN Subcategory 3</v>
      </c>
      <c r="K526" s="121" t="str">
        <f>I_MeterTypes[[#Headers],[Meter Code]]</f>
        <v>Meter Code</v>
      </c>
      <c r="L526" s="121" t="s">
        <v>6</v>
      </c>
      <c r="M526" s="121" t="s">
        <v>118</v>
      </c>
      <c r="N526" s="228"/>
      <c r="O526" s="234" t="str">
        <f>O$12</f>
        <v>2018-19</v>
      </c>
      <c r="P526" s="234" t="str">
        <f t="shared" ref="P526:U526" si="214">P$12</f>
        <v>2019-20</v>
      </c>
      <c r="Q526" s="436" t="str">
        <f t="shared" si="214"/>
        <v>2020-21</v>
      </c>
      <c r="R526" s="234" t="str">
        <f t="shared" si="214"/>
        <v>2021-22</v>
      </c>
      <c r="S526" s="234" t="str">
        <f t="shared" si="214"/>
        <v>2022-23</v>
      </c>
      <c r="T526" s="234" t="str">
        <f t="shared" si="214"/>
        <v>2023-24</v>
      </c>
      <c r="U526" s="234" t="str">
        <f t="shared" si="214"/>
        <v>2024-25</v>
      </c>
      <c r="V526" s="234" t="s">
        <v>17</v>
      </c>
    </row>
    <row r="527" spans="4:22" s="201" customFormat="1" ht="13" outlineLevel="1" x14ac:dyDescent="0.25">
      <c r="E527" s="229"/>
      <c r="F527" s="213" t="str" cm="1">
        <f t="array" ref="F527:F541">I_MeterTypes[Meter Type]</f>
        <v>AMI - Single Phase, single element</v>
      </c>
      <c r="G527" s="213" t="str" cm="1">
        <f t="array" ref="G527:G541">I_MeterTypes[RIN Subcategory 1]</f>
        <v>Single Phase Meter Population</v>
      </c>
      <c r="H527" s="213" t="str" cm="1">
        <f t="array" ref="H527:H541">I_MeterTypes[RIN Subcategory 2]</f>
        <v>Other</v>
      </c>
      <c r="I527" s="213" t="str" cm="1">
        <f t="array" ref="I527:I541">I_MeterTypes[AER Type]</f>
        <v>Meter Type 4</v>
      </c>
      <c r="J527" s="213" t="str" cm="1">
        <f t="array" ref="J527:J541">I_MeterTypes[RIN Subcategory 3]</f>
        <v>Single phase single element - AMI</v>
      </c>
      <c r="K527" s="213" t="str" cm="1">
        <f t="array" ref="K527:K541">I_MeterTypes[Meter Code]</f>
        <v>AMI 1ph 1e</v>
      </c>
      <c r="L527" s="221" t="s">
        <v>85</v>
      </c>
      <c r="M527" s="260">
        <f t="shared" ref="M527:M542" si="215">Basis_Capex</f>
        <v>43617</v>
      </c>
      <c r="N527" s="228"/>
      <c r="O527" s="261">
        <f t="shared" ref="O527:O541" si="216">O73+O304</f>
        <v>0</v>
      </c>
      <c r="P527" s="435">
        <f t="shared" ref="P527:U527" si="217">P73+P304</f>
        <v>807412.90978898271</v>
      </c>
      <c r="Q527" s="437">
        <f t="shared" si="217"/>
        <v>812354.40254716296</v>
      </c>
      <c r="R527" s="261">
        <f t="shared" si="217"/>
        <v>815650.30177207012</v>
      </c>
      <c r="S527" s="261">
        <f t="shared" si="217"/>
        <v>818699.89778219152</v>
      </c>
      <c r="T527" s="261">
        <f t="shared" si="217"/>
        <v>822390.87358746515</v>
      </c>
      <c r="U527" s="261">
        <f t="shared" si="217"/>
        <v>827215.89098360436</v>
      </c>
      <c r="V527" s="231">
        <f t="shared" ref="V527:V541" si="218">SUM(N527:U527)</f>
        <v>4903724.2764614765</v>
      </c>
    </row>
    <row r="528" spans="4:22" s="201" customFormat="1" ht="13" outlineLevel="1" x14ac:dyDescent="0.25">
      <c r="E528" s="229"/>
      <c r="F528" s="213" t="str">
        <v>AMI - Single Phase, two element</v>
      </c>
      <c r="G528" s="213" t="str">
        <v>Single Phase Meter Population</v>
      </c>
      <c r="H528" s="213" t="str">
        <v>Other</v>
      </c>
      <c r="I528" s="213" t="str">
        <v>Meter Type 4</v>
      </c>
      <c r="J528" s="218" t="str">
        <v>Single phase two element with contactor - AMI</v>
      </c>
      <c r="K528" s="218" t="str">
        <v>AMI 1ph 2e</v>
      </c>
      <c r="L528" s="221" t="s">
        <v>85</v>
      </c>
      <c r="M528" s="260">
        <f t="shared" si="215"/>
        <v>43617</v>
      </c>
      <c r="N528" s="228"/>
      <c r="O528" s="261">
        <f t="shared" si="216"/>
        <v>0</v>
      </c>
      <c r="P528" s="435">
        <f t="shared" ref="P528:U528" si="219">P74+P305</f>
        <v>0</v>
      </c>
      <c r="Q528" s="437">
        <f t="shared" si="219"/>
        <v>0</v>
      </c>
      <c r="R528" s="261">
        <f t="shared" si="219"/>
        <v>0</v>
      </c>
      <c r="S528" s="261">
        <f t="shared" si="219"/>
        <v>0</v>
      </c>
      <c r="T528" s="261">
        <f t="shared" si="219"/>
        <v>0</v>
      </c>
      <c r="U528" s="261">
        <f t="shared" si="219"/>
        <v>0</v>
      </c>
      <c r="V528" s="231">
        <f t="shared" si="218"/>
        <v>0</v>
      </c>
    </row>
    <row r="529" spans="4:22" s="201" customFormat="1" ht="13" outlineLevel="1" x14ac:dyDescent="0.25">
      <c r="E529" s="229"/>
      <c r="F529" s="213" t="str">
        <v>AMI - 3 Phase DC</v>
      </c>
      <c r="G529" s="213" t="str">
        <v>Multi Phase Meter Population</v>
      </c>
      <c r="H529" s="213" t="str">
        <v>Direct Connect Meter Population</v>
      </c>
      <c r="I529" s="213" t="str">
        <v>Meter Type 4</v>
      </c>
      <c r="J529" s="218" t="str">
        <v>Three phase - AMI</v>
      </c>
      <c r="K529" s="218" t="str">
        <v>AMI 3ph DC</v>
      </c>
      <c r="L529" s="221" t="s">
        <v>85</v>
      </c>
      <c r="M529" s="260">
        <f t="shared" si="215"/>
        <v>43617</v>
      </c>
      <c r="N529" s="228"/>
      <c r="O529" s="261">
        <f t="shared" si="216"/>
        <v>0</v>
      </c>
      <c r="P529" s="435">
        <f t="shared" ref="P529:U529" si="220">P75+P306</f>
        <v>0</v>
      </c>
      <c r="Q529" s="437">
        <f t="shared" si="220"/>
        <v>0</v>
      </c>
      <c r="R529" s="261">
        <f t="shared" si="220"/>
        <v>0</v>
      </c>
      <c r="S529" s="261">
        <f t="shared" si="220"/>
        <v>0</v>
      </c>
      <c r="T529" s="261">
        <f t="shared" si="220"/>
        <v>0</v>
      </c>
      <c r="U529" s="261">
        <f t="shared" si="220"/>
        <v>0</v>
      </c>
      <c r="V529" s="231">
        <f t="shared" si="218"/>
        <v>0</v>
      </c>
    </row>
    <row r="530" spans="4:22" s="201" customFormat="1" ht="13" outlineLevel="1" x14ac:dyDescent="0.25">
      <c r="E530" s="229"/>
      <c r="F530" s="213" t="str">
        <v>AMI 3Ph CT</v>
      </c>
      <c r="G530" s="213" t="str">
        <v>Multi Phase Meter Population</v>
      </c>
      <c r="H530" s="213" t="str">
        <v>Current Transformer Connected Meter Population</v>
      </c>
      <c r="I530" s="213" t="str">
        <v>Meter Type 4</v>
      </c>
      <c r="J530" s="218">
        <v>0</v>
      </c>
      <c r="K530" s="218" t="str">
        <v>AMI 3ph CT</v>
      </c>
      <c r="L530" s="221" t="s">
        <v>85</v>
      </c>
      <c r="M530" s="260">
        <f t="shared" si="215"/>
        <v>43617</v>
      </c>
      <c r="N530" s="228"/>
      <c r="O530" s="261">
        <f t="shared" si="216"/>
        <v>0</v>
      </c>
      <c r="P530" s="435">
        <f t="shared" ref="P530:U530" si="221">P76+P307</f>
        <v>0</v>
      </c>
      <c r="Q530" s="437">
        <f t="shared" si="221"/>
        <v>0</v>
      </c>
      <c r="R530" s="261">
        <f t="shared" si="221"/>
        <v>0</v>
      </c>
      <c r="S530" s="261">
        <f t="shared" si="221"/>
        <v>0</v>
      </c>
      <c r="T530" s="261">
        <f t="shared" si="221"/>
        <v>0</v>
      </c>
      <c r="U530" s="261">
        <f t="shared" si="221"/>
        <v>0</v>
      </c>
      <c r="V530" s="231">
        <f t="shared" si="218"/>
        <v>0</v>
      </c>
    </row>
    <row r="531" spans="4:22" s="201" customFormat="1" ht="13" outlineLevel="1" x14ac:dyDescent="0.25">
      <c r="E531" s="229"/>
      <c r="F531" s="213" t="str">
        <v>Non AMI - Type 5 Locally read Interval - Single Phase</v>
      </c>
      <c r="G531" s="213" t="str">
        <v>Single Phase Meter Population</v>
      </c>
      <c r="H531" s="213" t="str">
        <v>Direct Connect Meter Population</v>
      </c>
      <c r="I531" s="213" t="str">
        <v>Meter Type 5</v>
      </c>
      <c r="J531" s="218">
        <v>0</v>
      </c>
      <c r="K531" s="218" t="str">
        <v>INT 1ph</v>
      </c>
      <c r="L531" s="221" t="s">
        <v>85</v>
      </c>
      <c r="M531" s="260">
        <f t="shared" si="215"/>
        <v>43617</v>
      </c>
      <c r="N531" s="228"/>
      <c r="O531" s="261">
        <f t="shared" si="216"/>
        <v>0</v>
      </c>
      <c r="P531" s="435">
        <f t="shared" ref="P531:U531" si="222">P77+P308</f>
        <v>0</v>
      </c>
      <c r="Q531" s="437">
        <f t="shared" si="222"/>
        <v>0</v>
      </c>
      <c r="R531" s="261">
        <f t="shared" si="222"/>
        <v>0</v>
      </c>
      <c r="S531" s="261">
        <f t="shared" si="222"/>
        <v>0</v>
      </c>
      <c r="T531" s="261">
        <f t="shared" si="222"/>
        <v>0</v>
      </c>
      <c r="U531" s="261">
        <f t="shared" si="222"/>
        <v>0</v>
      </c>
      <c r="V531" s="231">
        <f t="shared" si="218"/>
        <v>0</v>
      </c>
    </row>
    <row r="532" spans="4:22" s="201" customFormat="1" ht="13" outlineLevel="1" x14ac:dyDescent="0.25">
      <c r="E532" s="229"/>
      <c r="F532" s="213" t="str">
        <v>Non AMI - Type 5 Locally read Interval - 3 Phase</v>
      </c>
      <c r="G532" s="213" t="str">
        <v>Single Phase Meter Population</v>
      </c>
      <c r="H532" s="213" t="str">
        <v>Direct Connect Meter Population</v>
      </c>
      <c r="I532" s="213" t="str">
        <v>Meter Type 5</v>
      </c>
      <c r="J532" s="218">
        <v>0</v>
      </c>
      <c r="K532" s="218" t="str">
        <v>INT 3ph</v>
      </c>
      <c r="L532" s="221" t="s">
        <v>85</v>
      </c>
      <c r="M532" s="260">
        <f t="shared" si="215"/>
        <v>43617</v>
      </c>
      <c r="N532" s="228"/>
      <c r="O532" s="261">
        <f t="shared" si="216"/>
        <v>0</v>
      </c>
      <c r="P532" s="435">
        <f t="shared" ref="P532:U532" si="223">P78+P309</f>
        <v>0</v>
      </c>
      <c r="Q532" s="437">
        <f t="shared" si="223"/>
        <v>0</v>
      </c>
      <c r="R532" s="261">
        <f t="shared" si="223"/>
        <v>0</v>
      </c>
      <c r="S532" s="261">
        <f t="shared" si="223"/>
        <v>0</v>
      </c>
      <c r="T532" s="261">
        <f t="shared" si="223"/>
        <v>0</v>
      </c>
      <c r="U532" s="261">
        <f t="shared" si="223"/>
        <v>0</v>
      </c>
      <c r="V532" s="231">
        <f t="shared" si="218"/>
        <v>0</v>
      </c>
    </row>
    <row r="533" spans="4:22" s="201" customFormat="1" ht="13" outlineLevel="1" x14ac:dyDescent="0.25">
      <c r="E533" s="229"/>
      <c r="F533" s="213" t="str">
        <v>Non AMI - Type 5 Locally read Interval - 3 Phase - CT</v>
      </c>
      <c r="G533" s="213" t="str">
        <v>Multi Phase Meter Population</v>
      </c>
      <c r="H533" s="213" t="str">
        <v>Current Transformer Connected Meter Population</v>
      </c>
      <c r="I533" s="213" t="str">
        <v>Meter Type 5</v>
      </c>
      <c r="J533" s="218">
        <v>0</v>
      </c>
      <c r="K533" s="218" t="str">
        <v>INT 3ph CT</v>
      </c>
      <c r="L533" s="221" t="s">
        <v>85</v>
      </c>
      <c r="M533" s="260">
        <f t="shared" si="215"/>
        <v>43617</v>
      </c>
      <c r="N533" s="228"/>
      <c r="O533" s="261">
        <f t="shared" si="216"/>
        <v>0</v>
      </c>
      <c r="P533" s="435">
        <f t="shared" ref="P533:U533" si="224">P79+P310</f>
        <v>0</v>
      </c>
      <c r="Q533" s="437">
        <f t="shared" si="224"/>
        <v>0</v>
      </c>
      <c r="R533" s="261">
        <f t="shared" si="224"/>
        <v>0</v>
      </c>
      <c r="S533" s="261">
        <f t="shared" si="224"/>
        <v>0</v>
      </c>
      <c r="T533" s="261">
        <f t="shared" si="224"/>
        <v>0</v>
      </c>
      <c r="U533" s="261">
        <f t="shared" si="224"/>
        <v>0</v>
      </c>
      <c r="V533" s="231">
        <f t="shared" si="218"/>
        <v>0</v>
      </c>
    </row>
    <row r="534" spans="4:22" s="201" customFormat="1" ht="13" outlineLevel="1" x14ac:dyDescent="0.25">
      <c r="E534" s="229"/>
      <c r="F534" s="213" t="str">
        <v>Non AMI - Type 6 Locally read Accumulation - Single Phase</v>
      </c>
      <c r="G534" s="213" t="str">
        <v>Multi Phase Meter Population</v>
      </c>
      <c r="H534" s="213" t="str">
        <v>Direct Connect Meter Population</v>
      </c>
      <c r="I534" s="213" t="str">
        <v>Meter Type 6</v>
      </c>
      <c r="J534" s="218">
        <v>0</v>
      </c>
      <c r="K534" s="218" t="str">
        <v>ACC 1ph</v>
      </c>
      <c r="L534" s="221" t="s">
        <v>85</v>
      </c>
      <c r="M534" s="260">
        <f t="shared" si="215"/>
        <v>43617</v>
      </c>
      <c r="N534" s="228"/>
      <c r="O534" s="261">
        <f t="shared" si="216"/>
        <v>0</v>
      </c>
      <c r="P534" s="435">
        <f t="shared" ref="P534:U534" si="225">P80+P311</f>
        <v>0</v>
      </c>
      <c r="Q534" s="437">
        <f t="shared" si="225"/>
        <v>0</v>
      </c>
      <c r="R534" s="261">
        <f t="shared" si="225"/>
        <v>0</v>
      </c>
      <c r="S534" s="261">
        <f t="shared" si="225"/>
        <v>0</v>
      </c>
      <c r="T534" s="261">
        <f t="shared" si="225"/>
        <v>0</v>
      </c>
      <c r="U534" s="261">
        <f t="shared" si="225"/>
        <v>0</v>
      </c>
      <c r="V534" s="231">
        <f t="shared" si="218"/>
        <v>0</v>
      </c>
    </row>
    <row r="535" spans="4:22" s="201" customFormat="1" ht="13" outlineLevel="1" x14ac:dyDescent="0.25">
      <c r="E535" s="229"/>
      <c r="F535" s="213" t="str">
        <v>Non AMI - Type 6 Locally read Accumulation - 3 Phase</v>
      </c>
      <c r="G535" s="213">
        <v>0</v>
      </c>
      <c r="H535" s="213" t="str">
        <v>Direct Connect Meter Population</v>
      </c>
      <c r="I535" s="213" t="str">
        <v>Meter Type 6</v>
      </c>
      <c r="J535" s="218">
        <v>0</v>
      </c>
      <c r="K535" s="218" t="str">
        <v>ACC 3ph</v>
      </c>
      <c r="L535" s="221" t="s">
        <v>85</v>
      </c>
      <c r="M535" s="260">
        <f t="shared" si="215"/>
        <v>43617</v>
      </c>
      <c r="N535" s="228"/>
      <c r="O535" s="261">
        <f t="shared" si="216"/>
        <v>0</v>
      </c>
      <c r="P535" s="435">
        <f t="shared" ref="P535:U535" si="226">P81+P312</f>
        <v>0</v>
      </c>
      <c r="Q535" s="437">
        <f t="shared" si="226"/>
        <v>0</v>
      </c>
      <c r="R535" s="261">
        <f t="shared" si="226"/>
        <v>0</v>
      </c>
      <c r="S535" s="261">
        <f t="shared" si="226"/>
        <v>0</v>
      </c>
      <c r="T535" s="261">
        <f t="shared" si="226"/>
        <v>0</v>
      </c>
      <c r="U535" s="261">
        <f t="shared" si="226"/>
        <v>0</v>
      </c>
      <c r="V535" s="231">
        <f t="shared" si="218"/>
        <v>0</v>
      </c>
    </row>
    <row r="536" spans="4:22" s="201" customFormat="1" ht="13" outlineLevel="1" x14ac:dyDescent="0.25">
      <c r="E536" s="229"/>
      <c r="F536" s="213">
        <v>0</v>
      </c>
      <c r="G536" s="213">
        <v>0</v>
      </c>
      <c r="H536" s="213">
        <v>0</v>
      </c>
      <c r="I536" s="213">
        <v>0</v>
      </c>
      <c r="J536" s="218">
        <v>0</v>
      </c>
      <c r="K536" s="218">
        <v>0</v>
      </c>
      <c r="L536" s="221" t="s">
        <v>85</v>
      </c>
      <c r="M536" s="260">
        <f t="shared" si="215"/>
        <v>43617</v>
      </c>
      <c r="N536" s="228"/>
      <c r="O536" s="261">
        <f t="shared" si="216"/>
        <v>0</v>
      </c>
      <c r="P536" s="435">
        <f t="shared" ref="P536:U536" si="227">P82+P313</f>
        <v>0</v>
      </c>
      <c r="Q536" s="437">
        <f t="shared" si="227"/>
        <v>0</v>
      </c>
      <c r="R536" s="261">
        <f t="shared" si="227"/>
        <v>0</v>
      </c>
      <c r="S536" s="261">
        <f t="shared" si="227"/>
        <v>0</v>
      </c>
      <c r="T536" s="261">
        <f t="shared" si="227"/>
        <v>0</v>
      </c>
      <c r="U536" s="261">
        <f t="shared" si="227"/>
        <v>0</v>
      </c>
      <c r="V536" s="231">
        <f t="shared" si="218"/>
        <v>0</v>
      </c>
    </row>
    <row r="537" spans="4:22" s="201" customFormat="1" ht="13" outlineLevel="1" x14ac:dyDescent="0.25">
      <c r="E537" s="229"/>
      <c r="F537" s="213">
        <v>0</v>
      </c>
      <c r="G537" s="213">
        <v>0</v>
      </c>
      <c r="H537" s="213">
        <v>0</v>
      </c>
      <c r="I537" s="213">
        <v>0</v>
      </c>
      <c r="J537" s="218">
        <v>0</v>
      </c>
      <c r="K537" s="218">
        <v>0</v>
      </c>
      <c r="L537" s="221" t="s">
        <v>85</v>
      </c>
      <c r="M537" s="260">
        <f t="shared" si="215"/>
        <v>43617</v>
      </c>
      <c r="N537" s="228"/>
      <c r="O537" s="261">
        <f t="shared" si="216"/>
        <v>0</v>
      </c>
      <c r="P537" s="435">
        <f t="shared" ref="P537:U537" si="228">P83+P314</f>
        <v>0</v>
      </c>
      <c r="Q537" s="437">
        <f t="shared" si="228"/>
        <v>0</v>
      </c>
      <c r="R537" s="261">
        <f t="shared" si="228"/>
        <v>0</v>
      </c>
      <c r="S537" s="261">
        <f t="shared" si="228"/>
        <v>0</v>
      </c>
      <c r="T537" s="261">
        <f t="shared" si="228"/>
        <v>0</v>
      </c>
      <c r="U537" s="261">
        <f t="shared" si="228"/>
        <v>0</v>
      </c>
      <c r="V537" s="231">
        <f t="shared" si="218"/>
        <v>0</v>
      </c>
    </row>
    <row r="538" spans="4:22" s="201" customFormat="1" ht="13" outlineLevel="1" x14ac:dyDescent="0.25">
      <c r="E538" s="229"/>
      <c r="F538" s="213">
        <v>0</v>
      </c>
      <c r="G538" s="213">
        <v>0</v>
      </c>
      <c r="H538" s="213">
        <v>0</v>
      </c>
      <c r="I538" s="213">
        <v>0</v>
      </c>
      <c r="J538" s="218">
        <v>0</v>
      </c>
      <c r="K538" s="218">
        <v>0</v>
      </c>
      <c r="L538" s="221" t="s">
        <v>85</v>
      </c>
      <c r="M538" s="260">
        <f t="shared" si="215"/>
        <v>43617</v>
      </c>
      <c r="N538" s="228"/>
      <c r="O538" s="261">
        <f t="shared" si="216"/>
        <v>0</v>
      </c>
      <c r="P538" s="435">
        <f t="shared" ref="P538:U538" si="229">P84+P315</f>
        <v>0</v>
      </c>
      <c r="Q538" s="437">
        <f t="shared" si="229"/>
        <v>0</v>
      </c>
      <c r="R538" s="261">
        <f t="shared" si="229"/>
        <v>0</v>
      </c>
      <c r="S538" s="261">
        <f t="shared" si="229"/>
        <v>0</v>
      </c>
      <c r="T538" s="261">
        <f t="shared" si="229"/>
        <v>0</v>
      </c>
      <c r="U538" s="261">
        <f t="shared" si="229"/>
        <v>0</v>
      </c>
      <c r="V538" s="231">
        <f t="shared" si="218"/>
        <v>0</v>
      </c>
    </row>
    <row r="539" spans="4:22" s="201" customFormat="1" ht="13" outlineLevel="1" x14ac:dyDescent="0.25">
      <c r="E539" s="229"/>
      <c r="F539" s="213">
        <v>0</v>
      </c>
      <c r="G539" s="213">
        <v>0</v>
      </c>
      <c r="H539" s="213">
        <v>0</v>
      </c>
      <c r="I539" s="213">
        <v>0</v>
      </c>
      <c r="J539" s="218">
        <v>0</v>
      </c>
      <c r="K539" s="218">
        <v>0</v>
      </c>
      <c r="L539" s="221" t="s">
        <v>85</v>
      </c>
      <c r="M539" s="260">
        <f t="shared" si="215"/>
        <v>43617</v>
      </c>
      <c r="N539" s="228"/>
      <c r="O539" s="261">
        <f t="shared" si="216"/>
        <v>0</v>
      </c>
      <c r="P539" s="435">
        <f t="shared" ref="P539:U539" si="230">P85+P316</f>
        <v>0</v>
      </c>
      <c r="Q539" s="437">
        <f t="shared" si="230"/>
        <v>0</v>
      </c>
      <c r="R539" s="261">
        <f t="shared" si="230"/>
        <v>0</v>
      </c>
      <c r="S539" s="261">
        <f t="shared" si="230"/>
        <v>0</v>
      </c>
      <c r="T539" s="261">
        <f t="shared" si="230"/>
        <v>0</v>
      </c>
      <c r="U539" s="261">
        <f t="shared" si="230"/>
        <v>0</v>
      </c>
      <c r="V539" s="231">
        <f t="shared" si="218"/>
        <v>0</v>
      </c>
    </row>
    <row r="540" spans="4:22" s="201" customFormat="1" ht="13" outlineLevel="1" x14ac:dyDescent="0.25">
      <c r="E540" s="229"/>
      <c r="F540" s="213">
        <v>0</v>
      </c>
      <c r="G540" s="213">
        <v>0</v>
      </c>
      <c r="H540" s="213">
        <v>0</v>
      </c>
      <c r="I540" s="213">
        <v>0</v>
      </c>
      <c r="J540" s="218">
        <v>0</v>
      </c>
      <c r="K540" s="218">
        <v>0</v>
      </c>
      <c r="L540" s="221" t="s">
        <v>85</v>
      </c>
      <c r="M540" s="260">
        <f t="shared" si="215"/>
        <v>43617</v>
      </c>
      <c r="N540" s="228"/>
      <c r="O540" s="261">
        <f t="shared" si="216"/>
        <v>0</v>
      </c>
      <c r="P540" s="435">
        <f t="shared" ref="P540:U540" si="231">P86+P317</f>
        <v>0</v>
      </c>
      <c r="Q540" s="437">
        <f t="shared" si="231"/>
        <v>0</v>
      </c>
      <c r="R540" s="261">
        <f t="shared" si="231"/>
        <v>0</v>
      </c>
      <c r="S540" s="261">
        <f t="shared" si="231"/>
        <v>0</v>
      </c>
      <c r="T540" s="261">
        <f t="shared" si="231"/>
        <v>0</v>
      </c>
      <c r="U540" s="261">
        <f t="shared" si="231"/>
        <v>0</v>
      </c>
      <c r="V540" s="231">
        <f t="shared" si="218"/>
        <v>0</v>
      </c>
    </row>
    <row r="541" spans="4:22" s="201" customFormat="1" ht="13" outlineLevel="1" x14ac:dyDescent="0.25">
      <c r="E541" s="229"/>
      <c r="F541" s="213">
        <v>0</v>
      </c>
      <c r="G541" s="213">
        <v>0</v>
      </c>
      <c r="H541" s="213">
        <v>0</v>
      </c>
      <c r="I541" s="213">
        <v>0</v>
      </c>
      <c r="J541" s="218">
        <v>0</v>
      </c>
      <c r="K541" s="218">
        <v>0</v>
      </c>
      <c r="L541" s="221" t="s">
        <v>85</v>
      </c>
      <c r="M541" s="260">
        <f t="shared" si="215"/>
        <v>43617</v>
      </c>
      <c r="N541" s="228"/>
      <c r="O541" s="261">
        <f t="shared" si="216"/>
        <v>0</v>
      </c>
      <c r="P541" s="435">
        <f t="shared" ref="P541:U541" si="232">P87+P318</f>
        <v>0</v>
      </c>
      <c r="Q541" s="437">
        <f t="shared" si="232"/>
        <v>0</v>
      </c>
      <c r="R541" s="261">
        <f t="shared" si="232"/>
        <v>0</v>
      </c>
      <c r="S541" s="261">
        <f t="shared" si="232"/>
        <v>0</v>
      </c>
      <c r="T541" s="261">
        <f t="shared" si="232"/>
        <v>0</v>
      </c>
      <c r="U541" s="261">
        <f t="shared" si="232"/>
        <v>0</v>
      </c>
      <c r="V541" s="231">
        <f t="shared" si="218"/>
        <v>0</v>
      </c>
    </row>
    <row r="542" spans="4:22" s="201" customFormat="1" ht="13" outlineLevel="1" x14ac:dyDescent="0.25">
      <c r="E542" s="229"/>
      <c r="F542" s="151" t="s">
        <v>17</v>
      </c>
      <c r="G542" s="151"/>
      <c r="H542" s="151"/>
      <c r="I542" s="151"/>
      <c r="J542" s="151"/>
      <c r="K542" s="151"/>
      <c r="L542" s="247" t="s">
        <v>85</v>
      </c>
      <c r="M542" s="253">
        <f t="shared" si="215"/>
        <v>43617</v>
      </c>
      <c r="N542" s="228"/>
      <c r="O542" s="232">
        <f t="shared" ref="O542" si="233">SUM(O527:O541)</f>
        <v>0</v>
      </c>
      <c r="P542" s="289">
        <f t="shared" ref="P542:U542" si="234">SUM(P527:P541)</f>
        <v>807412.90978898271</v>
      </c>
      <c r="Q542" s="290">
        <f t="shared" si="234"/>
        <v>812354.40254716296</v>
      </c>
      <c r="R542" s="232">
        <f t="shared" si="234"/>
        <v>815650.30177207012</v>
      </c>
      <c r="S542" s="232">
        <f t="shared" si="234"/>
        <v>818699.89778219152</v>
      </c>
      <c r="T542" s="232">
        <f t="shared" si="234"/>
        <v>822390.87358746515</v>
      </c>
      <c r="U542" s="232">
        <f t="shared" si="234"/>
        <v>827215.89098360436</v>
      </c>
      <c r="V542" s="233">
        <f>SUM(Q542:U542)</f>
        <v>4096311.366672494</v>
      </c>
    </row>
    <row r="543" spans="4:22" s="201" customFormat="1" outlineLevel="1" x14ac:dyDescent="0.25">
      <c r="E543" s="229"/>
      <c r="N543" s="228"/>
    </row>
    <row r="544" spans="4:22" s="201" customFormat="1" outlineLevel="1" x14ac:dyDescent="0.25">
      <c r="D544" s="201">
        <v>5</v>
      </c>
      <c r="E544" s="229">
        <f>'Input | Meters Vols &amp; Costs'!$G$33</f>
        <v>0</v>
      </c>
      <c r="N544" s="228"/>
    </row>
    <row r="545" spans="5:22" s="201" customFormat="1" outlineLevel="1" x14ac:dyDescent="0.25">
      <c r="E545" s="229"/>
      <c r="N545" s="228"/>
      <c r="O545"/>
      <c r="P545"/>
      <c r="Q545"/>
      <c r="R545"/>
      <c r="S545"/>
      <c r="T545"/>
      <c r="U545"/>
    </row>
    <row r="546" spans="5:22" s="201" customFormat="1" ht="13" outlineLevel="1" x14ac:dyDescent="0.25">
      <c r="E546" s="229"/>
      <c r="F546" s="121" t="str">
        <f>I_MeterTypes[[#Headers],[Meter Type]]</f>
        <v>Meter Type</v>
      </c>
      <c r="G546" s="121" t="str">
        <f>I_MeterTypes[[#Headers],[RIN Subcategory 1]]</f>
        <v>RIN Subcategory 1</v>
      </c>
      <c r="H546" s="121" t="str">
        <f>I_MeterTypes[[#Headers],[RIN Subcategory 2]]</f>
        <v>RIN Subcategory 2</v>
      </c>
      <c r="I546" s="121" t="str">
        <f>I_MeterTypes[[#Headers],[AER Type]]</f>
        <v>AER Type</v>
      </c>
      <c r="J546" s="121" t="str">
        <f>I_MeterTypes[[#Headers],[RIN Subcategory 3]]</f>
        <v>RIN Subcategory 3</v>
      </c>
      <c r="K546" s="121" t="str">
        <f>I_MeterTypes[[#Headers],[Meter Code]]</f>
        <v>Meter Code</v>
      </c>
      <c r="L546" s="121" t="s">
        <v>6</v>
      </c>
      <c r="M546" s="121" t="s">
        <v>118</v>
      </c>
      <c r="N546" s="228"/>
      <c r="O546" s="234" t="str">
        <f>O$12</f>
        <v>2018-19</v>
      </c>
      <c r="P546" s="234" t="str">
        <f t="shared" ref="P546:U546" si="235">P$12</f>
        <v>2019-20</v>
      </c>
      <c r="Q546" s="436" t="str">
        <f t="shared" si="235"/>
        <v>2020-21</v>
      </c>
      <c r="R546" s="234" t="str">
        <f t="shared" si="235"/>
        <v>2021-22</v>
      </c>
      <c r="S546" s="234" t="str">
        <f t="shared" si="235"/>
        <v>2022-23</v>
      </c>
      <c r="T546" s="234" t="str">
        <f t="shared" si="235"/>
        <v>2023-24</v>
      </c>
      <c r="U546" s="234" t="str">
        <f t="shared" si="235"/>
        <v>2024-25</v>
      </c>
      <c r="V546" s="234" t="s">
        <v>17</v>
      </c>
    </row>
    <row r="547" spans="5:22" s="201" customFormat="1" ht="13" outlineLevel="1" x14ac:dyDescent="0.25">
      <c r="E547" s="229"/>
      <c r="F547" s="213" t="str" cm="1">
        <f t="array" ref="F547:F561">I_MeterTypes[Meter Type]</f>
        <v>AMI - Single Phase, single element</v>
      </c>
      <c r="G547" s="213" t="str" cm="1">
        <f t="array" ref="G547:G561">I_MeterTypes[RIN Subcategory 1]</f>
        <v>Single Phase Meter Population</v>
      </c>
      <c r="H547" s="213" t="str" cm="1">
        <f t="array" ref="H547:H561">I_MeterTypes[RIN Subcategory 2]</f>
        <v>Other</v>
      </c>
      <c r="I547" s="213" t="str" cm="1">
        <f t="array" ref="I547:I561">I_MeterTypes[AER Type]</f>
        <v>Meter Type 4</v>
      </c>
      <c r="J547" s="213" t="str" cm="1">
        <f t="array" ref="J547:J561">I_MeterTypes[RIN Subcategory 3]</f>
        <v>Single phase single element - AMI</v>
      </c>
      <c r="K547" s="213" t="str" cm="1">
        <f t="array" ref="K547:K561">I_MeterTypes[Meter Code]</f>
        <v>AMI 1ph 1e</v>
      </c>
      <c r="L547" s="221" t="s">
        <v>85</v>
      </c>
      <c r="M547" s="260">
        <f t="shared" ref="M547:M562" si="236">Basis_Capex</f>
        <v>43617</v>
      </c>
      <c r="N547" s="228"/>
      <c r="O547" s="261">
        <f t="shared" ref="O547:O561" si="237">O93+O324</f>
        <v>0</v>
      </c>
      <c r="P547" s="435">
        <f t="shared" ref="P547:U547" si="238">P93+P324</f>
        <v>0</v>
      </c>
      <c r="Q547" s="437">
        <f t="shared" si="238"/>
        <v>0</v>
      </c>
      <c r="R547" s="261">
        <f t="shared" si="238"/>
        <v>0</v>
      </c>
      <c r="S547" s="261">
        <f t="shared" si="238"/>
        <v>0</v>
      </c>
      <c r="T547" s="261">
        <f t="shared" si="238"/>
        <v>0</v>
      </c>
      <c r="U547" s="261">
        <f t="shared" si="238"/>
        <v>0</v>
      </c>
      <c r="V547" s="231">
        <f t="shared" ref="V547:V561" si="239">SUM(N547:U547)</f>
        <v>0</v>
      </c>
    </row>
    <row r="548" spans="5:22" s="201" customFormat="1" ht="13" outlineLevel="1" x14ac:dyDescent="0.25">
      <c r="E548" s="229"/>
      <c r="F548" s="213" t="str">
        <v>AMI - Single Phase, two element</v>
      </c>
      <c r="G548" s="213" t="str">
        <v>Single Phase Meter Population</v>
      </c>
      <c r="H548" s="213" t="str">
        <v>Other</v>
      </c>
      <c r="I548" s="213" t="str">
        <v>Meter Type 4</v>
      </c>
      <c r="J548" s="218" t="str">
        <v>Single phase two element with contactor - AMI</v>
      </c>
      <c r="K548" s="218" t="str">
        <v>AMI 1ph 2e</v>
      </c>
      <c r="L548" s="221" t="s">
        <v>85</v>
      </c>
      <c r="M548" s="260">
        <f t="shared" si="236"/>
        <v>43617</v>
      </c>
      <c r="N548" s="228"/>
      <c r="O548" s="261">
        <f t="shared" si="237"/>
        <v>0</v>
      </c>
      <c r="P548" s="435">
        <f t="shared" ref="P548:U548" si="240">P94+P325</f>
        <v>0</v>
      </c>
      <c r="Q548" s="437">
        <f t="shared" si="240"/>
        <v>0</v>
      </c>
      <c r="R548" s="261">
        <f t="shared" si="240"/>
        <v>0</v>
      </c>
      <c r="S548" s="261">
        <f t="shared" si="240"/>
        <v>0</v>
      </c>
      <c r="T548" s="261">
        <f t="shared" si="240"/>
        <v>0</v>
      </c>
      <c r="U548" s="261">
        <f t="shared" si="240"/>
        <v>0</v>
      </c>
      <c r="V548" s="231">
        <f t="shared" si="239"/>
        <v>0</v>
      </c>
    </row>
    <row r="549" spans="5:22" s="201" customFormat="1" ht="13" outlineLevel="1" x14ac:dyDescent="0.25">
      <c r="E549" s="229"/>
      <c r="F549" s="213" t="str">
        <v>AMI - 3 Phase DC</v>
      </c>
      <c r="G549" s="213" t="str">
        <v>Multi Phase Meter Population</v>
      </c>
      <c r="H549" s="213" t="str">
        <v>Direct Connect Meter Population</v>
      </c>
      <c r="I549" s="213" t="str">
        <v>Meter Type 4</v>
      </c>
      <c r="J549" s="218" t="str">
        <v>Three phase - AMI</v>
      </c>
      <c r="K549" s="218" t="str">
        <v>AMI 3ph DC</v>
      </c>
      <c r="L549" s="221" t="s">
        <v>85</v>
      </c>
      <c r="M549" s="260">
        <f t="shared" si="236"/>
        <v>43617</v>
      </c>
      <c r="N549" s="228"/>
      <c r="O549" s="261">
        <f t="shared" si="237"/>
        <v>0</v>
      </c>
      <c r="P549" s="435">
        <f t="shared" ref="P549:U549" si="241">P95+P326</f>
        <v>0</v>
      </c>
      <c r="Q549" s="437">
        <f t="shared" si="241"/>
        <v>0</v>
      </c>
      <c r="R549" s="261">
        <f t="shared" si="241"/>
        <v>0</v>
      </c>
      <c r="S549" s="261">
        <f t="shared" si="241"/>
        <v>0</v>
      </c>
      <c r="T549" s="261">
        <f t="shared" si="241"/>
        <v>0</v>
      </c>
      <c r="U549" s="261">
        <f t="shared" si="241"/>
        <v>0</v>
      </c>
      <c r="V549" s="231">
        <f t="shared" si="239"/>
        <v>0</v>
      </c>
    </row>
    <row r="550" spans="5:22" s="201" customFormat="1" ht="13" outlineLevel="1" x14ac:dyDescent="0.25">
      <c r="E550" s="229"/>
      <c r="F550" s="213" t="str">
        <v>AMI 3Ph CT</v>
      </c>
      <c r="G550" s="213" t="str">
        <v>Multi Phase Meter Population</v>
      </c>
      <c r="H550" s="213" t="str">
        <v>Current Transformer Connected Meter Population</v>
      </c>
      <c r="I550" s="213" t="str">
        <v>Meter Type 4</v>
      </c>
      <c r="J550" s="218">
        <v>0</v>
      </c>
      <c r="K550" s="218" t="str">
        <v>AMI 3ph CT</v>
      </c>
      <c r="L550" s="221" t="s">
        <v>85</v>
      </c>
      <c r="M550" s="260">
        <f t="shared" si="236"/>
        <v>43617</v>
      </c>
      <c r="N550" s="228"/>
      <c r="O550" s="261">
        <f t="shared" si="237"/>
        <v>0</v>
      </c>
      <c r="P550" s="435">
        <f t="shared" ref="P550:U550" si="242">P96+P327</f>
        <v>0</v>
      </c>
      <c r="Q550" s="437">
        <f t="shared" si="242"/>
        <v>0</v>
      </c>
      <c r="R550" s="261">
        <f t="shared" si="242"/>
        <v>0</v>
      </c>
      <c r="S550" s="261">
        <f t="shared" si="242"/>
        <v>0</v>
      </c>
      <c r="T550" s="261">
        <f t="shared" si="242"/>
        <v>0</v>
      </c>
      <c r="U550" s="261">
        <f t="shared" si="242"/>
        <v>0</v>
      </c>
      <c r="V550" s="231">
        <f t="shared" si="239"/>
        <v>0</v>
      </c>
    </row>
    <row r="551" spans="5:22" s="201" customFormat="1" ht="13" outlineLevel="1" x14ac:dyDescent="0.25">
      <c r="E551" s="229"/>
      <c r="F551" s="213" t="str">
        <v>Non AMI - Type 5 Locally read Interval - Single Phase</v>
      </c>
      <c r="G551" s="213" t="str">
        <v>Single Phase Meter Population</v>
      </c>
      <c r="H551" s="213" t="str">
        <v>Direct Connect Meter Population</v>
      </c>
      <c r="I551" s="213" t="str">
        <v>Meter Type 5</v>
      </c>
      <c r="J551" s="218">
        <v>0</v>
      </c>
      <c r="K551" s="218" t="str">
        <v>INT 1ph</v>
      </c>
      <c r="L551" s="221" t="s">
        <v>85</v>
      </c>
      <c r="M551" s="260">
        <f t="shared" si="236"/>
        <v>43617</v>
      </c>
      <c r="N551" s="228"/>
      <c r="O551" s="261">
        <f t="shared" si="237"/>
        <v>0</v>
      </c>
      <c r="P551" s="435">
        <f t="shared" ref="P551:U551" si="243">P97+P328</f>
        <v>0</v>
      </c>
      <c r="Q551" s="437">
        <f t="shared" si="243"/>
        <v>0</v>
      </c>
      <c r="R551" s="261">
        <f t="shared" si="243"/>
        <v>0</v>
      </c>
      <c r="S551" s="261">
        <f t="shared" si="243"/>
        <v>0</v>
      </c>
      <c r="T551" s="261">
        <f t="shared" si="243"/>
        <v>0</v>
      </c>
      <c r="U551" s="261">
        <f t="shared" si="243"/>
        <v>0</v>
      </c>
      <c r="V551" s="231">
        <f t="shared" si="239"/>
        <v>0</v>
      </c>
    </row>
    <row r="552" spans="5:22" s="201" customFormat="1" ht="13" outlineLevel="1" x14ac:dyDescent="0.25">
      <c r="E552" s="229"/>
      <c r="F552" s="213" t="str">
        <v>Non AMI - Type 5 Locally read Interval - 3 Phase</v>
      </c>
      <c r="G552" s="213" t="str">
        <v>Single Phase Meter Population</v>
      </c>
      <c r="H552" s="213" t="str">
        <v>Direct Connect Meter Population</v>
      </c>
      <c r="I552" s="213" t="str">
        <v>Meter Type 5</v>
      </c>
      <c r="J552" s="218">
        <v>0</v>
      </c>
      <c r="K552" s="218" t="str">
        <v>INT 3ph</v>
      </c>
      <c r="L552" s="221" t="s">
        <v>85</v>
      </c>
      <c r="M552" s="260">
        <f t="shared" si="236"/>
        <v>43617</v>
      </c>
      <c r="N552" s="228"/>
      <c r="O552" s="261">
        <f t="shared" si="237"/>
        <v>0</v>
      </c>
      <c r="P552" s="435">
        <f t="shared" ref="P552:U552" si="244">P98+P329</f>
        <v>0</v>
      </c>
      <c r="Q552" s="437">
        <f t="shared" si="244"/>
        <v>0</v>
      </c>
      <c r="R552" s="261">
        <f t="shared" si="244"/>
        <v>0</v>
      </c>
      <c r="S552" s="261">
        <f t="shared" si="244"/>
        <v>0</v>
      </c>
      <c r="T552" s="261">
        <f t="shared" si="244"/>
        <v>0</v>
      </c>
      <c r="U552" s="261">
        <f t="shared" si="244"/>
        <v>0</v>
      </c>
      <c r="V552" s="231">
        <f t="shared" si="239"/>
        <v>0</v>
      </c>
    </row>
    <row r="553" spans="5:22" s="201" customFormat="1" ht="13" outlineLevel="1" x14ac:dyDescent="0.25">
      <c r="E553" s="229"/>
      <c r="F553" s="213" t="str">
        <v>Non AMI - Type 5 Locally read Interval - 3 Phase - CT</v>
      </c>
      <c r="G553" s="213" t="str">
        <v>Multi Phase Meter Population</v>
      </c>
      <c r="H553" s="213" t="str">
        <v>Current Transformer Connected Meter Population</v>
      </c>
      <c r="I553" s="213" t="str">
        <v>Meter Type 5</v>
      </c>
      <c r="J553" s="218">
        <v>0</v>
      </c>
      <c r="K553" s="218" t="str">
        <v>INT 3ph CT</v>
      </c>
      <c r="L553" s="221" t="s">
        <v>85</v>
      </c>
      <c r="M553" s="260">
        <f t="shared" si="236"/>
        <v>43617</v>
      </c>
      <c r="N553" s="228"/>
      <c r="O553" s="261">
        <f t="shared" si="237"/>
        <v>0</v>
      </c>
      <c r="P553" s="435">
        <f t="shared" ref="P553:U553" si="245">P99+P330</f>
        <v>0</v>
      </c>
      <c r="Q553" s="437">
        <f t="shared" si="245"/>
        <v>0</v>
      </c>
      <c r="R553" s="261">
        <f t="shared" si="245"/>
        <v>0</v>
      </c>
      <c r="S553" s="261">
        <f t="shared" si="245"/>
        <v>0</v>
      </c>
      <c r="T553" s="261">
        <f t="shared" si="245"/>
        <v>0</v>
      </c>
      <c r="U553" s="261">
        <f t="shared" si="245"/>
        <v>0</v>
      </c>
      <c r="V553" s="231">
        <f t="shared" si="239"/>
        <v>0</v>
      </c>
    </row>
    <row r="554" spans="5:22" s="201" customFormat="1" ht="13" outlineLevel="1" x14ac:dyDescent="0.25">
      <c r="E554" s="229"/>
      <c r="F554" s="213" t="str">
        <v>Non AMI - Type 6 Locally read Accumulation - Single Phase</v>
      </c>
      <c r="G554" s="213" t="str">
        <v>Multi Phase Meter Population</v>
      </c>
      <c r="H554" s="213" t="str">
        <v>Direct Connect Meter Population</v>
      </c>
      <c r="I554" s="213" t="str">
        <v>Meter Type 6</v>
      </c>
      <c r="J554" s="218">
        <v>0</v>
      </c>
      <c r="K554" s="218" t="str">
        <v>ACC 1ph</v>
      </c>
      <c r="L554" s="221" t="s">
        <v>85</v>
      </c>
      <c r="M554" s="260">
        <f t="shared" si="236"/>
        <v>43617</v>
      </c>
      <c r="N554" s="228"/>
      <c r="O554" s="261">
        <f t="shared" si="237"/>
        <v>0</v>
      </c>
      <c r="P554" s="435">
        <f t="shared" ref="P554:U554" si="246">P100+P331</f>
        <v>0</v>
      </c>
      <c r="Q554" s="437">
        <f t="shared" si="246"/>
        <v>0</v>
      </c>
      <c r="R554" s="261">
        <f t="shared" si="246"/>
        <v>0</v>
      </c>
      <c r="S554" s="261">
        <f t="shared" si="246"/>
        <v>0</v>
      </c>
      <c r="T554" s="261">
        <f t="shared" si="246"/>
        <v>0</v>
      </c>
      <c r="U554" s="261">
        <f t="shared" si="246"/>
        <v>0</v>
      </c>
      <c r="V554" s="231">
        <f t="shared" si="239"/>
        <v>0</v>
      </c>
    </row>
    <row r="555" spans="5:22" s="201" customFormat="1" ht="13" outlineLevel="1" x14ac:dyDescent="0.25">
      <c r="E555" s="229"/>
      <c r="F555" s="213" t="str">
        <v>Non AMI - Type 6 Locally read Accumulation - 3 Phase</v>
      </c>
      <c r="G555" s="213">
        <v>0</v>
      </c>
      <c r="H555" s="213" t="str">
        <v>Direct Connect Meter Population</v>
      </c>
      <c r="I555" s="213" t="str">
        <v>Meter Type 6</v>
      </c>
      <c r="J555" s="218">
        <v>0</v>
      </c>
      <c r="K555" s="218" t="str">
        <v>ACC 3ph</v>
      </c>
      <c r="L555" s="221" t="s">
        <v>85</v>
      </c>
      <c r="M555" s="260">
        <f t="shared" si="236"/>
        <v>43617</v>
      </c>
      <c r="N555" s="228"/>
      <c r="O555" s="261">
        <f t="shared" si="237"/>
        <v>0</v>
      </c>
      <c r="P555" s="435">
        <f t="shared" ref="P555:U555" si="247">P101+P332</f>
        <v>0</v>
      </c>
      <c r="Q555" s="437">
        <f t="shared" si="247"/>
        <v>0</v>
      </c>
      <c r="R555" s="261">
        <f t="shared" si="247"/>
        <v>0</v>
      </c>
      <c r="S555" s="261">
        <f t="shared" si="247"/>
        <v>0</v>
      </c>
      <c r="T555" s="261">
        <f t="shared" si="247"/>
        <v>0</v>
      </c>
      <c r="U555" s="261">
        <f t="shared" si="247"/>
        <v>0</v>
      </c>
      <c r="V555" s="231">
        <f t="shared" si="239"/>
        <v>0</v>
      </c>
    </row>
    <row r="556" spans="5:22" s="201" customFormat="1" ht="13" outlineLevel="1" x14ac:dyDescent="0.25">
      <c r="E556" s="229"/>
      <c r="F556" s="213">
        <v>0</v>
      </c>
      <c r="G556" s="213">
        <v>0</v>
      </c>
      <c r="H556" s="213">
        <v>0</v>
      </c>
      <c r="I556" s="213">
        <v>0</v>
      </c>
      <c r="J556" s="218">
        <v>0</v>
      </c>
      <c r="K556" s="218">
        <v>0</v>
      </c>
      <c r="L556" s="221" t="s">
        <v>85</v>
      </c>
      <c r="M556" s="260">
        <f t="shared" si="236"/>
        <v>43617</v>
      </c>
      <c r="N556" s="228"/>
      <c r="O556" s="261">
        <f t="shared" si="237"/>
        <v>0</v>
      </c>
      <c r="P556" s="435">
        <f t="shared" ref="P556:U556" si="248">P102+P333</f>
        <v>0</v>
      </c>
      <c r="Q556" s="437">
        <f t="shared" si="248"/>
        <v>0</v>
      </c>
      <c r="R556" s="261">
        <f t="shared" si="248"/>
        <v>0</v>
      </c>
      <c r="S556" s="261">
        <f t="shared" si="248"/>
        <v>0</v>
      </c>
      <c r="T556" s="261">
        <f t="shared" si="248"/>
        <v>0</v>
      </c>
      <c r="U556" s="261">
        <f t="shared" si="248"/>
        <v>0</v>
      </c>
      <c r="V556" s="231">
        <f t="shared" si="239"/>
        <v>0</v>
      </c>
    </row>
    <row r="557" spans="5:22" s="201" customFormat="1" ht="13" outlineLevel="1" x14ac:dyDescent="0.25">
      <c r="E557" s="229"/>
      <c r="F557" s="213">
        <v>0</v>
      </c>
      <c r="G557" s="213">
        <v>0</v>
      </c>
      <c r="H557" s="213">
        <v>0</v>
      </c>
      <c r="I557" s="213">
        <v>0</v>
      </c>
      <c r="J557" s="218">
        <v>0</v>
      </c>
      <c r="K557" s="218">
        <v>0</v>
      </c>
      <c r="L557" s="221" t="s">
        <v>85</v>
      </c>
      <c r="M557" s="260">
        <f t="shared" si="236"/>
        <v>43617</v>
      </c>
      <c r="N557" s="228"/>
      <c r="O557" s="261">
        <f t="shared" si="237"/>
        <v>0</v>
      </c>
      <c r="P557" s="435">
        <f t="shared" ref="P557:U557" si="249">P103+P334</f>
        <v>0</v>
      </c>
      <c r="Q557" s="437">
        <f t="shared" si="249"/>
        <v>0</v>
      </c>
      <c r="R557" s="261">
        <f t="shared" si="249"/>
        <v>0</v>
      </c>
      <c r="S557" s="261">
        <f t="shared" si="249"/>
        <v>0</v>
      </c>
      <c r="T557" s="261">
        <f t="shared" si="249"/>
        <v>0</v>
      </c>
      <c r="U557" s="261">
        <f t="shared" si="249"/>
        <v>0</v>
      </c>
      <c r="V557" s="231">
        <f t="shared" si="239"/>
        <v>0</v>
      </c>
    </row>
    <row r="558" spans="5:22" s="201" customFormat="1" ht="13" outlineLevel="1" x14ac:dyDescent="0.25">
      <c r="E558" s="229"/>
      <c r="F558" s="213">
        <v>0</v>
      </c>
      <c r="G558" s="213">
        <v>0</v>
      </c>
      <c r="H558" s="213">
        <v>0</v>
      </c>
      <c r="I558" s="213">
        <v>0</v>
      </c>
      <c r="J558" s="218">
        <v>0</v>
      </c>
      <c r="K558" s="218">
        <v>0</v>
      </c>
      <c r="L558" s="221" t="s">
        <v>85</v>
      </c>
      <c r="M558" s="260">
        <f t="shared" si="236"/>
        <v>43617</v>
      </c>
      <c r="N558" s="228"/>
      <c r="O558" s="261">
        <f t="shared" si="237"/>
        <v>0</v>
      </c>
      <c r="P558" s="435">
        <f t="shared" ref="P558:U558" si="250">P104+P335</f>
        <v>0</v>
      </c>
      <c r="Q558" s="437">
        <f t="shared" si="250"/>
        <v>0</v>
      </c>
      <c r="R558" s="261">
        <f t="shared" si="250"/>
        <v>0</v>
      </c>
      <c r="S558" s="261">
        <f t="shared" si="250"/>
        <v>0</v>
      </c>
      <c r="T558" s="261">
        <f t="shared" si="250"/>
        <v>0</v>
      </c>
      <c r="U558" s="261">
        <f t="shared" si="250"/>
        <v>0</v>
      </c>
      <c r="V558" s="231">
        <f t="shared" si="239"/>
        <v>0</v>
      </c>
    </row>
    <row r="559" spans="5:22" s="201" customFormat="1" ht="13" outlineLevel="1" x14ac:dyDescent="0.25">
      <c r="E559" s="229"/>
      <c r="F559" s="213">
        <v>0</v>
      </c>
      <c r="G559" s="213">
        <v>0</v>
      </c>
      <c r="H559" s="213">
        <v>0</v>
      </c>
      <c r="I559" s="213">
        <v>0</v>
      </c>
      <c r="J559" s="218">
        <v>0</v>
      </c>
      <c r="K559" s="218">
        <v>0</v>
      </c>
      <c r="L559" s="221" t="s">
        <v>85</v>
      </c>
      <c r="M559" s="260">
        <f t="shared" si="236"/>
        <v>43617</v>
      </c>
      <c r="N559" s="228"/>
      <c r="O559" s="261">
        <f t="shared" si="237"/>
        <v>0</v>
      </c>
      <c r="P559" s="435">
        <f t="shared" ref="P559:U559" si="251">P105+P336</f>
        <v>0</v>
      </c>
      <c r="Q559" s="437">
        <f t="shared" si="251"/>
        <v>0</v>
      </c>
      <c r="R559" s="261">
        <f t="shared" si="251"/>
        <v>0</v>
      </c>
      <c r="S559" s="261">
        <f t="shared" si="251"/>
        <v>0</v>
      </c>
      <c r="T559" s="261">
        <f t="shared" si="251"/>
        <v>0</v>
      </c>
      <c r="U559" s="261">
        <f t="shared" si="251"/>
        <v>0</v>
      </c>
      <c r="V559" s="231">
        <f t="shared" si="239"/>
        <v>0</v>
      </c>
    </row>
    <row r="560" spans="5:22" s="201" customFormat="1" ht="13" outlineLevel="1" x14ac:dyDescent="0.25">
      <c r="E560" s="229"/>
      <c r="F560" s="213">
        <v>0</v>
      </c>
      <c r="G560" s="213">
        <v>0</v>
      </c>
      <c r="H560" s="213">
        <v>0</v>
      </c>
      <c r="I560" s="213">
        <v>0</v>
      </c>
      <c r="J560" s="218">
        <v>0</v>
      </c>
      <c r="K560" s="218">
        <v>0</v>
      </c>
      <c r="L560" s="221" t="s">
        <v>85</v>
      </c>
      <c r="M560" s="260">
        <f t="shared" si="236"/>
        <v>43617</v>
      </c>
      <c r="N560" s="228"/>
      <c r="O560" s="261">
        <f t="shared" si="237"/>
        <v>0</v>
      </c>
      <c r="P560" s="435">
        <f t="shared" ref="P560:U560" si="252">P106+P337</f>
        <v>0</v>
      </c>
      <c r="Q560" s="437">
        <f t="shared" si="252"/>
        <v>0</v>
      </c>
      <c r="R560" s="261">
        <f t="shared" si="252"/>
        <v>0</v>
      </c>
      <c r="S560" s="261">
        <f t="shared" si="252"/>
        <v>0</v>
      </c>
      <c r="T560" s="261">
        <f t="shared" si="252"/>
        <v>0</v>
      </c>
      <c r="U560" s="261">
        <f t="shared" si="252"/>
        <v>0</v>
      </c>
      <c r="V560" s="231">
        <f t="shared" si="239"/>
        <v>0</v>
      </c>
    </row>
    <row r="561" spans="4:22" s="201" customFormat="1" ht="13" outlineLevel="1" x14ac:dyDescent="0.25">
      <c r="E561" s="229"/>
      <c r="F561" s="213">
        <v>0</v>
      </c>
      <c r="G561" s="213">
        <v>0</v>
      </c>
      <c r="H561" s="213">
        <v>0</v>
      </c>
      <c r="I561" s="213">
        <v>0</v>
      </c>
      <c r="J561" s="218">
        <v>0</v>
      </c>
      <c r="K561" s="218">
        <v>0</v>
      </c>
      <c r="L561" s="221" t="s">
        <v>85</v>
      </c>
      <c r="M561" s="260">
        <f t="shared" si="236"/>
        <v>43617</v>
      </c>
      <c r="N561" s="228"/>
      <c r="O561" s="261">
        <f t="shared" si="237"/>
        <v>0</v>
      </c>
      <c r="P561" s="435">
        <f t="shared" ref="P561:U561" si="253">P107+P338</f>
        <v>0</v>
      </c>
      <c r="Q561" s="437">
        <f t="shared" si="253"/>
        <v>0</v>
      </c>
      <c r="R561" s="261">
        <f t="shared" si="253"/>
        <v>0</v>
      </c>
      <c r="S561" s="261">
        <f t="shared" si="253"/>
        <v>0</v>
      </c>
      <c r="T561" s="261">
        <f t="shared" si="253"/>
        <v>0</v>
      </c>
      <c r="U561" s="261">
        <f t="shared" si="253"/>
        <v>0</v>
      </c>
      <c r="V561" s="231">
        <f t="shared" si="239"/>
        <v>0</v>
      </c>
    </row>
    <row r="562" spans="4:22" s="201" customFormat="1" ht="13" outlineLevel="1" x14ac:dyDescent="0.25">
      <c r="E562" s="229"/>
      <c r="F562" s="151" t="s">
        <v>17</v>
      </c>
      <c r="G562" s="151"/>
      <c r="H562" s="151"/>
      <c r="I562" s="151"/>
      <c r="J562" s="151"/>
      <c r="K562" s="151"/>
      <c r="L562" s="247" t="s">
        <v>85</v>
      </c>
      <c r="M562" s="253">
        <f t="shared" si="236"/>
        <v>43617</v>
      </c>
      <c r="N562" s="228"/>
      <c r="O562" s="232">
        <f t="shared" ref="O562" si="254">SUM(O547:O561)</f>
        <v>0</v>
      </c>
      <c r="P562" s="289">
        <f t="shared" ref="P562:U562" si="255">SUM(P547:P561)</f>
        <v>0</v>
      </c>
      <c r="Q562" s="290">
        <f t="shared" si="255"/>
        <v>0</v>
      </c>
      <c r="R562" s="232">
        <f t="shared" si="255"/>
        <v>0</v>
      </c>
      <c r="S562" s="232">
        <f t="shared" si="255"/>
        <v>0</v>
      </c>
      <c r="T562" s="232">
        <f t="shared" si="255"/>
        <v>0</v>
      </c>
      <c r="U562" s="232">
        <f t="shared" si="255"/>
        <v>0</v>
      </c>
      <c r="V562" s="233">
        <f>SUM(Q562:U562)</f>
        <v>0</v>
      </c>
    </row>
    <row r="563" spans="4:22" s="201" customFormat="1" outlineLevel="1" x14ac:dyDescent="0.25">
      <c r="E563" s="229"/>
      <c r="N563" s="228"/>
    </row>
    <row r="564" spans="4:22" s="201" customFormat="1" outlineLevel="1" x14ac:dyDescent="0.25">
      <c r="D564" s="201">
        <v>6</v>
      </c>
      <c r="E564" s="229">
        <f>'Input | Meters Vols &amp; Costs'!$G$34</f>
        <v>0</v>
      </c>
      <c r="N564" s="228"/>
    </row>
    <row r="565" spans="4:22" s="201" customFormat="1" outlineLevel="1" x14ac:dyDescent="0.25">
      <c r="E565" s="229"/>
      <c r="N565" s="228"/>
      <c r="O565"/>
      <c r="P565"/>
      <c r="Q565"/>
      <c r="R565"/>
      <c r="S565"/>
      <c r="T565"/>
      <c r="U565"/>
    </row>
    <row r="566" spans="4:22" s="201" customFormat="1" ht="13" outlineLevel="1" x14ac:dyDescent="0.25">
      <c r="E566" s="229"/>
      <c r="F566" s="121" t="str">
        <f>I_MeterTypes[[#Headers],[Meter Type]]</f>
        <v>Meter Type</v>
      </c>
      <c r="G566" s="121" t="str">
        <f>I_MeterTypes[[#Headers],[RIN Subcategory 1]]</f>
        <v>RIN Subcategory 1</v>
      </c>
      <c r="H566" s="121" t="str">
        <f>I_MeterTypes[[#Headers],[RIN Subcategory 2]]</f>
        <v>RIN Subcategory 2</v>
      </c>
      <c r="I566" s="121" t="str">
        <f>I_MeterTypes[[#Headers],[AER Type]]</f>
        <v>AER Type</v>
      </c>
      <c r="J566" s="121" t="str">
        <f>I_MeterTypes[[#Headers],[RIN Subcategory 3]]</f>
        <v>RIN Subcategory 3</v>
      </c>
      <c r="K566" s="121" t="str">
        <f>I_MeterTypes[[#Headers],[Meter Code]]</f>
        <v>Meter Code</v>
      </c>
      <c r="L566" s="121" t="s">
        <v>6</v>
      </c>
      <c r="M566" s="121" t="s">
        <v>118</v>
      </c>
      <c r="N566" s="228"/>
      <c r="O566" s="234" t="str">
        <f>O$12</f>
        <v>2018-19</v>
      </c>
      <c r="P566" s="234" t="str">
        <f t="shared" ref="P566:U566" si="256">P$12</f>
        <v>2019-20</v>
      </c>
      <c r="Q566" s="436" t="str">
        <f t="shared" si="256"/>
        <v>2020-21</v>
      </c>
      <c r="R566" s="234" t="str">
        <f t="shared" si="256"/>
        <v>2021-22</v>
      </c>
      <c r="S566" s="234" t="str">
        <f t="shared" si="256"/>
        <v>2022-23</v>
      </c>
      <c r="T566" s="234" t="str">
        <f t="shared" si="256"/>
        <v>2023-24</v>
      </c>
      <c r="U566" s="234" t="str">
        <f t="shared" si="256"/>
        <v>2024-25</v>
      </c>
      <c r="V566" s="234" t="s">
        <v>17</v>
      </c>
    </row>
    <row r="567" spans="4:22" s="201" customFormat="1" ht="13" outlineLevel="1" x14ac:dyDescent="0.25">
      <c r="E567" s="229"/>
      <c r="F567" s="213" t="str" cm="1">
        <f t="array" ref="F567:F581">I_MeterTypes[Meter Type]</f>
        <v>AMI - Single Phase, single element</v>
      </c>
      <c r="G567" s="213" t="str" cm="1">
        <f t="array" ref="G567:G581">I_MeterTypes[RIN Subcategory 1]</f>
        <v>Single Phase Meter Population</v>
      </c>
      <c r="H567" s="213" t="str" cm="1">
        <f t="array" ref="H567:H581">I_MeterTypes[RIN Subcategory 2]</f>
        <v>Other</v>
      </c>
      <c r="I567" s="213" t="str" cm="1">
        <f t="array" ref="I567:I581">I_MeterTypes[AER Type]</f>
        <v>Meter Type 4</v>
      </c>
      <c r="J567" s="213" t="str" cm="1">
        <f t="array" ref="J567:J581">I_MeterTypes[RIN Subcategory 3]</f>
        <v>Single phase single element - AMI</v>
      </c>
      <c r="K567" s="213" t="str" cm="1">
        <f t="array" ref="K567:K581">I_MeterTypes[Meter Code]</f>
        <v>AMI 1ph 1e</v>
      </c>
      <c r="L567" s="221" t="s">
        <v>85</v>
      </c>
      <c r="M567" s="260">
        <f t="shared" ref="M567:M582" si="257">Basis_Capex</f>
        <v>43617</v>
      </c>
      <c r="N567" s="228"/>
      <c r="O567" s="261">
        <f t="shared" ref="O567:O581" si="258">O113+O344</f>
        <v>0</v>
      </c>
      <c r="P567" s="435">
        <f t="shared" ref="P567:U567" si="259">P113+P344</f>
        <v>0</v>
      </c>
      <c r="Q567" s="437">
        <f t="shared" si="259"/>
        <v>0</v>
      </c>
      <c r="R567" s="261">
        <f t="shared" si="259"/>
        <v>0</v>
      </c>
      <c r="S567" s="261">
        <f t="shared" si="259"/>
        <v>0</v>
      </c>
      <c r="T567" s="261">
        <f t="shared" si="259"/>
        <v>0</v>
      </c>
      <c r="U567" s="261">
        <f t="shared" si="259"/>
        <v>0</v>
      </c>
      <c r="V567" s="231">
        <f t="shared" ref="V567:V581" si="260">SUM(N567:U567)</f>
        <v>0</v>
      </c>
    </row>
    <row r="568" spans="4:22" s="201" customFormat="1" ht="13" outlineLevel="1" x14ac:dyDescent="0.25">
      <c r="E568" s="229"/>
      <c r="F568" s="213" t="str">
        <v>AMI - Single Phase, two element</v>
      </c>
      <c r="G568" s="213" t="str">
        <v>Single Phase Meter Population</v>
      </c>
      <c r="H568" s="213" t="str">
        <v>Other</v>
      </c>
      <c r="I568" s="213" t="str">
        <v>Meter Type 4</v>
      </c>
      <c r="J568" s="218" t="str">
        <v>Single phase two element with contactor - AMI</v>
      </c>
      <c r="K568" s="218" t="str">
        <v>AMI 1ph 2e</v>
      </c>
      <c r="L568" s="221" t="s">
        <v>85</v>
      </c>
      <c r="M568" s="260">
        <f t="shared" si="257"/>
        <v>43617</v>
      </c>
      <c r="N568" s="228"/>
      <c r="O568" s="261">
        <f t="shared" si="258"/>
        <v>0</v>
      </c>
      <c r="P568" s="435">
        <f t="shared" ref="P568:U568" si="261">P114+P345</f>
        <v>0</v>
      </c>
      <c r="Q568" s="437">
        <f t="shared" si="261"/>
        <v>0</v>
      </c>
      <c r="R568" s="261">
        <f t="shared" si="261"/>
        <v>0</v>
      </c>
      <c r="S568" s="261">
        <f t="shared" si="261"/>
        <v>0</v>
      </c>
      <c r="T568" s="261">
        <f t="shared" si="261"/>
        <v>0</v>
      </c>
      <c r="U568" s="261">
        <f t="shared" si="261"/>
        <v>0</v>
      </c>
      <c r="V568" s="231">
        <f t="shared" si="260"/>
        <v>0</v>
      </c>
    </row>
    <row r="569" spans="4:22" s="201" customFormat="1" ht="13" outlineLevel="1" x14ac:dyDescent="0.25">
      <c r="E569" s="229"/>
      <c r="F569" s="213" t="str">
        <v>AMI - 3 Phase DC</v>
      </c>
      <c r="G569" s="213" t="str">
        <v>Multi Phase Meter Population</v>
      </c>
      <c r="H569" s="213" t="str">
        <v>Direct Connect Meter Population</v>
      </c>
      <c r="I569" s="213" t="str">
        <v>Meter Type 4</v>
      </c>
      <c r="J569" s="218" t="str">
        <v>Three phase - AMI</v>
      </c>
      <c r="K569" s="218" t="str">
        <v>AMI 3ph DC</v>
      </c>
      <c r="L569" s="221" t="s">
        <v>85</v>
      </c>
      <c r="M569" s="260">
        <f t="shared" si="257"/>
        <v>43617</v>
      </c>
      <c r="N569" s="228"/>
      <c r="O569" s="261">
        <f t="shared" si="258"/>
        <v>0</v>
      </c>
      <c r="P569" s="435">
        <f t="shared" ref="P569:U569" si="262">P115+P346</f>
        <v>0</v>
      </c>
      <c r="Q569" s="437">
        <f t="shared" si="262"/>
        <v>0</v>
      </c>
      <c r="R569" s="261">
        <f t="shared" si="262"/>
        <v>0</v>
      </c>
      <c r="S569" s="261">
        <f t="shared" si="262"/>
        <v>0</v>
      </c>
      <c r="T569" s="261">
        <f t="shared" si="262"/>
        <v>0</v>
      </c>
      <c r="U569" s="261">
        <f t="shared" si="262"/>
        <v>0</v>
      </c>
      <c r="V569" s="231">
        <f t="shared" si="260"/>
        <v>0</v>
      </c>
    </row>
    <row r="570" spans="4:22" s="201" customFormat="1" ht="13" outlineLevel="1" x14ac:dyDescent="0.25">
      <c r="E570" s="229"/>
      <c r="F570" s="213" t="str">
        <v>AMI 3Ph CT</v>
      </c>
      <c r="G570" s="213" t="str">
        <v>Multi Phase Meter Population</v>
      </c>
      <c r="H570" s="213" t="str">
        <v>Current Transformer Connected Meter Population</v>
      </c>
      <c r="I570" s="213" t="str">
        <v>Meter Type 4</v>
      </c>
      <c r="J570" s="218">
        <v>0</v>
      </c>
      <c r="K570" s="218" t="str">
        <v>AMI 3ph CT</v>
      </c>
      <c r="L570" s="221" t="s">
        <v>85</v>
      </c>
      <c r="M570" s="260">
        <f t="shared" si="257"/>
        <v>43617</v>
      </c>
      <c r="N570" s="228"/>
      <c r="O570" s="261">
        <f t="shared" si="258"/>
        <v>0</v>
      </c>
      <c r="P570" s="435">
        <f t="shared" ref="P570:U570" si="263">P116+P347</f>
        <v>0</v>
      </c>
      <c r="Q570" s="437">
        <f t="shared" si="263"/>
        <v>0</v>
      </c>
      <c r="R570" s="261">
        <f t="shared" si="263"/>
        <v>0</v>
      </c>
      <c r="S570" s="261">
        <f t="shared" si="263"/>
        <v>0</v>
      </c>
      <c r="T570" s="261">
        <f t="shared" si="263"/>
        <v>0</v>
      </c>
      <c r="U570" s="261">
        <f t="shared" si="263"/>
        <v>0</v>
      </c>
      <c r="V570" s="231">
        <f t="shared" si="260"/>
        <v>0</v>
      </c>
    </row>
    <row r="571" spans="4:22" s="201" customFormat="1" ht="13" outlineLevel="1" x14ac:dyDescent="0.25">
      <c r="E571" s="229"/>
      <c r="F571" s="213" t="str">
        <v>Non AMI - Type 5 Locally read Interval - Single Phase</v>
      </c>
      <c r="G571" s="213" t="str">
        <v>Single Phase Meter Population</v>
      </c>
      <c r="H571" s="213" t="str">
        <v>Direct Connect Meter Population</v>
      </c>
      <c r="I571" s="213" t="str">
        <v>Meter Type 5</v>
      </c>
      <c r="J571" s="218">
        <v>0</v>
      </c>
      <c r="K571" s="218" t="str">
        <v>INT 1ph</v>
      </c>
      <c r="L571" s="221" t="s">
        <v>85</v>
      </c>
      <c r="M571" s="260">
        <f t="shared" si="257"/>
        <v>43617</v>
      </c>
      <c r="N571" s="228"/>
      <c r="O571" s="261">
        <f t="shared" si="258"/>
        <v>0</v>
      </c>
      <c r="P571" s="435">
        <f t="shared" ref="P571:U571" si="264">P117+P348</f>
        <v>0</v>
      </c>
      <c r="Q571" s="437">
        <f t="shared" si="264"/>
        <v>0</v>
      </c>
      <c r="R571" s="261">
        <f t="shared" si="264"/>
        <v>0</v>
      </c>
      <c r="S571" s="261">
        <f t="shared" si="264"/>
        <v>0</v>
      </c>
      <c r="T571" s="261">
        <f t="shared" si="264"/>
        <v>0</v>
      </c>
      <c r="U571" s="261">
        <f t="shared" si="264"/>
        <v>0</v>
      </c>
      <c r="V571" s="231">
        <f t="shared" si="260"/>
        <v>0</v>
      </c>
    </row>
    <row r="572" spans="4:22" s="201" customFormat="1" ht="13" outlineLevel="1" x14ac:dyDescent="0.25">
      <c r="E572" s="229"/>
      <c r="F572" s="213" t="str">
        <v>Non AMI - Type 5 Locally read Interval - 3 Phase</v>
      </c>
      <c r="G572" s="213" t="str">
        <v>Single Phase Meter Population</v>
      </c>
      <c r="H572" s="213" t="str">
        <v>Direct Connect Meter Population</v>
      </c>
      <c r="I572" s="213" t="str">
        <v>Meter Type 5</v>
      </c>
      <c r="J572" s="218">
        <v>0</v>
      </c>
      <c r="K572" s="218" t="str">
        <v>INT 3ph</v>
      </c>
      <c r="L572" s="221" t="s">
        <v>85</v>
      </c>
      <c r="M572" s="260">
        <f t="shared" si="257"/>
        <v>43617</v>
      </c>
      <c r="N572" s="228"/>
      <c r="O572" s="261">
        <f t="shared" si="258"/>
        <v>0</v>
      </c>
      <c r="P572" s="435">
        <f t="shared" ref="P572:U572" si="265">P118+P349</f>
        <v>0</v>
      </c>
      <c r="Q572" s="437">
        <f t="shared" si="265"/>
        <v>0</v>
      </c>
      <c r="R572" s="261">
        <f t="shared" si="265"/>
        <v>0</v>
      </c>
      <c r="S572" s="261">
        <f t="shared" si="265"/>
        <v>0</v>
      </c>
      <c r="T572" s="261">
        <f t="shared" si="265"/>
        <v>0</v>
      </c>
      <c r="U572" s="261">
        <f t="shared" si="265"/>
        <v>0</v>
      </c>
      <c r="V572" s="231">
        <f t="shared" si="260"/>
        <v>0</v>
      </c>
    </row>
    <row r="573" spans="4:22" s="201" customFormat="1" ht="13" outlineLevel="1" x14ac:dyDescent="0.25">
      <c r="E573" s="229"/>
      <c r="F573" s="213" t="str">
        <v>Non AMI - Type 5 Locally read Interval - 3 Phase - CT</v>
      </c>
      <c r="G573" s="213" t="str">
        <v>Multi Phase Meter Population</v>
      </c>
      <c r="H573" s="213" t="str">
        <v>Current Transformer Connected Meter Population</v>
      </c>
      <c r="I573" s="213" t="str">
        <v>Meter Type 5</v>
      </c>
      <c r="J573" s="218">
        <v>0</v>
      </c>
      <c r="K573" s="218" t="str">
        <v>INT 3ph CT</v>
      </c>
      <c r="L573" s="221" t="s">
        <v>85</v>
      </c>
      <c r="M573" s="260">
        <f t="shared" si="257"/>
        <v>43617</v>
      </c>
      <c r="N573" s="228"/>
      <c r="O573" s="261">
        <f t="shared" si="258"/>
        <v>0</v>
      </c>
      <c r="P573" s="435">
        <f t="shared" ref="P573:U573" si="266">P119+P350</f>
        <v>0</v>
      </c>
      <c r="Q573" s="437">
        <f t="shared" si="266"/>
        <v>0</v>
      </c>
      <c r="R573" s="261">
        <f t="shared" si="266"/>
        <v>0</v>
      </c>
      <c r="S573" s="261">
        <f t="shared" si="266"/>
        <v>0</v>
      </c>
      <c r="T573" s="261">
        <f t="shared" si="266"/>
        <v>0</v>
      </c>
      <c r="U573" s="261">
        <f t="shared" si="266"/>
        <v>0</v>
      </c>
      <c r="V573" s="231">
        <f t="shared" si="260"/>
        <v>0</v>
      </c>
    </row>
    <row r="574" spans="4:22" s="201" customFormat="1" ht="13" outlineLevel="1" x14ac:dyDescent="0.25">
      <c r="E574" s="229"/>
      <c r="F574" s="213" t="str">
        <v>Non AMI - Type 6 Locally read Accumulation - Single Phase</v>
      </c>
      <c r="G574" s="213" t="str">
        <v>Multi Phase Meter Population</v>
      </c>
      <c r="H574" s="213" t="str">
        <v>Direct Connect Meter Population</v>
      </c>
      <c r="I574" s="213" t="str">
        <v>Meter Type 6</v>
      </c>
      <c r="J574" s="218">
        <v>0</v>
      </c>
      <c r="K574" s="218" t="str">
        <v>ACC 1ph</v>
      </c>
      <c r="L574" s="221" t="s">
        <v>85</v>
      </c>
      <c r="M574" s="260">
        <f t="shared" si="257"/>
        <v>43617</v>
      </c>
      <c r="N574" s="228"/>
      <c r="O574" s="261">
        <f t="shared" si="258"/>
        <v>0</v>
      </c>
      <c r="P574" s="435">
        <f t="shared" ref="P574:U574" si="267">P120+P351</f>
        <v>0</v>
      </c>
      <c r="Q574" s="437">
        <f t="shared" si="267"/>
        <v>0</v>
      </c>
      <c r="R574" s="261">
        <f t="shared" si="267"/>
        <v>0</v>
      </c>
      <c r="S574" s="261">
        <f t="shared" si="267"/>
        <v>0</v>
      </c>
      <c r="T574" s="261">
        <f t="shared" si="267"/>
        <v>0</v>
      </c>
      <c r="U574" s="261">
        <f t="shared" si="267"/>
        <v>0</v>
      </c>
      <c r="V574" s="231">
        <f t="shared" si="260"/>
        <v>0</v>
      </c>
    </row>
    <row r="575" spans="4:22" s="201" customFormat="1" ht="13" outlineLevel="1" x14ac:dyDescent="0.25">
      <c r="E575" s="229"/>
      <c r="F575" s="213" t="str">
        <v>Non AMI - Type 6 Locally read Accumulation - 3 Phase</v>
      </c>
      <c r="G575" s="213">
        <v>0</v>
      </c>
      <c r="H575" s="213" t="str">
        <v>Direct Connect Meter Population</v>
      </c>
      <c r="I575" s="213" t="str">
        <v>Meter Type 6</v>
      </c>
      <c r="J575" s="218">
        <v>0</v>
      </c>
      <c r="K575" s="218" t="str">
        <v>ACC 3ph</v>
      </c>
      <c r="L575" s="221" t="s">
        <v>85</v>
      </c>
      <c r="M575" s="260">
        <f t="shared" si="257"/>
        <v>43617</v>
      </c>
      <c r="N575" s="228"/>
      <c r="O575" s="261">
        <f t="shared" si="258"/>
        <v>0</v>
      </c>
      <c r="P575" s="435">
        <f t="shared" ref="P575:U575" si="268">P121+P352</f>
        <v>0</v>
      </c>
      <c r="Q575" s="437">
        <f t="shared" si="268"/>
        <v>0</v>
      </c>
      <c r="R575" s="261">
        <f t="shared" si="268"/>
        <v>0</v>
      </c>
      <c r="S575" s="261">
        <f t="shared" si="268"/>
        <v>0</v>
      </c>
      <c r="T575" s="261">
        <f t="shared" si="268"/>
        <v>0</v>
      </c>
      <c r="U575" s="261">
        <f t="shared" si="268"/>
        <v>0</v>
      </c>
      <c r="V575" s="231">
        <f t="shared" si="260"/>
        <v>0</v>
      </c>
    </row>
    <row r="576" spans="4:22" s="201" customFormat="1" ht="13" outlineLevel="1" x14ac:dyDescent="0.25">
      <c r="E576" s="229"/>
      <c r="F576" s="213">
        <v>0</v>
      </c>
      <c r="G576" s="213">
        <v>0</v>
      </c>
      <c r="H576" s="213">
        <v>0</v>
      </c>
      <c r="I576" s="213">
        <v>0</v>
      </c>
      <c r="J576" s="218">
        <v>0</v>
      </c>
      <c r="K576" s="218">
        <v>0</v>
      </c>
      <c r="L576" s="221" t="s">
        <v>85</v>
      </c>
      <c r="M576" s="260">
        <f t="shared" si="257"/>
        <v>43617</v>
      </c>
      <c r="N576" s="228"/>
      <c r="O576" s="261">
        <f t="shared" si="258"/>
        <v>0</v>
      </c>
      <c r="P576" s="435">
        <f t="shared" ref="P576:U576" si="269">P122+P353</f>
        <v>0</v>
      </c>
      <c r="Q576" s="437">
        <f t="shared" si="269"/>
        <v>0</v>
      </c>
      <c r="R576" s="261">
        <f t="shared" si="269"/>
        <v>0</v>
      </c>
      <c r="S576" s="261">
        <f t="shared" si="269"/>
        <v>0</v>
      </c>
      <c r="T576" s="261">
        <f t="shared" si="269"/>
        <v>0</v>
      </c>
      <c r="U576" s="261">
        <f t="shared" si="269"/>
        <v>0</v>
      </c>
      <c r="V576" s="231">
        <f t="shared" si="260"/>
        <v>0</v>
      </c>
    </row>
    <row r="577" spans="4:22" s="201" customFormat="1" ht="13" outlineLevel="1" x14ac:dyDescent="0.25">
      <c r="E577" s="229"/>
      <c r="F577" s="213">
        <v>0</v>
      </c>
      <c r="G577" s="213">
        <v>0</v>
      </c>
      <c r="H577" s="213">
        <v>0</v>
      </c>
      <c r="I577" s="213">
        <v>0</v>
      </c>
      <c r="J577" s="218">
        <v>0</v>
      </c>
      <c r="K577" s="218">
        <v>0</v>
      </c>
      <c r="L577" s="221" t="s">
        <v>85</v>
      </c>
      <c r="M577" s="260">
        <f t="shared" si="257"/>
        <v>43617</v>
      </c>
      <c r="N577" s="228"/>
      <c r="O577" s="261">
        <f t="shared" si="258"/>
        <v>0</v>
      </c>
      <c r="P577" s="435">
        <f t="shared" ref="P577:U577" si="270">P123+P354</f>
        <v>0</v>
      </c>
      <c r="Q577" s="437">
        <f t="shared" si="270"/>
        <v>0</v>
      </c>
      <c r="R577" s="261">
        <f t="shared" si="270"/>
        <v>0</v>
      </c>
      <c r="S577" s="261">
        <f t="shared" si="270"/>
        <v>0</v>
      </c>
      <c r="T577" s="261">
        <f t="shared" si="270"/>
        <v>0</v>
      </c>
      <c r="U577" s="261">
        <f t="shared" si="270"/>
        <v>0</v>
      </c>
      <c r="V577" s="231">
        <f t="shared" si="260"/>
        <v>0</v>
      </c>
    </row>
    <row r="578" spans="4:22" s="201" customFormat="1" ht="13" outlineLevel="1" x14ac:dyDescent="0.25">
      <c r="E578" s="229"/>
      <c r="F578" s="213">
        <v>0</v>
      </c>
      <c r="G578" s="213">
        <v>0</v>
      </c>
      <c r="H578" s="213">
        <v>0</v>
      </c>
      <c r="I578" s="213">
        <v>0</v>
      </c>
      <c r="J578" s="218">
        <v>0</v>
      </c>
      <c r="K578" s="218">
        <v>0</v>
      </c>
      <c r="L578" s="221" t="s">
        <v>85</v>
      </c>
      <c r="M578" s="260">
        <f t="shared" si="257"/>
        <v>43617</v>
      </c>
      <c r="N578" s="228"/>
      <c r="O578" s="261">
        <f t="shared" si="258"/>
        <v>0</v>
      </c>
      <c r="P578" s="435">
        <f t="shared" ref="P578:U578" si="271">P124+P355</f>
        <v>0</v>
      </c>
      <c r="Q578" s="437">
        <f t="shared" si="271"/>
        <v>0</v>
      </c>
      <c r="R578" s="261">
        <f t="shared" si="271"/>
        <v>0</v>
      </c>
      <c r="S578" s="261">
        <f t="shared" si="271"/>
        <v>0</v>
      </c>
      <c r="T578" s="261">
        <f t="shared" si="271"/>
        <v>0</v>
      </c>
      <c r="U578" s="261">
        <f t="shared" si="271"/>
        <v>0</v>
      </c>
      <c r="V578" s="231">
        <f t="shared" si="260"/>
        <v>0</v>
      </c>
    </row>
    <row r="579" spans="4:22" s="201" customFormat="1" ht="13" outlineLevel="1" x14ac:dyDescent="0.25">
      <c r="E579" s="229"/>
      <c r="F579" s="213">
        <v>0</v>
      </c>
      <c r="G579" s="213">
        <v>0</v>
      </c>
      <c r="H579" s="213">
        <v>0</v>
      </c>
      <c r="I579" s="213">
        <v>0</v>
      </c>
      <c r="J579" s="218">
        <v>0</v>
      </c>
      <c r="K579" s="218">
        <v>0</v>
      </c>
      <c r="L579" s="221" t="s">
        <v>85</v>
      </c>
      <c r="M579" s="260">
        <f t="shared" si="257"/>
        <v>43617</v>
      </c>
      <c r="N579" s="228"/>
      <c r="O579" s="261">
        <f t="shared" si="258"/>
        <v>0</v>
      </c>
      <c r="P579" s="435">
        <f t="shared" ref="P579:U579" si="272">P125+P356</f>
        <v>0</v>
      </c>
      <c r="Q579" s="437">
        <f t="shared" si="272"/>
        <v>0</v>
      </c>
      <c r="R579" s="261">
        <f t="shared" si="272"/>
        <v>0</v>
      </c>
      <c r="S579" s="261">
        <f t="shared" si="272"/>
        <v>0</v>
      </c>
      <c r="T579" s="261">
        <f t="shared" si="272"/>
        <v>0</v>
      </c>
      <c r="U579" s="261">
        <f t="shared" si="272"/>
        <v>0</v>
      </c>
      <c r="V579" s="231">
        <f t="shared" si="260"/>
        <v>0</v>
      </c>
    </row>
    <row r="580" spans="4:22" s="201" customFormat="1" ht="13" outlineLevel="1" x14ac:dyDescent="0.25">
      <c r="E580" s="229"/>
      <c r="F580" s="213">
        <v>0</v>
      </c>
      <c r="G580" s="213">
        <v>0</v>
      </c>
      <c r="H580" s="213">
        <v>0</v>
      </c>
      <c r="I580" s="213">
        <v>0</v>
      </c>
      <c r="J580" s="218">
        <v>0</v>
      </c>
      <c r="K580" s="218">
        <v>0</v>
      </c>
      <c r="L580" s="221" t="s">
        <v>85</v>
      </c>
      <c r="M580" s="260">
        <f t="shared" si="257"/>
        <v>43617</v>
      </c>
      <c r="N580" s="228"/>
      <c r="O580" s="261">
        <f t="shared" si="258"/>
        <v>0</v>
      </c>
      <c r="P580" s="435">
        <f t="shared" ref="P580:U580" si="273">P126+P357</f>
        <v>0</v>
      </c>
      <c r="Q580" s="437">
        <f t="shared" si="273"/>
        <v>0</v>
      </c>
      <c r="R580" s="261">
        <f t="shared" si="273"/>
        <v>0</v>
      </c>
      <c r="S580" s="261">
        <f t="shared" si="273"/>
        <v>0</v>
      </c>
      <c r="T580" s="261">
        <f t="shared" si="273"/>
        <v>0</v>
      </c>
      <c r="U580" s="261">
        <f t="shared" si="273"/>
        <v>0</v>
      </c>
      <c r="V580" s="231">
        <f t="shared" si="260"/>
        <v>0</v>
      </c>
    </row>
    <row r="581" spans="4:22" s="201" customFormat="1" ht="13" outlineLevel="1" x14ac:dyDescent="0.25">
      <c r="E581" s="229"/>
      <c r="F581" s="213">
        <v>0</v>
      </c>
      <c r="G581" s="213">
        <v>0</v>
      </c>
      <c r="H581" s="213">
        <v>0</v>
      </c>
      <c r="I581" s="213">
        <v>0</v>
      </c>
      <c r="J581" s="218">
        <v>0</v>
      </c>
      <c r="K581" s="218">
        <v>0</v>
      </c>
      <c r="L581" s="221" t="s">
        <v>85</v>
      </c>
      <c r="M581" s="260">
        <f t="shared" si="257"/>
        <v>43617</v>
      </c>
      <c r="N581" s="228"/>
      <c r="O581" s="261">
        <f t="shared" si="258"/>
        <v>0</v>
      </c>
      <c r="P581" s="435">
        <f t="shared" ref="P581:U581" si="274">P127+P358</f>
        <v>0</v>
      </c>
      <c r="Q581" s="437">
        <f t="shared" si="274"/>
        <v>0</v>
      </c>
      <c r="R581" s="261">
        <f t="shared" si="274"/>
        <v>0</v>
      </c>
      <c r="S581" s="261">
        <f t="shared" si="274"/>
        <v>0</v>
      </c>
      <c r="T581" s="261">
        <f t="shared" si="274"/>
        <v>0</v>
      </c>
      <c r="U581" s="261">
        <f t="shared" si="274"/>
        <v>0</v>
      </c>
      <c r="V581" s="231">
        <f t="shared" si="260"/>
        <v>0</v>
      </c>
    </row>
    <row r="582" spans="4:22" s="201" customFormat="1" ht="13" outlineLevel="1" x14ac:dyDescent="0.25">
      <c r="E582" s="229"/>
      <c r="F582" s="151" t="s">
        <v>17</v>
      </c>
      <c r="G582" s="151"/>
      <c r="H582" s="151"/>
      <c r="I582" s="151"/>
      <c r="J582" s="151"/>
      <c r="K582" s="151"/>
      <c r="L582" s="247" t="s">
        <v>85</v>
      </c>
      <c r="M582" s="253">
        <f t="shared" si="257"/>
        <v>43617</v>
      </c>
      <c r="N582" s="228"/>
      <c r="O582" s="232">
        <f t="shared" ref="O582" si="275">SUM(O567:O581)</f>
        <v>0</v>
      </c>
      <c r="P582" s="289">
        <f t="shared" ref="P582:U582" si="276">SUM(P567:P581)</f>
        <v>0</v>
      </c>
      <c r="Q582" s="290">
        <f t="shared" si="276"/>
        <v>0</v>
      </c>
      <c r="R582" s="232">
        <f t="shared" si="276"/>
        <v>0</v>
      </c>
      <c r="S582" s="232">
        <f t="shared" si="276"/>
        <v>0</v>
      </c>
      <c r="T582" s="232">
        <f t="shared" si="276"/>
        <v>0</v>
      </c>
      <c r="U582" s="232">
        <f t="shared" si="276"/>
        <v>0</v>
      </c>
      <c r="V582" s="233">
        <f>SUM(Q582:U582)</f>
        <v>0</v>
      </c>
    </row>
    <row r="583" spans="4:22" s="201" customFormat="1" outlineLevel="1" x14ac:dyDescent="0.25">
      <c r="E583" s="229"/>
      <c r="N583" s="228"/>
    </row>
    <row r="584" spans="4:22" s="201" customFormat="1" outlineLevel="1" x14ac:dyDescent="0.25">
      <c r="D584" s="201">
        <v>7</v>
      </c>
      <c r="E584" s="229">
        <f>'Input | Meters Vols &amp; Costs'!$G$35</f>
        <v>0</v>
      </c>
      <c r="N584" s="228"/>
    </row>
    <row r="585" spans="4:22" s="201" customFormat="1" outlineLevel="1" x14ac:dyDescent="0.25">
      <c r="E585" s="229"/>
      <c r="N585" s="228"/>
      <c r="O585"/>
      <c r="P585"/>
      <c r="Q585"/>
      <c r="R585"/>
      <c r="S585"/>
      <c r="T585"/>
      <c r="U585"/>
    </row>
    <row r="586" spans="4:22" s="201" customFormat="1" ht="13" outlineLevel="1" x14ac:dyDescent="0.25">
      <c r="E586" s="229"/>
      <c r="F586" s="121" t="str">
        <f>I_MeterTypes[[#Headers],[Meter Type]]</f>
        <v>Meter Type</v>
      </c>
      <c r="G586" s="121" t="str">
        <f>I_MeterTypes[[#Headers],[RIN Subcategory 1]]</f>
        <v>RIN Subcategory 1</v>
      </c>
      <c r="H586" s="121" t="str">
        <f>I_MeterTypes[[#Headers],[RIN Subcategory 2]]</f>
        <v>RIN Subcategory 2</v>
      </c>
      <c r="I586" s="121" t="str">
        <f>I_MeterTypes[[#Headers],[AER Type]]</f>
        <v>AER Type</v>
      </c>
      <c r="J586" s="121" t="str">
        <f>I_MeterTypes[[#Headers],[RIN Subcategory 3]]</f>
        <v>RIN Subcategory 3</v>
      </c>
      <c r="K586" s="121" t="str">
        <f>I_MeterTypes[[#Headers],[Meter Code]]</f>
        <v>Meter Code</v>
      </c>
      <c r="L586" s="121" t="s">
        <v>6</v>
      </c>
      <c r="M586" s="121" t="s">
        <v>118</v>
      </c>
      <c r="N586" s="228"/>
      <c r="O586" s="234" t="str">
        <f>O$12</f>
        <v>2018-19</v>
      </c>
      <c r="P586" s="234" t="str">
        <f t="shared" ref="P586:U586" si="277">P$12</f>
        <v>2019-20</v>
      </c>
      <c r="Q586" s="436" t="str">
        <f t="shared" si="277"/>
        <v>2020-21</v>
      </c>
      <c r="R586" s="234" t="str">
        <f t="shared" si="277"/>
        <v>2021-22</v>
      </c>
      <c r="S586" s="234" t="str">
        <f t="shared" si="277"/>
        <v>2022-23</v>
      </c>
      <c r="T586" s="234" t="str">
        <f t="shared" si="277"/>
        <v>2023-24</v>
      </c>
      <c r="U586" s="234" t="str">
        <f t="shared" si="277"/>
        <v>2024-25</v>
      </c>
      <c r="V586" s="234" t="s">
        <v>17</v>
      </c>
    </row>
    <row r="587" spans="4:22" s="201" customFormat="1" ht="13" outlineLevel="1" x14ac:dyDescent="0.25">
      <c r="E587" s="229"/>
      <c r="F587" s="213" t="str" cm="1">
        <f t="array" ref="F587:F601">I_MeterTypes[Meter Type]</f>
        <v>AMI - Single Phase, single element</v>
      </c>
      <c r="G587" s="213" t="str" cm="1">
        <f t="array" ref="G587:G601">I_MeterTypes[RIN Subcategory 1]</f>
        <v>Single Phase Meter Population</v>
      </c>
      <c r="H587" s="213" t="str" cm="1">
        <f t="array" ref="H587:H601">I_MeterTypes[RIN Subcategory 2]</f>
        <v>Other</v>
      </c>
      <c r="I587" s="213" t="str" cm="1">
        <f t="array" ref="I587:I601">I_MeterTypes[AER Type]</f>
        <v>Meter Type 4</v>
      </c>
      <c r="J587" s="213" t="str" cm="1">
        <f t="array" ref="J587:J601">I_MeterTypes[RIN Subcategory 3]</f>
        <v>Single phase single element - AMI</v>
      </c>
      <c r="K587" s="213" t="str" cm="1">
        <f t="array" ref="K587:K601">I_MeterTypes[Meter Code]</f>
        <v>AMI 1ph 1e</v>
      </c>
      <c r="L587" s="221" t="s">
        <v>85</v>
      </c>
      <c r="M587" s="260">
        <f t="shared" ref="M587:M602" si="278">Basis_Capex</f>
        <v>43617</v>
      </c>
      <c r="N587" s="228"/>
      <c r="O587" s="261">
        <f t="shared" ref="O587:O601" si="279">O133+O364</f>
        <v>0</v>
      </c>
      <c r="P587" s="435">
        <f t="shared" ref="P587:U587" si="280">P133+P364</f>
        <v>0</v>
      </c>
      <c r="Q587" s="437">
        <f t="shared" si="280"/>
        <v>0</v>
      </c>
      <c r="R587" s="261">
        <f t="shared" si="280"/>
        <v>0</v>
      </c>
      <c r="S587" s="261">
        <f t="shared" si="280"/>
        <v>0</v>
      </c>
      <c r="T587" s="261">
        <f t="shared" si="280"/>
        <v>0</v>
      </c>
      <c r="U587" s="261">
        <f t="shared" si="280"/>
        <v>0</v>
      </c>
      <c r="V587" s="231">
        <f t="shared" ref="V587:V601" si="281">SUM(N587:U587)</f>
        <v>0</v>
      </c>
    </row>
    <row r="588" spans="4:22" s="201" customFormat="1" ht="13" outlineLevel="1" x14ac:dyDescent="0.25">
      <c r="E588" s="229"/>
      <c r="F588" s="213" t="str">
        <v>AMI - Single Phase, two element</v>
      </c>
      <c r="G588" s="213" t="str">
        <v>Single Phase Meter Population</v>
      </c>
      <c r="H588" s="213" t="str">
        <v>Other</v>
      </c>
      <c r="I588" s="213" t="str">
        <v>Meter Type 4</v>
      </c>
      <c r="J588" s="218" t="str">
        <v>Single phase two element with contactor - AMI</v>
      </c>
      <c r="K588" s="218" t="str">
        <v>AMI 1ph 2e</v>
      </c>
      <c r="L588" s="221" t="s">
        <v>85</v>
      </c>
      <c r="M588" s="260">
        <f t="shared" si="278"/>
        <v>43617</v>
      </c>
      <c r="N588" s="228"/>
      <c r="O588" s="261">
        <f t="shared" si="279"/>
        <v>0</v>
      </c>
      <c r="P588" s="435">
        <f t="shared" ref="P588:U588" si="282">P134+P365</f>
        <v>0</v>
      </c>
      <c r="Q588" s="437">
        <f t="shared" si="282"/>
        <v>0</v>
      </c>
      <c r="R588" s="261">
        <f t="shared" si="282"/>
        <v>0</v>
      </c>
      <c r="S588" s="261">
        <f t="shared" si="282"/>
        <v>0</v>
      </c>
      <c r="T588" s="261">
        <f t="shared" si="282"/>
        <v>0</v>
      </c>
      <c r="U588" s="261">
        <f t="shared" si="282"/>
        <v>0</v>
      </c>
      <c r="V588" s="231">
        <f t="shared" si="281"/>
        <v>0</v>
      </c>
    </row>
    <row r="589" spans="4:22" s="201" customFormat="1" ht="13" outlineLevel="1" x14ac:dyDescent="0.25">
      <c r="E589" s="229"/>
      <c r="F589" s="213" t="str">
        <v>AMI - 3 Phase DC</v>
      </c>
      <c r="G589" s="213" t="str">
        <v>Multi Phase Meter Population</v>
      </c>
      <c r="H589" s="213" t="str">
        <v>Direct Connect Meter Population</v>
      </c>
      <c r="I589" s="213" t="str">
        <v>Meter Type 4</v>
      </c>
      <c r="J589" s="218" t="str">
        <v>Three phase - AMI</v>
      </c>
      <c r="K589" s="218" t="str">
        <v>AMI 3ph DC</v>
      </c>
      <c r="L589" s="221" t="s">
        <v>85</v>
      </c>
      <c r="M589" s="260">
        <f t="shared" si="278"/>
        <v>43617</v>
      </c>
      <c r="N589" s="228"/>
      <c r="O589" s="261">
        <f t="shared" si="279"/>
        <v>0</v>
      </c>
      <c r="P589" s="435">
        <f t="shared" ref="P589:U589" si="283">P135+P366</f>
        <v>0</v>
      </c>
      <c r="Q589" s="437">
        <f t="shared" si="283"/>
        <v>0</v>
      </c>
      <c r="R589" s="261">
        <f t="shared" si="283"/>
        <v>0</v>
      </c>
      <c r="S589" s="261">
        <f t="shared" si="283"/>
        <v>0</v>
      </c>
      <c r="T589" s="261">
        <f t="shared" si="283"/>
        <v>0</v>
      </c>
      <c r="U589" s="261">
        <f t="shared" si="283"/>
        <v>0</v>
      </c>
      <c r="V589" s="231">
        <f t="shared" si="281"/>
        <v>0</v>
      </c>
    </row>
    <row r="590" spans="4:22" s="201" customFormat="1" ht="13" outlineLevel="1" x14ac:dyDescent="0.25">
      <c r="E590" s="229"/>
      <c r="F590" s="213" t="str">
        <v>AMI 3Ph CT</v>
      </c>
      <c r="G590" s="213" t="str">
        <v>Multi Phase Meter Population</v>
      </c>
      <c r="H590" s="213" t="str">
        <v>Current Transformer Connected Meter Population</v>
      </c>
      <c r="I590" s="213" t="str">
        <v>Meter Type 4</v>
      </c>
      <c r="J590" s="218">
        <v>0</v>
      </c>
      <c r="K590" s="218" t="str">
        <v>AMI 3ph CT</v>
      </c>
      <c r="L590" s="221" t="s">
        <v>85</v>
      </c>
      <c r="M590" s="260">
        <f t="shared" si="278"/>
        <v>43617</v>
      </c>
      <c r="N590" s="228"/>
      <c r="O590" s="261">
        <f t="shared" si="279"/>
        <v>0</v>
      </c>
      <c r="P590" s="435">
        <f t="shared" ref="P590:U590" si="284">P136+P367</f>
        <v>0</v>
      </c>
      <c r="Q590" s="437">
        <f t="shared" si="284"/>
        <v>0</v>
      </c>
      <c r="R590" s="261">
        <f t="shared" si="284"/>
        <v>0</v>
      </c>
      <c r="S590" s="261">
        <f t="shared" si="284"/>
        <v>0</v>
      </c>
      <c r="T590" s="261">
        <f t="shared" si="284"/>
        <v>0</v>
      </c>
      <c r="U590" s="261">
        <f t="shared" si="284"/>
        <v>0</v>
      </c>
      <c r="V590" s="231">
        <f t="shared" si="281"/>
        <v>0</v>
      </c>
    </row>
    <row r="591" spans="4:22" s="201" customFormat="1" ht="13" outlineLevel="1" x14ac:dyDescent="0.25">
      <c r="E591" s="229"/>
      <c r="F591" s="213" t="str">
        <v>Non AMI - Type 5 Locally read Interval - Single Phase</v>
      </c>
      <c r="G591" s="213" t="str">
        <v>Single Phase Meter Population</v>
      </c>
      <c r="H591" s="213" t="str">
        <v>Direct Connect Meter Population</v>
      </c>
      <c r="I591" s="213" t="str">
        <v>Meter Type 5</v>
      </c>
      <c r="J591" s="218">
        <v>0</v>
      </c>
      <c r="K591" s="218" t="str">
        <v>INT 1ph</v>
      </c>
      <c r="L591" s="221" t="s">
        <v>85</v>
      </c>
      <c r="M591" s="260">
        <f t="shared" si="278"/>
        <v>43617</v>
      </c>
      <c r="N591" s="228"/>
      <c r="O591" s="261">
        <f t="shared" si="279"/>
        <v>0</v>
      </c>
      <c r="P591" s="435">
        <f t="shared" ref="P591:U591" si="285">P137+P368</f>
        <v>0</v>
      </c>
      <c r="Q591" s="437">
        <f t="shared" si="285"/>
        <v>0</v>
      </c>
      <c r="R591" s="261">
        <f t="shared" si="285"/>
        <v>0</v>
      </c>
      <c r="S591" s="261">
        <f t="shared" si="285"/>
        <v>0</v>
      </c>
      <c r="T591" s="261">
        <f t="shared" si="285"/>
        <v>0</v>
      </c>
      <c r="U591" s="261">
        <f t="shared" si="285"/>
        <v>0</v>
      </c>
      <c r="V591" s="231">
        <f t="shared" si="281"/>
        <v>0</v>
      </c>
    </row>
    <row r="592" spans="4:22" s="201" customFormat="1" ht="13" outlineLevel="1" x14ac:dyDescent="0.25">
      <c r="E592" s="229"/>
      <c r="F592" s="213" t="str">
        <v>Non AMI - Type 5 Locally read Interval - 3 Phase</v>
      </c>
      <c r="G592" s="213" t="str">
        <v>Single Phase Meter Population</v>
      </c>
      <c r="H592" s="213" t="str">
        <v>Direct Connect Meter Population</v>
      </c>
      <c r="I592" s="213" t="str">
        <v>Meter Type 5</v>
      </c>
      <c r="J592" s="218">
        <v>0</v>
      </c>
      <c r="K592" s="218" t="str">
        <v>INT 3ph</v>
      </c>
      <c r="L592" s="221" t="s">
        <v>85</v>
      </c>
      <c r="M592" s="260">
        <f t="shared" si="278"/>
        <v>43617</v>
      </c>
      <c r="N592" s="228"/>
      <c r="O592" s="261">
        <f t="shared" si="279"/>
        <v>0</v>
      </c>
      <c r="P592" s="435">
        <f t="shared" ref="P592:U592" si="286">P138+P369</f>
        <v>0</v>
      </c>
      <c r="Q592" s="437">
        <f t="shared" si="286"/>
        <v>0</v>
      </c>
      <c r="R592" s="261">
        <f t="shared" si="286"/>
        <v>0</v>
      </c>
      <c r="S592" s="261">
        <f t="shared" si="286"/>
        <v>0</v>
      </c>
      <c r="T592" s="261">
        <f t="shared" si="286"/>
        <v>0</v>
      </c>
      <c r="U592" s="261">
        <f t="shared" si="286"/>
        <v>0</v>
      </c>
      <c r="V592" s="231">
        <f t="shared" si="281"/>
        <v>0</v>
      </c>
    </row>
    <row r="593" spans="4:22" s="201" customFormat="1" ht="13" outlineLevel="1" x14ac:dyDescent="0.25">
      <c r="E593" s="229"/>
      <c r="F593" s="213" t="str">
        <v>Non AMI - Type 5 Locally read Interval - 3 Phase - CT</v>
      </c>
      <c r="G593" s="213" t="str">
        <v>Multi Phase Meter Population</v>
      </c>
      <c r="H593" s="213" t="str">
        <v>Current Transformer Connected Meter Population</v>
      </c>
      <c r="I593" s="213" t="str">
        <v>Meter Type 5</v>
      </c>
      <c r="J593" s="218">
        <v>0</v>
      </c>
      <c r="K593" s="218" t="str">
        <v>INT 3ph CT</v>
      </c>
      <c r="L593" s="221" t="s">
        <v>85</v>
      </c>
      <c r="M593" s="260">
        <f t="shared" si="278"/>
        <v>43617</v>
      </c>
      <c r="N593" s="228"/>
      <c r="O593" s="261">
        <f t="shared" si="279"/>
        <v>0</v>
      </c>
      <c r="P593" s="435">
        <f t="shared" ref="P593:U593" si="287">P139+P370</f>
        <v>0</v>
      </c>
      <c r="Q593" s="437">
        <f t="shared" si="287"/>
        <v>0</v>
      </c>
      <c r="R593" s="261">
        <f t="shared" si="287"/>
        <v>0</v>
      </c>
      <c r="S593" s="261">
        <f t="shared" si="287"/>
        <v>0</v>
      </c>
      <c r="T593" s="261">
        <f t="shared" si="287"/>
        <v>0</v>
      </c>
      <c r="U593" s="261">
        <f t="shared" si="287"/>
        <v>0</v>
      </c>
      <c r="V593" s="231">
        <f t="shared" si="281"/>
        <v>0</v>
      </c>
    </row>
    <row r="594" spans="4:22" s="201" customFormat="1" ht="13" outlineLevel="1" x14ac:dyDescent="0.25">
      <c r="E594" s="229"/>
      <c r="F594" s="213" t="str">
        <v>Non AMI - Type 6 Locally read Accumulation - Single Phase</v>
      </c>
      <c r="G594" s="213" t="str">
        <v>Multi Phase Meter Population</v>
      </c>
      <c r="H594" s="213" t="str">
        <v>Direct Connect Meter Population</v>
      </c>
      <c r="I594" s="213" t="str">
        <v>Meter Type 6</v>
      </c>
      <c r="J594" s="218">
        <v>0</v>
      </c>
      <c r="K594" s="218" t="str">
        <v>ACC 1ph</v>
      </c>
      <c r="L594" s="221" t="s">
        <v>85</v>
      </c>
      <c r="M594" s="260">
        <f t="shared" si="278"/>
        <v>43617</v>
      </c>
      <c r="N594" s="228"/>
      <c r="O594" s="261">
        <f t="shared" si="279"/>
        <v>0</v>
      </c>
      <c r="P594" s="435">
        <f t="shared" ref="P594:U594" si="288">P140+P371</f>
        <v>0</v>
      </c>
      <c r="Q594" s="437">
        <f t="shared" si="288"/>
        <v>0</v>
      </c>
      <c r="R594" s="261">
        <f t="shared" si="288"/>
        <v>0</v>
      </c>
      <c r="S594" s="261">
        <f t="shared" si="288"/>
        <v>0</v>
      </c>
      <c r="T594" s="261">
        <f t="shared" si="288"/>
        <v>0</v>
      </c>
      <c r="U594" s="261">
        <f t="shared" si="288"/>
        <v>0</v>
      </c>
      <c r="V594" s="231">
        <f t="shared" si="281"/>
        <v>0</v>
      </c>
    </row>
    <row r="595" spans="4:22" s="201" customFormat="1" ht="13" outlineLevel="1" x14ac:dyDescent="0.25">
      <c r="E595" s="229"/>
      <c r="F595" s="213" t="str">
        <v>Non AMI - Type 6 Locally read Accumulation - 3 Phase</v>
      </c>
      <c r="G595" s="213">
        <v>0</v>
      </c>
      <c r="H595" s="213" t="str">
        <v>Direct Connect Meter Population</v>
      </c>
      <c r="I595" s="213" t="str">
        <v>Meter Type 6</v>
      </c>
      <c r="J595" s="218">
        <v>0</v>
      </c>
      <c r="K595" s="218" t="str">
        <v>ACC 3ph</v>
      </c>
      <c r="L595" s="221" t="s">
        <v>85</v>
      </c>
      <c r="M595" s="260">
        <f t="shared" si="278"/>
        <v>43617</v>
      </c>
      <c r="N595" s="228"/>
      <c r="O595" s="261">
        <f t="shared" si="279"/>
        <v>0</v>
      </c>
      <c r="P595" s="435">
        <f t="shared" ref="P595:U595" si="289">P141+P372</f>
        <v>0</v>
      </c>
      <c r="Q595" s="437">
        <f t="shared" si="289"/>
        <v>0</v>
      </c>
      <c r="R595" s="261">
        <f t="shared" si="289"/>
        <v>0</v>
      </c>
      <c r="S595" s="261">
        <f t="shared" si="289"/>
        <v>0</v>
      </c>
      <c r="T595" s="261">
        <f t="shared" si="289"/>
        <v>0</v>
      </c>
      <c r="U595" s="261">
        <f t="shared" si="289"/>
        <v>0</v>
      </c>
      <c r="V595" s="231">
        <f t="shared" si="281"/>
        <v>0</v>
      </c>
    </row>
    <row r="596" spans="4:22" s="201" customFormat="1" ht="13" outlineLevel="1" x14ac:dyDescent="0.25">
      <c r="E596" s="229"/>
      <c r="F596" s="213">
        <v>0</v>
      </c>
      <c r="G596" s="213">
        <v>0</v>
      </c>
      <c r="H596" s="213">
        <v>0</v>
      </c>
      <c r="I596" s="213">
        <v>0</v>
      </c>
      <c r="J596" s="218">
        <v>0</v>
      </c>
      <c r="K596" s="218">
        <v>0</v>
      </c>
      <c r="L596" s="221" t="s">
        <v>85</v>
      </c>
      <c r="M596" s="260">
        <f t="shared" si="278"/>
        <v>43617</v>
      </c>
      <c r="N596" s="228"/>
      <c r="O596" s="261">
        <f t="shared" si="279"/>
        <v>0</v>
      </c>
      <c r="P596" s="435">
        <f t="shared" ref="P596:U596" si="290">P142+P373</f>
        <v>0</v>
      </c>
      <c r="Q596" s="437">
        <f t="shared" si="290"/>
        <v>0</v>
      </c>
      <c r="R596" s="261">
        <f t="shared" si="290"/>
        <v>0</v>
      </c>
      <c r="S596" s="261">
        <f t="shared" si="290"/>
        <v>0</v>
      </c>
      <c r="T596" s="261">
        <f t="shared" si="290"/>
        <v>0</v>
      </c>
      <c r="U596" s="261">
        <f t="shared" si="290"/>
        <v>0</v>
      </c>
      <c r="V596" s="231">
        <f t="shared" si="281"/>
        <v>0</v>
      </c>
    </row>
    <row r="597" spans="4:22" s="201" customFormat="1" ht="13" outlineLevel="1" x14ac:dyDescent="0.25">
      <c r="E597" s="229"/>
      <c r="F597" s="213">
        <v>0</v>
      </c>
      <c r="G597" s="213">
        <v>0</v>
      </c>
      <c r="H597" s="213">
        <v>0</v>
      </c>
      <c r="I597" s="213">
        <v>0</v>
      </c>
      <c r="J597" s="218">
        <v>0</v>
      </c>
      <c r="K597" s="218">
        <v>0</v>
      </c>
      <c r="L597" s="221" t="s">
        <v>85</v>
      </c>
      <c r="M597" s="260">
        <f t="shared" si="278"/>
        <v>43617</v>
      </c>
      <c r="N597" s="228"/>
      <c r="O597" s="261">
        <f t="shared" si="279"/>
        <v>0</v>
      </c>
      <c r="P597" s="435">
        <f t="shared" ref="P597:U597" si="291">P143+P374</f>
        <v>0</v>
      </c>
      <c r="Q597" s="437">
        <f t="shared" si="291"/>
        <v>0</v>
      </c>
      <c r="R597" s="261">
        <f t="shared" si="291"/>
        <v>0</v>
      </c>
      <c r="S597" s="261">
        <f t="shared" si="291"/>
        <v>0</v>
      </c>
      <c r="T597" s="261">
        <f t="shared" si="291"/>
        <v>0</v>
      </c>
      <c r="U597" s="261">
        <f t="shared" si="291"/>
        <v>0</v>
      </c>
      <c r="V597" s="231">
        <f t="shared" si="281"/>
        <v>0</v>
      </c>
    </row>
    <row r="598" spans="4:22" s="201" customFormat="1" ht="13" outlineLevel="1" x14ac:dyDescent="0.25">
      <c r="E598" s="229"/>
      <c r="F598" s="213">
        <v>0</v>
      </c>
      <c r="G598" s="213">
        <v>0</v>
      </c>
      <c r="H598" s="213">
        <v>0</v>
      </c>
      <c r="I598" s="213">
        <v>0</v>
      </c>
      <c r="J598" s="218">
        <v>0</v>
      </c>
      <c r="K598" s="218">
        <v>0</v>
      </c>
      <c r="L598" s="221" t="s">
        <v>85</v>
      </c>
      <c r="M598" s="260">
        <f t="shared" si="278"/>
        <v>43617</v>
      </c>
      <c r="N598" s="228"/>
      <c r="O598" s="261">
        <f t="shared" si="279"/>
        <v>0</v>
      </c>
      <c r="P598" s="435">
        <f t="shared" ref="P598:U598" si="292">P144+P375</f>
        <v>0</v>
      </c>
      <c r="Q598" s="437">
        <f t="shared" si="292"/>
        <v>0</v>
      </c>
      <c r="R598" s="261">
        <f t="shared" si="292"/>
        <v>0</v>
      </c>
      <c r="S598" s="261">
        <f t="shared" si="292"/>
        <v>0</v>
      </c>
      <c r="T598" s="261">
        <f t="shared" si="292"/>
        <v>0</v>
      </c>
      <c r="U598" s="261">
        <f t="shared" si="292"/>
        <v>0</v>
      </c>
      <c r="V598" s="231">
        <f t="shared" si="281"/>
        <v>0</v>
      </c>
    </row>
    <row r="599" spans="4:22" s="201" customFormat="1" ht="13" outlineLevel="1" x14ac:dyDescent="0.25">
      <c r="E599" s="229"/>
      <c r="F599" s="213">
        <v>0</v>
      </c>
      <c r="G599" s="213">
        <v>0</v>
      </c>
      <c r="H599" s="213">
        <v>0</v>
      </c>
      <c r="I599" s="213">
        <v>0</v>
      </c>
      <c r="J599" s="218">
        <v>0</v>
      </c>
      <c r="K599" s="218">
        <v>0</v>
      </c>
      <c r="L599" s="221" t="s">
        <v>85</v>
      </c>
      <c r="M599" s="260">
        <f t="shared" si="278"/>
        <v>43617</v>
      </c>
      <c r="N599" s="228"/>
      <c r="O599" s="261">
        <f t="shared" si="279"/>
        <v>0</v>
      </c>
      <c r="P599" s="435">
        <f t="shared" ref="P599:U599" si="293">P145+P376</f>
        <v>0</v>
      </c>
      <c r="Q599" s="437">
        <f t="shared" si="293"/>
        <v>0</v>
      </c>
      <c r="R599" s="261">
        <f t="shared" si="293"/>
        <v>0</v>
      </c>
      <c r="S599" s="261">
        <f t="shared" si="293"/>
        <v>0</v>
      </c>
      <c r="T599" s="261">
        <f t="shared" si="293"/>
        <v>0</v>
      </c>
      <c r="U599" s="261">
        <f t="shared" si="293"/>
        <v>0</v>
      </c>
      <c r="V599" s="231">
        <f t="shared" si="281"/>
        <v>0</v>
      </c>
    </row>
    <row r="600" spans="4:22" s="201" customFormat="1" ht="13" outlineLevel="1" x14ac:dyDescent="0.25">
      <c r="E600" s="229"/>
      <c r="F600" s="213">
        <v>0</v>
      </c>
      <c r="G600" s="213">
        <v>0</v>
      </c>
      <c r="H600" s="213">
        <v>0</v>
      </c>
      <c r="I600" s="213">
        <v>0</v>
      </c>
      <c r="J600" s="218">
        <v>0</v>
      </c>
      <c r="K600" s="218">
        <v>0</v>
      </c>
      <c r="L600" s="221" t="s">
        <v>85</v>
      </c>
      <c r="M600" s="260">
        <f t="shared" si="278"/>
        <v>43617</v>
      </c>
      <c r="N600" s="228"/>
      <c r="O600" s="261">
        <f t="shared" si="279"/>
        <v>0</v>
      </c>
      <c r="P600" s="435">
        <f t="shared" ref="P600:U600" si="294">P146+P377</f>
        <v>0</v>
      </c>
      <c r="Q600" s="437">
        <f t="shared" si="294"/>
        <v>0</v>
      </c>
      <c r="R600" s="261">
        <f t="shared" si="294"/>
        <v>0</v>
      </c>
      <c r="S600" s="261">
        <f t="shared" si="294"/>
        <v>0</v>
      </c>
      <c r="T600" s="261">
        <f t="shared" si="294"/>
        <v>0</v>
      </c>
      <c r="U600" s="261">
        <f t="shared" si="294"/>
        <v>0</v>
      </c>
      <c r="V600" s="231">
        <f t="shared" si="281"/>
        <v>0</v>
      </c>
    </row>
    <row r="601" spans="4:22" s="201" customFormat="1" ht="13" outlineLevel="1" x14ac:dyDescent="0.25">
      <c r="E601" s="229"/>
      <c r="F601" s="213">
        <v>0</v>
      </c>
      <c r="G601" s="213">
        <v>0</v>
      </c>
      <c r="H601" s="213">
        <v>0</v>
      </c>
      <c r="I601" s="213">
        <v>0</v>
      </c>
      <c r="J601" s="218">
        <v>0</v>
      </c>
      <c r="K601" s="218">
        <v>0</v>
      </c>
      <c r="L601" s="221" t="s">
        <v>85</v>
      </c>
      <c r="M601" s="260">
        <f t="shared" si="278"/>
        <v>43617</v>
      </c>
      <c r="N601" s="228"/>
      <c r="O601" s="261">
        <f t="shared" si="279"/>
        <v>0</v>
      </c>
      <c r="P601" s="435">
        <f t="shared" ref="P601:U601" si="295">P147+P378</f>
        <v>0</v>
      </c>
      <c r="Q601" s="437">
        <f t="shared" si="295"/>
        <v>0</v>
      </c>
      <c r="R601" s="261">
        <f t="shared" si="295"/>
        <v>0</v>
      </c>
      <c r="S601" s="261">
        <f t="shared" si="295"/>
        <v>0</v>
      </c>
      <c r="T601" s="261">
        <f t="shared" si="295"/>
        <v>0</v>
      </c>
      <c r="U601" s="261">
        <f t="shared" si="295"/>
        <v>0</v>
      </c>
      <c r="V601" s="231">
        <f t="shared" si="281"/>
        <v>0</v>
      </c>
    </row>
    <row r="602" spans="4:22" s="201" customFormat="1" ht="13" outlineLevel="1" x14ac:dyDescent="0.25">
      <c r="E602" s="229"/>
      <c r="F602" s="151" t="s">
        <v>17</v>
      </c>
      <c r="G602" s="151"/>
      <c r="H602" s="151"/>
      <c r="I602" s="151"/>
      <c r="J602" s="151"/>
      <c r="K602" s="151"/>
      <c r="L602" s="247" t="s">
        <v>85</v>
      </c>
      <c r="M602" s="253">
        <f t="shared" si="278"/>
        <v>43617</v>
      </c>
      <c r="N602" s="228"/>
      <c r="O602" s="232">
        <f t="shared" ref="O602" si="296">SUM(O587:O601)</f>
        <v>0</v>
      </c>
      <c r="P602" s="289">
        <f t="shared" ref="P602:U602" si="297">SUM(P587:P601)</f>
        <v>0</v>
      </c>
      <c r="Q602" s="290">
        <f t="shared" si="297"/>
        <v>0</v>
      </c>
      <c r="R602" s="232">
        <f t="shared" si="297"/>
        <v>0</v>
      </c>
      <c r="S602" s="232">
        <f t="shared" si="297"/>
        <v>0</v>
      </c>
      <c r="T602" s="232">
        <f t="shared" si="297"/>
        <v>0</v>
      </c>
      <c r="U602" s="232">
        <f t="shared" si="297"/>
        <v>0</v>
      </c>
      <c r="V602" s="233">
        <f>SUM(Q602:U602)</f>
        <v>0</v>
      </c>
    </row>
    <row r="603" spans="4:22" s="201" customFormat="1" outlineLevel="1" x14ac:dyDescent="0.25">
      <c r="E603" s="229"/>
      <c r="N603" s="228"/>
    </row>
    <row r="604" spans="4:22" s="201" customFormat="1" outlineLevel="1" x14ac:dyDescent="0.25">
      <c r="D604" s="201">
        <v>8</v>
      </c>
      <c r="E604" s="229">
        <f>'Input | Meters Vols &amp; Costs'!$G$36</f>
        <v>0</v>
      </c>
      <c r="N604" s="228"/>
    </row>
    <row r="605" spans="4:22" s="201" customFormat="1" outlineLevel="1" x14ac:dyDescent="0.25">
      <c r="E605" s="229"/>
      <c r="N605" s="228"/>
      <c r="O605"/>
      <c r="P605"/>
      <c r="Q605"/>
      <c r="R605"/>
      <c r="S605"/>
      <c r="T605"/>
      <c r="U605"/>
    </row>
    <row r="606" spans="4:22" s="201" customFormat="1" ht="13" outlineLevel="1" x14ac:dyDescent="0.25">
      <c r="E606" s="229"/>
      <c r="F606" s="121" t="str">
        <f>I_MeterTypes[[#Headers],[Meter Type]]</f>
        <v>Meter Type</v>
      </c>
      <c r="G606" s="121" t="str">
        <f>I_MeterTypes[[#Headers],[RIN Subcategory 1]]</f>
        <v>RIN Subcategory 1</v>
      </c>
      <c r="H606" s="121" t="str">
        <f>I_MeterTypes[[#Headers],[RIN Subcategory 2]]</f>
        <v>RIN Subcategory 2</v>
      </c>
      <c r="I606" s="121" t="str">
        <f>I_MeterTypes[[#Headers],[AER Type]]</f>
        <v>AER Type</v>
      </c>
      <c r="J606" s="121" t="str">
        <f>I_MeterTypes[[#Headers],[RIN Subcategory 3]]</f>
        <v>RIN Subcategory 3</v>
      </c>
      <c r="K606" s="121" t="str">
        <f>I_MeterTypes[[#Headers],[Meter Code]]</f>
        <v>Meter Code</v>
      </c>
      <c r="L606" s="121" t="s">
        <v>6</v>
      </c>
      <c r="M606" s="121" t="s">
        <v>118</v>
      </c>
      <c r="N606" s="228"/>
      <c r="O606" s="234" t="str">
        <f>O$12</f>
        <v>2018-19</v>
      </c>
      <c r="P606" s="234" t="str">
        <f t="shared" ref="P606:U606" si="298">P$12</f>
        <v>2019-20</v>
      </c>
      <c r="Q606" s="436" t="str">
        <f t="shared" si="298"/>
        <v>2020-21</v>
      </c>
      <c r="R606" s="234" t="str">
        <f t="shared" si="298"/>
        <v>2021-22</v>
      </c>
      <c r="S606" s="234" t="str">
        <f t="shared" si="298"/>
        <v>2022-23</v>
      </c>
      <c r="T606" s="234" t="str">
        <f t="shared" si="298"/>
        <v>2023-24</v>
      </c>
      <c r="U606" s="234" t="str">
        <f t="shared" si="298"/>
        <v>2024-25</v>
      </c>
      <c r="V606" s="234" t="s">
        <v>17</v>
      </c>
    </row>
    <row r="607" spans="4:22" s="201" customFormat="1" ht="13" outlineLevel="1" x14ac:dyDescent="0.25">
      <c r="E607" s="229"/>
      <c r="F607" s="213" t="str" cm="1">
        <f t="array" ref="F607:F621">I_MeterTypes[Meter Type]</f>
        <v>AMI - Single Phase, single element</v>
      </c>
      <c r="G607" s="213" t="str" cm="1">
        <f t="array" ref="G607:G621">I_MeterTypes[RIN Subcategory 1]</f>
        <v>Single Phase Meter Population</v>
      </c>
      <c r="H607" s="213" t="str" cm="1">
        <f t="array" ref="H607:H621">I_MeterTypes[RIN Subcategory 2]</f>
        <v>Other</v>
      </c>
      <c r="I607" s="213" t="str" cm="1">
        <f t="array" ref="I607:I621">I_MeterTypes[AER Type]</f>
        <v>Meter Type 4</v>
      </c>
      <c r="J607" s="213" t="str" cm="1">
        <f t="array" ref="J607:J621">I_MeterTypes[RIN Subcategory 3]</f>
        <v>Single phase single element - AMI</v>
      </c>
      <c r="K607" s="213" t="str" cm="1">
        <f t="array" ref="K607:K621">I_MeterTypes[Meter Code]</f>
        <v>AMI 1ph 1e</v>
      </c>
      <c r="L607" s="221" t="s">
        <v>85</v>
      </c>
      <c r="M607" s="260">
        <f t="shared" ref="M607:M622" si="299">Basis_Capex</f>
        <v>43617</v>
      </c>
      <c r="N607" s="228"/>
      <c r="O607" s="261">
        <f t="shared" ref="O607:O621" si="300">O153+O384</f>
        <v>0</v>
      </c>
      <c r="P607" s="435">
        <f t="shared" ref="P607:U607" si="301">P153+P384</f>
        <v>0</v>
      </c>
      <c r="Q607" s="437">
        <f t="shared" si="301"/>
        <v>0</v>
      </c>
      <c r="R607" s="261">
        <f t="shared" si="301"/>
        <v>0</v>
      </c>
      <c r="S607" s="261">
        <f t="shared" si="301"/>
        <v>0</v>
      </c>
      <c r="T607" s="261">
        <f t="shared" si="301"/>
        <v>0</v>
      </c>
      <c r="U607" s="261">
        <f t="shared" si="301"/>
        <v>0</v>
      </c>
      <c r="V607" s="231">
        <f t="shared" ref="V607:V621" si="302">SUM(N607:U607)</f>
        <v>0</v>
      </c>
    </row>
    <row r="608" spans="4:22" s="201" customFormat="1" ht="13" outlineLevel="1" x14ac:dyDescent="0.25">
      <c r="E608" s="229"/>
      <c r="F608" s="213" t="str">
        <v>AMI - Single Phase, two element</v>
      </c>
      <c r="G608" s="213" t="str">
        <v>Single Phase Meter Population</v>
      </c>
      <c r="H608" s="213" t="str">
        <v>Other</v>
      </c>
      <c r="I608" s="213" t="str">
        <v>Meter Type 4</v>
      </c>
      <c r="J608" s="218" t="str">
        <v>Single phase two element with contactor - AMI</v>
      </c>
      <c r="K608" s="218" t="str">
        <v>AMI 1ph 2e</v>
      </c>
      <c r="L608" s="221" t="s">
        <v>85</v>
      </c>
      <c r="M608" s="260">
        <f t="shared" si="299"/>
        <v>43617</v>
      </c>
      <c r="N608" s="228"/>
      <c r="O608" s="261">
        <f t="shared" si="300"/>
        <v>0</v>
      </c>
      <c r="P608" s="435">
        <f t="shared" ref="P608:U608" si="303">P154+P385</f>
        <v>0</v>
      </c>
      <c r="Q608" s="437">
        <f t="shared" si="303"/>
        <v>0</v>
      </c>
      <c r="R608" s="261">
        <f t="shared" si="303"/>
        <v>0</v>
      </c>
      <c r="S608" s="261">
        <f t="shared" si="303"/>
        <v>0</v>
      </c>
      <c r="T608" s="261">
        <f t="shared" si="303"/>
        <v>0</v>
      </c>
      <c r="U608" s="261">
        <f t="shared" si="303"/>
        <v>0</v>
      </c>
      <c r="V608" s="231">
        <f t="shared" si="302"/>
        <v>0</v>
      </c>
    </row>
    <row r="609" spans="4:22" s="201" customFormat="1" ht="13" outlineLevel="1" x14ac:dyDescent="0.25">
      <c r="E609" s="229"/>
      <c r="F609" s="213" t="str">
        <v>AMI - 3 Phase DC</v>
      </c>
      <c r="G609" s="213" t="str">
        <v>Multi Phase Meter Population</v>
      </c>
      <c r="H609" s="213" t="str">
        <v>Direct Connect Meter Population</v>
      </c>
      <c r="I609" s="213" t="str">
        <v>Meter Type 4</v>
      </c>
      <c r="J609" s="218" t="str">
        <v>Three phase - AMI</v>
      </c>
      <c r="K609" s="218" t="str">
        <v>AMI 3ph DC</v>
      </c>
      <c r="L609" s="221" t="s">
        <v>85</v>
      </c>
      <c r="M609" s="260">
        <f t="shared" si="299"/>
        <v>43617</v>
      </c>
      <c r="N609" s="228"/>
      <c r="O609" s="261">
        <f t="shared" si="300"/>
        <v>0</v>
      </c>
      <c r="P609" s="435">
        <f t="shared" ref="P609:U609" si="304">P155+P386</f>
        <v>0</v>
      </c>
      <c r="Q609" s="437">
        <f t="shared" si="304"/>
        <v>0</v>
      </c>
      <c r="R609" s="261">
        <f t="shared" si="304"/>
        <v>0</v>
      </c>
      <c r="S609" s="261">
        <f t="shared" si="304"/>
        <v>0</v>
      </c>
      <c r="T609" s="261">
        <f t="shared" si="304"/>
        <v>0</v>
      </c>
      <c r="U609" s="261">
        <f t="shared" si="304"/>
        <v>0</v>
      </c>
      <c r="V609" s="231">
        <f t="shared" si="302"/>
        <v>0</v>
      </c>
    </row>
    <row r="610" spans="4:22" s="201" customFormat="1" ht="13" outlineLevel="1" x14ac:dyDescent="0.25">
      <c r="E610" s="229"/>
      <c r="F610" s="213" t="str">
        <v>AMI 3Ph CT</v>
      </c>
      <c r="G610" s="213" t="str">
        <v>Multi Phase Meter Population</v>
      </c>
      <c r="H610" s="213" t="str">
        <v>Current Transformer Connected Meter Population</v>
      </c>
      <c r="I610" s="213" t="str">
        <v>Meter Type 4</v>
      </c>
      <c r="J610" s="218">
        <v>0</v>
      </c>
      <c r="K610" s="218" t="str">
        <v>AMI 3ph CT</v>
      </c>
      <c r="L610" s="221" t="s">
        <v>85</v>
      </c>
      <c r="M610" s="260">
        <f t="shared" si="299"/>
        <v>43617</v>
      </c>
      <c r="N610" s="228"/>
      <c r="O610" s="261">
        <f t="shared" si="300"/>
        <v>0</v>
      </c>
      <c r="P610" s="435">
        <f t="shared" ref="P610:U610" si="305">P156+P387</f>
        <v>0</v>
      </c>
      <c r="Q610" s="437">
        <f t="shared" si="305"/>
        <v>0</v>
      </c>
      <c r="R610" s="261">
        <f t="shared" si="305"/>
        <v>0</v>
      </c>
      <c r="S610" s="261">
        <f t="shared" si="305"/>
        <v>0</v>
      </c>
      <c r="T610" s="261">
        <f t="shared" si="305"/>
        <v>0</v>
      </c>
      <c r="U610" s="261">
        <f t="shared" si="305"/>
        <v>0</v>
      </c>
      <c r="V610" s="231">
        <f t="shared" si="302"/>
        <v>0</v>
      </c>
    </row>
    <row r="611" spans="4:22" s="201" customFormat="1" ht="13" outlineLevel="1" x14ac:dyDescent="0.25">
      <c r="E611" s="229"/>
      <c r="F611" s="213" t="str">
        <v>Non AMI - Type 5 Locally read Interval - Single Phase</v>
      </c>
      <c r="G611" s="213" t="str">
        <v>Single Phase Meter Population</v>
      </c>
      <c r="H611" s="213" t="str">
        <v>Direct Connect Meter Population</v>
      </c>
      <c r="I611" s="213" t="str">
        <v>Meter Type 5</v>
      </c>
      <c r="J611" s="218">
        <v>0</v>
      </c>
      <c r="K611" s="218" t="str">
        <v>INT 1ph</v>
      </c>
      <c r="L611" s="221" t="s">
        <v>85</v>
      </c>
      <c r="M611" s="260">
        <f t="shared" si="299"/>
        <v>43617</v>
      </c>
      <c r="N611" s="228"/>
      <c r="O611" s="261">
        <f t="shared" si="300"/>
        <v>0</v>
      </c>
      <c r="P611" s="435">
        <f t="shared" ref="P611:U611" si="306">P157+P388</f>
        <v>0</v>
      </c>
      <c r="Q611" s="437">
        <f t="shared" si="306"/>
        <v>0</v>
      </c>
      <c r="R611" s="261">
        <f t="shared" si="306"/>
        <v>0</v>
      </c>
      <c r="S611" s="261">
        <f t="shared" si="306"/>
        <v>0</v>
      </c>
      <c r="T611" s="261">
        <f t="shared" si="306"/>
        <v>0</v>
      </c>
      <c r="U611" s="261">
        <f t="shared" si="306"/>
        <v>0</v>
      </c>
      <c r="V611" s="231">
        <f t="shared" si="302"/>
        <v>0</v>
      </c>
    </row>
    <row r="612" spans="4:22" s="201" customFormat="1" ht="13" outlineLevel="1" x14ac:dyDescent="0.25">
      <c r="E612" s="229"/>
      <c r="F612" s="213" t="str">
        <v>Non AMI - Type 5 Locally read Interval - 3 Phase</v>
      </c>
      <c r="G612" s="213" t="str">
        <v>Single Phase Meter Population</v>
      </c>
      <c r="H612" s="213" t="str">
        <v>Direct Connect Meter Population</v>
      </c>
      <c r="I612" s="213" t="str">
        <v>Meter Type 5</v>
      </c>
      <c r="J612" s="218">
        <v>0</v>
      </c>
      <c r="K612" s="218" t="str">
        <v>INT 3ph</v>
      </c>
      <c r="L612" s="221" t="s">
        <v>85</v>
      </c>
      <c r="M612" s="260">
        <f t="shared" si="299"/>
        <v>43617</v>
      </c>
      <c r="N612" s="228"/>
      <c r="O612" s="261">
        <f t="shared" si="300"/>
        <v>0</v>
      </c>
      <c r="P612" s="435">
        <f t="shared" ref="P612:U612" si="307">P158+P389</f>
        <v>0</v>
      </c>
      <c r="Q612" s="437">
        <f t="shared" si="307"/>
        <v>0</v>
      </c>
      <c r="R612" s="261">
        <f t="shared" si="307"/>
        <v>0</v>
      </c>
      <c r="S612" s="261">
        <f t="shared" si="307"/>
        <v>0</v>
      </c>
      <c r="T612" s="261">
        <f t="shared" si="307"/>
        <v>0</v>
      </c>
      <c r="U612" s="261">
        <f t="shared" si="307"/>
        <v>0</v>
      </c>
      <c r="V612" s="231">
        <f t="shared" si="302"/>
        <v>0</v>
      </c>
    </row>
    <row r="613" spans="4:22" s="201" customFormat="1" ht="13" outlineLevel="1" x14ac:dyDescent="0.25">
      <c r="E613" s="229"/>
      <c r="F613" s="213" t="str">
        <v>Non AMI - Type 5 Locally read Interval - 3 Phase - CT</v>
      </c>
      <c r="G613" s="213" t="str">
        <v>Multi Phase Meter Population</v>
      </c>
      <c r="H613" s="213" t="str">
        <v>Current Transformer Connected Meter Population</v>
      </c>
      <c r="I613" s="213" t="str">
        <v>Meter Type 5</v>
      </c>
      <c r="J613" s="218">
        <v>0</v>
      </c>
      <c r="K613" s="218" t="str">
        <v>INT 3ph CT</v>
      </c>
      <c r="L613" s="221" t="s">
        <v>85</v>
      </c>
      <c r="M613" s="260">
        <f t="shared" si="299"/>
        <v>43617</v>
      </c>
      <c r="N613" s="228"/>
      <c r="O613" s="261">
        <f t="shared" si="300"/>
        <v>0</v>
      </c>
      <c r="P613" s="435">
        <f t="shared" ref="P613:U613" si="308">P159+P390</f>
        <v>0</v>
      </c>
      <c r="Q613" s="437">
        <f t="shared" si="308"/>
        <v>0</v>
      </c>
      <c r="R613" s="261">
        <f t="shared" si="308"/>
        <v>0</v>
      </c>
      <c r="S613" s="261">
        <f t="shared" si="308"/>
        <v>0</v>
      </c>
      <c r="T613" s="261">
        <f t="shared" si="308"/>
        <v>0</v>
      </c>
      <c r="U613" s="261">
        <f t="shared" si="308"/>
        <v>0</v>
      </c>
      <c r="V613" s="231">
        <f t="shared" si="302"/>
        <v>0</v>
      </c>
    </row>
    <row r="614" spans="4:22" s="201" customFormat="1" ht="13" outlineLevel="1" x14ac:dyDescent="0.25">
      <c r="E614" s="229"/>
      <c r="F614" s="213" t="str">
        <v>Non AMI - Type 6 Locally read Accumulation - Single Phase</v>
      </c>
      <c r="G614" s="213" t="str">
        <v>Multi Phase Meter Population</v>
      </c>
      <c r="H614" s="213" t="str">
        <v>Direct Connect Meter Population</v>
      </c>
      <c r="I614" s="213" t="str">
        <v>Meter Type 6</v>
      </c>
      <c r="J614" s="218">
        <v>0</v>
      </c>
      <c r="K614" s="218" t="str">
        <v>ACC 1ph</v>
      </c>
      <c r="L614" s="221" t="s">
        <v>85</v>
      </c>
      <c r="M614" s="260">
        <f t="shared" si="299"/>
        <v>43617</v>
      </c>
      <c r="N614" s="228"/>
      <c r="O614" s="261">
        <f t="shared" si="300"/>
        <v>0</v>
      </c>
      <c r="P614" s="435">
        <f t="shared" ref="P614:U614" si="309">P160+P391</f>
        <v>0</v>
      </c>
      <c r="Q614" s="437">
        <f t="shared" si="309"/>
        <v>0</v>
      </c>
      <c r="R614" s="261">
        <f t="shared" si="309"/>
        <v>0</v>
      </c>
      <c r="S614" s="261">
        <f t="shared" si="309"/>
        <v>0</v>
      </c>
      <c r="T614" s="261">
        <f t="shared" si="309"/>
        <v>0</v>
      </c>
      <c r="U614" s="261">
        <f t="shared" si="309"/>
        <v>0</v>
      </c>
      <c r="V614" s="231">
        <f t="shared" si="302"/>
        <v>0</v>
      </c>
    </row>
    <row r="615" spans="4:22" s="201" customFormat="1" ht="13" outlineLevel="1" x14ac:dyDescent="0.25">
      <c r="E615" s="229"/>
      <c r="F615" s="213" t="str">
        <v>Non AMI - Type 6 Locally read Accumulation - 3 Phase</v>
      </c>
      <c r="G615" s="213">
        <v>0</v>
      </c>
      <c r="H615" s="213" t="str">
        <v>Direct Connect Meter Population</v>
      </c>
      <c r="I615" s="213" t="str">
        <v>Meter Type 6</v>
      </c>
      <c r="J615" s="218">
        <v>0</v>
      </c>
      <c r="K615" s="218" t="str">
        <v>ACC 3ph</v>
      </c>
      <c r="L615" s="221" t="s">
        <v>85</v>
      </c>
      <c r="M615" s="260">
        <f t="shared" si="299"/>
        <v>43617</v>
      </c>
      <c r="N615" s="228"/>
      <c r="O615" s="261">
        <f t="shared" si="300"/>
        <v>0</v>
      </c>
      <c r="P615" s="435">
        <f t="shared" ref="P615:U615" si="310">P161+P392</f>
        <v>0</v>
      </c>
      <c r="Q615" s="437">
        <f t="shared" si="310"/>
        <v>0</v>
      </c>
      <c r="R615" s="261">
        <f t="shared" si="310"/>
        <v>0</v>
      </c>
      <c r="S615" s="261">
        <f t="shared" si="310"/>
        <v>0</v>
      </c>
      <c r="T615" s="261">
        <f t="shared" si="310"/>
        <v>0</v>
      </c>
      <c r="U615" s="261">
        <f t="shared" si="310"/>
        <v>0</v>
      </c>
      <c r="V615" s="231">
        <f t="shared" si="302"/>
        <v>0</v>
      </c>
    </row>
    <row r="616" spans="4:22" s="201" customFormat="1" ht="13" outlineLevel="1" x14ac:dyDescent="0.25">
      <c r="E616" s="229"/>
      <c r="F616" s="213">
        <v>0</v>
      </c>
      <c r="G616" s="213">
        <v>0</v>
      </c>
      <c r="H616" s="213">
        <v>0</v>
      </c>
      <c r="I616" s="213">
        <v>0</v>
      </c>
      <c r="J616" s="218">
        <v>0</v>
      </c>
      <c r="K616" s="218">
        <v>0</v>
      </c>
      <c r="L616" s="221" t="s">
        <v>85</v>
      </c>
      <c r="M616" s="260">
        <f t="shared" si="299"/>
        <v>43617</v>
      </c>
      <c r="N616" s="228"/>
      <c r="O616" s="261">
        <f t="shared" si="300"/>
        <v>0</v>
      </c>
      <c r="P616" s="435">
        <f t="shared" ref="P616:U616" si="311">P162+P393</f>
        <v>0</v>
      </c>
      <c r="Q616" s="437">
        <f t="shared" si="311"/>
        <v>0</v>
      </c>
      <c r="R616" s="261">
        <f t="shared" si="311"/>
        <v>0</v>
      </c>
      <c r="S616" s="261">
        <f t="shared" si="311"/>
        <v>0</v>
      </c>
      <c r="T616" s="261">
        <f t="shared" si="311"/>
        <v>0</v>
      </c>
      <c r="U616" s="261">
        <f t="shared" si="311"/>
        <v>0</v>
      </c>
      <c r="V616" s="231">
        <f t="shared" si="302"/>
        <v>0</v>
      </c>
    </row>
    <row r="617" spans="4:22" s="201" customFormat="1" ht="13" outlineLevel="1" x14ac:dyDescent="0.25">
      <c r="E617" s="229"/>
      <c r="F617" s="213">
        <v>0</v>
      </c>
      <c r="G617" s="213">
        <v>0</v>
      </c>
      <c r="H617" s="213">
        <v>0</v>
      </c>
      <c r="I617" s="213">
        <v>0</v>
      </c>
      <c r="J617" s="218">
        <v>0</v>
      </c>
      <c r="K617" s="218">
        <v>0</v>
      </c>
      <c r="L617" s="221" t="s">
        <v>85</v>
      </c>
      <c r="M617" s="260">
        <f t="shared" si="299"/>
        <v>43617</v>
      </c>
      <c r="N617" s="228"/>
      <c r="O617" s="261">
        <f t="shared" si="300"/>
        <v>0</v>
      </c>
      <c r="P617" s="435">
        <f t="shared" ref="P617:U617" si="312">P163+P394</f>
        <v>0</v>
      </c>
      <c r="Q617" s="437">
        <f t="shared" si="312"/>
        <v>0</v>
      </c>
      <c r="R617" s="261">
        <f t="shared" si="312"/>
        <v>0</v>
      </c>
      <c r="S617" s="261">
        <f t="shared" si="312"/>
        <v>0</v>
      </c>
      <c r="T617" s="261">
        <f t="shared" si="312"/>
        <v>0</v>
      </c>
      <c r="U617" s="261">
        <f t="shared" si="312"/>
        <v>0</v>
      </c>
      <c r="V617" s="231">
        <f t="shared" si="302"/>
        <v>0</v>
      </c>
    </row>
    <row r="618" spans="4:22" s="201" customFormat="1" ht="13" outlineLevel="1" x14ac:dyDescent="0.25">
      <c r="E618" s="229"/>
      <c r="F618" s="213">
        <v>0</v>
      </c>
      <c r="G618" s="213">
        <v>0</v>
      </c>
      <c r="H618" s="213">
        <v>0</v>
      </c>
      <c r="I618" s="213">
        <v>0</v>
      </c>
      <c r="J618" s="218">
        <v>0</v>
      </c>
      <c r="K618" s="218">
        <v>0</v>
      </c>
      <c r="L618" s="221" t="s">
        <v>85</v>
      </c>
      <c r="M618" s="260">
        <f t="shared" si="299"/>
        <v>43617</v>
      </c>
      <c r="N618" s="228"/>
      <c r="O618" s="261">
        <f t="shared" si="300"/>
        <v>0</v>
      </c>
      <c r="P618" s="435">
        <f t="shared" ref="P618:U618" si="313">P164+P395</f>
        <v>0</v>
      </c>
      <c r="Q618" s="437">
        <f t="shared" si="313"/>
        <v>0</v>
      </c>
      <c r="R618" s="261">
        <f t="shared" si="313"/>
        <v>0</v>
      </c>
      <c r="S618" s="261">
        <f t="shared" si="313"/>
        <v>0</v>
      </c>
      <c r="T618" s="261">
        <f t="shared" si="313"/>
        <v>0</v>
      </c>
      <c r="U618" s="261">
        <f t="shared" si="313"/>
        <v>0</v>
      </c>
      <c r="V618" s="231">
        <f t="shared" si="302"/>
        <v>0</v>
      </c>
    </row>
    <row r="619" spans="4:22" s="201" customFormat="1" ht="13" outlineLevel="1" x14ac:dyDescent="0.25">
      <c r="E619" s="229"/>
      <c r="F619" s="213">
        <v>0</v>
      </c>
      <c r="G619" s="213">
        <v>0</v>
      </c>
      <c r="H619" s="213">
        <v>0</v>
      </c>
      <c r="I619" s="213">
        <v>0</v>
      </c>
      <c r="J619" s="218">
        <v>0</v>
      </c>
      <c r="K619" s="218">
        <v>0</v>
      </c>
      <c r="L619" s="221" t="s">
        <v>85</v>
      </c>
      <c r="M619" s="260">
        <f t="shared" si="299"/>
        <v>43617</v>
      </c>
      <c r="N619" s="228"/>
      <c r="O619" s="261">
        <f t="shared" si="300"/>
        <v>0</v>
      </c>
      <c r="P619" s="435">
        <f t="shared" ref="P619:U619" si="314">P165+P396</f>
        <v>0</v>
      </c>
      <c r="Q619" s="437">
        <f t="shared" si="314"/>
        <v>0</v>
      </c>
      <c r="R619" s="261">
        <f t="shared" si="314"/>
        <v>0</v>
      </c>
      <c r="S619" s="261">
        <f t="shared" si="314"/>
        <v>0</v>
      </c>
      <c r="T619" s="261">
        <f t="shared" si="314"/>
        <v>0</v>
      </c>
      <c r="U619" s="261">
        <f t="shared" si="314"/>
        <v>0</v>
      </c>
      <c r="V619" s="231">
        <f t="shared" si="302"/>
        <v>0</v>
      </c>
    </row>
    <row r="620" spans="4:22" s="201" customFormat="1" ht="13" outlineLevel="1" x14ac:dyDescent="0.25">
      <c r="E620" s="229"/>
      <c r="F620" s="213">
        <v>0</v>
      </c>
      <c r="G620" s="213">
        <v>0</v>
      </c>
      <c r="H620" s="213">
        <v>0</v>
      </c>
      <c r="I620" s="213">
        <v>0</v>
      </c>
      <c r="J620" s="218">
        <v>0</v>
      </c>
      <c r="K620" s="218">
        <v>0</v>
      </c>
      <c r="L620" s="221" t="s">
        <v>85</v>
      </c>
      <c r="M620" s="260">
        <f t="shared" si="299"/>
        <v>43617</v>
      </c>
      <c r="N620" s="228"/>
      <c r="O620" s="261">
        <f t="shared" si="300"/>
        <v>0</v>
      </c>
      <c r="P620" s="435">
        <f t="shared" ref="P620:U620" si="315">P166+P397</f>
        <v>0</v>
      </c>
      <c r="Q620" s="437">
        <f t="shared" si="315"/>
        <v>0</v>
      </c>
      <c r="R620" s="261">
        <f t="shared" si="315"/>
        <v>0</v>
      </c>
      <c r="S620" s="261">
        <f t="shared" si="315"/>
        <v>0</v>
      </c>
      <c r="T620" s="261">
        <f t="shared" si="315"/>
        <v>0</v>
      </c>
      <c r="U620" s="261">
        <f t="shared" si="315"/>
        <v>0</v>
      </c>
      <c r="V620" s="231">
        <f t="shared" si="302"/>
        <v>0</v>
      </c>
    </row>
    <row r="621" spans="4:22" s="201" customFormat="1" ht="13" outlineLevel="1" x14ac:dyDescent="0.25">
      <c r="E621" s="229"/>
      <c r="F621" s="213">
        <v>0</v>
      </c>
      <c r="G621" s="213">
        <v>0</v>
      </c>
      <c r="H621" s="213">
        <v>0</v>
      </c>
      <c r="I621" s="213">
        <v>0</v>
      </c>
      <c r="J621" s="218">
        <v>0</v>
      </c>
      <c r="K621" s="218">
        <v>0</v>
      </c>
      <c r="L621" s="221" t="s">
        <v>85</v>
      </c>
      <c r="M621" s="260">
        <f t="shared" si="299"/>
        <v>43617</v>
      </c>
      <c r="N621" s="228"/>
      <c r="O621" s="261">
        <f t="shared" si="300"/>
        <v>0</v>
      </c>
      <c r="P621" s="435">
        <f t="shared" ref="P621:U621" si="316">P167+P398</f>
        <v>0</v>
      </c>
      <c r="Q621" s="437">
        <f t="shared" si="316"/>
        <v>0</v>
      </c>
      <c r="R621" s="261">
        <f t="shared" si="316"/>
        <v>0</v>
      </c>
      <c r="S621" s="261">
        <f t="shared" si="316"/>
        <v>0</v>
      </c>
      <c r="T621" s="261">
        <f t="shared" si="316"/>
        <v>0</v>
      </c>
      <c r="U621" s="261">
        <f t="shared" si="316"/>
        <v>0</v>
      </c>
      <c r="V621" s="231">
        <f t="shared" si="302"/>
        <v>0</v>
      </c>
    </row>
    <row r="622" spans="4:22" s="201" customFormat="1" ht="13" outlineLevel="1" x14ac:dyDescent="0.25">
      <c r="E622" s="229"/>
      <c r="F622" s="151" t="s">
        <v>17</v>
      </c>
      <c r="G622" s="151"/>
      <c r="H622" s="151"/>
      <c r="I622" s="151"/>
      <c r="J622" s="151"/>
      <c r="K622" s="151"/>
      <c r="L622" s="247" t="s">
        <v>85</v>
      </c>
      <c r="M622" s="253">
        <f t="shared" si="299"/>
        <v>43617</v>
      </c>
      <c r="N622" s="228"/>
      <c r="O622" s="232">
        <f t="shared" ref="O622" si="317">SUM(O607:O621)</f>
        <v>0</v>
      </c>
      <c r="P622" s="289">
        <f t="shared" ref="P622:U622" si="318">SUM(P607:P621)</f>
        <v>0</v>
      </c>
      <c r="Q622" s="290">
        <f t="shared" si="318"/>
        <v>0</v>
      </c>
      <c r="R622" s="232">
        <f t="shared" si="318"/>
        <v>0</v>
      </c>
      <c r="S622" s="232">
        <f t="shared" si="318"/>
        <v>0</v>
      </c>
      <c r="T622" s="232">
        <f t="shared" si="318"/>
        <v>0</v>
      </c>
      <c r="U622" s="232">
        <f t="shared" si="318"/>
        <v>0</v>
      </c>
      <c r="V622" s="233">
        <f>SUM(Q622:U622)</f>
        <v>0</v>
      </c>
    </row>
    <row r="623" spans="4:22" s="201" customFormat="1" outlineLevel="1" x14ac:dyDescent="0.25">
      <c r="N623" s="228"/>
      <c r="O623" s="251"/>
      <c r="P623" s="251"/>
      <c r="Q623" s="251"/>
      <c r="R623" s="251"/>
      <c r="S623" s="251"/>
      <c r="T623" s="251"/>
      <c r="U623" s="251"/>
    </row>
    <row r="624" spans="4:22" s="201" customFormat="1" outlineLevel="1" x14ac:dyDescent="0.25">
      <c r="D624" s="201">
        <v>9</v>
      </c>
      <c r="E624" s="229">
        <f>'Input | Meters Vols &amp; Costs'!$G$37</f>
        <v>0</v>
      </c>
      <c r="N624" s="228"/>
    </row>
    <row r="625" spans="5:22" s="201" customFormat="1" outlineLevel="1" x14ac:dyDescent="0.25">
      <c r="E625" s="229"/>
      <c r="N625" s="228"/>
      <c r="O625"/>
      <c r="P625"/>
      <c r="Q625"/>
      <c r="R625"/>
      <c r="S625"/>
      <c r="T625"/>
      <c r="U625"/>
    </row>
    <row r="626" spans="5:22" s="201" customFormat="1" ht="13" outlineLevel="1" x14ac:dyDescent="0.25">
      <c r="E626" s="229"/>
      <c r="F626" s="121" t="str">
        <f>I_MeterTypes[[#Headers],[Meter Type]]</f>
        <v>Meter Type</v>
      </c>
      <c r="G626" s="121" t="str">
        <f>I_MeterTypes[[#Headers],[RIN Subcategory 1]]</f>
        <v>RIN Subcategory 1</v>
      </c>
      <c r="H626" s="121" t="str">
        <f>I_MeterTypes[[#Headers],[RIN Subcategory 2]]</f>
        <v>RIN Subcategory 2</v>
      </c>
      <c r="I626" s="121" t="str">
        <f>I_MeterTypes[[#Headers],[AER Type]]</f>
        <v>AER Type</v>
      </c>
      <c r="J626" s="121" t="str">
        <f>I_MeterTypes[[#Headers],[RIN Subcategory 3]]</f>
        <v>RIN Subcategory 3</v>
      </c>
      <c r="K626" s="121" t="str">
        <f>I_MeterTypes[[#Headers],[Meter Code]]</f>
        <v>Meter Code</v>
      </c>
      <c r="L626" s="121" t="s">
        <v>6</v>
      </c>
      <c r="M626" s="121" t="s">
        <v>118</v>
      </c>
      <c r="N626" s="228"/>
      <c r="O626" s="234" t="str">
        <f>O$12</f>
        <v>2018-19</v>
      </c>
      <c r="P626" s="234" t="str">
        <f t="shared" ref="P626:U626" si="319">P$12</f>
        <v>2019-20</v>
      </c>
      <c r="Q626" s="436" t="str">
        <f t="shared" si="319"/>
        <v>2020-21</v>
      </c>
      <c r="R626" s="234" t="str">
        <f t="shared" si="319"/>
        <v>2021-22</v>
      </c>
      <c r="S626" s="234" t="str">
        <f t="shared" si="319"/>
        <v>2022-23</v>
      </c>
      <c r="T626" s="234" t="str">
        <f t="shared" si="319"/>
        <v>2023-24</v>
      </c>
      <c r="U626" s="234" t="str">
        <f t="shared" si="319"/>
        <v>2024-25</v>
      </c>
      <c r="V626" s="234" t="s">
        <v>17</v>
      </c>
    </row>
    <row r="627" spans="5:22" s="201" customFormat="1" ht="13" outlineLevel="1" x14ac:dyDescent="0.25">
      <c r="E627" s="229"/>
      <c r="F627" s="213" t="str" cm="1">
        <f t="array" ref="F627:F641">I_MeterTypes[Meter Type]</f>
        <v>AMI - Single Phase, single element</v>
      </c>
      <c r="G627" s="213" t="str" cm="1">
        <f t="array" ref="G627:G641">I_MeterTypes[RIN Subcategory 1]</f>
        <v>Single Phase Meter Population</v>
      </c>
      <c r="H627" s="213" t="str" cm="1">
        <f t="array" ref="H627:H641">I_MeterTypes[RIN Subcategory 2]</f>
        <v>Other</v>
      </c>
      <c r="I627" s="213" t="str" cm="1">
        <f t="array" ref="I627:I641">I_MeterTypes[AER Type]</f>
        <v>Meter Type 4</v>
      </c>
      <c r="J627" s="213" t="str" cm="1">
        <f t="array" ref="J627:J641">I_MeterTypes[RIN Subcategory 3]</f>
        <v>Single phase single element - AMI</v>
      </c>
      <c r="K627" s="213" t="str" cm="1">
        <f t="array" ref="K627:K641">I_MeterTypes[Meter Code]</f>
        <v>AMI 1ph 1e</v>
      </c>
      <c r="L627" s="221" t="s">
        <v>85</v>
      </c>
      <c r="M627" s="260">
        <f t="shared" ref="M627:M642" si="320">Basis_Capex</f>
        <v>43617</v>
      </c>
      <c r="N627" s="228"/>
      <c r="O627" s="261">
        <f t="shared" ref="O627:O641" si="321">O173+O404</f>
        <v>0</v>
      </c>
      <c r="P627" s="435">
        <f t="shared" ref="P627:U627" si="322">P173+P404</f>
        <v>0</v>
      </c>
      <c r="Q627" s="437">
        <f t="shared" si="322"/>
        <v>0</v>
      </c>
      <c r="R627" s="261">
        <f t="shared" si="322"/>
        <v>0</v>
      </c>
      <c r="S627" s="261">
        <f t="shared" si="322"/>
        <v>0</v>
      </c>
      <c r="T627" s="261">
        <f t="shared" si="322"/>
        <v>0</v>
      </c>
      <c r="U627" s="261">
        <f t="shared" si="322"/>
        <v>0</v>
      </c>
      <c r="V627" s="231">
        <f t="shared" ref="V627:V641" si="323">SUM(N627:U627)</f>
        <v>0</v>
      </c>
    </row>
    <row r="628" spans="5:22" s="201" customFormat="1" ht="13" outlineLevel="1" x14ac:dyDescent="0.25">
      <c r="E628" s="229"/>
      <c r="F628" s="213" t="str">
        <v>AMI - Single Phase, two element</v>
      </c>
      <c r="G628" s="213" t="str">
        <v>Single Phase Meter Population</v>
      </c>
      <c r="H628" s="213" t="str">
        <v>Other</v>
      </c>
      <c r="I628" s="213" t="str">
        <v>Meter Type 4</v>
      </c>
      <c r="J628" s="218" t="str">
        <v>Single phase two element with contactor - AMI</v>
      </c>
      <c r="K628" s="218" t="str">
        <v>AMI 1ph 2e</v>
      </c>
      <c r="L628" s="221" t="s">
        <v>85</v>
      </c>
      <c r="M628" s="260">
        <f t="shared" si="320"/>
        <v>43617</v>
      </c>
      <c r="N628" s="228"/>
      <c r="O628" s="261">
        <f t="shared" si="321"/>
        <v>0</v>
      </c>
      <c r="P628" s="435">
        <f t="shared" ref="P628:U628" si="324">P174+P405</f>
        <v>0</v>
      </c>
      <c r="Q628" s="437">
        <f t="shared" si="324"/>
        <v>0</v>
      </c>
      <c r="R628" s="261">
        <f t="shared" si="324"/>
        <v>0</v>
      </c>
      <c r="S628" s="261">
        <f t="shared" si="324"/>
        <v>0</v>
      </c>
      <c r="T628" s="261">
        <f t="shared" si="324"/>
        <v>0</v>
      </c>
      <c r="U628" s="261">
        <f t="shared" si="324"/>
        <v>0</v>
      </c>
      <c r="V628" s="231">
        <f t="shared" si="323"/>
        <v>0</v>
      </c>
    </row>
    <row r="629" spans="5:22" s="201" customFormat="1" ht="13" outlineLevel="1" x14ac:dyDescent="0.25">
      <c r="E629" s="229"/>
      <c r="F629" s="213" t="str">
        <v>AMI - 3 Phase DC</v>
      </c>
      <c r="G629" s="213" t="str">
        <v>Multi Phase Meter Population</v>
      </c>
      <c r="H629" s="213" t="str">
        <v>Direct Connect Meter Population</v>
      </c>
      <c r="I629" s="213" t="str">
        <v>Meter Type 4</v>
      </c>
      <c r="J629" s="218" t="str">
        <v>Three phase - AMI</v>
      </c>
      <c r="K629" s="218" t="str">
        <v>AMI 3ph DC</v>
      </c>
      <c r="L629" s="221" t="s">
        <v>85</v>
      </c>
      <c r="M629" s="260">
        <f t="shared" si="320"/>
        <v>43617</v>
      </c>
      <c r="N629" s="228"/>
      <c r="O629" s="261">
        <f t="shared" si="321"/>
        <v>0</v>
      </c>
      <c r="P629" s="435">
        <f t="shared" ref="P629:U629" si="325">P175+P406</f>
        <v>0</v>
      </c>
      <c r="Q629" s="437">
        <f t="shared" si="325"/>
        <v>0</v>
      </c>
      <c r="R629" s="261">
        <f t="shared" si="325"/>
        <v>0</v>
      </c>
      <c r="S629" s="261">
        <f t="shared" si="325"/>
        <v>0</v>
      </c>
      <c r="T629" s="261">
        <f t="shared" si="325"/>
        <v>0</v>
      </c>
      <c r="U629" s="261">
        <f t="shared" si="325"/>
        <v>0</v>
      </c>
      <c r="V629" s="231">
        <f t="shared" si="323"/>
        <v>0</v>
      </c>
    </row>
    <row r="630" spans="5:22" s="201" customFormat="1" ht="13" outlineLevel="1" x14ac:dyDescent="0.25">
      <c r="E630" s="229"/>
      <c r="F630" s="213" t="str">
        <v>AMI 3Ph CT</v>
      </c>
      <c r="G630" s="213" t="str">
        <v>Multi Phase Meter Population</v>
      </c>
      <c r="H630" s="213" t="str">
        <v>Current Transformer Connected Meter Population</v>
      </c>
      <c r="I630" s="213" t="str">
        <v>Meter Type 4</v>
      </c>
      <c r="J630" s="218">
        <v>0</v>
      </c>
      <c r="K630" s="218" t="str">
        <v>AMI 3ph CT</v>
      </c>
      <c r="L630" s="221" t="s">
        <v>85</v>
      </c>
      <c r="M630" s="260">
        <f t="shared" si="320"/>
        <v>43617</v>
      </c>
      <c r="N630" s="228"/>
      <c r="O630" s="261">
        <f t="shared" si="321"/>
        <v>0</v>
      </c>
      <c r="P630" s="435">
        <f t="shared" ref="P630:U630" si="326">P176+P407</f>
        <v>0</v>
      </c>
      <c r="Q630" s="437">
        <f t="shared" si="326"/>
        <v>0</v>
      </c>
      <c r="R630" s="261">
        <f t="shared" si="326"/>
        <v>0</v>
      </c>
      <c r="S630" s="261">
        <f t="shared" si="326"/>
        <v>0</v>
      </c>
      <c r="T630" s="261">
        <f t="shared" si="326"/>
        <v>0</v>
      </c>
      <c r="U630" s="261">
        <f t="shared" si="326"/>
        <v>0</v>
      </c>
      <c r="V630" s="231">
        <f t="shared" si="323"/>
        <v>0</v>
      </c>
    </row>
    <row r="631" spans="5:22" s="201" customFormat="1" ht="13" outlineLevel="1" x14ac:dyDescent="0.25">
      <c r="E631" s="229"/>
      <c r="F631" s="213" t="str">
        <v>Non AMI - Type 5 Locally read Interval - Single Phase</v>
      </c>
      <c r="G631" s="213" t="str">
        <v>Single Phase Meter Population</v>
      </c>
      <c r="H631" s="213" t="str">
        <v>Direct Connect Meter Population</v>
      </c>
      <c r="I631" s="213" t="str">
        <v>Meter Type 5</v>
      </c>
      <c r="J631" s="218">
        <v>0</v>
      </c>
      <c r="K631" s="218" t="str">
        <v>INT 1ph</v>
      </c>
      <c r="L631" s="221" t="s">
        <v>85</v>
      </c>
      <c r="M631" s="260">
        <f t="shared" si="320"/>
        <v>43617</v>
      </c>
      <c r="N631" s="228"/>
      <c r="O631" s="261">
        <f t="shared" si="321"/>
        <v>0</v>
      </c>
      <c r="P631" s="435">
        <f t="shared" ref="P631:U631" si="327">P177+P408</f>
        <v>0</v>
      </c>
      <c r="Q631" s="437">
        <f t="shared" si="327"/>
        <v>0</v>
      </c>
      <c r="R631" s="261">
        <f t="shared" si="327"/>
        <v>0</v>
      </c>
      <c r="S631" s="261">
        <f t="shared" si="327"/>
        <v>0</v>
      </c>
      <c r="T631" s="261">
        <f t="shared" si="327"/>
        <v>0</v>
      </c>
      <c r="U631" s="261">
        <f t="shared" si="327"/>
        <v>0</v>
      </c>
      <c r="V631" s="231">
        <f t="shared" si="323"/>
        <v>0</v>
      </c>
    </row>
    <row r="632" spans="5:22" s="201" customFormat="1" ht="13" outlineLevel="1" x14ac:dyDescent="0.25">
      <c r="E632" s="229"/>
      <c r="F632" s="213" t="str">
        <v>Non AMI - Type 5 Locally read Interval - 3 Phase</v>
      </c>
      <c r="G632" s="213" t="str">
        <v>Single Phase Meter Population</v>
      </c>
      <c r="H632" s="213" t="str">
        <v>Direct Connect Meter Population</v>
      </c>
      <c r="I632" s="213" t="str">
        <v>Meter Type 5</v>
      </c>
      <c r="J632" s="218">
        <v>0</v>
      </c>
      <c r="K632" s="218" t="str">
        <v>INT 3ph</v>
      </c>
      <c r="L632" s="221" t="s">
        <v>85</v>
      </c>
      <c r="M632" s="260">
        <f t="shared" si="320"/>
        <v>43617</v>
      </c>
      <c r="N632" s="228"/>
      <c r="O632" s="261">
        <f t="shared" si="321"/>
        <v>0</v>
      </c>
      <c r="P632" s="435">
        <f t="shared" ref="P632:U632" si="328">P178+P409</f>
        <v>0</v>
      </c>
      <c r="Q632" s="437">
        <f t="shared" si="328"/>
        <v>0</v>
      </c>
      <c r="R632" s="261">
        <f t="shared" si="328"/>
        <v>0</v>
      </c>
      <c r="S632" s="261">
        <f t="shared" si="328"/>
        <v>0</v>
      </c>
      <c r="T632" s="261">
        <f t="shared" si="328"/>
        <v>0</v>
      </c>
      <c r="U632" s="261">
        <f t="shared" si="328"/>
        <v>0</v>
      </c>
      <c r="V632" s="231">
        <f t="shared" si="323"/>
        <v>0</v>
      </c>
    </row>
    <row r="633" spans="5:22" s="201" customFormat="1" ht="13" outlineLevel="1" x14ac:dyDescent="0.25">
      <c r="E633" s="229"/>
      <c r="F633" s="213" t="str">
        <v>Non AMI - Type 5 Locally read Interval - 3 Phase - CT</v>
      </c>
      <c r="G633" s="213" t="str">
        <v>Multi Phase Meter Population</v>
      </c>
      <c r="H633" s="213" t="str">
        <v>Current Transformer Connected Meter Population</v>
      </c>
      <c r="I633" s="213" t="str">
        <v>Meter Type 5</v>
      </c>
      <c r="J633" s="218">
        <v>0</v>
      </c>
      <c r="K633" s="218" t="str">
        <v>INT 3ph CT</v>
      </c>
      <c r="L633" s="221" t="s">
        <v>85</v>
      </c>
      <c r="M633" s="260">
        <f t="shared" si="320"/>
        <v>43617</v>
      </c>
      <c r="N633" s="228"/>
      <c r="O633" s="261">
        <f t="shared" si="321"/>
        <v>0</v>
      </c>
      <c r="P633" s="435">
        <f t="shared" ref="P633:U633" si="329">P179+P410</f>
        <v>0</v>
      </c>
      <c r="Q633" s="437">
        <f t="shared" si="329"/>
        <v>0</v>
      </c>
      <c r="R633" s="261">
        <f t="shared" si="329"/>
        <v>0</v>
      </c>
      <c r="S633" s="261">
        <f t="shared" si="329"/>
        <v>0</v>
      </c>
      <c r="T633" s="261">
        <f t="shared" si="329"/>
        <v>0</v>
      </c>
      <c r="U633" s="261">
        <f t="shared" si="329"/>
        <v>0</v>
      </c>
      <c r="V633" s="231">
        <f t="shared" si="323"/>
        <v>0</v>
      </c>
    </row>
    <row r="634" spans="5:22" s="201" customFormat="1" ht="13" outlineLevel="1" x14ac:dyDescent="0.25">
      <c r="E634" s="229"/>
      <c r="F634" s="213" t="str">
        <v>Non AMI - Type 6 Locally read Accumulation - Single Phase</v>
      </c>
      <c r="G634" s="213" t="str">
        <v>Multi Phase Meter Population</v>
      </c>
      <c r="H634" s="213" t="str">
        <v>Direct Connect Meter Population</v>
      </c>
      <c r="I634" s="213" t="str">
        <v>Meter Type 6</v>
      </c>
      <c r="J634" s="218">
        <v>0</v>
      </c>
      <c r="K634" s="218" t="str">
        <v>ACC 1ph</v>
      </c>
      <c r="L634" s="221" t="s">
        <v>85</v>
      </c>
      <c r="M634" s="260">
        <f t="shared" si="320"/>
        <v>43617</v>
      </c>
      <c r="N634" s="228"/>
      <c r="O634" s="261">
        <f t="shared" si="321"/>
        <v>0</v>
      </c>
      <c r="P634" s="435">
        <f t="shared" ref="P634:U634" si="330">P180+P411</f>
        <v>0</v>
      </c>
      <c r="Q634" s="437">
        <f t="shared" si="330"/>
        <v>0</v>
      </c>
      <c r="R634" s="261">
        <f t="shared" si="330"/>
        <v>0</v>
      </c>
      <c r="S634" s="261">
        <f t="shared" si="330"/>
        <v>0</v>
      </c>
      <c r="T634" s="261">
        <f t="shared" si="330"/>
        <v>0</v>
      </c>
      <c r="U634" s="261">
        <f t="shared" si="330"/>
        <v>0</v>
      </c>
      <c r="V634" s="231">
        <f t="shared" si="323"/>
        <v>0</v>
      </c>
    </row>
    <row r="635" spans="5:22" s="201" customFormat="1" ht="13" outlineLevel="1" x14ac:dyDescent="0.25">
      <c r="E635" s="229"/>
      <c r="F635" s="213" t="str">
        <v>Non AMI - Type 6 Locally read Accumulation - 3 Phase</v>
      </c>
      <c r="G635" s="213">
        <v>0</v>
      </c>
      <c r="H635" s="213" t="str">
        <v>Direct Connect Meter Population</v>
      </c>
      <c r="I635" s="213" t="str">
        <v>Meter Type 6</v>
      </c>
      <c r="J635" s="218">
        <v>0</v>
      </c>
      <c r="K635" s="218" t="str">
        <v>ACC 3ph</v>
      </c>
      <c r="L635" s="221" t="s">
        <v>85</v>
      </c>
      <c r="M635" s="260">
        <f t="shared" si="320"/>
        <v>43617</v>
      </c>
      <c r="N635" s="228"/>
      <c r="O635" s="261">
        <f t="shared" si="321"/>
        <v>0</v>
      </c>
      <c r="P635" s="435">
        <f t="shared" ref="P635:U635" si="331">P181+P412</f>
        <v>0</v>
      </c>
      <c r="Q635" s="437">
        <f t="shared" si="331"/>
        <v>0</v>
      </c>
      <c r="R635" s="261">
        <f t="shared" si="331"/>
        <v>0</v>
      </c>
      <c r="S635" s="261">
        <f t="shared" si="331"/>
        <v>0</v>
      </c>
      <c r="T635" s="261">
        <f t="shared" si="331"/>
        <v>0</v>
      </c>
      <c r="U635" s="261">
        <f t="shared" si="331"/>
        <v>0</v>
      </c>
      <c r="V635" s="231">
        <f t="shared" si="323"/>
        <v>0</v>
      </c>
    </row>
    <row r="636" spans="5:22" s="201" customFormat="1" ht="13" outlineLevel="1" x14ac:dyDescent="0.25">
      <c r="E636" s="229"/>
      <c r="F636" s="213">
        <v>0</v>
      </c>
      <c r="G636" s="213">
        <v>0</v>
      </c>
      <c r="H636" s="213">
        <v>0</v>
      </c>
      <c r="I636" s="213">
        <v>0</v>
      </c>
      <c r="J636" s="218">
        <v>0</v>
      </c>
      <c r="K636" s="218">
        <v>0</v>
      </c>
      <c r="L636" s="221" t="s">
        <v>85</v>
      </c>
      <c r="M636" s="260">
        <f t="shared" si="320"/>
        <v>43617</v>
      </c>
      <c r="N636" s="228"/>
      <c r="O636" s="261">
        <f t="shared" si="321"/>
        <v>0</v>
      </c>
      <c r="P636" s="435">
        <f t="shared" ref="P636:U636" si="332">P182+P413</f>
        <v>0</v>
      </c>
      <c r="Q636" s="437">
        <f t="shared" si="332"/>
        <v>0</v>
      </c>
      <c r="R636" s="261">
        <f t="shared" si="332"/>
        <v>0</v>
      </c>
      <c r="S636" s="261">
        <f t="shared" si="332"/>
        <v>0</v>
      </c>
      <c r="T636" s="261">
        <f t="shared" si="332"/>
        <v>0</v>
      </c>
      <c r="U636" s="261">
        <f t="shared" si="332"/>
        <v>0</v>
      </c>
      <c r="V636" s="231">
        <f t="shared" si="323"/>
        <v>0</v>
      </c>
    </row>
    <row r="637" spans="5:22" s="201" customFormat="1" ht="13" outlineLevel="1" x14ac:dyDescent="0.25">
      <c r="E637" s="229"/>
      <c r="F637" s="213">
        <v>0</v>
      </c>
      <c r="G637" s="213">
        <v>0</v>
      </c>
      <c r="H637" s="213">
        <v>0</v>
      </c>
      <c r="I637" s="213">
        <v>0</v>
      </c>
      <c r="J637" s="218">
        <v>0</v>
      </c>
      <c r="K637" s="218">
        <v>0</v>
      </c>
      <c r="L637" s="221" t="s">
        <v>85</v>
      </c>
      <c r="M637" s="260">
        <f t="shared" si="320"/>
        <v>43617</v>
      </c>
      <c r="N637" s="228"/>
      <c r="O637" s="261">
        <f t="shared" si="321"/>
        <v>0</v>
      </c>
      <c r="P637" s="435">
        <f t="shared" ref="P637:U637" si="333">P183+P414</f>
        <v>0</v>
      </c>
      <c r="Q637" s="437">
        <f t="shared" si="333"/>
        <v>0</v>
      </c>
      <c r="R637" s="261">
        <f t="shared" si="333"/>
        <v>0</v>
      </c>
      <c r="S637" s="261">
        <f t="shared" si="333"/>
        <v>0</v>
      </c>
      <c r="T637" s="261">
        <f t="shared" si="333"/>
        <v>0</v>
      </c>
      <c r="U637" s="261">
        <f t="shared" si="333"/>
        <v>0</v>
      </c>
      <c r="V637" s="231">
        <f t="shared" si="323"/>
        <v>0</v>
      </c>
    </row>
    <row r="638" spans="5:22" s="201" customFormat="1" ht="13" outlineLevel="1" x14ac:dyDescent="0.25">
      <c r="E638" s="229"/>
      <c r="F638" s="213">
        <v>0</v>
      </c>
      <c r="G638" s="213">
        <v>0</v>
      </c>
      <c r="H638" s="213">
        <v>0</v>
      </c>
      <c r="I638" s="213">
        <v>0</v>
      </c>
      <c r="J638" s="218">
        <v>0</v>
      </c>
      <c r="K638" s="218">
        <v>0</v>
      </c>
      <c r="L638" s="221" t="s">
        <v>85</v>
      </c>
      <c r="M638" s="260">
        <f t="shared" si="320"/>
        <v>43617</v>
      </c>
      <c r="N638" s="228"/>
      <c r="O638" s="261">
        <f t="shared" si="321"/>
        <v>0</v>
      </c>
      <c r="P638" s="435">
        <f t="shared" ref="P638:U638" si="334">P184+P415</f>
        <v>0</v>
      </c>
      <c r="Q638" s="437">
        <f t="shared" si="334"/>
        <v>0</v>
      </c>
      <c r="R638" s="261">
        <f t="shared" si="334"/>
        <v>0</v>
      </c>
      <c r="S638" s="261">
        <f t="shared" si="334"/>
        <v>0</v>
      </c>
      <c r="T638" s="261">
        <f t="shared" si="334"/>
        <v>0</v>
      </c>
      <c r="U638" s="261">
        <f t="shared" si="334"/>
        <v>0</v>
      </c>
      <c r="V638" s="231">
        <f t="shared" si="323"/>
        <v>0</v>
      </c>
    </row>
    <row r="639" spans="5:22" s="201" customFormat="1" ht="13" outlineLevel="1" x14ac:dyDescent="0.25">
      <c r="E639" s="229"/>
      <c r="F639" s="213">
        <v>0</v>
      </c>
      <c r="G639" s="213">
        <v>0</v>
      </c>
      <c r="H639" s="213">
        <v>0</v>
      </c>
      <c r="I639" s="213">
        <v>0</v>
      </c>
      <c r="J639" s="218">
        <v>0</v>
      </c>
      <c r="K639" s="218">
        <v>0</v>
      </c>
      <c r="L639" s="221" t="s">
        <v>85</v>
      </c>
      <c r="M639" s="260">
        <f t="shared" si="320"/>
        <v>43617</v>
      </c>
      <c r="N639" s="228"/>
      <c r="O639" s="261">
        <f t="shared" si="321"/>
        <v>0</v>
      </c>
      <c r="P639" s="435">
        <f t="shared" ref="P639:U639" si="335">P185+P416</f>
        <v>0</v>
      </c>
      <c r="Q639" s="437">
        <f t="shared" si="335"/>
        <v>0</v>
      </c>
      <c r="R639" s="261">
        <f t="shared" si="335"/>
        <v>0</v>
      </c>
      <c r="S639" s="261">
        <f t="shared" si="335"/>
        <v>0</v>
      </c>
      <c r="T639" s="261">
        <f t="shared" si="335"/>
        <v>0</v>
      </c>
      <c r="U639" s="261">
        <f t="shared" si="335"/>
        <v>0</v>
      </c>
      <c r="V639" s="231">
        <f t="shared" si="323"/>
        <v>0</v>
      </c>
    </row>
    <row r="640" spans="5:22" s="201" customFormat="1" ht="13" outlineLevel="1" x14ac:dyDescent="0.25">
      <c r="E640" s="229"/>
      <c r="F640" s="213">
        <v>0</v>
      </c>
      <c r="G640" s="213">
        <v>0</v>
      </c>
      <c r="H640" s="213">
        <v>0</v>
      </c>
      <c r="I640" s="213">
        <v>0</v>
      </c>
      <c r="J640" s="218">
        <v>0</v>
      </c>
      <c r="K640" s="218">
        <v>0</v>
      </c>
      <c r="L640" s="221" t="s">
        <v>85</v>
      </c>
      <c r="M640" s="260">
        <f t="shared" si="320"/>
        <v>43617</v>
      </c>
      <c r="N640" s="228"/>
      <c r="O640" s="261">
        <f t="shared" si="321"/>
        <v>0</v>
      </c>
      <c r="P640" s="435">
        <f t="shared" ref="P640:U640" si="336">P186+P417</f>
        <v>0</v>
      </c>
      <c r="Q640" s="437">
        <f t="shared" si="336"/>
        <v>0</v>
      </c>
      <c r="R640" s="261">
        <f t="shared" si="336"/>
        <v>0</v>
      </c>
      <c r="S640" s="261">
        <f t="shared" si="336"/>
        <v>0</v>
      </c>
      <c r="T640" s="261">
        <f t="shared" si="336"/>
        <v>0</v>
      </c>
      <c r="U640" s="261">
        <f t="shared" si="336"/>
        <v>0</v>
      </c>
      <c r="V640" s="231">
        <f t="shared" si="323"/>
        <v>0</v>
      </c>
    </row>
    <row r="641" spans="4:22" s="201" customFormat="1" ht="13" outlineLevel="1" x14ac:dyDescent="0.25">
      <c r="E641" s="229"/>
      <c r="F641" s="213">
        <v>0</v>
      </c>
      <c r="G641" s="213">
        <v>0</v>
      </c>
      <c r="H641" s="213">
        <v>0</v>
      </c>
      <c r="I641" s="213">
        <v>0</v>
      </c>
      <c r="J641" s="218">
        <v>0</v>
      </c>
      <c r="K641" s="218">
        <v>0</v>
      </c>
      <c r="L641" s="221" t="s">
        <v>85</v>
      </c>
      <c r="M641" s="260">
        <f t="shared" si="320"/>
        <v>43617</v>
      </c>
      <c r="N641" s="228"/>
      <c r="O641" s="261">
        <f t="shared" si="321"/>
        <v>0</v>
      </c>
      <c r="P641" s="435">
        <f t="shared" ref="P641:U641" si="337">P187+P418</f>
        <v>0</v>
      </c>
      <c r="Q641" s="437">
        <f t="shared" si="337"/>
        <v>0</v>
      </c>
      <c r="R641" s="261">
        <f t="shared" si="337"/>
        <v>0</v>
      </c>
      <c r="S641" s="261">
        <f t="shared" si="337"/>
        <v>0</v>
      </c>
      <c r="T641" s="261">
        <f t="shared" si="337"/>
        <v>0</v>
      </c>
      <c r="U641" s="261">
        <f t="shared" si="337"/>
        <v>0</v>
      </c>
      <c r="V641" s="231">
        <f t="shared" si="323"/>
        <v>0</v>
      </c>
    </row>
    <row r="642" spans="4:22" s="201" customFormat="1" ht="13" outlineLevel="1" x14ac:dyDescent="0.25">
      <c r="E642" s="229"/>
      <c r="F642" s="151" t="s">
        <v>17</v>
      </c>
      <c r="G642" s="151"/>
      <c r="H642" s="151"/>
      <c r="I642" s="151"/>
      <c r="J642" s="151"/>
      <c r="K642" s="151"/>
      <c r="L642" s="247" t="s">
        <v>85</v>
      </c>
      <c r="M642" s="253">
        <f t="shared" si="320"/>
        <v>43617</v>
      </c>
      <c r="N642" s="228"/>
      <c r="O642" s="232">
        <f t="shared" ref="O642" si="338">SUM(O627:O641)</f>
        <v>0</v>
      </c>
      <c r="P642" s="289">
        <f t="shared" ref="P642:U642" si="339">SUM(P627:P641)</f>
        <v>0</v>
      </c>
      <c r="Q642" s="290">
        <f t="shared" si="339"/>
        <v>0</v>
      </c>
      <c r="R642" s="232">
        <f t="shared" si="339"/>
        <v>0</v>
      </c>
      <c r="S642" s="232">
        <f t="shared" si="339"/>
        <v>0</v>
      </c>
      <c r="T642" s="232">
        <f t="shared" si="339"/>
        <v>0</v>
      </c>
      <c r="U642" s="232">
        <f t="shared" si="339"/>
        <v>0</v>
      </c>
      <c r="V642" s="233">
        <f>SUM(Q642:U642)</f>
        <v>0</v>
      </c>
    </row>
    <row r="643" spans="4:22" s="201" customFormat="1" outlineLevel="1" x14ac:dyDescent="0.25">
      <c r="E643" s="229"/>
      <c r="N643" s="228"/>
    </row>
    <row r="644" spans="4:22" s="201" customFormat="1" outlineLevel="1" x14ac:dyDescent="0.25">
      <c r="D644" s="201">
        <v>10</v>
      </c>
      <c r="E644" s="229" t="str">
        <f>'Input | Meters Vols &amp; Costs'!$G$38</f>
        <v>Meter abolishments</v>
      </c>
      <c r="N644" s="228"/>
    </row>
    <row r="645" spans="4:22" s="201" customFormat="1" outlineLevel="1" x14ac:dyDescent="0.25">
      <c r="E645" s="229"/>
      <c r="N645" s="228"/>
      <c r="O645"/>
      <c r="P645"/>
      <c r="Q645"/>
      <c r="R645"/>
      <c r="S645"/>
      <c r="T645"/>
      <c r="U645"/>
    </row>
    <row r="646" spans="4:22" s="201" customFormat="1" ht="13" outlineLevel="1" x14ac:dyDescent="0.25">
      <c r="E646" s="229"/>
      <c r="F646" s="121" t="str">
        <f>I_MeterTypes[[#Headers],[Meter Type]]</f>
        <v>Meter Type</v>
      </c>
      <c r="G646" s="121" t="str">
        <f>I_MeterTypes[[#Headers],[RIN Subcategory 1]]</f>
        <v>RIN Subcategory 1</v>
      </c>
      <c r="H646" s="121" t="str">
        <f>I_MeterTypes[[#Headers],[RIN Subcategory 2]]</f>
        <v>RIN Subcategory 2</v>
      </c>
      <c r="I646" s="121" t="str">
        <f>I_MeterTypes[[#Headers],[AER Type]]</f>
        <v>AER Type</v>
      </c>
      <c r="J646" s="121" t="str">
        <f>I_MeterTypes[[#Headers],[RIN Subcategory 3]]</f>
        <v>RIN Subcategory 3</v>
      </c>
      <c r="K646" s="121" t="str">
        <f>I_MeterTypes[[#Headers],[Meter Code]]</f>
        <v>Meter Code</v>
      </c>
      <c r="L646" s="121" t="s">
        <v>6</v>
      </c>
      <c r="M646" s="121" t="s">
        <v>118</v>
      </c>
      <c r="N646" s="228"/>
      <c r="O646" s="234" t="str">
        <f>O$12</f>
        <v>2018-19</v>
      </c>
      <c r="P646" s="234" t="str">
        <f t="shared" ref="P646:U646" si="340">P$12</f>
        <v>2019-20</v>
      </c>
      <c r="Q646" s="436" t="str">
        <f t="shared" si="340"/>
        <v>2020-21</v>
      </c>
      <c r="R646" s="234" t="str">
        <f t="shared" si="340"/>
        <v>2021-22</v>
      </c>
      <c r="S646" s="234" t="str">
        <f t="shared" si="340"/>
        <v>2022-23</v>
      </c>
      <c r="T646" s="234" t="str">
        <f t="shared" si="340"/>
        <v>2023-24</v>
      </c>
      <c r="U646" s="234" t="str">
        <f t="shared" si="340"/>
        <v>2024-25</v>
      </c>
      <c r="V646" s="234" t="s">
        <v>17</v>
      </c>
    </row>
    <row r="647" spans="4:22" s="201" customFormat="1" ht="13" outlineLevel="1" x14ac:dyDescent="0.25">
      <c r="E647" s="229"/>
      <c r="F647" s="213" t="str" cm="1">
        <f t="array" ref="F647:F661">I_MeterTypes[Meter Type]</f>
        <v>AMI - Single Phase, single element</v>
      </c>
      <c r="G647" s="213" t="str" cm="1">
        <f t="array" ref="G647:G661">I_MeterTypes[RIN Subcategory 1]</f>
        <v>Single Phase Meter Population</v>
      </c>
      <c r="H647" s="213" t="str" cm="1">
        <f t="array" ref="H647:H661">I_MeterTypes[RIN Subcategory 2]</f>
        <v>Other</v>
      </c>
      <c r="I647" s="213" t="str" cm="1">
        <f t="array" ref="I647:I661">I_MeterTypes[AER Type]</f>
        <v>Meter Type 4</v>
      </c>
      <c r="J647" s="213" t="str" cm="1">
        <f t="array" ref="J647:J661">I_MeterTypes[RIN Subcategory 3]</f>
        <v>Single phase single element - AMI</v>
      </c>
      <c r="K647" s="213" t="str" cm="1">
        <f t="array" ref="K647:K661">I_MeterTypes[Meter Code]</f>
        <v>AMI 1ph 1e</v>
      </c>
      <c r="L647" s="221" t="s">
        <v>85</v>
      </c>
      <c r="M647" s="260">
        <f t="shared" ref="M647:M662" si="341">Basis_Capex</f>
        <v>43617</v>
      </c>
      <c r="N647" s="228"/>
      <c r="O647" s="261">
        <f t="shared" ref="O647:O661" si="342">O193+O424</f>
        <v>0</v>
      </c>
      <c r="P647" s="435">
        <f t="shared" ref="P647:U647" si="343">P193+P424</f>
        <v>0</v>
      </c>
      <c r="Q647" s="437">
        <f t="shared" si="343"/>
        <v>0</v>
      </c>
      <c r="R647" s="261">
        <f t="shared" si="343"/>
        <v>0</v>
      </c>
      <c r="S647" s="261">
        <f t="shared" si="343"/>
        <v>0</v>
      </c>
      <c r="T647" s="261">
        <f t="shared" si="343"/>
        <v>0</v>
      </c>
      <c r="U647" s="261">
        <f t="shared" si="343"/>
        <v>0</v>
      </c>
      <c r="V647" s="231">
        <f t="shared" ref="V647:V661" si="344">SUM(N647:U647)</f>
        <v>0</v>
      </c>
    </row>
    <row r="648" spans="4:22" s="201" customFormat="1" ht="13" outlineLevel="1" x14ac:dyDescent="0.25">
      <c r="E648" s="229"/>
      <c r="F648" s="213" t="str">
        <v>AMI - Single Phase, two element</v>
      </c>
      <c r="G648" s="213" t="str">
        <v>Single Phase Meter Population</v>
      </c>
      <c r="H648" s="213" t="str">
        <v>Other</v>
      </c>
      <c r="I648" s="213" t="str">
        <v>Meter Type 4</v>
      </c>
      <c r="J648" s="218" t="str">
        <v>Single phase two element with contactor - AMI</v>
      </c>
      <c r="K648" s="218" t="str">
        <v>AMI 1ph 2e</v>
      </c>
      <c r="L648" s="221" t="s">
        <v>85</v>
      </c>
      <c r="M648" s="260">
        <f t="shared" si="341"/>
        <v>43617</v>
      </c>
      <c r="N648" s="228"/>
      <c r="O648" s="261">
        <f t="shared" si="342"/>
        <v>0</v>
      </c>
      <c r="P648" s="435">
        <f t="shared" ref="P648:U648" si="345">P194+P425</f>
        <v>0</v>
      </c>
      <c r="Q648" s="437">
        <f t="shared" si="345"/>
        <v>0</v>
      </c>
      <c r="R648" s="261">
        <f t="shared" si="345"/>
        <v>0</v>
      </c>
      <c r="S648" s="261">
        <f t="shared" si="345"/>
        <v>0</v>
      </c>
      <c r="T648" s="261">
        <f t="shared" si="345"/>
        <v>0</v>
      </c>
      <c r="U648" s="261">
        <f t="shared" si="345"/>
        <v>0</v>
      </c>
      <c r="V648" s="231">
        <f t="shared" si="344"/>
        <v>0</v>
      </c>
    </row>
    <row r="649" spans="4:22" s="201" customFormat="1" ht="13" outlineLevel="1" x14ac:dyDescent="0.25">
      <c r="E649" s="229"/>
      <c r="F649" s="213" t="str">
        <v>AMI - 3 Phase DC</v>
      </c>
      <c r="G649" s="213" t="str">
        <v>Multi Phase Meter Population</v>
      </c>
      <c r="H649" s="213" t="str">
        <v>Direct Connect Meter Population</v>
      </c>
      <c r="I649" s="213" t="str">
        <v>Meter Type 4</v>
      </c>
      <c r="J649" s="218" t="str">
        <v>Three phase - AMI</v>
      </c>
      <c r="K649" s="218" t="str">
        <v>AMI 3ph DC</v>
      </c>
      <c r="L649" s="221" t="s">
        <v>85</v>
      </c>
      <c r="M649" s="260">
        <f t="shared" si="341"/>
        <v>43617</v>
      </c>
      <c r="N649" s="228"/>
      <c r="O649" s="261">
        <f t="shared" si="342"/>
        <v>0</v>
      </c>
      <c r="P649" s="435">
        <f t="shared" ref="P649:U649" si="346">P195+P426</f>
        <v>0</v>
      </c>
      <c r="Q649" s="437">
        <f t="shared" si="346"/>
        <v>0</v>
      </c>
      <c r="R649" s="261">
        <f t="shared" si="346"/>
        <v>0</v>
      </c>
      <c r="S649" s="261">
        <f t="shared" si="346"/>
        <v>0</v>
      </c>
      <c r="T649" s="261">
        <f t="shared" si="346"/>
        <v>0</v>
      </c>
      <c r="U649" s="261">
        <f t="shared" si="346"/>
        <v>0</v>
      </c>
      <c r="V649" s="231">
        <f t="shared" si="344"/>
        <v>0</v>
      </c>
    </row>
    <row r="650" spans="4:22" s="201" customFormat="1" ht="13" outlineLevel="1" x14ac:dyDescent="0.25">
      <c r="E650" s="229"/>
      <c r="F650" s="213" t="str">
        <v>AMI 3Ph CT</v>
      </c>
      <c r="G650" s="213" t="str">
        <v>Multi Phase Meter Population</v>
      </c>
      <c r="H650" s="213" t="str">
        <v>Current Transformer Connected Meter Population</v>
      </c>
      <c r="I650" s="213" t="str">
        <v>Meter Type 4</v>
      </c>
      <c r="J650" s="218">
        <v>0</v>
      </c>
      <c r="K650" s="218" t="str">
        <v>AMI 3ph CT</v>
      </c>
      <c r="L650" s="221" t="s">
        <v>85</v>
      </c>
      <c r="M650" s="260">
        <f t="shared" si="341"/>
        <v>43617</v>
      </c>
      <c r="N650" s="228"/>
      <c r="O650" s="261">
        <f t="shared" si="342"/>
        <v>0</v>
      </c>
      <c r="P650" s="435">
        <f t="shared" ref="P650:U650" si="347">P196+P427</f>
        <v>0</v>
      </c>
      <c r="Q650" s="437">
        <f t="shared" si="347"/>
        <v>0</v>
      </c>
      <c r="R650" s="261">
        <f t="shared" si="347"/>
        <v>0</v>
      </c>
      <c r="S650" s="261">
        <f t="shared" si="347"/>
        <v>0</v>
      </c>
      <c r="T650" s="261">
        <f t="shared" si="347"/>
        <v>0</v>
      </c>
      <c r="U650" s="261">
        <f t="shared" si="347"/>
        <v>0</v>
      </c>
      <c r="V650" s="231">
        <f t="shared" si="344"/>
        <v>0</v>
      </c>
    </row>
    <row r="651" spans="4:22" s="201" customFormat="1" ht="13" outlineLevel="1" x14ac:dyDescent="0.25">
      <c r="E651" s="229"/>
      <c r="F651" s="213" t="str">
        <v>Non AMI - Type 5 Locally read Interval - Single Phase</v>
      </c>
      <c r="G651" s="213" t="str">
        <v>Single Phase Meter Population</v>
      </c>
      <c r="H651" s="213" t="str">
        <v>Direct Connect Meter Population</v>
      </c>
      <c r="I651" s="213" t="str">
        <v>Meter Type 5</v>
      </c>
      <c r="J651" s="218">
        <v>0</v>
      </c>
      <c r="K651" s="218" t="str">
        <v>INT 1ph</v>
      </c>
      <c r="L651" s="221" t="s">
        <v>85</v>
      </c>
      <c r="M651" s="260">
        <f t="shared" si="341"/>
        <v>43617</v>
      </c>
      <c r="N651" s="228"/>
      <c r="O651" s="261">
        <f t="shared" si="342"/>
        <v>0</v>
      </c>
      <c r="P651" s="435">
        <f t="shared" ref="P651:U651" si="348">P197+P428</f>
        <v>0</v>
      </c>
      <c r="Q651" s="437">
        <f t="shared" si="348"/>
        <v>0</v>
      </c>
      <c r="R651" s="261">
        <f t="shared" si="348"/>
        <v>0</v>
      </c>
      <c r="S651" s="261">
        <f t="shared" si="348"/>
        <v>0</v>
      </c>
      <c r="T651" s="261">
        <f t="shared" si="348"/>
        <v>0</v>
      </c>
      <c r="U651" s="261">
        <f t="shared" si="348"/>
        <v>0</v>
      </c>
      <c r="V651" s="231">
        <f t="shared" si="344"/>
        <v>0</v>
      </c>
    </row>
    <row r="652" spans="4:22" s="201" customFormat="1" ht="13" outlineLevel="1" x14ac:dyDescent="0.25">
      <c r="E652" s="229"/>
      <c r="F652" s="213" t="str">
        <v>Non AMI - Type 5 Locally read Interval - 3 Phase</v>
      </c>
      <c r="G652" s="213" t="str">
        <v>Single Phase Meter Population</v>
      </c>
      <c r="H652" s="213" t="str">
        <v>Direct Connect Meter Population</v>
      </c>
      <c r="I652" s="213" t="str">
        <v>Meter Type 5</v>
      </c>
      <c r="J652" s="218">
        <v>0</v>
      </c>
      <c r="K652" s="218" t="str">
        <v>INT 3ph</v>
      </c>
      <c r="L652" s="221" t="s">
        <v>85</v>
      </c>
      <c r="M652" s="260">
        <f t="shared" si="341"/>
        <v>43617</v>
      </c>
      <c r="N652" s="228"/>
      <c r="O652" s="261">
        <f t="shared" si="342"/>
        <v>0</v>
      </c>
      <c r="P652" s="435">
        <f t="shared" ref="P652:U652" si="349">P198+P429</f>
        <v>0</v>
      </c>
      <c r="Q652" s="437">
        <f t="shared" si="349"/>
        <v>0</v>
      </c>
      <c r="R652" s="261">
        <f t="shared" si="349"/>
        <v>0</v>
      </c>
      <c r="S652" s="261">
        <f t="shared" si="349"/>
        <v>0</v>
      </c>
      <c r="T652" s="261">
        <f t="shared" si="349"/>
        <v>0</v>
      </c>
      <c r="U652" s="261">
        <f t="shared" si="349"/>
        <v>0</v>
      </c>
      <c r="V652" s="231">
        <f t="shared" si="344"/>
        <v>0</v>
      </c>
    </row>
    <row r="653" spans="4:22" s="201" customFormat="1" ht="13" outlineLevel="1" x14ac:dyDescent="0.25">
      <c r="E653" s="229"/>
      <c r="F653" s="213" t="str">
        <v>Non AMI - Type 5 Locally read Interval - 3 Phase - CT</v>
      </c>
      <c r="G653" s="213" t="str">
        <v>Multi Phase Meter Population</v>
      </c>
      <c r="H653" s="213" t="str">
        <v>Current Transformer Connected Meter Population</v>
      </c>
      <c r="I653" s="213" t="str">
        <v>Meter Type 5</v>
      </c>
      <c r="J653" s="218">
        <v>0</v>
      </c>
      <c r="K653" s="218" t="str">
        <v>INT 3ph CT</v>
      </c>
      <c r="L653" s="221" t="s">
        <v>85</v>
      </c>
      <c r="M653" s="260">
        <f t="shared" si="341"/>
        <v>43617</v>
      </c>
      <c r="N653" s="228"/>
      <c r="O653" s="261">
        <f t="shared" si="342"/>
        <v>0</v>
      </c>
      <c r="P653" s="435">
        <f t="shared" ref="P653:U653" si="350">P199+P430</f>
        <v>0</v>
      </c>
      <c r="Q653" s="437">
        <f t="shared" si="350"/>
        <v>0</v>
      </c>
      <c r="R653" s="261">
        <f t="shared" si="350"/>
        <v>0</v>
      </c>
      <c r="S653" s="261">
        <f t="shared" si="350"/>
        <v>0</v>
      </c>
      <c r="T653" s="261">
        <f t="shared" si="350"/>
        <v>0</v>
      </c>
      <c r="U653" s="261">
        <f t="shared" si="350"/>
        <v>0</v>
      </c>
      <c r="V653" s="231">
        <f t="shared" si="344"/>
        <v>0</v>
      </c>
    </row>
    <row r="654" spans="4:22" s="201" customFormat="1" ht="13" outlineLevel="1" x14ac:dyDescent="0.25">
      <c r="E654" s="229"/>
      <c r="F654" s="213" t="str">
        <v>Non AMI - Type 6 Locally read Accumulation - Single Phase</v>
      </c>
      <c r="G654" s="213" t="str">
        <v>Multi Phase Meter Population</v>
      </c>
      <c r="H654" s="213" t="str">
        <v>Direct Connect Meter Population</v>
      </c>
      <c r="I654" s="213" t="str">
        <v>Meter Type 6</v>
      </c>
      <c r="J654" s="218">
        <v>0</v>
      </c>
      <c r="K654" s="218" t="str">
        <v>ACC 1ph</v>
      </c>
      <c r="L654" s="221" t="s">
        <v>85</v>
      </c>
      <c r="M654" s="260">
        <f t="shared" si="341"/>
        <v>43617</v>
      </c>
      <c r="N654" s="228"/>
      <c r="O654" s="261">
        <f t="shared" si="342"/>
        <v>0</v>
      </c>
      <c r="P654" s="435">
        <f t="shared" ref="P654:U654" si="351">P200+P431</f>
        <v>0</v>
      </c>
      <c r="Q654" s="437">
        <f t="shared" si="351"/>
        <v>0</v>
      </c>
      <c r="R654" s="261">
        <f t="shared" si="351"/>
        <v>0</v>
      </c>
      <c r="S654" s="261">
        <f t="shared" si="351"/>
        <v>0</v>
      </c>
      <c r="T654" s="261">
        <f t="shared" si="351"/>
        <v>0</v>
      </c>
      <c r="U654" s="261">
        <f t="shared" si="351"/>
        <v>0</v>
      </c>
      <c r="V654" s="231">
        <f t="shared" si="344"/>
        <v>0</v>
      </c>
    </row>
    <row r="655" spans="4:22" s="201" customFormat="1" ht="13" outlineLevel="1" x14ac:dyDescent="0.25">
      <c r="E655" s="229"/>
      <c r="F655" s="213" t="str">
        <v>Non AMI - Type 6 Locally read Accumulation - 3 Phase</v>
      </c>
      <c r="G655" s="213">
        <v>0</v>
      </c>
      <c r="H655" s="213" t="str">
        <v>Direct Connect Meter Population</v>
      </c>
      <c r="I655" s="213" t="str">
        <v>Meter Type 6</v>
      </c>
      <c r="J655" s="218">
        <v>0</v>
      </c>
      <c r="K655" s="218" t="str">
        <v>ACC 3ph</v>
      </c>
      <c r="L655" s="221" t="s">
        <v>85</v>
      </c>
      <c r="M655" s="260">
        <f t="shared" si="341"/>
        <v>43617</v>
      </c>
      <c r="N655" s="228"/>
      <c r="O655" s="261">
        <f t="shared" si="342"/>
        <v>0</v>
      </c>
      <c r="P655" s="435">
        <f t="shared" ref="P655:U655" si="352">P201+P432</f>
        <v>0</v>
      </c>
      <c r="Q655" s="437">
        <f t="shared" si="352"/>
        <v>0</v>
      </c>
      <c r="R655" s="261">
        <f t="shared" si="352"/>
        <v>0</v>
      </c>
      <c r="S655" s="261">
        <f t="shared" si="352"/>
        <v>0</v>
      </c>
      <c r="T655" s="261">
        <f t="shared" si="352"/>
        <v>0</v>
      </c>
      <c r="U655" s="261">
        <f t="shared" si="352"/>
        <v>0</v>
      </c>
      <c r="V655" s="231">
        <f t="shared" si="344"/>
        <v>0</v>
      </c>
    </row>
    <row r="656" spans="4:22" s="201" customFormat="1" ht="13" outlineLevel="1" x14ac:dyDescent="0.25">
      <c r="E656" s="229"/>
      <c r="F656" s="213">
        <v>0</v>
      </c>
      <c r="G656" s="213">
        <v>0</v>
      </c>
      <c r="H656" s="213">
        <v>0</v>
      </c>
      <c r="I656" s="213">
        <v>0</v>
      </c>
      <c r="J656" s="218">
        <v>0</v>
      </c>
      <c r="K656" s="218">
        <v>0</v>
      </c>
      <c r="L656" s="221" t="s">
        <v>85</v>
      </c>
      <c r="M656" s="260">
        <f t="shared" si="341"/>
        <v>43617</v>
      </c>
      <c r="N656" s="228"/>
      <c r="O656" s="261">
        <f t="shared" si="342"/>
        <v>0</v>
      </c>
      <c r="P656" s="435">
        <f t="shared" ref="P656:U656" si="353">P202+P433</f>
        <v>0</v>
      </c>
      <c r="Q656" s="437">
        <f t="shared" si="353"/>
        <v>0</v>
      </c>
      <c r="R656" s="261">
        <f t="shared" si="353"/>
        <v>0</v>
      </c>
      <c r="S656" s="261">
        <f t="shared" si="353"/>
        <v>0</v>
      </c>
      <c r="T656" s="261">
        <f t="shared" si="353"/>
        <v>0</v>
      </c>
      <c r="U656" s="261">
        <f t="shared" si="353"/>
        <v>0</v>
      </c>
      <c r="V656" s="231">
        <f t="shared" si="344"/>
        <v>0</v>
      </c>
    </row>
    <row r="657" spans="5:22" s="201" customFormat="1" ht="13" outlineLevel="1" x14ac:dyDescent="0.25">
      <c r="E657" s="229"/>
      <c r="F657" s="213">
        <v>0</v>
      </c>
      <c r="G657" s="213">
        <v>0</v>
      </c>
      <c r="H657" s="213">
        <v>0</v>
      </c>
      <c r="I657" s="213">
        <v>0</v>
      </c>
      <c r="J657" s="218">
        <v>0</v>
      </c>
      <c r="K657" s="218">
        <v>0</v>
      </c>
      <c r="L657" s="221" t="s">
        <v>85</v>
      </c>
      <c r="M657" s="260">
        <f t="shared" si="341"/>
        <v>43617</v>
      </c>
      <c r="N657" s="228"/>
      <c r="O657" s="261">
        <f t="shared" si="342"/>
        <v>0</v>
      </c>
      <c r="P657" s="435">
        <f t="shared" ref="P657:U657" si="354">P203+P434</f>
        <v>0</v>
      </c>
      <c r="Q657" s="437">
        <f t="shared" si="354"/>
        <v>0</v>
      </c>
      <c r="R657" s="261">
        <f t="shared" si="354"/>
        <v>0</v>
      </c>
      <c r="S657" s="261">
        <f t="shared" si="354"/>
        <v>0</v>
      </c>
      <c r="T657" s="261">
        <f t="shared" si="354"/>
        <v>0</v>
      </c>
      <c r="U657" s="261">
        <f t="shared" si="354"/>
        <v>0</v>
      </c>
      <c r="V657" s="231">
        <f t="shared" si="344"/>
        <v>0</v>
      </c>
    </row>
    <row r="658" spans="5:22" s="201" customFormat="1" ht="13" outlineLevel="1" x14ac:dyDescent="0.25">
      <c r="E658" s="229"/>
      <c r="F658" s="213">
        <v>0</v>
      </c>
      <c r="G658" s="213">
        <v>0</v>
      </c>
      <c r="H658" s="213">
        <v>0</v>
      </c>
      <c r="I658" s="213">
        <v>0</v>
      </c>
      <c r="J658" s="218">
        <v>0</v>
      </c>
      <c r="K658" s="218">
        <v>0</v>
      </c>
      <c r="L658" s="221" t="s">
        <v>85</v>
      </c>
      <c r="M658" s="260">
        <f t="shared" si="341"/>
        <v>43617</v>
      </c>
      <c r="N658" s="228"/>
      <c r="O658" s="261">
        <f t="shared" si="342"/>
        <v>0</v>
      </c>
      <c r="P658" s="435">
        <f t="shared" ref="P658:U658" si="355">P204+P435</f>
        <v>0</v>
      </c>
      <c r="Q658" s="437">
        <f t="shared" si="355"/>
        <v>0</v>
      </c>
      <c r="R658" s="261">
        <f t="shared" si="355"/>
        <v>0</v>
      </c>
      <c r="S658" s="261">
        <f t="shared" si="355"/>
        <v>0</v>
      </c>
      <c r="T658" s="261">
        <f t="shared" si="355"/>
        <v>0</v>
      </c>
      <c r="U658" s="261">
        <f t="shared" si="355"/>
        <v>0</v>
      </c>
      <c r="V658" s="231">
        <f t="shared" si="344"/>
        <v>0</v>
      </c>
    </row>
    <row r="659" spans="5:22" s="201" customFormat="1" ht="13" outlineLevel="1" x14ac:dyDescent="0.25">
      <c r="E659" s="229"/>
      <c r="F659" s="213">
        <v>0</v>
      </c>
      <c r="G659" s="213">
        <v>0</v>
      </c>
      <c r="H659" s="213">
        <v>0</v>
      </c>
      <c r="I659" s="213">
        <v>0</v>
      </c>
      <c r="J659" s="218">
        <v>0</v>
      </c>
      <c r="K659" s="218">
        <v>0</v>
      </c>
      <c r="L659" s="221" t="s">
        <v>85</v>
      </c>
      <c r="M659" s="260">
        <f t="shared" si="341"/>
        <v>43617</v>
      </c>
      <c r="N659" s="228"/>
      <c r="O659" s="261">
        <f t="shared" si="342"/>
        <v>0</v>
      </c>
      <c r="P659" s="435">
        <f t="shared" ref="P659:U659" si="356">P205+P436</f>
        <v>0</v>
      </c>
      <c r="Q659" s="437">
        <f t="shared" si="356"/>
        <v>0</v>
      </c>
      <c r="R659" s="261">
        <f t="shared" si="356"/>
        <v>0</v>
      </c>
      <c r="S659" s="261">
        <f t="shared" si="356"/>
        <v>0</v>
      </c>
      <c r="T659" s="261">
        <f t="shared" si="356"/>
        <v>0</v>
      </c>
      <c r="U659" s="261">
        <f t="shared" si="356"/>
        <v>0</v>
      </c>
      <c r="V659" s="231">
        <f t="shared" si="344"/>
        <v>0</v>
      </c>
    </row>
    <row r="660" spans="5:22" s="201" customFormat="1" ht="13" outlineLevel="1" x14ac:dyDescent="0.25">
      <c r="E660" s="229"/>
      <c r="F660" s="213">
        <v>0</v>
      </c>
      <c r="G660" s="213">
        <v>0</v>
      </c>
      <c r="H660" s="213">
        <v>0</v>
      </c>
      <c r="I660" s="213">
        <v>0</v>
      </c>
      <c r="J660" s="218">
        <v>0</v>
      </c>
      <c r="K660" s="218">
        <v>0</v>
      </c>
      <c r="L660" s="221" t="s">
        <v>85</v>
      </c>
      <c r="M660" s="260">
        <f t="shared" si="341"/>
        <v>43617</v>
      </c>
      <c r="N660" s="228"/>
      <c r="O660" s="261">
        <f t="shared" si="342"/>
        <v>0</v>
      </c>
      <c r="P660" s="435">
        <f t="shared" ref="P660:U660" si="357">P206+P437</f>
        <v>0</v>
      </c>
      <c r="Q660" s="437">
        <f t="shared" si="357"/>
        <v>0</v>
      </c>
      <c r="R660" s="261">
        <f t="shared" si="357"/>
        <v>0</v>
      </c>
      <c r="S660" s="261">
        <f t="shared" si="357"/>
        <v>0</v>
      </c>
      <c r="T660" s="261">
        <f t="shared" si="357"/>
        <v>0</v>
      </c>
      <c r="U660" s="261">
        <f t="shared" si="357"/>
        <v>0</v>
      </c>
      <c r="V660" s="231">
        <f t="shared" si="344"/>
        <v>0</v>
      </c>
    </row>
    <row r="661" spans="5:22" s="201" customFormat="1" ht="13" outlineLevel="1" x14ac:dyDescent="0.25">
      <c r="E661" s="229"/>
      <c r="F661" s="213">
        <v>0</v>
      </c>
      <c r="G661" s="213">
        <v>0</v>
      </c>
      <c r="H661" s="213">
        <v>0</v>
      </c>
      <c r="I661" s="213">
        <v>0</v>
      </c>
      <c r="J661" s="218">
        <v>0</v>
      </c>
      <c r="K661" s="218">
        <v>0</v>
      </c>
      <c r="L661" s="221" t="s">
        <v>85</v>
      </c>
      <c r="M661" s="260">
        <f t="shared" si="341"/>
        <v>43617</v>
      </c>
      <c r="N661" s="228"/>
      <c r="O661" s="261">
        <f t="shared" si="342"/>
        <v>0</v>
      </c>
      <c r="P661" s="435">
        <f t="shared" ref="P661:U661" si="358">P207+P438</f>
        <v>0</v>
      </c>
      <c r="Q661" s="437">
        <f t="shared" si="358"/>
        <v>0</v>
      </c>
      <c r="R661" s="261">
        <f t="shared" si="358"/>
        <v>0</v>
      </c>
      <c r="S661" s="261">
        <f t="shared" si="358"/>
        <v>0</v>
      </c>
      <c r="T661" s="261">
        <f t="shared" si="358"/>
        <v>0</v>
      </c>
      <c r="U661" s="261">
        <f t="shared" si="358"/>
        <v>0</v>
      </c>
      <c r="V661" s="231">
        <f t="shared" si="344"/>
        <v>0</v>
      </c>
    </row>
    <row r="662" spans="5:22" s="201" customFormat="1" ht="13" outlineLevel="1" x14ac:dyDescent="0.25">
      <c r="E662" s="229"/>
      <c r="F662" s="151" t="s">
        <v>17</v>
      </c>
      <c r="G662" s="151"/>
      <c r="H662" s="151"/>
      <c r="I662" s="151"/>
      <c r="J662" s="151"/>
      <c r="K662" s="151"/>
      <c r="L662" s="247" t="s">
        <v>85</v>
      </c>
      <c r="M662" s="253">
        <f t="shared" si="341"/>
        <v>43617</v>
      </c>
      <c r="N662" s="228"/>
      <c r="O662" s="232">
        <f t="shared" ref="O662" si="359">SUM(O647:O661)</f>
        <v>0</v>
      </c>
      <c r="P662" s="289">
        <f t="shared" ref="P662:U662" si="360">SUM(P647:P661)</f>
        <v>0</v>
      </c>
      <c r="Q662" s="290">
        <f t="shared" si="360"/>
        <v>0</v>
      </c>
      <c r="R662" s="232">
        <f t="shared" si="360"/>
        <v>0</v>
      </c>
      <c r="S662" s="232">
        <f t="shared" si="360"/>
        <v>0</v>
      </c>
      <c r="T662" s="232">
        <f t="shared" si="360"/>
        <v>0</v>
      </c>
      <c r="U662" s="232">
        <f t="shared" si="360"/>
        <v>0</v>
      </c>
      <c r="V662" s="233">
        <f>SUM(Q662:U662)</f>
        <v>0</v>
      </c>
    </row>
    <row r="663" spans="5:22" s="201" customFormat="1" outlineLevel="1" x14ac:dyDescent="0.25"/>
    <row r="664" spans="5:22" s="201" customFormat="1" x14ac:dyDescent="0.25"/>
    <row r="665" spans="5:22" s="201" customFormat="1" x14ac:dyDescent="0.25"/>
    <row r="666" spans="5:22" s="201" customFormat="1" x14ac:dyDescent="0.25"/>
    <row r="667" spans="5:22" s="201" customFormat="1" x14ac:dyDescent="0.25"/>
    <row r="668" spans="5:22" s="201" customFormat="1" x14ac:dyDescent="0.25"/>
    <row r="669" spans="5:22" s="201" customFormat="1" x14ac:dyDescent="0.25"/>
    <row r="670" spans="5:22" s="201" customFormat="1" x14ac:dyDescent="0.25"/>
  </sheetData>
  <mergeCells count="1">
    <mergeCell ref="A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0FD3E-F1E2-4C61-A943-2FBB6BEB0D82}">
  <sheetPr codeName="Sheet17">
    <tabColor rgb="FFFFC000"/>
  </sheetPr>
  <dimension ref="A1:Z129"/>
  <sheetViews>
    <sheetView showGridLines="0" zoomScaleNormal="100" workbookViewId="0">
      <selection activeCell="Q36" sqref="Q36"/>
    </sheetView>
  </sheetViews>
  <sheetFormatPr defaultColWidth="0" defaultRowHeight="12.5" zeroHeight="1" outlineLevelRow="1" x14ac:dyDescent="0.25"/>
  <cols>
    <col min="1" max="2" width="2.54296875" customWidth="1"/>
    <col min="3" max="3" width="2.453125" customWidth="1"/>
    <col min="4" max="4" width="4.453125" customWidth="1"/>
    <col min="5" max="5" width="23.54296875" bestFit="1" customWidth="1"/>
    <col min="6" max="6" width="30.1796875" customWidth="1"/>
    <col min="7" max="7" width="18.81640625" customWidth="1"/>
    <col min="8" max="8" width="24.1796875" bestFit="1" customWidth="1"/>
    <col min="9" max="9" width="18.1796875" bestFit="1" customWidth="1"/>
    <col min="10" max="18" width="12.54296875" customWidth="1"/>
    <col min="19" max="19" width="9.1796875" customWidth="1"/>
    <col min="20" max="26" width="0" hidden="1" customWidth="1"/>
    <col min="27" max="16384" width="9.1796875" hidden="1"/>
  </cols>
  <sheetData>
    <row r="1" spans="1:19" ht="18" x14ac:dyDescent="0.25">
      <c r="A1" s="67"/>
      <c r="B1" s="67" t="str">
        <f>'Input|General'!B1&amp;" v"&amp;'Input|General'!$D$2</f>
        <v>AER Metering Opex &amp; Capex Forecasting Model DRAFT v1</v>
      </c>
      <c r="C1" s="67"/>
      <c r="D1" s="67"/>
      <c r="E1" s="67"/>
      <c r="F1" s="67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8" x14ac:dyDescent="0.25">
      <c r="A2" s="55"/>
      <c r="B2" s="68" t="str" cm="1">
        <f t="array" aca="1" ref="B2" ca="1">MID(CELL("filename",A1),FIND("]",CELL("filename",A1))+1,255)</f>
        <v>Calc | Capex Comms &amp; IT</v>
      </c>
      <c r="C2" s="55"/>
      <c r="D2" s="55"/>
      <c r="E2" s="55"/>
      <c r="F2" s="55"/>
      <c r="G2" s="55"/>
      <c r="H2" s="55"/>
      <c r="I2" s="55"/>
      <c r="J2" s="55"/>
      <c r="K2" s="55"/>
      <c r="L2" s="3"/>
      <c r="M2" s="3"/>
      <c r="N2" s="3"/>
      <c r="O2" s="3"/>
      <c r="P2" s="3"/>
      <c r="Q2" s="3"/>
      <c r="R2" s="3"/>
      <c r="S2" s="3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/>
    <row r="5" spans="1:19" ht="13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19" x14ac:dyDescent="0.25"/>
    <row r="7" spans="1:19" s="88" customFormat="1" ht="13" x14ac:dyDescent="0.3">
      <c r="A7" s="702" t="s">
        <v>308</v>
      </c>
      <c r="B7" s="702"/>
      <c r="C7" s="702"/>
      <c r="D7" s="702"/>
      <c r="E7" s="702"/>
      <c r="F7" s="702"/>
      <c r="G7" s="702"/>
      <c r="H7" s="702"/>
      <c r="I7" s="702"/>
      <c r="J7" s="702"/>
      <c r="K7" s="421"/>
      <c r="L7" s="144"/>
      <c r="M7" s="144"/>
      <c r="N7" s="145"/>
      <c r="O7" s="145"/>
      <c r="P7" s="145"/>
      <c r="Q7" s="145"/>
      <c r="R7" s="145"/>
      <c r="S7" s="145"/>
    </row>
    <row r="8" spans="1:19" s="88" customFormat="1" ht="13" outlineLevel="1" x14ac:dyDescent="0.3">
      <c r="A8" s="92"/>
      <c r="B8" s="92"/>
      <c r="C8" s="92"/>
      <c r="D8" s="92"/>
    </row>
    <row r="9" spans="1:19" s="88" customFormat="1" ht="13" outlineLevel="1" x14ac:dyDescent="0.3">
      <c r="A9" s="146"/>
    </row>
    <row r="10" spans="1:19" s="88" customFormat="1" ht="13" outlineLevel="1" x14ac:dyDescent="0.3">
      <c r="B10" s="147" t="s">
        <v>7</v>
      </c>
      <c r="C10" s="148" t="s">
        <v>158</v>
      </c>
      <c r="D10" s="147"/>
    </row>
    <row r="11" spans="1:19" s="88" customFormat="1" ht="13" outlineLevel="1" x14ac:dyDescent="0.3">
      <c r="A11" s="146"/>
      <c r="E11" s="121" t="s">
        <v>161</v>
      </c>
      <c r="F11" s="121" t="s">
        <v>160</v>
      </c>
      <c r="G11" s="121" t="s">
        <v>6</v>
      </c>
      <c r="H11" s="121" t="s">
        <v>118</v>
      </c>
      <c r="J11" s="122" t="str">
        <f>'Input | Comms &amp; IT'!J$68</f>
        <v>2017-18</v>
      </c>
      <c r="K11" s="122" t="str">
        <f>'Input | Comms &amp; IT'!K$68</f>
        <v>2018-19</v>
      </c>
      <c r="L11" s="149" t="str">
        <f>'Input | Comms &amp; IT'!L$68</f>
        <v>2019-20</v>
      </c>
      <c r="M11" s="122" t="str">
        <f>'Input | Comms &amp; IT'!M$68</f>
        <v>2020-21</v>
      </c>
      <c r="N11" s="122" t="str">
        <f>'Input | Comms &amp; IT'!N$68</f>
        <v>2021-22</v>
      </c>
      <c r="O11" s="122" t="str">
        <f>'Input | Comms &amp; IT'!O$68</f>
        <v>2022-23</v>
      </c>
      <c r="P11" s="122" t="str">
        <f>'Input | Comms &amp; IT'!P$68</f>
        <v>2023-24</v>
      </c>
      <c r="Q11" s="122" t="str">
        <f>'Input | Comms &amp; IT'!Q$68</f>
        <v>2024-25</v>
      </c>
      <c r="R11" s="96"/>
      <c r="S11" s="96"/>
    </row>
    <row r="12" spans="1:19" s="88" customFormat="1" ht="13" outlineLevel="1" x14ac:dyDescent="0.3">
      <c r="A12" s="146"/>
      <c r="E12" s="140" t="str" cm="1">
        <f t="array" ref="E12:F31">ICC_AllocFields</f>
        <v>Access Points</v>
      </c>
      <c r="F12" s="140" t="str">
        <v>Growth</v>
      </c>
      <c r="G12" s="127" t="s">
        <v>85</v>
      </c>
      <c r="H12" s="128">
        <f t="shared" ref="H12:H32" si="0">Basis_Capex</f>
        <v>43617</v>
      </c>
      <c r="J12" s="150">
        <f>'Input | Comms &amp; IT'!J142*'Input | Comms &amp; IT'!$H45</f>
        <v>0</v>
      </c>
      <c r="K12" s="150">
        <f>'Input | Comms &amp; IT'!K142*'Input | Comms &amp; IT'!$H45</f>
        <v>0</v>
      </c>
      <c r="L12" s="150">
        <f>'Input | Comms &amp; IT'!L142*'Input | Comms &amp; IT'!$H45</f>
        <v>33572</v>
      </c>
      <c r="M12" s="459">
        <f>'Input | Comms &amp; IT'!M142*'Input | Comms &amp; IT'!$H45</f>
        <v>33892</v>
      </c>
      <c r="N12" s="150">
        <f>'Input | Comms &amp; IT'!N142*'Input | Comms &amp; IT'!$H45</f>
        <v>34212</v>
      </c>
      <c r="O12" s="150">
        <f>'Input | Comms &amp; IT'!O142*'Input | Comms &amp; IT'!$H45</f>
        <v>34532</v>
      </c>
      <c r="P12" s="150">
        <f>'Input | Comms &amp; IT'!P142*'Input | Comms &amp; IT'!$H45</f>
        <v>34852.000000000007</v>
      </c>
      <c r="Q12" s="452">
        <f>'Input | Comms &amp; IT'!Q142*'Input | Comms &amp; IT'!$H45</f>
        <v>34852.000000000007</v>
      </c>
      <c r="R12" s="96"/>
      <c r="S12" s="96"/>
    </row>
    <row r="13" spans="1:19" s="88" customFormat="1" ht="13" outlineLevel="1" x14ac:dyDescent="0.3">
      <c r="A13" s="146"/>
      <c r="E13" s="140" t="str">
        <v>Relays</v>
      </c>
      <c r="F13" s="140" t="str">
        <v>Growth</v>
      </c>
      <c r="G13" s="127" t="s">
        <v>85</v>
      </c>
      <c r="H13" s="128">
        <f t="shared" si="0"/>
        <v>43617</v>
      </c>
      <c r="J13" s="150">
        <f>'Input | Comms &amp; IT'!J143*'Input | Comms &amp; IT'!$H46</f>
        <v>0</v>
      </c>
      <c r="K13" s="150">
        <f>'Input | Comms &amp; IT'!K143*'Input | Comms &amp; IT'!$H46</f>
        <v>0</v>
      </c>
      <c r="L13" s="150">
        <f>'Input | Comms &amp; IT'!L143*'Input | Comms &amp; IT'!$H46</f>
        <v>0</v>
      </c>
      <c r="M13" s="459">
        <f>'Input | Comms &amp; IT'!M143*'Input | Comms &amp; IT'!$H46</f>
        <v>22500</v>
      </c>
      <c r="N13" s="150">
        <f>'Input | Comms &amp; IT'!N143*'Input | Comms &amp; IT'!$H46</f>
        <v>22500</v>
      </c>
      <c r="O13" s="150">
        <f>'Input | Comms &amp; IT'!O143*'Input | Comms &amp; IT'!$H46</f>
        <v>22500</v>
      </c>
      <c r="P13" s="150">
        <f>'Input | Comms &amp; IT'!P143*'Input | Comms &amp; IT'!$H46</f>
        <v>22500</v>
      </c>
      <c r="Q13" s="452">
        <f>'Input | Comms &amp; IT'!Q143*'Input | Comms &amp; IT'!$H46</f>
        <v>22500</v>
      </c>
      <c r="R13" s="96"/>
      <c r="S13" s="96"/>
    </row>
    <row r="14" spans="1:19" s="88" customFormat="1" ht="13" outlineLevel="1" x14ac:dyDescent="0.3">
      <c r="A14" s="146"/>
      <c r="E14" s="140" t="str">
        <v>Antennas</v>
      </c>
      <c r="F14" s="140" t="str">
        <v>Growth</v>
      </c>
      <c r="G14" s="127" t="s">
        <v>85</v>
      </c>
      <c r="H14" s="128">
        <f t="shared" si="0"/>
        <v>43617</v>
      </c>
      <c r="J14" s="150">
        <f>'Input | Comms &amp; IT'!J144*'Input | Comms &amp; IT'!$H47</f>
        <v>0</v>
      </c>
      <c r="K14" s="150">
        <f>'Input | Comms &amp; IT'!K144*'Input | Comms &amp; IT'!$H47</f>
        <v>0</v>
      </c>
      <c r="L14" s="150">
        <f>'Input | Comms &amp; IT'!L144*'Input | Comms &amp; IT'!$H47</f>
        <v>0</v>
      </c>
      <c r="M14" s="459">
        <f>'Input | Comms &amp; IT'!M144*'Input | Comms &amp; IT'!$H47</f>
        <v>1200</v>
      </c>
      <c r="N14" s="150">
        <f>'Input | Comms &amp; IT'!N144*'Input | Comms &amp; IT'!$H47</f>
        <v>1200</v>
      </c>
      <c r="O14" s="150">
        <f>'Input | Comms &amp; IT'!O144*'Input | Comms &amp; IT'!$H47</f>
        <v>1200</v>
      </c>
      <c r="P14" s="150">
        <f>'Input | Comms &amp; IT'!P144*'Input | Comms &amp; IT'!$H47</f>
        <v>1200</v>
      </c>
      <c r="Q14" s="452">
        <f>'Input | Comms &amp; IT'!Q144*'Input | Comms &amp; IT'!$H47</f>
        <v>1200</v>
      </c>
      <c r="R14" s="96"/>
      <c r="S14" s="96"/>
    </row>
    <row r="15" spans="1:19" s="88" customFormat="1" ht="13" outlineLevel="1" x14ac:dyDescent="0.3">
      <c r="A15" s="146"/>
      <c r="E15" s="140" t="str">
        <v>Batteries</v>
      </c>
      <c r="F15" s="140" t="str">
        <v>Growth</v>
      </c>
      <c r="G15" s="127" t="s">
        <v>85</v>
      </c>
      <c r="H15" s="128">
        <f t="shared" si="0"/>
        <v>43617</v>
      </c>
      <c r="J15" s="150">
        <f>'Input | Comms &amp; IT'!J145*'Input | Comms &amp; IT'!$H48</f>
        <v>0</v>
      </c>
      <c r="K15" s="150">
        <f>'Input | Comms &amp; IT'!K145*'Input | Comms &amp; IT'!$H48</f>
        <v>0</v>
      </c>
      <c r="L15" s="150">
        <f>'Input | Comms &amp; IT'!L145*'Input | Comms &amp; IT'!$H48</f>
        <v>0</v>
      </c>
      <c r="M15" s="459">
        <f>'Input | Comms &amp; IT'!M145*'Input | Comms &amp; IT'!$H48</f>
        <v>80000</v>
      </c>
      <c r="N15" s="150">
        <f>'Input | Comms &amp; IT'!N145*'Input | Comms &amp; IT'!$H48</f>
        <v>80000</v>
      </c>
      <c r="O15" s="150">
        <f>'Input | Comms &amp; IT'!O145*'Input | Comms &amp; IT'!$H48</f>
        <v>80000</v>
      </c>
      <c r="P15" s="150">
        <f>'Input | Comms &amp; IT'!P145*'Input | Comms &amp; IT'!$H48</f>
        <v>80000</v>
      </c>
      <c r="Q15" s="452">
        <f>'Input | Comms &amp; IT'!Q145*'Input | Comms &amp; IT'!$H48</f>
        <v>80000</v>
      </c>
      <c r="R15" s="96"/>
      <c r="S15" s="96"/>
    </row>
    <row r="16" spans="1:19" s="88" customFormat="1" ht="13" outlineLevel="1" x14ac:dyDescent="0.3">
      <c r="A16" s="146"/>
      <c r="E16" s="140" t="str">
        <v>Access Points</v>
      </c>
      <c r="F16" s="140" t="str">
        <v>Replacements - faults and failures</v>
      </c>
      <c r="G16" s="127" t="s">
        <v>85</v>
      </c>
      <c r="H16" s="128">
        <f t="shared" si="0"/>
        <v>43617</v>
      </c>
      <c r="J16" s="150">
        <f>'Input | Comms &amp; IT'!J146*'Input | Comms &amp; IT'!$H49</f>
        <v>0</v>
      </c>
      <c r="K16" s="150">
        <f>'Input | Comms &amp; IT'!K146*'Input | Comms &amp; IT'!$H49</f>
        <v>0</v>
      </c>
      <c r="L16" s="150">
        <f>'Input | Comms &amp; IT'!L146*'Input | Comms &amp; IT'!$H49</f>
        <v>40000</v>
      </c>
      <c r="M16" s="459">
        <f>'Input | Comms &amp; IT'!M146*'Input | Comms &amp; IT'!$H49</f>
        <v>42000</v>
      </c>
      <c r="N16" s="150">
        <f>'Input | Comms &amp; IT'!N146*'Input | Comms &amp; IT'!$H49</f>
        <v>44000</v>
      </c>
      <c r="O16" s="150">
        <f>'Input | Comms &amp; IT'!O146*'Input | Comms &amp; IT'!$H49</f>
        <v>46000</v>
      </c>
      <c r="P16" s="150">
        <f>'Input | Comms &amp; IT'!P146*'Input | Comms &amp; IT'!$H49</f>
        <v>48000</v>
      </c>
      <c r="Q16" s="452">
        <f>'Input | Comms &amp; IT'!Q146*'Input | Comms &amp; IT'!$H49</f>
        <v>50000</v>
      </c>
      <c r="R16" s="96"/>
      <c r="S16" s="96"/>
    </row>
    <row r="17" spans="1:19" s="88" customFormat="1" ht="13" outlineLevel="1" x14ac:dyDescent="0.3">
      <c r="A17" s="146"/>
      <c r="E17" s="140" t="str">
        <v>Batteries</v>
      </c>
      <c r="F17" s="140" t="str">
        <v>Replacements - faults and failures</v>
      </c>
      <c r="G17" s="127" t="s">
        <v>85</v>
      </c>
      <c r="H17" s="128">
        <f t="shared" si="0"/>
        <v>43617</v>
      </c>
      <c r="J17" s="150">
        <f>'Input | Comms &amp; IT'!J147*'Input | Comms &amp; IT'!$H50</f>
        <v>0</v>
      </c>
      <c r="K17" s="150">
        <f>'Input | Comms &amp; IT'!K147*'Input | Comms &amp; IT'!$H50</f>
        <v>0</v>
      </c>
      <c r="L17" s="150">
        <f>'Input | Comms &amp; IT'!L147*'Input | Comms &amp; IT'!$H50</f>
        <v>14400</v>
      </c>
      <c r="M17" s="459">
        <f>'Input | Comms &amp; IT'!M147*'Input | Comms &amp; IT'!$H50</f>
        <v>14400</v>
      </c>
      <c r="N17" s="150">
        <f>'Input | Comms &amp; IT'!N147*'Input | Comms &amp; IT'!$H50</f>
        <v>16800</v>
      </c>
      <c r="O17" s="150">
        <f>'Input | Comms &amp; IT'!O147*'Input | Comms &amp; IT'!$H50</f>
        <v>19200</v>
      </c>
      <c r="P17" s="150">
        <f>'Input | Comms &amp; IT'!P147*'Input | Comms &amp; IT'!$H50</f>
        <v>21600</v>
      </c>
      <c r="Q17" s="452">
        <f>'Input | Comms &amp; IT'!Q147*'Input | Comms &amp; IT'!$H50</f>
        <v>24000</v>
      </c>
      <c r="R17" s="96"/>
      <c r="S17" s="96"/>
    </row>
    <row r="18" spans="1:19" s="88" customFormat="1" ht="13" outlineLevel="1" x14ac:dyDescent="0.3">
      <c r="A18" s="146"/>
      <c r="E18" s="140">
        <v>0</v>
      </c>
      <c r="F18" s="140">
        <v>0</v>
      </c>
      <c r="G18" s="127" t="s">
        <v>85</v>
      </c>
      <c r="H18" s="128">
        <f t="shared" si="0"/>
        <v>43617</v>
      </c>
      <c r="J18" s="150">
        <f>'Input | Comms &amp; IT'!J148*'Input | Comms &amp; IT'!$H51</f>
        <v>0</v>
      </c>
      <c r="K18" s="150">
        <f>'Input | Comms &amp; IT'!K148*'Input | Comms &amp; IT'!$H51</f>
        <v>0</v>
      </c>
      <c r="L18" s="150">
        <f>'Input | Comms &amp; IT'!L148*'Input | Comms &amp; IT'!$H51</f>
        <v>0</v>
      </c>
      <c r="M18" s="459">
        <f>'Input | Comms &amp; IT'!M148*'Input | Comms &amp; IT'!$H51</f>
        <v>0</v>
      </c>
      <c r="N18" s="150">
        <f>'Input | Comms &amp; IT'!N148*'Input | Comms &amp; IT'!$H51</f>
        <v>0</v>
      </c>
      <c r="O18" s="150">
        <f>'Input | Comms &amp; IT'!O148*'Input | Comms &amp; IT'!$H51</f>
        <v>0</v>
      </c>
      <c r="P18" s="150">
        <f>'Input | Comms &amp; IT'!P148*'Input | Comms &amp; IT'!$H51</f>
        <v>0</v>
      </c>
      <c r="Q18" s="452">
        <f>'Input | Comms &amp; IT'!Q148*'Input | Comms &amp; IT'!$H51</f>
        <v>0</v>
      </c>
      <c r="R18" s="96"/>
      <c r="S18" s="96"/>
    </row>
    <row r="19" spans="1:19" s="88" customFormat="1" ht="13" outlineLevel="1" x14ac:dyDescent="0.3">
      <c r="A19" s="146"/>
      <c r="E19" s="140">
        <v>0</v>
      </c>
      <c r="F19" s="140">
        <v>0</v>
      </c>
      <c r="G19" s="127" t="s">
        <v>85</v>
      </c>
      <c r="H19" s="128">
        <f t="shared" si="0"/>
        <v>43617</v>
      </c>
      <c r="J19" s="150">
        <f>'Input | Comms &amp; IT'!J149*'Input | Comms &amp; IT'!$H52</f>
        <v>0</v>
      </c>
      <c r="K19" s="150">
        <f>'Input | Comms &amp; IT'!K149*'Input | Comms &amp; IT'!$H52</f>
        <v>0</v>
      </c>
      <c r="L19" s="150">
        <f>'Input | Comms &amp; IT'!L149*'Input | Comms &amp; IT'!$H52</f>
        <v>0</v>
      </c>
      <c r="M19" s="459">
        <f>'Input | Comms &amp; IT'!M149*'Input | Comms &amp; IT'!$H52</f>
        <v>0</v>
      </c>
      <c r="N19" s="150">
        <f>'Input | Comms &amp; IT'!N149*'Input | Comms &amp; IT'!$H52</f>
        <v>0</v>
      </c>
      <c r="O19" s="150">
        <f>'Input | Comms &amp; IT'!O149*'Input | Comms &amp; IT'!$H52</f>
        <v>0</v>
      </c>
      <c r="P19" s="150">
        <f>'Input | Comms &amp; IT'!P149*'Input | Comms &amp; IT'!$H52</f>
        <v>0</v>
      </c>
      <c r="Q19" s="452">
        <f>'Input | Comms &amp; IT'!Q149*'Input | Comms &amp; IT'!$H52</f>
        <v>0</v>
      </c>
      <c r="R19" s="96"/>
      <c r="S19" s="96"/>
    </row>
    <row r="20" spans="1:19" s="88" customFormat="1" ht="13" outlineLevel="1" x14ac:dyDescent="0.3">
      <c r="A20" s="146"/>
      <c r="E20" s="140">
        <v>0</v>
      </c>
      <c r="F20" s="140">
        <v>0</v>
      </c>
      <c r="G20" s="127" t="s">
        <v>85</v>
      </c>
      <c r="H20" s="128">
        <f t="shared" si="0"/>
        <v>43617</v>
      </c>
      <c r="J20" s="150">
        <f>'Input | Comms &amp; IT'!J150*'Input | Comms &amp; IT'!$H53</f>
        <v>0</v>
      </c>
      <c r="K20" s="150">
        <f>'Input | Comms &amp; IT'!K150*'Input | Comms &amp; IT'!$H53</f>
        <v>0</v>
      </c>
      <c r="L20" s="150">
        <f>'Input | Comms &amp; IT'!L150*'Input | Comms &amp; IT'!$H53</f>
        <v>0</v>
      </c>
      <c r="M20" s="459">
        <f>'Input | Comms &amp; IT'!M150*'Input | Comms &amp; IT'!$H53</f>
        <v>0</v>
      </c>
      <c r="N20" s="150">
        <f>'Input | Comms &amp; IT'!N150*'Input | Comms &amp; IT'!$H53</f>
        <v>0</v>
      </c>
      <c r="O20" s="150">
        <f>'Input | Comms &amp; IT'!O150*'Input | Comms &amp; IT'!$H53</f>
        <v>0</v>
      </c>
      <c r="P20" s="150">
        <f>'Input | Comms &amp; IT'!P150*'Input | Comms &amp; IT'!$H53</f>
        <v>0</v>
      </c>
      <c r="Q20" s="452">
        <f>'Input | Comms &amp; IT'!Q150*'Input | Comms &amp; IT'!$H53</f>
        <v>0</v>
      </c>
      <c r="R20" s="96"/>
      <c r="S20" s="96"/>
    </row>
    <row r="21" spans="1:19" s="88" customFormat="1" ht="13" outlineLevel="1" x14ac:dyDescent="0.3">
      <c r="A21" s="146"/>
      <c r="E21" s="140">
        <v>0</v>
      </c>
      <c r="F21" s="140">
        <v>0</v>
      </c>
      <c r="G21" s="127" t="s">
        <v>85</v>
      </c>
      <c r="H21" s="128">
        <f t="shared" si="0"/>
        <v>43617</v>
      </c>
      <c r="J21" s="150">
        <f>'Input | Comms &amp; IT'!J151*'Input | Comms &amp; IT'!$H54</f>
        <v>0</v>
      </c>
      <c r="K21" s="150">
        <f>'Input | Comms &amp; IT'!K151*'Input | Comms &amp; IT'!$H54</f>
        <v>0</v>
      </c>
      <c r="L21" s="150">
        <f>'Input | Comms &amp; IT'!L151*'Input | Comms &amp; IT'!$H54</f>
        <v>0</v>
      </c>
      <c r="M21" s="459">
        <f>'Input | Comms &amp; IT'!M151*'Input | Comms &amp; IT'!$H54</f>
        <v>0</v>
      </c>
      <c r="N21" s="150">
        <f>'Input | Comms &amp; IT'!N151*'Input | Comms &amp; IT'!$H54</f>
        <v>0</v>
      </c>
      <c r="O21" s="150">
        <f>'Input | Comms &amp; IT'!O151*'Input | Comms &amp; IT'!$H54</f>
        <v>0</v>
      </c>
      <c r="P21" s="150">
        <f>'Input | Comms &amp; IT'!P151*'Input | Comms &amp; IT'!$H54</f>
        <v>0</v>
      </c>
      <c r="Q21" s="452">
        <f>'Input | Comms &amp; IT'!Q151*'Input | Comms &amp; IT'!$H54</f>
        <v>0</v>
      </c>
      <c r="R21" s="96"/>
      <c r="S21" s="96"/>
    </row>
    <row r="22" spans="1:19" s="88" customFormat="1" ht="13" outlineLevel="1" x14ac:dyDescent="0.3">
      <c r="A22" s="146"/>
      <c r="E22" s="140">
        <v>0</v>
      </c>
      <c r="F22" s="140">
        <v>0</v>
      </c>
      <c r="G22" s="127" t="s">
        <v>85</v>
      </c>
      <c r="H22" s="128">
        <f t="shared" si="0"/>
        <v>43617</v>
      </c>
      <c r="J22" s="150">
        <f>'Input | Comms &amp; IT'!J152*'Input | Comms &amp; IT'!$H55</f>
        <v>0</v>
      </c>
      <c r="K22" s="150">
        <f>'Input | Comms &amp; IT'!K152*'Input | Comms &amp; IT'!$H55</f>
        <v>0</v>
      </c>
      <c r="L22" s="150">
        <f>'Input | Comms &amp; IT'!L152*'Input | Comms &amp; IT'!$H55</f>
        <v>0</v>
      </c>
      <c r="M22" s="459">
        <f>'Input | Comms &amp; IT'!M152*'Input | Comms &amp; IT'!$H55</f>
        <v>0</v>
      </c>
      <c r="N22" s="150">
        <f>'Input | Comms &amp; IT'!N152*'Input | Comms &amp; IT'!$H55</f>
        <v>0</v>
      </c>
      <c r="O22" s="150">
        <f>'Input | Comms &amp; IT'!O152*'Input | Comms &amp; IT'!$H55</f>
        <v>0</v>
      </c>
      <c r="P22" s="150">
        <f>'Input | Comms &amp; IT'!P152*'Input | Comms &amp; IT'!$H55</f>
        <v>0</v>
      </c>
      <c r="Q22" s="452">
        <f>'Input | Comms &amp; IT'!Q152*'Input | Comms &amp; IT'!$H55</f>
        <v>0</v>
      </c>
      <c r="R22" s="96"/>
      <c r="S22" s="96"/>
    </row>
    <row r="23" spans="1:19" s="88" customFormat="1" ht="13" outlineLevel="1" x14ac:dyDescent="0.3">
      <c r="A23" s="146"/>
      <c r="E23" s="140">
        <v>0</v>
      </c>
      <c r="F23" s="140">
        <v>0</v>
      </c>
      <c r="G23" s="127" t="s">
        <v>85</v>
      </c>
      <c r="H23" s="128">
        <f t="shared" si="0"/>
        <v>43617</v>
      </c>
      <c r="J23" s="150">
        <f>'Input | Comms &amp; IT'!J153*'Input | Comms &amp; IT'!$H56</f>
        <v>0</v>
      </c>
      <c r="K23" s="150">
        <f>'Input | Comms &amp; IT'!K153*'Input | Comms &amp; IT'!$H56</f>
        <v>0</v>
      </c>
      <c r="L23" s="150">
        <f>'Input | Comms &amp; IT'!L153*'Input | Comms &amp; IT'!$H56</f>
        <v>0</v>
      </c>
      <c r="M23" s="459">
        <f>'Input | Comms &amp; IT'!M153*'Input | Comms &amp; IT'!$H56</f>
        <v>0</v>
      </c>
      <c r="N23" s="150">
        <f>'Input | Comms &amp; IT'!N153*'Input | Comms &amp; IT'!$H56</f>
        <v>0</v>
      </c>
      <c r="O23" s="150">
        <f>'Input | Comms &amp; IT'!O153*'Input | Comms &amp; IT'!$H56</f>
        <v>0</v>
      </c>
      <c r="P23" s="150">
        <f>'Input | Comms &amp; IT'!P153*'Input | Comms &amp; IT'!$H56</f>
        <v>0</v>
      </c>
      <c r="Q23" s="452">
        <f>'Input | Comms &amp; IT'!Q153*'Input | Comms &amp; IT'!$H56</f>
        <v>0</v>
      </c>
      <c r="R23" s="96"/>
      <c r="S23" s="96"/>
    </row>
    <row r="24" spans="1:19" s="88" customFormat="1" ht="13" outlineLevel="1" x14ac:dyDescent="0.3">
      <c r="A24" s="146"/>
      <c r="E24" s="140">
        <v>0</v>
      </c>
      <c r="F24" s="140">
        <v>0</v>
      </c>
      <c r="G24" s="127" t="s">
        <v>85</v>
      </c>
      <c r="H24" s="128">
        <f t="shared" si="0"/>
        <v>43617</v>
      </c>
      <c r="J24" s="150">
        <f>'Input | Comms &amp; IT'!J154*'Input | Comms &amp; IT'!$H57</f>
        <v>0</v>
      </c>
      <c r="K24" s="150">
        <f>'Input | Comms &amp; IT'!K154*'Input | Comms &amp; IT'!$H57</f>
        <v>0</v>
      </c>
      <c r="L24" s="150">
        <f>'Input | Comms &amp; IT'!L154*'Input | Comms &amp; IT'!$H57</f>
        <v>0</v>
      </c>
      <c r="M24" s="459">
        <f>'Input | Comms &amp; IT'!M154*'Input | Comms &amp; IT'!$H57</f>
        <v>0</v>
      </c>
      <c r="N24" s="150">
        <f>'Input | Comms &amp; IT'!N154*'Input | Comms &amp; IT'!$H57</f>
        <v>0</v>
      </c>
      <c r="O24" s="150">
        <f>'Input | Comms &amp; IT'!O154*'Input | Comms &amp; IT'!$H57</f>
        <v>0</v>
      </c>
      <c r="P24" s="150">
        <f>'Input | Comms &amp; IT'!P154*'Input | Comms &amp; IT'!$H57</f>
        <v>0</v>
      </c>
      <c r="Q24" s="452">
        <f>'Input | Comms &amp; IT'!Q154*'Input | Comms &amp; IT'!$H57</f>
        <v>0</v>
      </c>
      <c r="R24" s="96"/>
      <c r="S24" s="96"/>
    </row>
    <row r="25" spans="1:19" s="88" customFormat="1" ht="13" outlineLevel="1" x14ac:dyDescent="0.3">
      <c r="A25" s="146"/>
      <c r="E25" s="140">
        <v>0</v>
      </c>
      <c r="F25" s="140">
        <v>0</v>
      </c>
      <c r="G25" s="127" t="s">
        <v>85</v>
      </c>
      <c r="H25" s="128">
        <f t="shared" si="0"/>
        <v>43617</v>
      </c>
      <c r="J25" s="150">
        <f>'Input | Comms &amp; IT'!J155*'Input | Comms &amp; IT'!$H58</f>
        <v>0</v>
      </c>
      <c r="K25" s="150">
        <f>'Input | Comms &amp; IT'!K155*'Input | Comms &amp; IT'!$H58</f>
        <v>0</v>
      </c>
      <c r="L25" s="150">
        <f>'Input | Comms &amp; IT'!L155*'Input | Comms &amp; IT'!$H58</f>
        <v>0</v>
      </c>
      <c r="M25" s="459">
        <f>'Input | Comms &amp; IT'!M155*'Input | Comms &amp; IT'!$H58</f>
        <v>0</v>
      </c>
      <c r="N25" s="150">
        <f>'Input | Comms &amp; IT'!N155*'Input | Comms &amp; IT'!$H58</f>
        <v>0</v>
      </c>
      <c r="O25" s="150">
        <f>'Input | Comms &amp; IT'!O155*'Input | Comms &amp; IT'!$H58</f>
        <v>0</v>
      </c>
      <c r="P25" s="150">
        <f>'Input | Comms &amp; IT'!P155*'Input | Comms &amp; IT'!$H58</f>
        <v>0</v>
      </c>
      <c r="Q25" s="452">
        <f>'Input | Comms &amp; IT'!Q155*'Input | Comms &amp; IT'!$H58</f>
        <v>0</v>
      </c>
      <c r="R25" s="96"/>
      <c r="S25" s="96"/>
    </row>
    <row r="26" spans="1:19" s="88" customFormat="1" ht="13" outlineLevel="1" x14ac:dyDescent="0.3">
      <c r="A26" s="146"/>
      <c r="E26" s="140">
        <v>0</v>
      </c>
      <c r="F26" s="140">
        <v>0</v>
      </c>
      <c r="G26" s="127" t="s">
        <v>85</v>
      </c>
      <c r="H26" s="128">
        <f t="shared" si="0"/>
        <v>43617</v>
      </c>
      <c r="J26" s="150">
        <f>'Input | Comms &amp; IT'!J156*'Input | Comms &amp; IT'!$H59</f>
        <v>0</v>
      </c>
      <c r="K26" s="150">
        <f>'Input | Comms &amp; IT'!K156*'Input | Comms &amp; IT'!$H59</f>
        <v>0</v>
      </c>
      <c r="L26" s="150">
        <f>'Input | Comms &amp; IT'!L156*'Input | Comms &amp; IT'!$H59</f>
        <v>0</v>
      </c>
      <c r="M26" s="459">
        <f>'Input | Comms &amp; IT'!M156*'Input | Comms &amp; IT'!$H59</f>
        <v>0</v>
      </c>
      <c r="N26" s="150">
        <f>'Input | Comms &amp; IT'!N156*'Input | Comms &amp; IT'!$H59</f>
        <v>0</v>
      </c>
      <c r="O26" s="150">
        <f>'Input | Comms &amp; IT'!O156*'Input | Comms &amp; IT'!$H59</f>
        <v>0</v>
      </c>
      <c r="P26" s="150">
        <f>'Input | Comms &amp; IT'!P156*'Input | Comms &amp; IT'!$H59</f>
        <v>0</v>
      </c>
      <c r="Q26" s="452">
        <f>'Input | Comms &amp; IT'!Q156*'Input | Comms &amp; IT'!$H59</f>
        <v>0</v>
      </c>
      <c r="R26" s="96"/>
      <c r="S26" s="96"/>
    </row>
    <row r="27" spans="1:19" s="88" customFormat="1" ht="13" outlineLevel="1" x14ac:dyDescent="0.3">
      <c r="A27" s="146"/>
      <c r="E27" s="140">
        <v>0</v>
      </c>
      <c r="F27" s="140">
        <v>0</v>
      </c>
      <c r="G27" s="127" t="s">
        <v>85</v>
      </c>
      <c r="H27" s="128">
        <f t="shared" si="0"/>
        <v>43617</v>
      </c>
      <c r="J27" s="150">
        <f>'Input | Comms &amp; IT'!J157*'Input | Comms &amp; IT'!$H60</f>
        <v>0</v>
      </c>
      <c r="K27" s="150">
        <f>'Input | Comms &amp; IT'!K157*'Input | Comms &amp; IT'!$H60</f>
        <v>0</v>
      </c>
      <c r="L27" s="150">
        <f>'Input | Comms &amp; IT'!L157*'Input | Comms &amp; IT'!$H60</f>
        <v>0</v>
      </c>
      <c r="M27" s="459">
        <f>'Input | Comms &amp; IT'!M157*'Input | Comms &amp; IT'!$H60</f>
        <v>0</v>
      </c>
      <c r="N27" s="150">
        <f>'Input | Comms &amp; IT'!N157*'Input | Comms &amp; IT'!$H60</f>
        <v>0</v>
      </c>
      <c r="O27" s="150">
        <f>'Input | Comms &amp; IT'!O157*'Input | Comms &amp; IT'!$H60</f>
        <v>0</v>
      </c>
      <c r="P27" s="150">
        <f>'Input | Comms &amp; IT'!P157*'Input | Comms &amp; IT'!$H60</f>
        <v>0</v>
      </c>
      <c r="Q27" s="452">
        <f>'Input | Comms &amp; IT'!Q157*'Input | Comms &amp; IT'!$H60</f>
        <v>0</v>
      </c>
      <c r="R27" s="96"/>
      <c r="S27" s="96"/>
    </row>
    <row r="28" spans="1:19" s="88" customFormat="1" ht="13" outlineLevel="1" x14ac:dyDescent="0.3">
      <c r="A28" s="146"/>
      <c r="E28" s="140">
        <v>0</v>
      </c>
      <c r="F28" s="140">
        <v>0</v>
      </c>
      <c r="G28" s="127" t="s">
        <v>85</v>
      </c>
      <c r="H28" s="128">
        <f t="shared" si="0"/>
        <v>43617</v>
      </c>
      <c r="J28" s="150">
        <f>'Input | Comms &amp; IT'!J158*'Input | Comms &amp; IT'!$H61</f>
        <v>0</v>
      </c>
      <c r="K28" s="150">
        <f>'Input | Comms &amp; IT'!K158*'Input | Comms &amp; IT'!$H61</f>
        <v>0</v>
      </c>
      <c r="L28" s="150">
        <f>'Input | Comms &amp; IT'!L158*'Input | Comms &amp; IT'!$H61</f>
        <v>0</v>
      </c>
      <c r="M28" s="459">
        <f>'Input | Comms &amp; IT'!M158*'Input | Comms &amp; IT'!$H61</f>
        <v>0</v>
      </c>
      <c r="N28" s="150">
        <f>'Input | Comms &amp; IT'!N158*'Input | Comms &amp; IT'!$H61</f>
        <v>0</v>
      </c>
      <c r="O28" s="150">
        <f>'Input | Comms &amp; IT'!O158*'Input | Comms &amp; IT'!$H61</f>
        <v>0</v>
      </c>
      <c r="P28" s="150">
        <f>'Input | Comms &amp; IT'!P158*'Input | Comms &amp; IT'!$H61</f>
        <v>0</v>
      </c>
      <c r="Q28" s="452">
        <f>'Input | Comms &amp; IT'!Q158*'Input | Comms &amp; IT'!$H61</f>
        <v>0</v>
      </c>
      <c r="R28" s="96"/>
      <c r="S28" s="96"/>
    </row>
    <row r="29" spans="1:19" s="88" customFormat="1" ht="13" outlineLevel="1" x14ac:dyDescent="0.3">
      <c r="A29" s="146"/>
      <c r="E29" s="140">
        <v>0</v>
      </c>
      <c r="F29" s="140">
        <v>0</v>
      </c>
      <c r="G29" s="127" t="s">
        <v>85</v>
      </c>
      <c r="H29" s="128">
        <f t="shared" si="0"/>
        <v>43617</v>
      </c>
      <c r="J29" s="150">
        <f>'Input | Comms &amp; IT'!J159*'Input | Comms &amp; IT'!$H62</f>
        <v>0</v>
      </c>
      <c r="K29" s="150">
        <f>'Input | Comms &amp; IT'!K159*'Input | Comms &amp; IT'!$H62</f>
        <v>0</v>
      </c>
      <c r="L29" s="150">
        <f>'Input | Comms &amp; IT'!L159*'Input | Comms &amp; IT'!$H62</f>
        <v>0</v>
      </c>
      <c r="M29" s="459">
        <f>'Input | Comms &amp; IT'!M159*'Input | Comms &amp; IT'!$H62</f>
        <v>0</v>
      </c>
      <c r="N29" s="150">
        <f>'Input | Comms &amp; IT'!N159*'Input | Comms &amp; IT'!$H62</f>
        <v>0</v>
      </c>
      <c r="O29" s="150">
        <f>'Input | Comms &amp; IT'!O159*'Input | Comms &amp; IT'!$H62</f>
        <v>0</v>
      </c>
      <c r="P29" s="150">
        <f>'Input | Comms &amp; IT'!P159*'Input | Comms &amp; IT'!$H62</f>
        <v>0</v>
      </c>
      <c r="Q29" s="452">
        <f>'Input | Comms &amp; IT'!Q159*'Input | Comms &amp; IT'!$H62</f>
        <v>0</v>
      </c>
      <c r="R29" s="96"/>
      <c r="S29" s="96"/>
    </row>
    <row r="30" spans="1:19" s="88" customFormat="1" ht="13" outlineLevel="1" x14ac:dyDescent="0.3">
      <c r="A30" s="146"/>
      <c r="E30" s="140">
        <v>0</v>
      </c>
      <c r="F30" s="140">
        <v>0</v>
      </c>
      <c r="G30" s="127" t="s">
        <v>85</v>
      </c>
      <c r="H30" s="128">
        <f t="shared" si="0"/>
        <v>43617</v>
      </c>
      <c r="J30" s="150">
        <f>'Input | Comms &amp; IT'!J160*'Input | Comms &amp; IT'!$H63</f>
        <v>0</v>
      </c>
      <c r="K30" s="150">
        <f>'Input | Comms &amp; IT'!K160*'Input | Comms &amp; IT'!$H63</f>
        <v>0</v>
      </c>
      <c r="L30" s="150">
        <f>'Input | Comms &amp; IT'!L160*'Input | Comms &amp; IT'!$H63</f>
        <v>0</v>
      </c>
      <c r="M30" s="459">
        <f>'Input | Comms &amp; IT'!M160*'Input | Comms &amp; IT'!$H63</f>
        <v>0</v>
      </c>
      <c r="N30" s="150">
        <f>'Input | Comms &amp; IT'!N160*'Input | Comms &amp; IT'!$H63</f>
        <v>0</v>
      </c>
      <c r="O30" s="150">
        <f>'Input | Comms &amp; IT'!O160*'Input | Comms &amp; IT'!$H63</f>
        <v>0</v>
      </c>
      <c r="P30" s="150">
        <f>'Input | Comms &amp; IT'!P160*'Input | Comms &amp; IT'!$H63</f>
        <v>0</v>
      </c>
      <c r="Q30" s="452">
        <f>'Input | Comms &amp; IT'!Q160*'Input | Comms &amp; IT'!$H63</f>
        <v>0</v>
      </c>
      <c r="R30" s="96"/>
      <c r="S30" s="96"/>
    </row>
    <row r="31" spans="1:19" s="88" customFormat="1" ht="13" outlineLevel="1" x14ac:dyDescent="0.3">
      <c r="A31" s="146"/>
      <c r="E31" s="140">
        <v>0</v>
      </c>
      <c r="F31" s="140">
        <v>0</v>
      </c>
      <c r="G31" s="127" t="s">
        <v>85</v>
      </c>
      <c r="H31" s="128">
        <f t="shared" si="0"/>
        <v>43617</v>
      </c>
      <c r="I31" s="96"/>
      <c r="J31" s="150">
        <f>'Input | Comms &amp; IT'!J161*'Input | Comms &amp; IT'!$H64</f>
        <v>0</v>
      </c>
      <c r="K31" s="150">
        <f>'Input | Comms &amp; IT'!K161*'Input | Comms &amp; IT'!$H64</f>
        <v>0</v>
      </c>
      <c r="L31" s="150">
        <f>'Input | Comms &amp; IT'!L161*'Input | Comms &amp; IT'!$H64</f>
        <v>0</v>
      </c>
      <c r="M31" s="459">
        <f>'Input | Comms &amp; IT'!M161*'Input | Comms &amp; IT'!$H64</f>
        <v>0</v>
      </c>
      <c r="N31" s="150">
        <f>'Input | Comms &amp; IT'!N161*'Input | Comms &amp; IT'!$H64</f>
        <v>0</v>
      </c>
      <c r="O31" s="150">
        <f>'Input | Comms &amp; IT'!O161*'Input | Comms &amp; IT'!$H64</f>
        <v>0</v>
      </c>
      <c r="P31" s="150">
        <f>'Input | Comms &amp; IT'!P161*'Input | Comms &amp; IT'!$H64</f>
        <v>0</v>
      </c>
      <c r="Q31" s="452">
        <f>'Input | Comms &amp; IT'!Q161*'Input | Comms &amp; IT'!$H64</f>
        <v>0</v>
      </c>
      <c r="R31" s="96"/>
      <c r="S31" s="96"/>
    </row>
    <row r="32" spans="1:19" s="88" customFormat="1" ht="13" outlineLevel="1" x14ac:dyDescent="0.3">
      <c r="A32" s="146"/>
      <c r="E32" s="151" t="s">
        <v>17</v>
      </c>
      <c r="F32" s="151"/>
      <c r="G32" s="151"/>
      <c r="H32" s="152">
        <f t="shared" si="0"/>
        <v>43617</v>
      </c>
      <c r="I32" s="97"/>
      <c r="J32" s="153">
        <f t="shared" ref="J32:Q32" si="1">SUM(J12:J31)</f>
        <v>0</v>
      </c>
      <c r="K32" s="153">
        <f t="shared" si="1"/>
        <v>0</v>
      </c>
      <c r="L32" s="153">
        <f t="shared" si="1"/>
        <v>87972</v>
      </c>
      <c r="M32" s="166">
        <f t="shared" si="1"/>
        <v>193992</v>
      </c>
      <c r="N32" s="153">
        <f t="shared" si="1"/>
        <v>198712</v>
      </c>
      <c r="O32" s="153">
        <f t="shared" si="1"/>
        <v>203432</v>
      </c>
      <c r="P32" s="153">
        <f t="shared" si="1"/>
        <v>208152</v>
      </c>
      <c r="Q32" s="453">
        <f t="shared" si="1"/>
        <v>212552</v>
      </c>
      <c r="R32" s="96"/>
      <c r="S32" s="96"/>
    </row>
    <row r="33" spans="1:19" s="88" customFormat="1" ht="13" outlineLevel="1" x14ac:dyDescent="0.3">
      <c r="A33" s="146"/>
      <c r="E33" s="155"/>
      <c r="F33" s="155"/>
      <c r="I33" s="96"/>
      <c r="J33" s="156"/>
      <c r="K33" s="156"/>
      <c r="L33" s="156"/>
      <c r="M33" s="156"/>
      <c r="N33" s="156"/>
      <c r="O33" s="156"/>
      <c r="P33" s="156"/>
      <c r="Q33" s="156"/>
      <c r="R33" s="96"/>
      <c r="S33" s="96"/>
    </row>
    <row r="34" spans="1:19" s="88" customFormat="1" ht="13" outlineLevel="1" x14ac:dyDescent="0.3">
      <c r="A34" s="148"/>
      <c r="B34" s="147" t="s">
        <v>8</v>
      </c>
      <c r="C34" s="148" t="s">
        <v>157</v>
      </c>
      <c r="D34" s="147"/>
      <c r="E34" s="89"/>
      <c r="F34" s="89"/>
      <c r="R34" s="96"/>
      <c r="S34" s="96"/>
    </row>
    <row r="35" spans="1:19" s="88" customFormat="1" ht="13" outlineLevel="1" x14ac:dyDescent="0.3">
      <c r="A35" s="146"/>
      <c r="E35" s="121" t="s">
        <v>161</v>
      </c>
      <c r="F35" s="121" t="s">
        <v>160</v>
      </c>
      <c r="G35" s="121" t="s">
        <v>6</v>
      </c>
      <c r="H35" s="121" t="s">
        <v>118</v>
      </c>
      <c r="J35" s="122" t="str">
        <f>'Input | Comms &amp; IT'!J$68</f>
        <v>2017-18</v>
      </c>
      <c r="K35" s="122" t="str">
        <f>'Input | Comms &amp; IT'!K$68</f>
        <v>2018-19</v>
      </c>
      <c r="L35" s="149" t="str">
        <f>'Input | Comms &amp; IT'!L$68</f>
        <v>2019-20</v>
      </c>
      <c r="M35" s="122" t="str">
        <f>'Input | Comms &amp; IT'!M$68</f>
        <v>2020-21</v>
      </c>
      <c r="N35" s="122" t="str">
        <f>'Input | Comms &amp; IT'!N$68</f>
        <v>2021-22</v>
      </c>
      <c r="O35" s="122" t="str">
        <f>'Input | Comms &amp; IT'!O$68</f>
        <v>2022-23</v>
      </c>
      <c r="P35" s="122" t="str">
        <f>'Input | Comms &amp; IT'!P$68</f>
        <v>2023-24</v>
      </c>
      <c r="Q35" s="122" t="str">
        <f>'Input | Comms &amp; IT'!Q$68</f>
        <v>2024-25</v>
      </c>
      <c r="R35" s="96"/>
      <c r="S35" s="96"/>
    </row>
    <row r="36" spans="1:19" s="88" customFormat="1" ht="13" outlineLevel="1" x14ac:dyDescent="0.3">
      <c r="A36" s="146"/>
      <c r="E36" s="140" t="str" cm="1">
        <f t="array" ref="E36:F55">ICC_AllocFields</f>
        <v>Access Points</v>
      </c>
      <c r="F36" s="140" t="str">
        <v>Growth</v>
      </c>
      <c r="G36" s="127" t="s">
        <v>85</v>
      </c>
      <c r="H36" s="128">
        <f t="shared" ref="H36:H56" si="2">Basis_Capex</f>
        <v>43617</v>
      </c>
      <c r="J36" s="150">
        <f>'Input | Comms &amp; IT'!J142*'Input | Comms &amp; IT'!$K45*IF('Input | Comms &amp; IT'!$J45="Yes",'Input| Prices'!J$51,1)</f>
        <v>0</v>
      </c>
      <c r="K36" s="150">
        <f>'Input | Comms &amp; IT'!K142*'Input | Comms &amp; IT'!$K45*IF('Input | Comms &amp; IT'!$J45="Yes",'Input| Prices'!K$51,1)</f>
        <v>0</v>
      </c>
      <c r="L36" s="150">
        <f>'Input | Comms &amp; IT'!L142*'Input | Comms &amp; IT'!$K45*IF('Input | Comms &amp; IT'!$J45="Yes",'Input| Prices'!K$51,1)</f>
        <v>3357.2000000000003</v>
      </c>
      <c r="M36" s="459">
        <f>'Input | Comms &amp; IT'!M142*'Input | Comms &amp; IT'!$K45*IF('Input | Comms &amp; IT'!$J45="Yes",'Input| Prices'!L$51,1)</f>
        <v>3389.2000000000003</v>
      </c>
      <c r="N36" s="150">
        <f>'Input | Comms &amp; IT'!N142*'Input | Comms &amp; IT'!$K45*IF('Input | Comms &amp; IT'!$J45="Yes",'Input| Prices'!M$51,1)</f>
        <v>3421.2000000000003</v>
      </c>
      <c r="O36" s="150">
        <f>'Input | Comms &amp; IT'!O142*'Input | Comms &amp; IT'!$K45*IF('Input | Comms &amp; IT'!$J45="Yes",'Input| Prices'!N$51,1)</f>
        <v>3453.2000000000003</v>
      </c>
      <c r="P36" s="150">
        <f>'Input | Comms &amp; IT'!P142*'Input | Comms &amp; IT'!$K45*IF('Input | Comms &amp; IT'!$J45="Yes",'Input| Prices'!O$51,1)</f>
        <v>3485.2000000000003</v>
      </c>
      <c r="Q36" s="452">
        <f>'Input | Comms &amp; IT'!Q142*'Input | Comms &amp; IT'!$K45*IF('Input | Comms &amp; IT'!$J45="Yes",'Input| Prices'!P$51,1)</f>
        <v>3485.2000000000003</v>
      </c>
      <c r="R36" s="96"/>
      <c r="S36" s="96"/>
    </row>
    <row r="37" spans="1:19" s="88" customFormat="1" ht="13" outlineLevel="1" x14ac:dyDescent="0.3">
      <c r="A37" s="146"/>
      <c r="E37" s="140" t="str">
        <v>Relays</v>
      </c>
      <c r="F37" s="140" t="str">
        <v>Growth</v>
      </c>
      <c r="G37" s="127" t="s">
        <v>85</v>
      </c>
      <c r="H37" s="128">
        <f t="shared" si="2"/>
        <v>43617</v>
      </c>
      <c r="J37" s="150">
        <f>'Input | Comms &amp; IT'!J143*'Input | Comms &amp; IT'!$K46*IF('Input | Comms &amp; IT'!$J46="Yes",'Input| Prices'!J$51,1)</f>
        <v>0</v>
      </c>
      <c r="K37" s="150">
        <f>'Input | Comms &amp; IT'!K143*'Input | Comms &amp; IT'!$K46*IF('Input | Comms &amp; IT'!$J46="Yes",'Input| Prices'!K$51,1)</f>
        <v>0</v>
      </c>
      <c r="L37" s="150">
        <f>'Input | Comms &amp; IT'!L143*'Input | Comms &amp; IT'!$K46*IF('Input | Comms &amp; IT'!$J46="Yes",'Input| Prices'!K$51,1)</f>
        <v>0</v>
      </c>
      <c r="M37" s="459">
        <f>'Input | Comms &amp; IT'!M143*'Input | Comms &amp; IT'!$K46*IF('Input | Comms &amp; IT'!$J46="Yes",'Input| Prices'!L$51,1)</f>
        <v>12000</v>
      </c>
      <c r="N37" s="150">
        <f>'Input | Comms &amp; IT'!N143*'Input | Comms &amp; IT'!$K46*IF('Input | Comms &amp; IT'!$J46="Yes",'Input| Prices'!M$51,1)</f>
        <v>12000</v>
      </c>
      <c r="O37" s="150">
        <f>'Input | Comms &amp; IT'!O143*'Input | Comms &amp; IT'!$K46*IF('Input | Comms &amp; IT'!$J46="Yes",'Input| Prices'!N$51,1)</f>
        <v>12000</v>
      </c>
      <c r="P37" s="150">
        <f>'Input | Comms &amp; IT'!P143*'Input | Comms &amp; IT'!$K46*IF('Input | Comms &amp; IT'!$J46="Yes",'Input| Prices'!O$51,1)</f>
        <v>12000</v>
      </c>
      <c r="Q37" s="452">
        <f>'Input | Comms &amp; IT'!Q143*'Input | Comms &amp; IT'!$K46*IF('Input | Comms &amp; IT'!$J46="Yes",'Input| Prices'!P$51,1)</f>
        <v>12000</v>
      </c>
      <c r="R37" s="96"/>
      <c r="S37" s="96"/>
    </row>
    <row r="38" spans="1:19" s="88" customFormat="1" ht="13" outlineLevel="1" x14ac:dyDescent="0.3">
      <c r="A38" s="146"/>
      <c r="E38" s="140" t="str">
        <v>Antennas</v>
      </c>
      <c r="F38" s="140" t="str">
        <v>Growth</v>
      </c>
      <c r="G38" s="127" t="s">
        <v>85</v>
      </c>
      <c r="H38" s="128">
        <f t="shared" si="2"/>
        <v>43617</v>
      </c>
      <c r="J38" s="150">
        <f>'Input | Comms &amp; IT'!J144*'Input | Comms &amp; IT'!$K47*IF('Input | Comms &amp; IT'!$J47="Yes",'Input| Prices'!J$51,1)</f>
        <v>0</v>
      </c>
      <c r="K38" s="150">
        <f>'Input | Comms &amp; IT'!K144*'Input | Comms &amp; IT'!$K47*IF('Input | Comms &amp; IT'!$J47="Yes",'Input| Prices'!K$51,1)</f>
        <v>0</v>
      </c>
      <c r="L38" s="150">
        <f>'Input | Comms &amp; IT'!L144*'Input | Comms &amp; IT'!$K47*IF('Input | Comms &amp; IT'!$J47="Yes",'Input| Prices'!K$51,1)</f>
        <v>0</v>
      </c>
      <c r="M38" s="459">
        <f>'Input | Comms &amp; IT'!M144*'Input | Comms &amp; IT'!$K47*IF('Input | Comms &amp; IT'!$J47="Yes",'Input| Prices'!L$51,1)</f>
        <v>1200</v>
      </c>
      <c r="N38" s="150">
        <f>'Input | Comms &amp; IT'!N144*'Input | Comms &amp; IT'!$K47*IF('Input | Comms &amp; IT'!$J47="Yes",'Input| Prices'!M$51,1)</f>
        <v>1200</v>
      </c>
      <c r="O38" s="150">
        <f>'Input | Comms &amp; IT'!O144*'Input | Comms &amp; IT'!$K47*IF('Input | Comms &amp; IT'!$J47="Yes",'Input| Prices'!N$51,1)</f>
        <v>1200</v>
      </c>
      <c r="P38" s="150">
        <f>'Input | Comms &amp; IT'!P144*'Input | Comms &amp; IT'!$K47*IF('Input | Comms &amp; IT'!$J47="Yes",'Input| Prices'!O$51,1)</f>
        <v>1200</v>
      </c>
      <c r="Q38" s="452">
        <f>'Input | Comms &amp; IT'!Q144*'Input | Comms &amp; IT'!$K47*IF('Input | Comms &amp; IT'!$J47="Yes",'Input| Prices'!P$51,1)</f>
        <v>1200</v>
      </c>
      <c r="R38" s="96"/>
      <c r="S38" s="96"/>
    </row>
    <row r="39" spans="1:19" s="88" customFormat="1" ht="13" outlineLevel="1" x14ac:dyDescent="0.3">
      <c r="A39" s="146"/>
      <c r="E39" s="140" t="str">
        <v>Batteries</v>
      </c>
      <c r="F39" s="140" t="str">
        <v>Growth</v>
      </c>
      <c r="G39" s="127" t="s">
        <v>85</v>
      </c>
      <c r="H39" s="128">
        <f t="shared" si="2"/>
        <v>43617</v>
      </c>
      <c r="J39" s="150">
        <f>'Input | Comms &amp; IT'!J145*'Input | Comms &amp; IT'!$K48*IF('Input | Comms &amp; IT'!$J48="Yes",'Input| Prices'!J$51,1)</f>
        <v>0</v>
      </c>
      <c r="K39" s="150">
        <f>'Input | Comms &amp; IT'!K145*'Input | Comms &amp; IT'!$K48*IF('Input | Comms &amp; IT'!$J48="Yes",'Input| Prices'!K$51,1)</f>
        <v>0</v>
      </c>
      <c r="L39" s="150">
        <f>'Input | Comms &amp; IT'!L145*'Input | Comms &amp; IT'!$K48*IF('Input | Comms &amp; IT'!$J48="Yes",'Input| Prices'!K$51,1)</f>
        <v>0</v>
      </c>
      <c r="M39" s="459">
        <f>'Input | Comms &amp; IT'!M145*'Input | Comms &amp; IT'!$K48*IF('Input | Comms &amp; IT'!$J48="Yes",'Input| Prices'!L$51,1)</f>
        <v>80000</v>
      </c>
      <c r="N39" s="150">
        <f>'Input | Comms &amp; IT'!N145*'Input | Comms &amp; IT'!$K48*IF('Input | Comms &amp; IT'!$J48="Yes",'Input| Prices'!M$51,1)</f>
        <v>80000</v>
      </c>
      <c r="O39" s="150">
        <f>'Input | Comms &amp; IT'!O145*'Input | Comms &amp; IT'!$K48*IF('Input | Comms &amp; IT'!$J48="Yes",'Input| Prices'!N$51,1)</f>
        <v>80000</v>
      </c>
      <c r="P39" s="150">
        <f>'Input | Comms &amp; IT'!P145*'Input | Comms &amp; IT'!$K48*IF('Input | Comms &amp; IT'!$J48="Yes",'Input| Prices'!O$51,1)</f>
        <v>80000</v>
      </c>
      <c r="Q39" s="452">
        <f>'Input | Comms &amp; IT'!Q145*'Input | Comms &amp; IT'!$K48*IF('Input | Comms &amp; IT'!$J48="Yes",'Input| Prices'!P$51,1)</f>
        <v>80000</v>
      </c>
      <c r="R39" s="96"/>
      <c r="S39" s="96"/>
    </row>
    <row r="40" spans="1:19" s="88" customFormat="1" ht="13" outlineLevel="1" x14ac:dyDescent="0.3">
      <c r="A40" s="146"/>
      <c r="E40" s="140" t="str">
        <v>Access Points</v>
      </c>
      <c r="F40" s="140" t="str">
        <v>Replacements - faults and failures</v>
      </c>
      <c r="G40" s="127" t="s">
        <v>85</v>
      </c>
      <c r="H40" s="128">
        <f t="shared" si="2"/>
        <v>43617</v>
      </c>
      <c r="J40" s="150">
        <f>'Input | Comms &amp; IT'!J146*'Input | Comms &amp; IT'!$K49*IF('Input | Comms &amp; IT'!$J49="Yes",'Input| Prices'!J$51,1)</f>
        <v>0</v>
      </c>
      <c r="K40" s="150">
        <f>'Input | Comms &amp; IT'!K146*'Input | Comms &amp; IT'!$K49*IF('Input | Comms &amp; IT'!$J49="Yes",'Input| Prices'!K$51,1)</f>
        <v>0</v>
      </c>
      <c r="L40" s="150">
        <f>'Input | Comms &amp; IT'!L146*'Input | Comms &amp; IT'!$K49*IF('Input | Comms &amp; IT'!$J49="Yes",'Input| Prices'!K$51,1)</f>
        <v>4000</v>
      </c>
      <c r="M40" s="459">
        <f>'Input | Comms &amp; IT'!M146*'Input | Comms &amp; IT'!$K49*IF('Input | Comms &amp; IT'!$J49="Yes",'Input| Prices'!L$51,1)</f>
        <v>4200</v>
      </c>
      <c r="N40" s="150">
        <f>'Input | Comms &amp; IT'!N146*'Input | Comms &amp; IT'!$K49*IF('Input | Comms &amp; IT'!$J49="Yes",'Input| Prices'!M$51,1)</f>
        <v>4400</v>
      </c>
      <c r="O40" s="150">
        <f>'Input | Comms &amp; IT'!O146*'Input | Comms &amp; IT'!$K49*IF('Input | Comms &amp; IT'!$J49="Yes",'Input| Prices'!N$51,1)</f>
        <v>4600</v>
      </c>
      <c r="P40" s="150">
        <f>'Input | Comms &amp; IT'!P146*'Input | Comms &amp; IT'!$K49*IF('Input | Comms &amp; IT'!$J49="Yes",'Input| Prices'!O$51,1)</f>
        <v>4800</v>
      </c>
      <c r="Q40" s="452">
        <f>'Input | Comms &amp; IT'!Q146*'Input | Comms &amp; IT'!$K49*IF('Input | Comms &amp; IT'!$J49="Yes",'Input| Prices'!P$51,1)</f>
        <v>5000</v>
      </c>
      <c r="R40" s="96"/>
      <c r="S40" s="96"/>
    </row>
    <row r="41" spans="1:19" s="88" customFormat="1" ht="13" outlineLevel="1" x14ac:dyDescent="0.3">
      <c r="A41" s="146"/>
      <c r="E41" s="140" t="str">
        <v>Batteries</v>
      </c>
      <c r="F41" s="140" t="str">
        <v>Replacements - faults and failures</v>
      </c>
      <c r="G41" s="127" t="s">
        <v>85</v>
      </c>
      <c r="H41" s="128">
        <f t="shared" si="2"/>
        <v>43617</v>
      </c>
      <c r="J41" s="150">
        <f>'Input | Comms &amp; IT'!J147*'Input | Comms &amp; IT'!$K50*IF('Input | Comms &amp; IT'!$J50="Yes",'Input| Prices'!J$51,1)</f>
        <v>0</v>
      </c>
      <c r="K41" s="150">
        <f>'Input | Comms &amp; IT'!K147*'Input | Comms &amp; IT'!$K50*IF('Input | Comms &amp; IT'!$J50="Yes",'Input| Prices'!K$51,1)</f>
        <v>0</v>
      </c>
      <c r="L41" s="150">
        <f>'Input | Comms &amp; IT'!L147*'Input | Comms &amp; IT'!$K50*IF('Input | Comms &amp; IT'!$J50="Yes",'Input| Prices'!K$51,1)</f>
        <v>14400</v>
      </c>
      <c r="M41" s="459">
        <f>'Input | Comms &amp; IT'!M147*'Input | Comms &amp; IT'!$K50*IF('Input | Comms &amp; IT'!$J50="Yes",'Input| Prices'!L$51,1)</f>
        <v>14400</v>
      </c>
      <c r="N41" s="150">
        <f>'Input | Comms &amp; IT'!N147*'Input | Comms &amp; IT'!$K50*IF('Input | Comms &amp; IT'!$J50="Yes",'Input| Prices'!M$51,1)</f>
        <v>16800</v>
      </c>
      <c r="O41" s="150">
        <f>'Input | Comms &amp; IT'!O147*'Input | Comms &amp; IT'!$K50*IF('Input | Comms &amp; IT'!$J50="Yes",'Input| Prices'!N$51,1)</f>
        <v>19200</v>
      </c>
      <c r="P41" s="150">
        <f>'Input | Comms &amp; IT'!P147*'Input | Comms &amp; IT'!$K50*IF('Input | Comms &amp; IT'!$J50="Yes",'Input| Prices'!O$51,1)</f>
        <v>21600</v>
      </c>
      <c r="Q41" s="452">
        <f>'Input | Comms &amp; IT'!Q147*'Input | Comms &amp; IT'!$K50*IF('Input | Comms &amp; IT'!$J50="Yes",'Input| Prices'!P$51,1)</f>
        <v>24000</v>
      </c>
      <c r="R41" s="96"/>
      <c r="S41" s="96"/>
    </row>
    <row r="42" spans="1:19" s="88" customFormat="1" ht="13" outlineLevel="1" x14ac:dyDescent="0.3">
      <c r="A42" s="146"/>
      <c r="E42" s="140">
        <v>0</v>
      </c>
      <c r="F42" s="140">
        <v>0</v>
      </c>
      <c r="G42" s="127" t="s">
        <v>85</v>
      </c>
      <c r="H42" s="128">
        <f t="shared" si="2"/>
        <v>43617</v>
      </c>
      <c r="J42" s="150">
        <f>'Input | Comms &amp; IT'!J148*'Input | Comms &amp; IT'!$K51*IF('Input | Comms &amp; IT'!$J51="Yes",'Input| Prices'!J$51,1)</f>
        <v>0</v>
      </c>
      <c r="K42" s="150">
        <f>'Input | Comms &amp; IT'!K148*'Input | Comms &amp; IT'!$K51*IF('Input | Comms &amp; IT'!$J51="Yes",'Input| Prices'!K$51,1)</f>
        <v>0</v>
      </c>
      <c r="L42" s="150">
        <f>'Input | Comms &amp; IT'!L148*'Input | Comms &amp; IT'!$K51*IF('Input | Comms &amp; IT'!$J51="Yes",'Input| Prices'!K$51,1)</f>
        <v>0</v>
      </c>
      <c r="M42" s="459">
        <f>'Input | Comms &amp; IT'!M148*'Input | Comms &amp; IT'!$K51*IF('Input | Comms &amp; IT'!$J51="Yes",'Input| Prices'!L$51,1)</f>
        <v>0</v>
      </c>
      <c r="N42" s="150">
        <f>'Input | Comms &amp; IT'!N148*'Input | Comms &amp; IT'!$K51*IF('Input | Comms &amp; IT'!$J51="Yes",'Input| Prices'!M$51,1)</f>
        <v>0</v>
      </c>
      <c r="O42" s="150">
        <f>'Input | Comms &amp; IT'!O148*'Input | Comms &amp; IT'!$K51*IF('Input | Comms &amp; IT'!$J51="Yes",'Input| Prices'!N$51,1)</f>
        <v>0</v>
      </c>
      <c r="P42" s="150">
        <f>'Input | Comms &amp; IT'!P148*'Input | Comms &amp; IT'!$K51*IF('Input | Comms &amp; IT'!$J51="Yes",'Input| Prices'!O$51,1)</f>
        <v>0</v>
      </c>
      <c r="Q42" s="452">
        <f>'Input | Comms &amp; IT'!Q148*'Input | Comms &amp; IT'!$K51*IF('Input | Comms &amp; IT'!$J51="Yes",'Input| Prices'!P$51,1)</f>
        <v>0</v>
      </c>
      <c r="R42" s="96"/>
      <c r="S42" s="96"/>
    </row>
    <row r="43" spans="1:19" s="88" customFormat="1" ht="13" outlineLevel="1" x14ac:dyDescent="0.3">
      <c r="A43" s="146"/>
      <c r="E43" s="140">
        <v>0</v>
      </c>
      <c r="F43" s="140">
        <v>0</v>
      </c>
      <c r="G43" s="127" t="s">
        <v>85</v>
      </c>
      <c r="H43" s="128">
        <f t="shared" si="2"/>
        <v>43617</v>
      </c>
      <c r="J43" s="150">
        <f>'Input | Comms &amp; IT'!J149*'Input | Comms &amp; IT'!$K52*IF('Input | Comms &amp; IT'!$J52="Yes",'Input| Prices'!J$51,1)</f>
        <v>0</v>
      </c>
      <c r="K43" s="150">
        <f>'Input | Comms &amp; IT'!K149*'Input | Comms &amp; IT'!$K52*IF('Input | Comms &amp; IT'!$J52="Yes",'Input| Prices'!K$51,1)</f>
        <v>0</v>
      </c>
      <c r="L43" s="150">
        <f>'Input | Comms &amp; IT'!L149*'Input | Comms &amp; IT'!$K52*IF('Input | Comms &amp; IT'!$J52="Yes",'Input| Prices'!K$51,1)</f>
        <v>0</v>
      </c>
      <c r="M43" s="459">
        <f>'Input | Comms &amp; IT'!M149*'Input | Comms &amp; IT'!$K52*IF('Input | Comms &amp; IT'!$J52="Yes",'Input| Prices'!L$51,1)</f>
        <v>0</v>
      </c>
      <c r="N43" s="150">
        <f>'Input | Comms &amp; IT'!N149*'Input | Comms &amp; IT'!$K52*IF('Input | Comms &amp; IT'!$J52="Yes",'Input| Prices'!M$51,1)</f>
        <v>0</v>
      </c>
      <c r="O43" s="150">
        <f>'Input | Comms &amp; IT'!O149*'Input | Comms &amp; IT'!$K52*IF('Input | Comms &amp; IT'!$J52="Yes",'Input| Prices'!N$51,1)</f>
        <v>0</v>
      </c>
      <c r="P43" s="150">
        <f>'Input | Comms &amp; IT'!P149*'Input | Comms &amp; IT'!$K52*IF('Input | Comms &amp; IT'!$J52="Yes",'Input| Prices'!O$51,1)</f>
        <v>0</v>
      </c>
      <c r="Q43" s="452">
        <f>'Input | Comms &amp; IT'!Q149*'Input | Comms &amp; IT'!$K52*IF('Input | Comms &amp; IT'!$J52="Yes",'Input| Prices'!P$51,1)</f>
        <v>0</v>
      </c>
      <c r="R43" s="96"/>
      <c r="S43" s="96"/>
    </row>
    <row r="44" spans="1:19" s="88" customFormat="1" ht="13" outlineLevel="1" x14ac:dyDescent="0.3">
      <c r="A44" s="146"/>
      <c r="E44" s="140">
        <v>0</v>
      </c>
      <c r="F44" s="140">
        <v>0</v>
      </c>
      <c r="G44" s="127" t="s">
        <v>85</v>
      </c>
      <c r="H44" s="128">
        <f t="shared" si="2"/>
        <v>43617</v>
      </c>
      <c r="J44" s="150">
        <f>'Input | Comms &amp; IT'!J150*'Input | Comms &amp; IT'!$K53*IF('Input | Comms &amp; IT'!$J53="Yes",'Input| Prices'!J$51,1)</f>
        <v>0</v>
      </c>
      <c r="K44" s="150">
        <f>'Input | Comms &amp; IT'!K150*'Input | Comms &amp; IT'!$K53*IF('Input | Comms &amp; IT'!$J53="Yes",'Input| Prices'!K$51,1)</f>
        <v>0</v>
      </c>
      <c r="L44" s="150">
        <f>'Input | Comms &amp; IT'!L150*'Input | Comms &amp; IT'!$K53*IF('Input | Comms &amp; IT'!$J53="Yes",'Input| Prices'!K$51,1)</f>
        <v>0</v>
      </c>
      <c r="M44" s="459">
        <f>'Input | Comms &amp; IT'!M150*'Input | Comms &amp; IT'!$K53*IF('Input | Comms &amp; IT'!$J53="Yes",'Input| Prices'!L$51,1)</f>
        <v>0</v>
      </c>
      <c r="N44" s="150">
        <f>'Input | Comms &amp; IT'!N150*'Input | Comms &amp; IT'!$K53*IF('Input | Comms &amp; IT'!$J53="Yes",'Input| Prices'!M$51,1)</f>
        <v>0</v>
      </c>
      <c r="O44" s="150">
        <f>'Input | Comms &amp; IT'!O150*'Input | Comms &amp; IT'!$K53*IF('Input | Comms &amp; IT'!$J53="Yes",'Input| Prices'!N$51,1)</f>
        <v>0</v>
      </c>
      <c r="P44" s="150">
        <f>'Input | Comms &amp; IT'!P150*'Input | Comms &amp; IT'!$K53*IF('Input | Comms &amp; IT'!$J53="Yes",'Input| Prices'!O$51,1)</f>
        <v>0</v>
      </c>
      <c r="Q44" s="452">
        <f>'Input | Comms &amp; IT'!Q150*'Input | Comms &amp; IT'!$K53*IF('Input | Comms &amp; IT'!$J53="Yes",'Input| Prices'!P$51,1)</f>
        <v>0</v>
      </c>
      <c r="R44" s="96"/>
      <c r="S44" s="96"/>
    </row>
    <row r="45" spans="1:19" s="88" customFormat="1" ht="13" outlineLevel="1" x14ac:dyDescent="0.3">
      <c r="A45" s="146"/>
      <c r="E45" s="140">
        <v>0</v>
      </c>
      <c r="F45" s="140">
        <v>0</v>
      </c>
      <c r="G45" s="127" t="s">
        <v>85</v>
      </c>
      <c r="H45" s="128">
        <f t="shared" si="2"/>
        <v>43617</v>
      </c>
      <c r="J45" s="150">
        <f>'Input | Comms &amp; IT'!J151*'Input | Comms &amp; IT'!$K54*IF('Input | Comms &amp; IT'!$J54="Yes",'Input| Prices'!J$51,1)</f>
        <v>0</v>
      </c>
      <c r="K45" s="150">
        <f>'Input | Comms &amp; IT'!K151*'Input | Comms &amp; IT'!$K54*IF('Input | Comms &amp; IT'!$J54="Yes",'Input| Prices'!K$51,1)</f>
        <v>0</v>
      </c>
      <c r="L45" s="150">
        <f>'Input | Comms &amp; IT'!L151*'Input | Comms &amp; IT'!$K54*IF('Input | Comms &amp; IT'!$J54="Yes",'Input| Prices'!K$51,1)</f>
        <v>0</v>
      </c>
      <c r="M45" s="459">
        <f>'Input | Comms &amp; IT'!M151*'Input | Comms &amp; IT'!$K54*IF('Input | Comms &amp; IT'!$J54="Yes",'Input| Prices'!L$51,1)</f>
        <v>0</v>
      </c>
      <c r="N45" s="150">
        <f>'Input | Comms &amp; IT'!N151*'Input | Comms &amp; IT'!$K54*IF('Input | Comms &amp; IT'!$J54="Yes",'Input| Prices'!M$51,1)</f>
        <v>0</v>
      </c>
      <c r="O45" s="150">
        <f>'Input | Comms &amp; IT'!O151*'Input | Comms &amp; IT'!$K54*IF('Input | Comms &amp; IT'!$J54="Yes",'Input| Prices'!N$51,1)</f>
        <v>0</v>
      </c>
      <c r="P45" s="150">
        <f>'Input | Comms &amp; IT'!P151*'Input | Comms &amp; IT'!$K54*IF('Input | Comms &amp; IT'!$J54="Yes",'Input| Prices'!O$51,1)</f>
        <v>0</v>
      </c>
      <c r="Q45" s="452">
        <f>'Input | Comms &amp; IT'!Q151*'Input | Comms &amp; IT'!$K54*IF('Input | Comms &amp; IT'!$J54="Yes",'Input| Prices'!P$51,1)</f>
        <v>0</v>
      </c>
      <c r="R45" s="96"/>
      <c r="S45" s="96"/>
    </row>
    <row r="46" spans="1:19" s="88" customFormat="1" ht="13" outlineLevel="1" x14ac:dyDescent="0.3">
      <c r="A46" s="146"/>
      <c r="E46" s="140">
        <v>0</v>
      </c>
      <c r="F46" s="140">
        <v>0</v>
      </c>
      <c r="G46" s="127" t="s">
        <v>85</v>
      </c>
      <c r="H46" s="128">
        <f t="shared" si="2"/>
        <v>43617</v>
      </c>
      <c r="J46" s="150">
        <f>'Input | Comms &amp; IT'!J152*'Input | Comms &amp; IT'!$K55*IF('Input | Comms &amp; IT'!$J55="Yes",'Input| Prices'!J$51,1)</f>
        <v>0</v>
      </c>
      <c r="K46" s="150">
        <f>'Input | Comms &amp; IT'!K152*'Input | Comms &amp; IT'!$K55*IF('Input | Comms &amp; IT'!$J55="Yes",'Input| Prices'!K$51,1)</f>
        <v>0</v>
      </c>
      <c r="L46" s="150">
        <f>'Input | Comms &amp; IT'!L152*'Input | Comms &amp; IT'!$K55*IF('Input | Comms &amp; IT'!$J55="Yes",'Input| Prices'!K$51,1)</f>
        <v>0</v>
      </c>
      <c r="M46" s="459">
        <f>'Input | Comms &amp; IT'!M152*'Input | Comms &amp; IT'!$K55*IF('Input | Comms &amp; IT'!$J55="Yes",'Input| Prices'!L$51,1)</f>
        <v>0</v>
      </c>
      <c r="N46" s="150">
        <f>'Input | Comms &amp; IT'!N152*'Input | Comms &amp; IT'!$K55*IF('Input | Comms &amp; IT'!$J55="Yes",'Input| Prices'!M$51,1)</f>
        <v>0</v>
      </c>
      <c r="O46" s="150">
        <f>'Input | Comms &amp; IT'!O152*'Input | Comms &amp; IT'!$K55*IF('Input | Comms &amp; IT'!$J55="Yes",'Input| Prices'!N$51,1)</f>
        <v>0</v>
      </c>
      <c r="P46" s="150">
        <f>'Input | Comms &amp; IT'!P152*'Input | Comms &amp; IT'!$K55*IF('Input | Comms &amp; IT'!$J55="Yes",'Input| Prices'!O$51,1)</f>
        <v>0</v>
      </c>
      <c r="Q46" s="452">
        <f>'Input | Comms &amp; IT'!Q152*'Input | Comms &amp; IT'!$K55*IF('Input | Comms &amp; IT'!$J55="Yes",'Input| Prices'!P$51,1)</f>
        <v>0</v>
      </c>
      <c r="R46" s="96"/>
      <c r="S46" s="96"/>
    </row>
    <row r="47" spans="1:19" s="88" customFormat="1" ht="13" outlineLevel="1" x14ac:dyDescent="0.3">
      <c r="A47" s="146"/>
      <c r="E47" s="140">
        <v>0</v>
      </c>
      <c r="F47" s="140">
        <v>0</v>
      </c>
      <c r="G47" s="127" t="s">
        <v>85</v>
      </c>
      <c r="H47" s="128">
        <f t="shared" si="2"/>
        <v>43617</v>
      </c>
      <c r="J47" s="150">
        <f>'Input | Comms &amp; IT'!J153*'Input | Comms &amp; IT'!$K56*IF('Input | Comms &amp; IT'!$J56="Yes",'Input| Prices'!J$51,1)</f>
        <v>0</v>
      </c>
      <c r="K47" s="150">
        <f>'Input | Comms &amp; IT'!K153*'Input | Comms &amp; IT'!$K56*IF('Input | Comms &amp; IT'!$J56="Yes",'Input| Prices'!K$51,1)</f>
        <v>0</v>
      </c>
      <c r="L47" s="150">
        <f>'Input | Comms &amp; IT'!L153*'Input | Comms &amp; IT'!$K56*IF('Input | Comms &amp; IT'!$J56="Yes",'Input| Prices'!K$51,1)</f>
        <v>0</v>
      </c>
      <c r="M47" s="459">
        <f>'Input | Comms &amp; IT'!M153*'Input | Comms &amp; IT'!$K56*IF('Input | Comms &amp; IT'!$J56="Yes",'Input| Prices'!L$51,1)</f>
        <v>0</v>
      </c>
      <c r="N47" s="150">
        <f>'Input | Comms &amp; IT'!N153*'Input | Comms &amp; IT'!$K56*IF('Input | Comms &amp; IT'!$J56="Yes",'Input| Prices'!M$51,1)</f>
        <v>0</v>
      </c>
      <c r="O47" s="150">
        <f>'Input | Comms &amp; IT'!O153*'Input | Comms &amp; IT'!$K56*IF('Input | Comms &amp; IT'!$J56="Yes",'Input| Prices'!N$51,1)</f>
        <v>0</v>
      </c>
      <c r="P47" s="150">
        <f>'Input | Comms &amp; IT'!P153*'Input | Comms &amp; IT'!$K56*IF('Input | Comms &amp; IT'!$J56="Yes",'Input| Prices'!O$51,1)</f>
        <v>0</v>
      </c>
      <c r="Q47" s="647">
        <f>'Input | Comms &amp; IT'!Q153*'Input | Comms &amp; IT'!$K56*IF('Input | Comms &amp; IT'!$J56="Yes",'Input| Prices'!P$51,1)</f>
        <v>0</v>
      </c>
      <c r="R47" s="96"/>
      <c r="S47" s="96"/>
    </row>
    <row r="48" spans="1:19" s="88" customFormat="1" ht="13" outlineLevel="1" x14ac:dyDescent="0.3">
      <c r="A48" s="146"/>
      <c r="E48" s="140">
        <v>0</v>
      </c>
      <c r="F48" s="140">
        <v>0</v>
      </c>
      <c r="G48" s="127" t="s">
        <v>85</v>
      </c>
      <c r="H48" s="128">
        <f t="shared" si="2"/>
        <v>43617</v>
      </c>
      <c r="J48" s="150">
        <f>'Input | Comms &amp; IT'!J154*'Input | Comms &amp; IT'!$K57*IF('Input | Comms &amp; IT'!$J57="Yes",'Input| Prices'!J$51,1)</f>
        <v>0</v>
      </c>
      <c r="K48" s="150">
        <f>'Input | Comms &amp; IT'!K154*'Input | Comms &amp; IT'!$K57*IF('Input | Comms &amp; IT'!$J57="Yes",'Input| Prices'!K$51,1)</f>
        <v>0</v>
      </c>
      <c r="L48" s="150">
        <f>'Input | Comms &amp; IT'!L154*'Input | Comms &amp; IT'!$K57*IF('Input | Comms &amp; IT'!$J57="Yes",'Input| Prices'!K$51,1)</f>
        <v>0</v>
      </c>
      <c r="M48" s="459">
        <f>'Input | Comms &amp; IT'!M154*'Input | Comms &amp; IT'!$K57*IF('Input | Comms &amp; IT'!$J57="Yes",'Input| Prices'!L$51,1)</f>
        <v>0</v>
      </c>
      <c r="N48" s="150">
        <f>'Input | Comms &amp; IT'!N154*'Input | Comms &amp; IT'!$K57*IF('Input | Comms &amp; IT'!$J57="Yes",'Input| Prices'!M$51,1)</f>
        <v>0</v>
      </c>
      <c r="O48" s="150">
        <f>'Input | Comms &amp; IT'!O154*'Input | Comms &amp; IT'!$K57*IF('Input | Comms &amp; IT'!$J57="Yes",'Input| Prices'!N$51,1)</f>
        <v>0</v>
      </c>
      <c r="P48" s="150">
        <f>'Input | Comms &amp; IT'!P154*'Input | Comms &amp; IT'!$K57*IF('Input | Comms &amp; IT'!$J57="Yes",'Input| Prices'!O$51,1)</f>
        <v>0</v>
      </c>
      <c r="Q48" s="452">
        <f>'Input | Comms &amp; IT'!Q154*'Input | Comms &amp; IT'!$K57*IF('Input | Comms &amp; IT'!$J57="Yes",'Input| Prices'!P$51,1)</f>
        <v>0</v>
      </c>
      <c r="R48" s="96"/>
      <c r="S48" s="96"/>
    </row>
    <row r="49" spans="1:19" s="88" customFormat="1" ht="13" outlineLevel="1" x14ac:dyDescent="0.3">
      <c r="A49" s="146"/>
      <c r="E49" s="140">
        <v>0</v>
      </c>
      <c r="F49" s="140">
        <v>0</v>
      </c>
      <c r="G49" s="127" t="s">
        <v>85</v>
      </c>
      <c r="H49" s="128">
        <f t="shared" si="2"/>
        <v>43617</v>
      </c>
      <c r="J49" s="150">
        <f>'Input | Comms &amp; IT'!J155*'Input | Comms &amp; IT'!$K58*IF('Input | Comms &amp; IT'!$J58="Yes",'Input| Prices'!J$51,1)</f>
        <v>0</v>
      </c>
      <c r="K49" s="150">
        <f>'Input | Comms &amp; IT'!K155*'Input | Comms &amp; IT'!$K58*IF('Input | Comms &amp; IT'!$J58="Yes",'Input| Prices'!K$51,1)</f>
        <v>0</v>
      </c>
      <c r="L49" s="150">
        <f>'Input | Comms &amp; IT'!L155*'Input | Comms &amp; IT'!$K58*IF('Input | Comms &amp; IT'!$J58="Yes",'Input| Prices'!K$51,1)</f>
        <v>0</v>
      </c>
      <c r="M49" s="459">
        <f>'Input | Comms &amp; IT'!M155*'Input | Comms &amp; IT'!$K58*IF('Input | Comms &amp; IT'!$J58="Yes",'Input| Prices'!L$51,1)</f>
        <v>0</v>
      </c>
      <c r="N49" s="150">
        <f>'Input | Comms &amp; IT'!N155*'Input | Comms &amp; IT'!$K58*IF('Input | Comms &amp; IT'!$J58="Yes",'Input| Prices'!M$51,1)</f>
        <v>0</v>
      </c>
      <c r="O49" s="150">
        <f>'Input | Comms &amp; IT'!O155*'Input | Comms &amp; IT'!$K58*IF('Input | Comms &amp; IT'!$J58="Yes",'Input| Prices'!N$51,1)</f>
        <v>0</v>
      </c>
      <c r="P49" s="150">
        <f>'Input | Comms &amp; IT'!P155*'Input | Comms &amp; IT'!$K58*IF('Input | Comms &amp; IT'!$J58="Yes",'Input| Prices'!O$51,1)</f>
        <v>0</v>
      </c>
      <c r="Q49" s="452">
        <f>'Input | Comms &amp; IT'!Q155*'Input | Comms &amp; IT'!$K58*IF('Input | Comms &amp; IT'!$J58="Yes",'Input| Prices'!P$51,1)</f>
        <v>0</v>
      </c>
      <c r="R49" s="96"/>
      <c r="S49" s="96"/>
    </row>
    <row r="50" spans="1:19" s="88" customFormat="1" ht="13" outlineLevel="1" x14ac:dyDescent="0.3">
      <c r="A50" s="146"/>
      <c r="E50" s="140">
        <v>0</v>
      </c>
      <c r="F50" s="140">
        <v>0</v>
      </c>
      <c r="G50" s="127" t="s">
        <v>85</v>
      </c>
      <c r="H50" s="128">
        <f t="shared" si="2"/>
        <v>43617</v>
      </c>
      <c r="J50" s="150">
        <f>'Input | Comms &amp; IT'!J156*'Input | Comms &amp; IT'!$K59*IF('Input | Comms &amp; IT'!$J59="Yes",'Input| Prices'!J$51,1)</f>
        <v>0</v>
      </c>
      <c r="K50" s="150">
        <f>'Input | Comms &amp; IT'!K156*'Input | Comms &amp; IT'!$K59*IF('Input | Comms &amp; IT'!$J59="Yes",'Input| Prices'!K$51,1)</f>
        <v>0</v>
      </c>
      <c r="L50" s="150">
        <f>'Input | Comms &amp; IT'!L156*'Input | Comms &amp; IT'!$K59*IF('Input | Comms &amp; IT'!$J59="Yes",'Input| Prices'!K$51,1)</f>
        <v>0</v>
      </c>
      <c r="M50" s="459">
        <f>'Input | Comms &amp; IT'!M156*'Input | Comms &amp; IT'!$K59*IF('Input | Comms &amp; IT'!$J59="Yes",'Input| Prices'!L$51,1)</f>
        <v>0</v>
      </c>
      <c r="N50" s="150">
        <f>'Input | Comms &amp; IT'!N156*'Input | Comms &amp; IT'!$K59*IF('Input | Comms &amp; IT'!$J59="Yes",'Input| Prices'!M$51,1)</f>
        <v>0</v>
      </c>
      <c r="O50" s="150">
        <f>'Input | Comms &amp; IT'!O156*'Input | Comms &amp; IT'!$K59*IF('Input | Comms &amp; IT'!$J59="Yes",'Input| Prices'!N$51,1)</f>
        <v>0</v>
      </c>
      <c r="P50" s="150">
        <f>'Input | Comms &amp; IT'!P156*'Input | Comms &amp; IT'!$K59*IF('Input | Comms &amp; IT'!$J59="Yes",'Input| Prices'!O$51,1)</f>
        <v>0</v>
      </c>
      <c r="Q50" s="452">
        <f>'Input | Comms &amp; IT'!Q156*'Input | Comms &amp; IT'!$K59*IF('Input | Comms &amp; IT'!$J59="Yes",'Input| Prices'!P$51,1)</f>
        <v>0</v>
      </c>
      <c r="R50" s="96"/>
      <c r="S50" s="96"/>
    </row>
    <row r="51" spans="1:19" s="88" customFormat="1" ht="13" outlineLevel="1" x14ac:dyDescent="0.3">
      <c r="A51" s="146"/>
      <c r="E51" s="140">
        <v>0</v>
      </c>
      <c r="F51" s="140">
        <v>0</v>
      </c>
      <c r="G51" s="127" t="s">
        <v>85</v>
      </c>
      <c r="H51" s="128">
        <f t="shared" si="2"/>
        <v>43617</v>
      </c>
      <c r="J51" s="150">
        <f>'Input | Comms &amp; IT'!J157*'Input | Comms &amp; IT'!$K60*IF('Input | Comms &amp; IT'!$J60="Yes",'Input| Prices'!J$51,1)</f>
        <v>0</v>
      </c>
      <c r="K51" s="150">
        <f>'Input | Comms &amp; IT'!K157*'Input | Comms &amp; IT'!$K60*IF('Input | Comms &amp; IT'!$J60="Yes",'Input| Prices'!K$51,1)</f>
        <v>0</v>
      </c>
      <c r="L51" s="150">
        <f>'Input | Comms &amp; IT'!L157*'Input | Comms &amp; IT'!$K60*IF('Input | Comms &amp; IT'!$J60="Yes",'Input| Prices'!K$51,1)</f>
        <v>0</v>
      </c>
      <c r="M51" s="459">
        <f>'Input | Comms &amp; IT'!M157*'Input | Comms &amp; IT'!$K60*IF('Input | Comms &amp; IT'!$J60="Yes",'Input| Prices'!L$51,1)</f>
        <v>0</v>
      </c>
      <c r="N51" s="150">
        <f>'Input | Comms &amp; IT'!N157*'Input | Comms &amp; IT'!$K60*IF('Input | Comms &amp; IT'!$J60="Yes",'Input| Prices'!M$51,1)</f>
        <v>0</v>
      </c>
      <c r="O51" s="150">
        <f>'Input | Comms &amp; IT'!O157*'Input | Comms &amp; IT'!$K60*IF('Input | Comms &amp; IT'!$J60="Yes",'Input| Prices'!N$51,1)</f>
        <v>0</v>
      </c>
      <c r="P51" s="150">
        <f>'Input | Comms &amp; IT'!P157*'Input | Comms &amp; IT'!$K60*IF('Input | Comms &amp; IT'!$J60="Yes",'Input| Prices'!O$51,1)</f>
        <v>0</v>
      </c>
      <c r="Q51" s="452">
        <f>'Input | Comms &amp; IT'!Q157*'Input | Comms &amp; IT'!$K60*IF('Input | Comms &amp; IT'!$J60="Yes",'Input| Prices'!P$51,1)</f>
        <v>0</v>
      </c>
      <c r="R51" s="96"/>
      <c r="S51" s="96"/>
    </row>
    <row r="52" spans="1:19" s="88" customFormat="1" ht="13" outlineLevel="1" x14ac:dyDescent="0.3">
      <c r="A52" s="146"/>
      <c r="E52" s="140">
        <v>0</v>
      </c>
      <c r="F52" s="140">
        <v>0</v>
      </c>
      <c r="G52" s="127" t="s">
        <v>85</v>
      </c>
      <c r="H52" s="128">
        <f t="shared" si="2"/>
        <v>43617</v>
      </c>
      <c r="J52" s="150">
        <f>'Input | Comms &amp; IT'!J158*'Input | Comms &amp; IT'!$K61*IF('Input | Comms &amp; IT'!$J61="Yes",'Input| Prices'!J$51,1)</f>
        <v>0</v>
      </c>
      <c r="K52" s="150">
        <f>'Input | Comms &amp; IT'!K158*'Input | Comms &amp; IT'!$K61*IF('Input | Comms &amp; IT'!$J61="Yes",'Input| Prices'!K$51,1)</f>
        <v>0</v>
      </c>
      <c r="L52" s="150">
        <f>'Input | Comms &amp; IT'!L158*'Input | Comms &amp; IT'!$K61*IF('Input | Comms &amp; IT'!$J61="Yes",'Input| Prices'!K$51,1)</f>
        <v>0</v>
      </c>
      <c r="M52" s="459">
        <f>'Input | Comms &amp; IT'!M158*'Input | Comms &amp; IT'!$K61*IF('Input | Comms &amp; IT'!$J61="Yes",'Input| Prices'!L$51,1)</f>
        <v>0</v>
      </c>
      <c r="N52" s="150">
        <f>'Input | Comms &amp; IT'!N158*'Input | Comms &amp; IT'!$K61*IF('Input | Comms &amp; IT'!$J61="Yes",'Input| Prices'!M$51,1)</f>
        <v>0</v>
      </c>
      <c r="O52" s="150">
        <f>'Input | Comms &amp; IT'!O158*'Input | Comms &amp; IT'!$K61*IF('Input | Comms &amp; IT'!$J61="Yes",'Input| Prices'!N$51,1)</f>
        <v>0</v>
      </c>
      <c r="P52" s="150">
        <f>'Input | Comms &amp; IT'!P158*'Input | Comms &amp; IT'!$K61*IF('Input | Comms &amp; IT'!$J61="Yes",'Input| Prices'!O$51,1)</f>
        <v>0</v>
      </c>
      <c r="Q52" s="452">
        <f>'Input | Comms &amp; IT'!Q158*'Input | Comms &amp; IT'!$K61*IF('Input | Comms &amp; IT'!$J61="Yes",'Input| Prices'!P$51,1)</f>
        <v>0</v>
      </c>
      <c r="R52" s="96"/>
      <c r="S52" s="96"/>
    </row>
    <row r="53" spans="1:19" s="88" customFormat="1" ht="13" outlineLevel="1" x14ac:dyDescent="0.3">
      <c r="A53" s="146"/>
      <c r="E53" s="140">
        <v>0</v>
      </c>
      <c r="F53" s="140">
        <v>0</v>
      </c>
      <c r="G53" s="127" t="s">
        <v>85</v>
      </c>
      <c r="H53" s="128">
        <f t="shared" si="2"/>
        <v>43617</v>
      </c>
      <c r="J53" s="150">
        <f>'Input | Comms &amp; IT'!J159*'Input | Comms &amp; IT'!$K62*IF('Input | Comms &amp; IT'!$J62="Yes",'Input| Prices'!J$51,1)</f>
        <v>0</v>
      </c>
      <c r="K53" s="150">
        <f>'Input | Comms &amp; IT'!K159*'Input | Comms &amp; IT'!$K62*IF('Input | Comms &amp; IT'!$J62="Yes",'Input| Prices'!K$51,1)</f>
        <v>0</v>
      </c>
      <c r="L53" s="150">
        <f>'Input | Comms &amp; IT'!L159*'Input | Comms &amp; IT'!$K62*IF('Input | Comms &amp; IT'!$J62="Yes",'Input| Prices'!K$51,1)</f>
        <v>0</v>
      </c>
      <c r="M53" s="459">
        <f>'Input | Comms &amp; IT'!M159*'Input | Comms &amp; IT'!$K62*IF('Input | Comms &amp; IT'!$J62="Yes",'Input| Prices'!L$51,1)</f>
        <v>0</v>
      </c>
      <c r="N53" s="150">
        <f>'Input | Comms &amp; IT'!N159*'Input | Comms &amp; IT'!$K62*IF('Input | Comms &amp; IT'!$J62="Yes",'Input| Prices'!M$51,1)</f>
        <v>0</v>
      </c>
      <c r="O53" s="150">
        <f>'Input | Comms &amp; IT'!O159*'Input | Comms &amp; IT'!$K62*IF('Input | Comms &amp; IT'!$J62="Yes",'Input| Prices'!N$51,1)</f>
        <v>0</v>
      </c>
      <c r="P53" s="150">
        <f>'Input | Comms &amp; IT'!P159*'Input | Comms &amp; IT'!$K62*IF('Input | Comms &amp; IT'!$J62="Yes",'Input| Prices'!O$51,1)</f>
        <v>0</v>
      </c>
      <c r="Q53" s="452">
        <f>'Input | Comms &amp; IT'!Q159*'Input | Comms &amp; IT'!$K62*IF('Input | Comms &amp; IT'!$J62="Yes",'Input| Prices'!P$51,1)</f>
        <v>0</v>
      </c>
      <c r="R53" s="96"/>
      <c r="S53" s="96"/>
    </row>
    <row r="54" spans="1:19" s="88" customFormat="1" ht="13" outlineLevel="1" x14ac:dyDescent="0.3">
      <c r="A54" s="146"/>
      <c r="E54" s="140">
        <v>0</v>
      </c>
      <c r="F54" s="140">
        <v>0</v>
      </c>
      <c r="G54" s="127" t="s">
        <v>85</v>
      </c>
      <c r="H54" s="128">
        <f t="shared" si="2"/>
        <v>43617</v>
      </c>
      <c r="J54" s="150">
        <f>'Input | Comms &amp; IT'!J160*'Input | Comms &amp; IT'!$K63*IF('Input | Comms &amp; IT'!$J63="Yes",'Input| Prices'!J$51,1)</f>
        <v>0</v>
      </c>
      <c r="K54" s="150">
        <f>'Input | Comms &amp; IT'!K160*'Input | Comms &amp; IT'!$K63*IF('Input | Comms &amp; IT'!$J63="Yes",'Input| Prices'!K$51,1)</f>
        <v>0</v>
      </c>
      <c r="L54" s="150">
        <f>'Input | Comms &amp; IT'!L160*'Input | Comms &amp; IT'!$K63*IF('Input | Comms &amp; IT'!$J63="Yes",'Input| Prices'!K$51,1)</f>
        <v>0</v>
      </c>
      <c r="M54" s="459">
        <f>'Input | Comms &amp; IT'!M160*'Input | Comms &amp; IT'!$K63*IF('Input | Comms &amp; IT'!$J63="Yes",'Input| Prices'!L$51,1)</f>
        <v>0</v>
      </c>
      <c r="N54" s="150">
        <f>'Input | Comms &amp; IT'!N160*'Input | Comms &amp; IT'!$K63*IF('Input | Comms &amp; IT'!$J63="Yes",'Input| Prices'!M$51,1)</f>
        <v>0</v>
      </c>
      <c r="O54" s="150">
        <f>'Input | Comms &amp; IT'!O160*'Input | Comms &amp; IT'!$K63*IF('Input | Comms &amp; IT'!$J63="Yes",'Input| Prices'!N$51,1)</f>
        <v>0</v>
      </c>
      <c r="P54" s="150">
        <f>'Input | Comms &amp; IT'!P160*'Input | Comms &amp; IT'!$K63*IF('Input | Comms &amp; IT'!$J63="Yes",'Input| Prices'!O$51,1)</f>
        <v>0</v>
      </c>
      <c r="Q54" s="452">
        <f>'Input | Comms &amp; IT'!Q160*'Input | Comms &amp; IT'!$K63*IF('Input | Comms &amp; IT'!$J63="Yes",'Input| Prices'!P$51,1)</f>
        <v>0</v>
      </c>
      <c r="R54" s="96"/>
      <c r="S54" s="96"/>
    </row>
    <row r="55" spans="1:19" s="88" customFormat="1" ht="13" outlineLevel="1" x14ac:dyDescent="0.3">
      <c r="A55" s="146"/>
      <c r="E55" s="140">
        <v>0</v>
      </c>
      <c r="F55" s="140">
        <v>0</v>
      </c>
      <c r="G55" s="127" t="s">
        <v>85</v>
      </c>
      <c r="H55" s="128">
        <f t="shared" si="2"/>
        <v>43617</v>
      </c>
      <c r="I55" s="96"/>
      <c r="J55" s="150">
        <f>'Input | Comms &amp; IT'!J161*'Input | Comms &amp; IT'!$K64*IF('Input | Comms &amp; IT'!$J64="Yes",'Input| Prices'!J$51,1)</f>
        <v>0</v>
      </c>
      <c r="K55" s="150">
        <f>'Input | Comms &amp; IT'!K161*'Input | Comms &amp; IT'!$K64*IF('Input | Comms &amp; IT'!$J64="Yes",'Input| Prices'!K$51,1)</f>
        <v>0</v>
      </c>
      <c r="L55" s="150">
        <f>'Input | Comms &amp; IT'!L161*'Input | Comms &amp; IT'!$K64*IF('Input | Comms &amp; IT'!$J64="Yes",'Input| Prices'!K$51,1)</f>
        <v>0</v>
      </c>
      <c r="M55" s="459">
        <f>'Input | Comms &amp; IT'!M161*'Input | Comms &amp; IT'!$K64*IF('Input | Comms &amp; IT'!$J64="Yes",'Input| Prices'!L$51,1)</f>
        <v>0</v>
      </c>
      <c r="N55" s="150">
        <f>'Input | Comms &amp; IT'!N161*'Input | Comms &amp; IT'!$K64*IF('Input | Comms &amp; IT'!$J64="Yes",'Input| Prices'!M$51,1)</f>
        <v>0</v>
      </c>
      <c r="O55" s="150">
        <f>'Input | Comms &amp; IT'!O161*'Input | Comms &amp; IT'!$K64*IF('Input | Comms &amp; IT'!$J64="Yes",'Input| Prices'!N$51,1)</f>
        <v>0</v>
      </c>
      <c r="P55" s="150">
        <f>'Input | Comms &amp; IT'!P161*'Input | Comms &amp; IT'!$K64*IF('Input | Comms &amp; IT'!$J64="Yes",'Input| Prices'!O$51,1)</f>
        <v>0</v>
      </c>
      <c r="Q55" s="452">
        <f>'Input | Comms &amp; IT'!Q161*'Input | Comms &amp; IT'!$K64*IF('Input | Comms &amp; IT'!$J64="Yes",'Input| Prices'!P$51,1)</f>
        <v>0</v>
      </c>
      <c r="R55" s="96"/>
      <c r="S55" s="96"/>
    </row>
    <row r="56" spans="1:19" s="88" customFormat="1" ht="13" outlineLevel="1" x14ac:dyDescent="0.3">
      <c r="A56" s="146"/>
      <c r="E56" s="151" t="s">
        <v>17</v>
      </c>
      <c r="F56" s="151"/>
      <c r="G56" s="151"/>
      <c r="H56" s="152">
        <f t="shared" si="2"/>
        <v>43617</v>
      </c>
      <c r="I56" s="96"/>
      <c r="J56" s="153">
        <f t="shared" ref="J56:Q56" si="3">SUM(J36:J55)</f>
        <v>0</v>
      </c>
      <c r="K56" s="153">
        <f t="shared" si="3"/>
        <v>0</v>
      </c>
      <c r="L56" s="153">
        <f t="shared" si="3"/>
        <v>21757.200000000001</v>
      </c>
      <c r="M56" s="166">
        <f t="shared" si="3"/>
        <v>115189.2</v>
      </c>
      <c r="N56" s="153">
        <f t="shared" si="3"/>
        <v>117821.2</v>
      </c>
      <c r="O56" s="153">
        <f t="shared" si="3"/>
        <v>120453.2</v>
      </c>
      <c r="P56" s="153">
        <f t="shared" si="3"/>
        <v>123085.2</v>
      </c>
      <c r="Q56" s="453">
        <f t="shared" si="3"/>
        <v>125685.2</v>
      </c>
      <c r="R56" s="96"/>
      <c r="S56" s="96"/>
    </row>
    <row r="57" spans="1:19" s="89" customFormat="1" outlineLevel="1" x14ac:dyDescent="0.25">
      <c r="I57" s="97"/>
      <c r="R57" s="97"/>
      <c r="S57" s="97"/>
    </row>
    <row r="58" spans="1:19" s="88" customFormat="1" ht="13" outlineLevel="1" x14ac:dyDescent="0.3">
      <c r="B58" s="147" t="s">
        <v>135</v>
      </c>
      <c r="C58" s="148" t="s">
        <v>156</v>
      </c>
      <c r="D58" s="147"/>
      <c r="R58" s="96"/>
      <c r="S58" s="96"/>
    </row>
    <row r="59" spans="1:19" s="88" customFormat="1" ht="13" outlineLevel="1" x14ac:dyDescent="0.3">
      <c r="A59" s="146"/>
      <c r="E59" s="121" t="s">
        <v>161</v>
      </c>
      <c r="F59" s="121" t="s">
        <v>160</v>
      </c>
      <c r="G59" s="121" t="s">
        <v>6</v>
      </c>
      <c r="H59" s="121" t="s">
        <v>118</v>
      </c>
      <c r="J59" s="122" t="str">
        <f>'Input | Comms &amp; IT'!J$68</f>
        <v>2017-18</v>
      </c>
      <c r="K59" s="122" t="str">
        <f>'Input | Comms &amp; IT'!K$68</f>
        <v>2018-19</v>
      </c>
      <c r="L59" s="149" t="str">
        <f>'Input | Comms &amp; IT'!L$68</f>
        <v>2019-20</v>
      </c>
      <c r="M59" s="122" t="str">
        <f>'Input | Comms &amp; IT'!M$68</f>
        <v>2020-21</v>
      </c>
      <c r="N59" s="122" t="str">
        <f>'Input | Comms &amp; IT'!N$68</f>
        <v>2021-22</v>
      </c>
      <c r="O59" s="122" t="str">
        <f>'Input | Comms &amp; IT'!O$68</f>
        <v>2022-23</v>
      </c>
      <c r="P59" s="122" t="str">
        <f>'Input | Comms &amp; IT'!P$68</f>
        <v>2023-24</v>
      </c>
      <c r="Q59" s="122" t="str">
        <f>'Input | Comms &amp; IT'!Q$68</f>
        <v>2024-25</v>
      </c>
      <c r="R59" s="96"/>
      <c r="S59" s="96"/>
    </row>
    <row r="60" spans="1:19" s="88" customFormat="1" ht="13" outlineLevel="1" x14ac:dyDescent="0.3">
      <c r="A60" s="146"/>
      <c r="E60" s="140" t="str" cm="1">
        <f t="array" ref="E60:F79">ICC_AllocFields</f>
        <v>Access Points</v>
      </c>
      <c r="F60" s="140" t="str">
        <v>Growth</v>
      </c>
      <c r="G60" s="127" t="s">
        <v>85</v>
      </c>
      <c r="H60" s="128">
        <f t="shared" ref="H60:H80" si="4">Basis_Capex</f>
        <v>43617</v>
      </c>
      <c r="J60" s="150">
        <f>'Input | Comms &amp; IT'!$M45*(J12+J36)</f>
        <v>0</v>
      </c>
      <c r="K60" s="150">
        <f>'Input | Comms &amp; IT'!$M45*(K12+K36)</f>
        <v>0</v>
      </c>
      <c r="L60" s="150">
        <f>'Input | Comms &amp; IT'!$M45*(L12+L36)</f>
        <v>1846.46</v>
      </c>
      <c r="M60" s="459">
        <f>'Input | Comms &amp; IT'!$M45*(M12+M36)</f>
        <v>1864.06</v>
      </c>
      <c r="N60" s="150">
        <f>'Input | Comms &amp; IT'!$M45*(N12+N36)</f>
        <v>1881.6599999999999</v>
      </c>
      <c r="O60" s="150">
        <f>'Input | Comms &amp; IT'!$M45*(O12+O36)</f>
        <v>1899.26</v>
      </c>
      <c r="P60" s="150">
        <f>'Input | Comms &amp; IT'!$M45*(P12+P36)</f>
        <v>1916.8600000000004</v>
      </c>
      <c r="Q60" s="452">
        <f>'Input | Comms &amp; IT'!$M45*(Q12+Q36)</f>
        <v>1916.8600000000004</v>
      </c>
      <c r="R60" s="96"/>
      <c r="S60" s="96"/>
    </row>
    <row r="61" spans="1:19" s="88" customFormat="1" ht="13" outlineLevel="1" x14ac:dyDescent="0.3">
      <c r="A61" s="146"/>
      <c r="E61" s="140" t="str">
        <v>Relays</v>
      </c>
      <c r="F61" s="140" t="str">
        <v>Growth</v>
      </c>
      <c r="G61" s="127" t="s">
        <v>85</v>
      </c>
      <c r="H61" s="128">
        <f t="shared" si="4"/>
        <v>43617</v>
      </c>
      <c r="J61" s="150">
        <f>'Input | Comms &amp; IT'!$M46*(J13+J37)</f>
        <v>0</v>
      </c>
      <c r="K61" s="150">
        <f>'Input | Comms &amp; IT'!$M46*(K13+K37)</f>
        <v>0</v>
      </c>
      <c r="L61" s="150">
        <f>'Input | Comms &amp; IT'!$M46*(L13+L37)</f>
        <v>0</v>
      </c>
      <c r="M61" s="459">
        <f>'Input | Comms &amp; IT'!$M46*(M13+M37)</f>
        <v>1725</v>
      </c>
      <c r="N61" s="150">
        <f>'Input | Comms &amp; IT'!$M46*(N13+N37)</f>
        <v>1725</v>
      </c>
      <c r="O61" s="150">
        <f>'Input | Comms &amp; IT'!$M46*(O13+O37)</f>
        <v>1725</v>
      </c>
      <c r="P61" s="150">
        <f>'Input | Comms &amp; IT'!$M46*(P13+P37)</f>
        <v>1725</v>
      </c>
      <c r="Q61" s="452">
        <f>'Input | Comms &amp; IT'!$M46*(Q13+Q37)</f>
        <v>1725</v>
      </c>
      <c r="R61" s="96"/>
      <c r="S61" s="96"/>
    </row>
    <row r="62" spans="1:19" s="88" customFormat="1" ht="13" outlineLevel="1" x14ac:dyDescent="0.3">
      <c r="A62" s="146"/>
      <c r="E62" s="140" t="str">
        <v>Antennas</v>
      </c>
      <c r="F62" s="140" t="str">
        <v>Growth</v>
      </c>
      <c r="G62" s="127" t="s">
        <v>85</v>
      </c>
      <c r="H62" s="128">
        <f t="shared" si="4"/>
        <v>43617</v>
      </c>
      <c r="J62" s="150">
        <f>'Input | Comms &amp; IT'!$M47*(J14+J38)</f>
        <v>0</v>
      </c>
      <c r="K62" s="150">
        <f>'Input | Comms &amp; IT'!$M47*(K14+K38)</f>
        <v>0</v>
      </c>
      <c r="L62" s="150">
        <f>'Input | Comms &amp; IT'!$M47*(L14+L38)</f>
        <v>0</v>
      </c>
      <c r="M62" s="459">
        <f>'Input | Comms &amp; IT'!$M47*(M14+M38)</f>
        <v>120</v>
      </c>
      <c r="N62" s="150">
        <f>'Input | Comms &amp; IT'!$M47*(N14+N38)</f>
        <v>120</v>
      </c>
      <c r="O62" s="150">
        <f>'Input | Comms &amp; IT'!$M47*(O14+O38)</f>
        <v>120</v>
      </c>
      <c r="P62" s="150">
        <f>'Input | Comms &amp; IT'!$M47*(P14+P38)</f>
        <v>120</v>
      </c>
      <c r="Q62" s="452">
        <f>'Input | Comms &amp; IT'!$M47*(Q14+Q38)</f>
        <v>120</v>
      </c>
      <c r="R62" s="96"/>
      <c r="S62" s="96"/>
    </row>
    <row r="63" spans="1:19" s="88" customFormat="1" ht="13" outlineLevel="1" x14ac:dyDescent="0.3">
      <c r="A63" s="146"/>
      <c r="E63" s="140" t="str">
        <v>Batteries</v>
      </c>
      <c r="F63" s="140" t="str">
        <v>Growth</v>
      </c>
      <c r="G63" s="127" t="s">
        <v>85</v>
      </c>
      <c r="H63" s="128">
        <f t="shared" si="4"/>
        <v>43617</v>
      </c>
      <c r="J63" s="150">
        <f>'Input | Comms &amp; IT'!$M48*(J15+J39)</f>
        <v>0</v>
      </c>
      <c r="K63" s="150">
        <f>'Input | Comms &amp; IT'!$M48*(K15+K39)</f>
        <v>0</v>
      </c>
      <c r="L63" s="150">
        <f>'Input | Comms &amp; IT'!$M48*(L15+L39)</f>
        <v>0</v>
      </c>
      <c r="M63" s="459">
        <f>'Input | Comms &amp; IT'!$M48*(M15+M39)</f>
        <v>8000</v>
      </c>
      <c r="N63" s="150">
        <f>'Input | Comms &amp; IT'!$M48*(N15+N39)</f>
        <v>8000</v>
      </c>
      <c r="O63" s="150">
        <f>'Input | Comms &amp; IT'!$M48*(O15+O39)</f>
        <v>8000</v>
      </c>
      <c r="P63" s="150">
        <f>'Input | Comms &amp; IT'!$M48*(P15+P39)</f>
        <v>8000</v>
      </c>
      <c r="Q63" s="452">
        <f>'Input | Comms &amp; IT'!$M48*(Q15+Q39)</f>
        <v>8000</v>
      </c>
      <c r="R63" s="96"/>
      <c r="S63" s="96"/>
    </row>
    <row r="64" spans="1:19" s="88" customFormat="1" ht="13" outlineLevel="1" x14ac:dyDescent="0.3">
      <c r="A64" s="146"/>
      <c r="E64" s="140" t="str">
        <v>Access Points</v>
      </c>
      <c r="F64" s="140" t="str">
        <v>Replacements - faults and failures</v>
      </c>
      <c r="G64" s="127" t="s">
        <v>85</v>
      </c>
      <c r="H64" s="128">
        <f t="shared" si="4"/>
        <v>43617</v>
      </c>
      <c r="J64" s="150">
        <f>'Input | Comms &amp; IT'!$M49*(J16+J40)</f>
        <v>0</v>
      </c>
      <c r="K64" s="150">
        <f>'Input | Comms &amp; IT'!$M49*(K16+K40)</f>
        <v>0</v>
      </c>
      <c r="L64" s="150">
        <f>'Input | Comms &amp; IT'!$M49*(L16+L40)</f>
        <v>2200</v>
      </c>
      <c r="M64" s="459">
        <f>'Input | Comms &amp; IT'!$M49*(M16+M40)</f>
        <v>2310</v>
      </c>
      <c r="N64" s="150">
        <f>'Input | Comms &amp; IT'!$M49*(N16+N40)</f>
        <v>2420</v>
      </c>
      <c r="O64" s="150">
        <f>'Input | Comms &amp; IT'!$M49*(O16+O40)</f>
        <v>2530</v>
      </c>
      <c r="P64" s="150">
        <f>'Input | Comms &amp; IT'!$M49*(P16+P40)</f>
        <v>2640</v>
      </c>
      <c r="Q64" s="452">
        <f>'Input | Comms &amp; IT'!$M49*(Q16+Q40)</f>
        <v>2750</v>
      </c>
      <c r="R64" s="96"/>
      <c r="S64" s="96"/>
    </row>
    <row r="65" spans="1:19" s="88" customFormat="1" ht="13" outlineLevel="1" x14ac:dyDescent="0.3">
      <c r="A65" s="146"/>
      <c r="E65" s="140" t="str">
        <v>Batteries</v>
      </c>
      <c r="F65" s="140" t="str">
        <v>Replacements - faults and failures</v>
      </c>
      <c r="G65" s="127" t="s">
        <v>85</v>
      </c>
      <c r="H65" s="128">
        <f t="shared" si="4"/>
        <v>43617</v>
      </c>
      <c r="J65" s="150">
        <f>'Input | Comms &amp; IT'!$M50*(J17+J41)</f>
        <v>0</v>
      </c>
      <c r="K65" s="150">
        <f>'Input | Comms &amp; IT'!$M50*(K17+K41)</f>
        <v>0</v>
      </c>
      <c r="L65" s="150">
        <f>'Input | Comms &amp; IT'!$M50*(L17+L41)</f>
        <v>1440</v>
      </c>
      <c r="M65" s="459">
        <f>'Input | Comms &amp; IT'!$M50*(M17+M41)</f>
        <v>1440</v>
      </c>
      <c r="N65" s="150">
        <f>'Input | Comms &amp; IT'!$M50*(N17+N41)</f>
        <v>1680</v>
      </c>
      <c r="O65" s="150">
        <f>'Input | Comms &amp; IT'!$M50*(O17+O41)</f>
        <v>1920</v>
      </c>
      <c r="P65" s="150">
        <f>'Input | Comms &amp; IT'!$M50*(P17+P41)</f>
        <v>2160</v>
      </c>
      <c r="Q65" s="452">
        <f>'Input | Comms &amp; IT'!$M50*(Q17+Q41)</f>
        <v>2400</v>
      </c>
      <c r="R65" s="96"/>
      <c r="S65" s="96"/>
    </row>
    <row r="66" spans="1:19" s="88" customFormat="1" ht="13" outlineLevel="1" x14ac:dyDescent="0.3">
      <c r="A66" s="146"/>
      <c r="E66" s="140">
        <v>0</v>
      </c>
      <c r="F66" s="140">
        <v>0</v>
      </c>
      <c r="G66" s="127" t="s">
        <v>85</v>
      </c>
      <c r="H66" s="128">
        <f t="shared" si="4"/>
        <v>43617</v>
      </c>
      <c r="J66" s="150">
        <f>'Input | Comms &amp; IT'!$M51*(J18+J42)</f>
        <v>0</v>
      </c>
      <c r="K66" s="150">
        <f>'Input | Comms &amp; IT'!$M51*(K18+K42)</f>
        <v>0</v>
      </c>
      <c r="L66" s="150">
        <f>'Input | Comms &amp; IT'!$M51*(L18+L42)</f>
        <v>0</v>
      </c>
      <c r="M66" s="459">
        <f>'Input | Comms &amp; IT'!$M51*(M18+M42)</f>
        <v>0</v>
      </c>
      <c r="N66" s="150">
        <f>'Input | Comms &amp; IT'!$M51*(N18+N42)</f>
        <v>0</v>
      </c>
      <c r="O66" s="150">
        <f>'Input | Comms &amp; IT'!$M51*(O18+O42)</f>
        <v>0</v>
      </c>
      <c r="P66" s="150">
        <f>'Input | Comms &amp; IT'!$M51*(P18+P42)</f>
        <v>0</v>
      </c>
      <c r="Q66" s="452">
        <f>'Input | Comms &amp; IT'!$M51*(Q18+Q42)</f>
        <v>0</v>
      </c>
      <c r="R66" s="96"/>
      <c r="S66" s="96"/>
    </row>
    <row r="67" spans="1:19" s="88" customFormat="1" ht="13" outlineLevel="1" x14ac:dyDescent="0.3">
      <c r="A67" s="146"/>
      <c r="E67" s="140">
        <v>0</v>
      </c>
      <c r="F67" s="140">
        <v>0</v>
      </c>
      <c r="G67" s="127" t="s">
        <v>85</v>
      </c>
      <c r="H67" s="128">
        <f t="shared" si="4"/>
        <v>43617</v>
      </c>
      <c r="J67" s="150">
        <f>'Input | Comms &amp; IT'!$M52*(J19+J43)</f>
        <v>0</v>
      </c>
      <c r="K67" s="150">
        <f>'Input | Comms &amp; IT'!$M52*(K19+K43)</f>
        <v>0</v>
      </c>
      <c r="L67" s="150">
        <f>'Input | Comms &amp; IT'!$M52*(L19+L43)</f>
        <v>0</v>
      </c>
      <c r="M67" s="459">
        <f>'Input | Comms &amp; IT'!$M52*(M19+M43)</f>
        <v>0</v>
      </c>
      <c r="N67" s="150">
        <f>'Input | Comms &amp; IT'!$M52*(N19+N43)</f>
        <v>0</v>
      </c>
      <c r="O67" s="150">
        <f>'Input | Comms &amp; IT'!$M52*(O19+O43)</f>
        <v>0</v>
      </c>
      <c r="P67" s="150">
        <f>'Input | Comms &amp; IT'!$M52*(P19+P43)</f>
        <v>0</v>
      </c>
      <c r="Q67" s="452">
        <f>'Input | Comms &amp; IT'!$M52*(Q19+Q43)</f>
        <v>0</v>
      </c>
      <c r="R67" s="96"/>
      <c r="S67" s="96"/>
    </row>
    <row r="68" spans="1:19" s="88" customFormat="1" ht="13" outlineLevel="1" x14ac:dyDescent="0.3">
      <c r="A68" s="146"/>
      <c r="E68" s="140">
        <v>0</v>
      </c>
      <c r="F68" s="140">
        <v>0</v>
      </c>
      <c r="G68" s="127" t="s">
        <v>85</v>
      </c>
      <c r="H68" s="128">
        <f t="shared" si="4"/>
        <v>43617</v>
      </c>
      <c r="J68" s="150">
        <f>'Input | Comms &amp; IT'!$M53*(J20+J44)</f>
        <v>0</v>
      </c>
      <c r="K68" s="150">
        <f>'Input | Comms &amp; IT'!$M53*(K20+K44)</f>
        <v>0</v>
      </c>
      <c r="L68" s="150">
        <f>'Input | Comms &amp; IT'!$M53*(L20+L44)</f>
        <v>0</v>
      </c>
      <c r="M68" s="459">
        <f>'Input | Comms &amp; IT'!$M53*(M20+M44)</f>
        <v>0</v>
      </c>
      <c r="N68" s="150">
        <f>'Input | Comms &amp; IT'!$M53*(N20+N44)</f>
        <v>0</v>
      </c>
      <c r="O68" s="150">
        <f>'Input | Comms &amp; IT'!$M53*(O20+O44)</f>
        <v>0</v>
      </c>
      <c r="P68" s="150">
        <f>'Input | Comms &amp; IT'!$M53*(P20+P44)</f>
        <v>0</v>
      </c>
      <c r="Q68" s="452">
        <f>'Input | Comms &amp; IT'!$M53*(Q20+Q44)</f>
        <v>0</v>
      </c>
      <c r="R68" s="96"/>
      <c r="S68" s="96"/>
    </row>
    <row r="69" spans="1:19" s="88" customFormat="1" ht="13" outlineLevel="1" x14ac:dyDescent="0.3">
      <c r="A69" s="146"/>
      <c r="E69" s="140">
        <v>0</v>
      </c>
      <c r="F69" s="140">
        <v>0</v>
      </c>
      <c r="G69" s="127" t="s">
        <v>85</v>
      </c>
      <c r="H69" s="128">
        <f t="shared" si="4"/>
        <v>43617</v>
      </c>
      <c r="J69" s="150">
        <f>'Input | Comms &amp; IT'!$M54*(J21+J45)</f>
        <v>0</v>
      </c>
      <c r="K69" s="150">
        <f>'Input | Comms &amp; IT'!$M54*(K21+K45)</f>
        <v>0</v>
      </c>
      <c r="L69" s="150">
        <f>'Input | Comms &amp; IT'!$M54*(L21+L45)</f>
        <v>0</v>
      </c>
      <c r="M69" s="459">
        <f>'Input | Comms &amp; IT'!$M54*(M21+M45)</f>
        <v>0</v>
      </c>
      <c r="N69" s="150">
        <f>'Input | Comms &amp; IT'!$M54*(N21+N45)</f>
        <v>0</v>
      </c>
      <c r="O69" s="150">
        <f>'Input | Comms &amp; IT'!$M54*(O21+O45)</f>
        <v>0</v>
      </c>
      <c r="P69" s="150">
        <f>'Input | Comms &amp; IT'!$M54*(P21+P45)</f>
        <v>0</v>
      </c>
      <c r="Q69" s="452">
        <f>'Input | Comms &amp; IT'!$M54*(Q21+Q45)</f>
        <v>0</v>
      </c>
      <c r="R69" s="96"/>
      <c r="S69" s="96"/>
    </row>
    <row r="70" spans="1:19" s="88" customFormat="1" ht="13" outlineLevel="1" x14ac:dyDescent="0.3">
      <c r="A70" s="146"/>
      <c r="E70" s="140">
        <v>0</v>
      </c>
      <c r="F70" s="140">
        <v>0</v>
      </c>
      <c r="G70" s="127" t="s">
        <v>85</v>
      </c>
      <c r="H70" s="128">
        <f t="shared" si="4"/>
        <v>43617</v>
      </c>
      <c r="J70" s="150">
        <f>'Input | Comms &amp; IT'!$M55*(J22+J46)</f>
        <v>0</v>
      </c>
      <c r="K70" s="150">
        <f>'Input | Comms &amp; IT'!$M55*(K22+K46)</f>
        <v>0</v>
      </c>
      <c r="L70" s="150">
        <f>'Input | Comms &amp; IT'!$M55*(L22+L46)</f>
        <v>0</v>
      </c>
      <c r="M70" s="459">
        <f>'Input | Comms &amp; IT'!$M55*(M22+M46)</f>
        <v>0</v>
      </c>
      <c r="N70" s="150">
        <f>'Input | Comms &amp; IT'!$M55*(N22+N46)</f>
        <v>0</v>
      </c>
      <c r="O70" s="150">
        <f>'Input | Comms &amp; IT'!$M55*(O22+O46)</f>
        <v>0</v>
      </c>
      <c r="P70" s="150">
        <f>'Input | Comms &amp; IT'!$M55*(P22+P46)</f>
        <v>0</v>
      </c>
      <c r="Q70" s="452">
        <f>'Input | Comms &amp; IT'!$M55*(Q22+Q46)</f>
        <v>0</v>
      </c>
      <c r="R70" s="96"/>
      <c r="S70" s="96"/>
    </row>
    <row r="71" spans="1:19" s="88" customFormat="1" ht="13" outlineLevel="1" x14ac:dyDescent="0.3">
      <c r="A71" s="146"/>
      <c r="E71" s="140">
        <v>0</v>
      </c>
      <c r="F71" s="140">
        <v>0</v>
      </c>
      <c r="G71" s="127" t="s">
        <v>85</v>
      </c>
      <c r="H71" s="128">
        <f t="shared" si="4"/>
        <v>43617</v>
      </c>
      <c r="J71" s="150">
        <f>'Input | Comms &amp; IT'!$M56*(J23+J47)</f>
        <v>0</v>
      </c>
      <c r="K71" s="150">
        <f>'Input | Comms &amp; IT'!$M56*(K23+K47)</f>
        <v>0</v>
      </c>
      <c r="L71" s="150">
        <f>'Input | Comms &amp; IT'!$M56*(L23+L47)</f>
        <v>0</v>
      </c>
      <c r="M71" s="459">
        <f>'Input | Comms &amp; IT'!$M56*(M23+M47)</f>
        <v>0</v>
      </c>
      <c r="N71" s="150">
        <f>'Input | Comms &amp; IT'!$M56*(N23+N47)</f>
        <v>0</v>
      </c>
      <c r="O71" s="150">
        <f>'Input | Comms &amp; IT'!$M56*(O23+O47)</f>
        <v>0</v>
      </c>
      <c r="P71" s="150">
        <f>'Input | Comms &amp; IT'!$M56*(P23+P47)</f>
        <v>0</v>
      </c>
      <c r="Q71" s="452">
        <f>'Input | Comms &amp; IT'!$M56*(Q23+Q47)</f>
        <v>0</v>
      </c>
      <c r="R71" s="96"/>
      <c r="S71" s="96"/>
    </row>
    <row r="72" spans="1:19" s="88" customFormat="1" ht="13" outlineLevel="1" x14ac:dyDescent="0.3">
      <c r="A72" s="146"/>
      <c r="E72" s="140">
        <v>0</v>
      </c>
      <c r="F72" s="140">
        <v>0</v>
      </c>
      <c r="G72" s="127" t="s">
        <v>85</v>
      </c>
      <c r="H72" s="128">
        <f t="shared" si="4"/>
        <v>43617</v>
      </c>
      <c r="J72" s="150">
        <f>'Input | Comms &amp; IT'!$M57*(J24+J48)</f>
        <v>0</v>
      </c>
      <c r="K72" s="150">
        <f>'Input | Comms &amp; IT'!$M57*(K24+K48)</f>
        <v>0</v>
      </c>
      <c r="L72" s="150">
        <f>'Input | Comms &amp; IT'!$M57*(L24+L48)</f>
        <v>0</v>
      </c>
      <c r="M72" s="459">
        <f>'Input | Comms &amp; IT'!$M57*(M24+M48)</f>
        <v>0</v>
      </c>
      <c r="N72" s="150">
        <f>'Input | Comms &amp; IT'!$M57*(N24+N48)</f>
        <v>0</v>
      </c>
      <c r="O72" s="150">
        <f>'Input | Comms &amp; IT'!$M57*(O24+O48)</f>
        <v>0</v>
      </c>
      <c r="P72" s="150">
        <f>'Input | Comms &amp; IT'!$M57*(P24+P48)</f>
        <v>0</v>
      </c>
      <c r="Q72" s="452">
        <f>'Input | Comms &amp; IT'!$M57*(Q24+Q48)</f>
        <v>0</v>
      </c>
      <c r="R72" s="96"/>
      <c r="S72" s="96"/>
    </row>
    <row r="73" spans="1:19" s="88" customFormat="1" ht="13" outlineLevel="1" x14ac:dyDescent="0.3">
      <c r="A73" s="146"/>
      <c r="E73" s="140">
        <v>0</v>
      </c>
      <c r="F73" s="140">
        <v>0</v>
      </c>
      <c r="G73" s="127" t="s">
        <v>85</v>
      </c>
      <c r="H73" s="128">
        <f t="shared" si="4"/>
        <v>43617</v>
      </c>
      <c r="J73" s="150">
        <f>'Input | Comms &amp; IT'!$M58*(J25+J49)</f>
        <v>0</v>
      </c>
      <c r="K73" s="150">
        <f>'Input | Comms &amp; IT'!$M58*(K25+K49)</f>
        <v>0</v>
      </c>
      <c r="L73" s="150">
        <f>'Input | Comms &amp; IT'!$M58*(L25+L49)</f>
        <v>0</v>
      </c>
      <c r="M73" s="459">
        <f>'Input | Comms &amp; IT'!$M58*(M25+M49)</f>
        <v>0</v>
      </c>
      <c r="N73" s="150">
        <f>'Input | Comms &amp; IT'!$M58*(N25+N49)</f>
        <v>0</v>
      </c>
      <c r="O73" s="150">
        <f>'Input | Comms &amp; IT'!$M58*(O25+O49)</f>
        <v>0</v>
      </c>
      <c r="P73" s="150">
        <f>'Input | Comms &amp; IT'!$M58*(P25+P49)</f>
        <v>0</v>
      </c>
      <c r="Q73" s="452">
        <f>'Input | Comms &amp; IT'!$M58*(Q25+Q49)</f>
        <v>0</v>
      </c>
      <c r="R73" s="96"/>
      <c r="S73" s="96"/>
    </row>
    <row r="74" spans="1:19" s="88" customFormat="1" ht="13" outlineLevel="1" x14ac:dyDescent="0.3">
      <c r="A74" s="146"/>
      <c r="E74" s="140">
        <v>0</v>
      </c>
      <c r="F74" s="140">
        <v>0</v>
      </c>
      <c r="G74" s="127" t="s">
        <v>85</v>
      </c>
      <c r="H74" s="128">
        <f t="shared" si="4"/>
        <v>43617</v>
      </c>
      <c r="J74" s="150">
        <f>'Input | Comms &amp; IT'!$M59*(J26+J50)</f>
        <v>0</v>
      </c>
      <c r="K74" s="150">
        <f>'Input | Comms &amp; IT'!$M59*(K26+K50)</f>
        <v>0</v>
      </c>
      <c r="L74" s="150">
        <f>'Input | Comms &amp; IT'!$M59*(L26+L50)</f>
        <v>0</v>
      </c>
      <c r="M74" s="459">
        <f>'Input | Comms &amp; IT'!$M59*(M26+M50)</f>
        <v>0</v>
      </c>
      <c r="N74" s="150">
        <f>'Input | Comms &amp; IT'!$M59*(N26+N50)</f>
        <v>0</v>
      </c>
      <c r="O74" s="150">
        <f>'Input | Comms &amp; IT'!$M59*(O26+O50)</f>
        <v>0</v>
      </c>
      <c r="P74" s="150">
        <f>'Input | Comms &amp; IT'!$M59*(P26+P50)</f>
        <v>0</v>
      </c>
      <c r="Q74" s="452">
        <f>'Input | Comms &amp; IT'!$M59*(Q26+Q50)</f>
        <v>0</v>
      </c>
      <c r="R74" s="96"/>
      <c r="S74" s="96"/>
    </row>
    <row r="75" spans="1:19" s="88" customFormat="1" ht="13" outlineLevel="1" x14ac:dyDescent="0.3">
      <c r="A75" s="146"/>
      <c r="E75" s="140">
        <v>0</v>
      </c>
      <c r="F75" s="140">
        <v>0</v>
      </c>
      <c r="G75" s="127" t="s">
        <v>85</v>
      </c>
      <c r="H75" s="128">
        <f t="shared" si="4"/>
        <v>43617</v>
      </c>
      <c r="J75" s="150">
        <f>'Input | Comms &amp; IT'!$M60*(J27+J51)</f>
        <v>0</v>
      </c>
      <c r="K75" s="150">
        <f>'Input | Comms &amp; IT'!$M60*(K27+K51)</f>
        <v>0</v>
      </c>
      <c r="L75" s="150">
        <f>'Input | Comms &amp; IT'!$M60*(L27+L51)</f>
        <v>0</v>
      </c>
      <c r="M75" s="459">
        <f>'Input | Comms &amp; IT'!$M60*(M27+M51)</f>
        <v>0</v>
      </c>
      <c r="N75" s="150">
        <f>'Input | Comms &amp; IT'!$M60*(N27+N51)</f>
        <v>0</v>
      </c>
      <c r="O75" s="150">
        <f>'Input | Comms &amp; IT'!$M60*(O27+O51)</f>
        <v>0</v>
      </c>
      <c r="P75" s="150">
        <f>'Input | Comms &amp; IT'!$M60*(P27+P51)</f>
        <v>0</v>
      </c>
      <c r="Q75" s="452">
        <f>'Input | Comms &amp; IT'!$M60*(Q27+Q51)</f>
        <v>0</v>
      </c>
      <c r="R75" s="96"/>
      <c r="S75" s="96"/>
    </row>
    <row r="76" spans="1:19" s="88" customFormat="1" ht="13" outlineLevel="1" x14ac:dyDescent="0.3">
      <c r="A76" s="146"/>
      <c r="E76" s="140">
        <v>0</v>
      </c>
      <c r="F76" s="140">
        <v>0</v>
      </c>
      <c r="G76" s="127" t="s">
        <v>85</v>
      </c>
      <c r="H76" s="128">
        <f t="shared" si="4"/>
        <v>43617</v>
      </c>
      <c r="J76" s="150">
        <f>'Input | Comms &amp; IT'!$M61*(J28+J52)</f>
        <v>0</v>
      </c>
      <c r="K76" s="150">
        <f>'Input | Comms &amp; IT'!$M61*(K28+K52)</f>
        <v>0</v>
      </c>
      <c r="L76" s="150">
        <f>'Input | Comms &amp; IT'!$M61*(L28+L52)</f>
        <v>0</v>
      </c>
      <c r="M76" s="459">
        <f>'Input | Comms &amp; IT'!$M61*(M28+M52)</f>
        <v>0</v>
      </c>
      <c r="N76" s="150">
        <f>'Input | Comms &amp; IT'!$M61*(N28+N52)</f>
        <v>0</v>
      </c>
      <c r="O76" s="150">
        <f>'Input | Comms &amp; IT'!$M61*(O28+O52)</f>
        <v>0</v>
      </c>
      <c r="P76" s="150">
        <f>'Input | Comms &amp; IT'!$M61*(P28+P52)</f>
        <v>0</v>
      </c>
      <c r="Q76" s="452">
        <f>'Input | Comms &amp; IT'!$M61*(Q28+Q52)</f>
        <v>0</v>
      </c>
      <c r="R76" s="96"/>
      <c r="S76" s="96"/>
    </row>
    <row r="77" spans="1:19" s="88" customFormat="1" ht="13" outlineLevel="1" x14ac:dyDescent="0.3">
      <c r="A77" s="146"/>
      <c r="E77" s="140">
        <v>0</v>
      </c>
      <c r="F77" s="140">
        <v>0</v>
      </c>
      <c r="G77" s="127" t="s">
        <v>85</v>
      </c>
      <c r="H77" s="128">
        <f t="shared" si="4"/>
        <v>43617</v>
      </c>
      <c r="J77" s="150">
        <f>'Input | Comms &amp; IT'!$M62*(J29+J53)</f>
        <v>0</v>
      </c>
      <c r="K77" s="150">
        <f>'Input | Comms &amp; IT'!$M62*(K29+K53)</f>
        <v>0</v>
      </c>
      <c r="L77" s="150">
        <f>'Input | Comms &amp; IT'!$M62*(L29+L53)</f>
        <v>0</v>
      </c>
      <c r="M77" s="459">
        <f>'Input | Comms &amp; IT'!$M62*(M29+M53)</f>
        <v>0</v>
      </c>
      <c r="N77" s="150">
        <f>'Input | Comms &amp; IT'!$M62*(N29+N53)</f>
        <v>0</v>
      </c>
      <c r="O77" s="150">
        <f>'Input | Comms &amp; IT'!$M62*(O29+O53)</f>
        <v>0</v>
      </c>
      <c r="P77" s="150">
        <f>'Input | Comms &amp; IT'!$M62*(P29+P53)</f>
        <v>0</v>
      </c>
      <c r="Q77" s="452">
        <f>'Input | Comms &amp; IT'!$M62*(Q29+Q53)</f>
        <v>0</v>
      </c>
      <c r="R77" s="96"/>
      <c r="S77" s="96"/>
    </row>
    <row r="78" spans="1:19" s="88" customFormat="1" ht="13" outlineLevel="1" x14ac:dyDescent="0.3">
      <c r="A78" s="146"/>
      <c r="E78" s="140">
        <v>0</v>
      </c>
      <c r="F78" s="140">
        <v>0</v>
      </c>
      <c r="G78" s="127" t="s">
        <v>85</v>
      </c>
      <c r="H78" s="128">
        <f t="shared" si="4"/>
        <v>43617</v>
      </c>
      <c r="J78" s="150">
        <f>'Input | Comms &amp; IT'!$M63*(J30+J54)</f>
        <v>0</v>
      </c>
      <c r="K78" s="150">
        <f>'Input | Comms &amp; IT'!$M63*(K30+K54)</f>
        <v>0</v>
      </c>
      <c r="L78" s="150">
        <f>'Input | Comms &amp; IT'!$M63*(L30+L54)</f>
        <v>0</v>
      </c>
      <c r="M78" s="459">
        <f>'Input | Comms &amp; IT'!$M63*(M30+M54)</f>
        <v>0</v>
      </c>
      <c r="N78" s="150">
        <f>'Input | Comms &amp; IT'!$M63*(N30+N54)</f>
        <v>0</v>
      </c>
      <c r="O78" s="150">
        <f>'Input | Comms &amp; IT'!$M63*(O30+O54)</f>
        <v>0</v>
      </c>
      <c r="P78" s="150">
        <f>'Input | Comms &amp; IT'!$M63*(P30+P54)</f>
        <v>0</v>
      </c>
      <c r="Q78" s="452">
        <f>'Input | Comms &amp; IT'!$M63*(Q30+Q54)</f>
        <v>0</v>
      </c>
      <c r="R78" s="96"/>
      <c r="S78" s="96"/>
    </row>
    <row r="79" spans="1:19" s="88" customFormat="1" ht="13" outlineLevel="1" x14ac:dyDescent="0.3">
      <c r="A79" s="146"/>
      <c r="E79" s="140">
        <v>0</v>
      </c>
      <c r="F79" s="140">
        <v>0</v>
      </c>
      <c r="G79" s="127" t="s">
        <v>85</v>
      </c>
      <c r="H79" s="128">
        <f t="shared" si="4"/>
        <v>43617</v>
      </c>
      <c r="I79" s="158"/>
      <c r="J79" s="150">
        <f>'Input | Comms &amp; IT'!$M64*(J31+J55)</f>
        <v>0</v>
      </c>
      <c r="K79" s="150">
        <f>'Input | Comms &amp; IT'!$M64*(K31+K55)</f>
        <v>0</v>
      </c>
      <c r="L79" s="150">
        <f>'Input | Comms &amp; IT'!$M64*(L31+L55)</f>
        <v>0</v>
      </c>
      <c r="M79" s="459">
        <f>'Input | Comms &amp; IT'!$M64*(M31+M55)</f>
        <v>0</v>
      </c>
      <c r="N79" s="150">
        <f>'Input | Comms &amp; IT'!$M64*(N31+N55)</f>
        <v>0</v>
      </c>
      <c r="O79" s="150">
        <f>'Input | Comms &amp; IT'!$M64*(O31+O55)</f>
        <v>0</v>
      </c>
      <c r="P79" s="150">
        <f>'Input | Comms &amp; IT'!$M64*(P31+P55)</f>
        <v>0</v>
      </c>
      <c r="Q79" s="452">
        <f>'Input | Comms &amp; IT'!$M64*(Q31+Q55)</f>
        <v>0</v>
      </c>
      <c r="R79" s="96"/>
      <c r="S79" s="96"/>
    </row>
    <row r="80" spans="1:19" s="88" customFormat="1" ht="13" outlineLevel="1" x14ac:dyDescent="0.3">
      <c r="A80" s="146"/>
      <c r="E80" s="151" t="s">
        <v>17</v>
      </c>
      <c r="F80" s="151"/>
      <c r="G80" s="157" t="s">
        <v>85</v>
      </c>
      <c r="H80" s="152">
        <f t="shared" si="4"/>
        <v>43617</v>
      </c>
      <c r="I80" s="158"/>
      <c r="J80" s="153">
        <f t="shared" ref="J80:Q80" si="5">SUM(J60:J79)</f>
        <v>0</v>
      </c>
      <c r="K80" s="153">
        <f t="shared" si="5"/>
        <v>0</v>
      </c>
      <c r="L80" s="153">
        <f t="shared" si="5"/>
        <v>5486.46</v>
      </c>
      <c r="M80" s="166">
        <f t="shared" si="5"/>
        <v>15459.06</v>
      </c>
      <c r="N80" s="153">
        <f t="shared" si="5"/>
        <v>15826.66</v>
      </c>
      <c r="O80" s="153">
        <f t="shared" si="5"/>
        <v>16194.26</v>
      </c>
      <c r="P80" s="153">
        <f t="shared" si="5"/>
        <v>16561.86</v>
      </c>
      <c r="Q80" s="453">
        <f t="shared" si="5"/>
        <v>16911.86</v>
      </c>
      <c r="R80" s="96"/>
      <c r="S80" s="96"/>
    </row>
    <row r="81" spans="1:19" s="88" customFormat="1" ht="13" outlineLevel="1" x14ac:dyDescent="0.3">
      <c r="A81" s="146"/>
      <c r="E81" s="155"/>
      <c r="F81" s="155"/>
      <c r="J81" s="159"/>
      <c r="K81" s="159"/>
      <c r="R81" s="96"/>
      <c r="S81" s="96"/>
    </row>
    <row r="82" spans="1:19" s="88" customFormat="1" ht="13" outlineLevel="1" x14ac:dyDescent="0.3">
      <c r="A82" s="146"/>
      <c r="E82" s="155"/>
      <c r="F82" s="155"/>
      <c r="J82" s="159"/>
      <c r="K82" s="159"/>
    </row>
    <row r="83" spans="1:19" s="88" customFormat="1" ht="13" x14ac:dyDescent="0.3"/>
    <row r="84" spans="1:19" s="88" customFormat="1" ht="13" x14ac:dyDescent="0.3">
      <c r="A84" s="266" t="s">
        <v>159</v>
      </c>
      <c r="B84" s="266"/>
      <c r="C84" s="266"/>
      <c r="D84" s="266"/>
      <c r="E84" s="266"/>
      <c r="F84" s="266"/>
      <c r="G84" s="266"/>
      <c r="H84" s="266"/>
      <c r="I84" s="266"/>
      <c r="J84" s="266"/>
      <c r="K84" s="421"/>
      <c r="L84" s="144"/>
      <c r="M84" s="144"/>
      <c r="N84" s="145"/>
      <c r="O84" s="145"/>
      <c r="P84" s="145"/>
      <c r="Q84" s="145"/>
      <c r="R84" s="145"/>
      <c r="S84" s="145"/>
    </row>
    <row r="85" spans="1:19" s="88" customFormat="1" ht="13" outlineLevel="1" x14ac:dyDescent="0.3">
      <c r="A85" s="92"/>
      <c r="B85" s="92"/>
      <c r="C85" s="92"/>
      <c r="D85" s="92"/>
    </row>
    <row r="86" spans="1:19" s="88" customFormat="1" ht="13" outlineLevel="1" x14ac:dyDescent="0.3">
      <c r="A86" s="92"/>
      <c r="B86" s="92"/>
      <c r="C86" s="92"/>
      <c r="D86" s="92"/>
    </row>
    <row r="87" spans="1:19" s="88" customFormat="1" ht="13" outlineLevel="1" x14ac:dyDescent="0.3">
      <c r="A87" s="92"/>
      <c r="B87" s="92"/>
      <c r="C87" s="92"/>
      <c r="D87" s="92"/>
      <c r="J87" s="160">
        <v>1</v>
      </c>
      <c r="K87" s="160">
        <v>2</v>
      </c>
      <c r="L87" s="460">
        <v>3</v>
      </c>
      <c r="M87" s="160">
        <v>4</v>
      </c>
      <c r="N87" s="160">
        <v>5</v>
      </c>
      <c r="O87" s="160">
        <v>6</v>
      </c>
      <c r="P87" s="160">
        <v>7</v>
      </c>
      <c r="Q87" s="160">
        <v>8</v>
      </c>
    </row>
    <row r="88" spans="1:19" s="88" customFormat="1" ht="13" outlineLevel="1" x14ac:dyDescent="0.3">
      <c r="A88" s="92"/>
      <c r="B88" s="92"/>
      <c r="C88" s="92"/>
      <c r="D88" s="92"/>
      <c r="J88" s="122" t="str">
        <f>'Input | Comms &amp; IT'!J$68</f>
        <v>2017-18</v>
      </c>
      <c r="K88" s="122" t="str">
        <f>'Input | Comms &amp; IT'!K$68</f>
        <v>2018-19</v>
      </c>
      <c r="L88" s="149" t="str">
        <f>'Input | Comms &amp; IT'!L$68</f>
        <v>2019-20</v>
      </c>
      <c r="M88" s="122" t="str">
        <f>'Input | Comms &amp; IT'!M$68</f>
        <v>2020-21</v>
      </c>
      <c r="N88" s="122" t="str">
        <f>'Input | Comms &amp; IT'!N$68</f>
        <v>2021-22</v>
      </c>
      <c r="O88" s="122" t="str">
        <f>'Input | Comms &amp; IT'!O$68</f>
        <v>2022-23</v>
      </c>
      <c r="P88" s="122" t="str">
        <f>'Input | Comms &amp; IT'!P$68</f>
        <v>2023-24</v>
      </c>
      <c r="Q88" s="122" t="str">
        <f>'Input | Comms &amp; IT'!Q$68</f>
        <v>2024-25</v>
      </c>
    </row>
    <row r="89" spans="1:19" s="88" customFormat="1" ht="15.5" outlineLevel="1" x14ac:dyDescent="0.35">
      <c r="A89" s="92"/>
      <c r="B89" s="464" t="s">
        <v>7</v>
      </c>
      <c r="C89" s="464" t="s">
        <v>10</v>
      </c>
      <c r="D89" s="464"/>
    </row>
    <row r="90" spans="1:19" s="88" customFormat="1" ht="13" outlineLevel="1" x14ac:dyDescent="0.3"/>
    <row r="91" spans="1:19" s="88" customFormat="1" ht="13" outlineLevel="1" x14ac:dyDescent="0.3">
      <c r="F91" s="121" t="s">
        <v>148</v>
      </c>
      <c r="G91" s="121" t="s">
        <v>6</v>
      </c>
      <c r="H91" s="121" t="s">
        <v>118</v>
      </c>
      <c r="I91" s="121"/>
      <c r="J91" s="122" t="str">
        <f>'Input | Comms &amp; IT'!J$68</f>
        <v>2017-18</v>
      </c>
      <c r="K91" s="122" t="str">
        <f>'Input | Comms &amp; IT'!K$68</f>
        <v>2018-19</v>
      </c>
      <c r="L91" s="149" t="str">
        <f>'Input | Comms &amp; IT'!L$68</f>
        <v>2019-20</v>
      </c>
      <c r="M91" s="122" t="str">
        <f>'Input | Comms &amp; IT'!M$68</f>
        <v>2020-21</v>
      </c>
      <c r="N91" s="122" t="str">
        <f>'Input | Comms &amp; IT'!N$68</f>
        <v>2021-22</v>
      </c>
      <c r="O91" s="122" t="str">
        <f>'Input | Comms &amp; IT'!O$68</f>
        <v>2022-23</v>
      </c>
      <c r="P91" s="122" t="str">
        <f>'Input | Comms &amp; IT'!P$68</f>
        <v>2023-24</v>
      </c>
      <c r="Q91" s="122" t="str">
        <f>'Input | Comms &amp; IT'!Q$68</f>
        <v>2024-25</v>
      </c>
    </row>
    <row r="92" spans="1:19" s="88" customFormat="1" ht="13" outlineLevel="1" x14ac:dyDescent="0.3">
      <c r="F92" s="88" t="s">
        <v>158</v>
      </c>
      <c r="G92" s="127" t="s">
        <v>85</v>
      </c>
      <c r="H92" s="128">
        <f>Basis_Capex</f>
        <v>43617</v>
      </c>
      <c r="J92" s="357" cm="1">
        <f t="array" ref="J92">SUMPRODUCT(INDEX(ICC_Calc_Equip,,J$87),(1-ICC_ScsAlloc))</f>
        <v>0</v>
      </c>
      <c r="K92" s="357" cm="1">
        <f t="array" ref="K92">SUMPRODUCT(INDEX(ICC_Calc_Equip,,K$87),(1-ICC_ScsAlloc))</f>
        <v>0</v>
      </c>
      <c r="L92" s="357" cm="1">
        <f t="array" ref="L92">SUMPRODUCT(INDEX(ICC_Calc_Equip,,L$87),(1-ICC_ScsAlloc))</f>
        <v>87972</v>
      </c>
      <c r="M92" s="358" cm="1">
        <f t="array" ref="M92">SUMPRODUCT(INDEX(ICC_Calc_Equip,,M$87),(1-ICC_ScsAlloc))</f>
        <v>193992</v>
      </c>
      <c r="N92" s="358" cm="1">
        <f t="array" ref="N92">SUMPRODUCT(INDEX(ICC_Calc_Equip,,N$87),(1-ICC_ScsAlloc))</f>
        <v>198712</v>
      </c>
      <c r="O92" s="359" cm="1">
        <f t="array" ref="O92">SUMPRODUCT(INDEX(ICC_Calc_Equip,,O$87),(1-ICC_ScsAlloc))</f>
        <v>203432</v>
      </c>
      <c r="P92" s="359" cm="1">
        <f t="array" ref="P92">SUMPRODUCT(INDEX(ICC_Calc_Equip,,P$87),(1-ICC_ScsAlloc))</f>
        <v>208152</v>
      </c>
      <c r="Q92" s="359" cm="1">
        <f t="array" ref="Q92">SUMPRODUCT(INDEX(ICC_Calc_Equip,,Q$87),(1-ICC_ScsAlloc))</f>
        <v>212552</v>
      </c>
    </row>
    <row r="93" spans="1:19" s="88" customFormat="1" ht="13" outlineLevel="1" x14ac:dyDescent="0.3">
      <c r="F93" s="88" t="s">
        <v>157</v>
      </c>
      <c r="G93" s="127" t="s">
        <v>85</v>
      </c>
      <c r="H93" s="128">
        <f>Basis_Capex</f>
        <v>43617</v>
      </c>
      <c r="J93" s="357" cm="1">
        <f t="array" ref="J93">SUMPRODUCT(INDEX(ICC_Calc_Install,,J$87),(1-ICC_ScsAlloc))</f>
        <v>0</v>
      </c>
      <c r="K93" s="357" cm="1">
        <f t="array" ref="K93">SUMPRODUCT(INDEX(ICC_Calc_Install,,K$87),(1-ICC_ScsAlloc))</f>
        <v>0</v>
      </c>
      <c r="L93" s="357" cm="1">
        <f t="array" ref="L93">SUMPRODUCT(INDEX(ICC_Calc_Install,,L$87),(1-ICC_ScsAlloc))</f>
        <v>21757.200000000001</v>
      </c>
      <c r="M93" s="358" cm="1">
        <f t="array" ref="M93">SUMPRODUCT(INDEX(ICC_Calc_Install,,M$87),(1-ICC_ScsAlloc))</f>
        <v>115189.2</v>
      </c>
      <c r="N93" s="358" cm="1">
        <f t="array" ref="N93">SUMPRODUCT(INDEX(ICC_Calc_Install,,N$87),(1-ICC_ScsAlloc))</f>
        <v>117821.2</v>
      </c>
      <c r="O93" s="359" cm="1">
        <f t="array" ref="O93">SUMPRODUCT(INDEX(ICC_Calc_Install,,O$87),(1-ICC_ScsAlloc))</f>
        <v>120453.2</v>
      </c>
      <c r="P93" s="359" cm="1">
        <f t="array" ref="P93">SUMPRODUCT(INDEX(ICC_Calc_Install,,P$87),(1-ICC_ScsAlloc))</f>
        <v>123085.2</v>
      </c>
      <c r="Q93" s="359" cm="1">
        <f t="array" ref="Q93">SUMPRODUCT(INDEX(ICC_Calc_Install,,Q$87),(1-ICC_ScsAlloc))</f>
        <v>125685.2</v>
      </c>
    </row>
    <row r="94" spans="1:19" s="88" customFormat="1" ht="13" outlineLevel="1" x14ac:dyDescent="0.3">
      <c r="F94" s="88" t="s">
        <v>188</v>
      </c>
      <c r="G94" s="127" t="s">
        <v>85</v>
      </c>
      <c r="H94" s="128">
        <f>Basis_Capex</f>
        <v>43617</v>
      </c>
      <c r="J94" s="357" cm="1">
        <f t="array" ref="J94">SUMPRODUCT(INDEX(ICC_ProjectComCost,,J$87),(1-ICC_ProjectComSCS))</f>
        <v>0</v>
      </c>
      <c r="K94" s="357" cm="1">
        <f t="array" ref="K94">SUMPRODUCT(INDEX(ICC_ProjectComCost,,K$87),(1-ICC_ProjectComSCS))</f>
        <v>0</v>
      </c>
      <c r="L94" s="357" cm="1">
        <f t="array" ref="L94">SUMPRODUCT(INDEX(ICC_ProjectComCost,,L$87),(1-ICC_ProjectComSCS))</f>
        <v>0</v>
      </c>
      <c r="M94" s="358" cm="1">
        <f t="array" ref="M94">SUMPRODUCT(INDEX(ICC_ProjectComCost,,M$87),(1-ICC_ProjectComSCS))</f>
        <v>100000</v>
      </c>
      <c r="N94" s="358" cm="1">
        <f t="array" ref="N94">SUMPRODUCT(INDEX(ICC_ProjectComCost,,N$87),(1-ICC_ProjectComSCS))</f>
        <v>100000</v>
      </c>
      <c r="O94" s="359" cm="1">
        <f t="array" ref="O94">SUMPRODUCT(INDEX(ICC_ProjectComCost,,O$87),(1-ICC_ProjectComSCS))</f>
        <v>100000</v>
      </c>
      <c r="P94" s="359" cm="1">
        <f t="array" ref="P94">SUMPRODUCT(INDEX(ICC_ProjectComCost,,P$87),(1-ICC_ProjectComSCS))</f>
        <v>100000</v>
      </c>
      <c r="Q94" s="359" cm="1">
        <f t="array" ref="Q94">SUMPRODUCT(INDEX(ICC_ProjectComCost,,Q$87),(1-ICC_ProjectComSCS))</f>
        <v>100000</v>
      </c>
    </row>
    <row r="95" spans="1:19" s="88" customFormat="1" ht="13" outlineLevel="1" x14ac:dyDescent="0.3">
      <c r="F95" s="88" t="s">
        <v>190</v>
      </c>
      <c r="G95" s="127" t="s">
        <v>85</v>
      </c>
      <c r="H95" s="128">
        <f>Basis_Capex</f>
        <v>43617</v>
      </c>
      <c r="J95" s="357" cm="1">
        <f t="array" ref="J95">SUMPRODUCT(INDEX(ICC_ProjectComCost,,J$87),(1-ICC_ProjectComSCS),(ICC_ProjectComOH))+
SUMPRODUCT(J$60:J$79,1-ICC_ScsAlloc)</f>
        <v>0</v>
      </c>
      <c r="K95" s="357" cm="1">
        <f t="array" ref="K95">SUMPRODUCT(INDEX(ICC_ProjectComCost,,K$87),(1-ICC_ProjectComSCS),(ICC_ProjectComOH))+
SUMPRODUCT(K$60:K$79,1-ICC_ScsAlloc)</f>
        <v>0</v>
      </c>
      <c r="L95" s="357" cm="1">
        <f t="array" ref="L95">SUMPRODUCT(INDEX(ICC_ProjectComCost,,L$87),(1-ICC_ProjectComSCS),(ICC_ProjectComOH))+
SUMPRODUCT(L$60:L$79,1-ICC_ScsAlloc)</f>
        <v>5486.46</v>
      </c>
      <c r="M95" s="358" cm="1">
        <f t="array" ref="M95">SUMPRODUCT(INDEX(ICC_ProjectComCost,,M$87),(1-ICC_ProjectComSCS),(ICC_ProjectComOH))+
SUMPRODUCT(M$60:M$79,1-ICC_ScsAlloc)</f>
        <v>20459.059999999998</v>
      </c>
      <c r="N95" s="358" cm="1">
        <f t="array" ref="N95">SUMPRODUCT(INDEX(ICC_ProjectComCost,,N$87),(1-ICC_ProjectComSCS),(ICC_ProjectComOH))+
SUMPRODUCT(N$60:N$79,1-ICC_ScsAlloc)</f>
        <v>20826.66</v>
      </c>
      <c r="O95" s="359" cm="1">
        <f t="array" ref="O95">SUMPRODUCT(INDEX(ICC_ProjectComCost,,O$87),(1-ICC_ProjectComSCS),(ICC_ProjectComOH))+
SUMPRODUCT(O$60:O$79,1-ICC_ScsAlloc)</f>
        <v>21194.260000000002</v>
      </c>
      <c r="P95" s="359" cm="1">
        <f t="array" ref="P95">SUMPRODUCT(INDEX(ICC_ProjectComCost,,P$87),(1-ICC_ProjectComSCS),(ICC_ProjectComOH))+
SUMPRODUCT(P$60:P$79,1-ICC_ScsAlloc)</f>
        <v>21561.86</v>
      </c>
      <c r="Q95" s="359" cm="1">
        <f t="array" ref="Q95">SUMPRODUCT(INDEX(ICC_ProjectComCost,,Q$87),(1-ICC_ProjectComSCS),(ICC_ProjectComOH))+
SUMPRODUCT(Q$60:Q$79,1-ICC_ScsAlloc)</f>
        <v>21911.86</v>
      </c>
    </row>
    <row r="96" spans="1:19" s="88" customFormat="1" ht="13" outlineLevel="1" x14ac:dyDescent="0.3">
      <c r="F96" s="161" t="s">
        <v>17</v>
      </c>
      <c r="G96" s="157" t="s">
        <v>85</v>
      </c>
      <c r="H96" s="162">
        <f>Basis_Capex</f>
        <v>43617</v>
      </c>
      <c r="I96" s="96"/>
      <c r="J96" s="360">
        <f t="shared" ref="J96" si="6">SUM(J92:J95)</f>
        <v>0</v>
      </c>
      <c r="K96" s="360">
        <f t="shared" ref="K96:Q96" si="7">SUM(K92:K95)</f>
        <v>0</v>
      </c>
      <c r="L96" s="360">
        <f t="shared" si="7"/>
        <v>115215.66</v>
      </c>
      <c r="M96" s="232">
        <f t="shared" si="7"/>
        <v>429640.26</v>
      </c>
      <c r="N96" s="232">
        <f t="shared" si="7"/>
        <v>437359.86</v>
      </c>
      <c r="O96" s="233">
        <f t="shared" si="7"/>
        <v>445079.46</v>
      </c>
      <c r="P96" s="233">
        <f t="shared" si="7"/>
        <v>452799.06</v>
      </c>
      <c r="Q96" s="233">
        <f t="shared" si="7"/>
        <v>460149.06</v>
      </c>
    </row>
    <row r="97" spans="2:17" s="88" customFormat="1" ht="13" outlineLevel="1" x14ac:dyDescent="0.3"/>
    <row r="98" spans="2:17" s="88" customFormat="1" ht="13" outlineLevel="1" x14ac:dyDescent="0.3">
      <c r="F98" s="121" t="s">
        <v>147</v>
      </c>
      <c r="G98" s="121" t="s">
        <v>6</v>
      </c>
      <c r="H98" s="121" t="s">
        <v>118</v>
      </c>
      <c r="I98" s="121"/>
      <c r="J98" s="122" t="str">
        <f>'Input | Comms &amp; IT'!J$68</f>
        <v>2017-18</v>
      </c>
      <c r="K98" s="122" t="str">
        <f>'Input | Comms &amp; IT'!K$68</f>
        <v>2018-19</v>
      </c>
      <c r="L98" s="149" t="str">
        <f>'Input | Comms &amp; IT'!L$68</f>
        <v>2019-20</v>
      </c>
      <c r="M98" s="122" t="str">
        <f>'Input | Comms &amp; IT'!M$68</f>
        <v>2020-21</v>
      </c>
      <c r="N98" s="122" t="str">
        <f>'Input | Comms &amp; IT'!N$68</f>
        <v>2021-22</v>
      </c>
      <c r="O98" s="122" t="str">
        <f>'Input | Comms &amp; IT'!O$68</f>
        <v>2022-23</v>
      </c>
      <c r="P98" s="122" t="str">
        <f>'Input | Comms &amp; IT'!P$68</f>
        <v>2023-24</v>
      </c>
      <c r="Q98" s="122" t="str">
        <f>'Input | Comms &amp; IT'!Q$68</f>
        <v>2024-25</v>
      </c>
    </row>
    <row r="99" spans="2:17" s="88" customFormat="1" ht="13" outlineLevel="1" x14ac:dyDescent="0.3">
      <c r="F99" s="88" t="s">
        <v>158</v>
      </c>
      <c r="G99" s="127" t="s">
        <v>85</v>
      </c>
      <c r="H99" s="128">
        <f>Basis_Capex</f>
        <v>43617</v>
      </c>
      <c r="J99" s="357">
        <f t="shared" ref="J99:Q99" si="8">SUMPRODUCT(INDEX(ICC_Calc_Equip,,J$87),(ICC_ScsAlloc))</f>
        <v>0</v>
      </c>
      <c r="K99" s="357">
        <f t="shared" si="8"/>
        <v>0</v>
      </c>
      <c r="L99" s="357">
        <f t="shared" si="8"/>
        <v>0</v>
      </c>
      <c r="M99" s="358">
        <f t="shared" si="8"/>
        <v>0</v>
      </c>
      <c r="N99" s="358">
        <f t="shared" si="8"/>
        <v>0</v>
      </c>
      <c r="O99" s="359">
        <f t="shared" si="8"/>
        <v>0</v>
      </c>
      <c r="P99" s="359">
        <f t="shared" si="8"/>
        <v>0</v>
      </c>
      <c r="Q99" s="359">
        <f t="shared" si="8"/>
        <v>0</v>
      </c>
    </row>
    <row r="100" spans="2:17" s="88" customFormat="1" ht="13" outlineLevel="1" x14ac:dyDescent="0.3">
      <c r="F100" s="88" t="s">
        <v>157</v>
      </c>
      <c r="G100" s="127" t="s">
        <v>85</v>
      </c>
      <c r="H100" s="128">
        <f>Basis_Capex</f>
        <v>43617</v>
      </c>
      <c r="J100" s="357">
        <f t="shared" ref="J100:Q100" si="9">SUMPRODUCT(INDEX(ICC_Calc_Install,,J$87),ICC_ScsAlloc)</f>
        <v>0</v>
      </c>
      <c r="K100" s="357">
        <f t="shared" si="9"/>
        <v>0</v>
      </c>
      <c r="L100" s="357">
        <f t="shared" si="9"/>
        <v>0</v>
      </c>
      <c r="M100" s="358">
        <f t="shared" si="9"/>
        <v>0</v>
      </c>
      <c r="N100" s="358">
        <f t="shared" si="9"/>
        <v>0</v>
      </c>
      <c r="O100" s="359">
        <f t="shared" si="9"/>
        <v>0</v>
      </c>
      <c r="P100" s="359">
        <f t="shared" si="9"/>
        <v>0</v>
      </c>
      <c r="Q100" s="359">
        <f t="shared" si="9"/>
        <v>0</v>
      </c>
    </row>
    <row r="101" spans="2:17" s="88" customFormat="1" ht="13" outlineLevel="1" x14ac:dyDescent="0.3">
      <c r="F101" s="88" t="s">
        <v>188</v>
      </c>
      <c r="G101" s="127" t="s">
        <v>85</v>
      </c>
      <c r="H101" s="128">
        <f>Basis_Capex</f>
        <v>43617</v>
      </c>
      <c r="J101" s="357">
        <f t="shared" ref="J101:Q101" si="10">SUMPRODUCT(INDEX(ICC_ProjectComCost,,J$87),(ICC_ProjectComSCS))</f>
        <v>0</v>
      </c>
      <c r="K101" s="357">
        <f t="shared" si="10"/>
        <v>0</v>
      </c>
      <c r="L101" s="357">
        <f t="shared" si="10"/>
        <v>0</v>
      </c>
      <c r="M101" s="358">
        <f t="shared" si="10"/>
        <v>0</v>
      </c>
      <c r="N101" s="358">
        <f t="shared" si="10"/>
        <v>0</v>
      </c>
      <c r="O101" s="359">
        <f t="shared" si="10"/>
        <v>0</v>
      </c>
      <c r="P101" s="359">
        <f t="shared" si="10"/>
        <v>0</v>
      </c>
      <c r="Q101" s="359">
        <f t="shared" si="10"/>
        <v>0</v>
      </c>
    </row>
    <row r="102" spans="2:17" s="88" customFormat="1" ht="13" outlineLevel="1" x14ac:dyDescent="0.3">
      <c r="F102" s="88" t="s">
        <v>190</v>
      </c>
      <c r="G102" s="127" t="s">
        <v>85</v>
      </c>
      <c r="H102" s="128">
        <f>Basis_Capex</f>
        <v>43617</v>
      </c>
      <c r="J102" s="357">
        <f t="shared" ref="J102:Q102" si="11">SUMPRODUCT(INDEX(ICC_ProjectComCost,,J$87),(ICC_ProjectComSCS),(ICC_ProjectComOH))+
SUMPRODUCT(J$60:J$79,ICC_ScsAlloc)</f>
        <v>0</v>
      </c>
      <c r="K102" s="357">
        <f t="shared" si="11"/>
        <v>0</v>
      </c>
      <c r="L102" s="357">
        <f t="shared" si="11"/>
        <v>0</v>
      </c>
      <c r="M102" s="358">
        <f t="shared" si="11"/>
        <v>0</v>
      </c>
      <c r="N102" s="358">
        <f t="shared" si="11"/>
        <v>0</v>
      </c>
      <c r="O102" s="359">
        <f t="shared" si="11"/>
        <v>0</v>
      </c>
      <c r="P102" s="359">
        <f t="shared" si="11"/>
        <v>0</v>
      </c>
      <c r="Q102" s="359">
        <f t="shared" si="11"/>
        <v>0</v>
      </c>
    </row>
    <row r="103" spans="2:17" s="88" customFormat="1" ht="13" outlineLevel="1" x14ac:dyDescent="0.3">
      <c r="F103" s="161" t="s">
        <v>17</v>
      </c>
      <c r="G103" s="157" t="s">
        <v>85</v>
      </c>
      <c r="H103" s="162">
        <f>Basis_Capex</f>
        <v>43617</v>
      </c>
      <c r="J103" s="360">
        <f t="shared" ref="J103" si="12">SUM(J99:J102)</f>
        <v>0</v>
      </c>
      <c r="K103" s="360">
        <f t="shared" ref="K103:Q103" si="13">SUM(K99:K102)</f>
        <v>0</v>
      </c>
      <c r="L103" s="360">
        <f t="shared" si="13"/>
        <v>0</v>
      </c>
      <c r="M103" s="232">
        <f t="shared" si="13"/>
        <v>0</v>
      </c>
      <c r="N103" s="232">
        <f t="shared" si="13"/>
        <v>0</v>
      </c>
      <c r="O103" s="233">
        <f t="shared" si="13"/>
        <v>0</v>
      </c>
      <c r="P103" s="233">
        <f t="shared" si="13"/>
        <v>0</v>
      </c>
      <c r="Q103" s="233">
        <f t="shared" si="13"/>
        <v>0</v>
      </c>
    </row>
    <row r="104" spans="2:17" s="88" customFormat="1" ht="13" outlineLevel="1" x14ac:dyDescent="0.3">
      <c r="I104" s="96"/>
    </row>
    <row r="105" spans="2:17" s="88" customFormat="1" ht="13" outlineLevel="1" x14ac:dyDescent="0.3">
      <c r="E105" s="163" t="s">
        <v>10</v>
      </c>
      <c r="F105" s="164" t="s">
        <v>155</v>
      </c>
      <c r="G105" s="163"/>
      <c r="H105" s="163"/>
      <c r="I105" s="163"/>
      <c r="J105" s="362">
        <f t="shared" ref="J105" si="14">J96+J103</f>
        <v>0</v>
      </c>
      <c r="K105" s="362"/>
      <c r="L105" s="361">
        <f t="shared" ref="L105:Q105" si="15">L96+L103</f>
        <v>115215.66</v>
      </c>
      <c r="M105" s="362">
        <f t="shared" si="15"/>
        <v>429640.26</v>
      </c>
      <c r="N105" s="362">
        <f t="shared" si="15"/>
        <v>437359.86</v>
      </c>
      <c r="O105" s="362">
        <f t="shared" si="15"/>
        <v>445079.46</v>
      </c>
      <c r="P105" s="362">
        <f t="shared" si="15"/>
        <v>452799.06</v>
      </c>
      <c r="Q105" s="362">
        <f t="shared" si="15"/>
        <v>460149.06</v>
      </c>
    </row>
    <row r="106" spans="2:17" s="88" customFormat="1" ht="13" outlineLevel="1" x14ac:dyDescent="0.3"/>
    <row r="107" spans="2:17" s="88" customFormat="1" ht="15.5" outlineLevel="1" x14ac:dyDescent="0.35">
      <c r="B107" s="464" t="s">
        <v>8</v>
      </c>
      <c r="C107" s="464" t="s">
        <v>189</v>
      </c>
      <c r="D107" s="465"/>
    </row>
    <row r="108" spans="2:17" s="88" customFormat="1" ht="13" outlineLevel="1" x14ac:dyDescent="0.3">
      <c r="F108" s="121" t="s">
        <v>148</v>
      </c>
      <c r="G108" s="121" t="s">
        <v>6</v>
      </c>
      <c r="H108" s="121" t="s">
        <v>118</v>
      </c>
      <c r="I108" s="121"/>
      <c r="J108" s="461" t="str">
        <f>'Input | Comms &amp; IT'!J$68</f>
        <v>2017-18</v>
      </c>
      <c r="K108" s="461" t="str">
        <f>'Input | Comms &amp; IT'!K$68</f>
        <v>2018-19</v>
      </c>
      <c r="L108" s="149" t="str">
        <f>'Input | Comms &amp; IT'!L$68</f>
        <v>2019-20</v>
      </c>
      <c r="M108" s="122" t="str">
        <f>'Input | Comms &amp; IT'!M$68</f>
        <v>2020-21</v>
      </c>
      <c r="N108" s="122" t="str">
        <f>'Input | Comms &amp; IT'!N$68</f>
        <v>2021-22</v>
      </c>
      <c r="O108" s="122" t="str">
        <f>'Input | Comms &amp; IT'!O$68</f>
        <v>2022-23</v>
      </c>
      <c r="P108" s="122" t="str">
        <f>'Input | Comms &amp; IT'!P$68</f>
        <v>2023-24</v>
      </c>
      <c r="Q108" s="122" t="str">
        <f>'Input | Comms &amp; IT'!Q$68</f>
        <v>2024-25</v>
      </c>
    </row>
    <row r="109" spans="2:17" s="88" customFormat="1" ht="13" outlineLevel="1" x14ac:dyDescent="0.3">
      <c r="F109" s="88" t="s">
        <v>188</v>
      </c>
      <c r="G109" s="127" t="s">
        <v>85</v>
      </c>
      <c r="H109" s="128">
        <f>Basis_Capex</f>
        <v>43617</v>
      </c>
      <c r="J109" s="357" cm="1">
        <f t="array" ref="J109">SUMPRODUCT(INDEX('Input | Comms &amp; IT'!$J$82:$Q$91,,J$87),(1-ICC_ProjectITSCS))</f>
        <v>0</v>
      </c>
      <c r="K109" s="357" cm="1">
        <f t="array" ref="K109">SUMPRODUCT(INDEX('Input | Comms &amp; IT'!$J$82:$Q$91,,K$87),(1-ICC_ProjectITSCS))</f>
        <v>0</v>
      </c>
      <c r="L109" s="357" cm="1">
        <f t="array" ref="L109">SUMPRODUCT(INDEX('Input | Comms &amp; IT'!$J$82:$Q$91,,L$87),(1-ICC_ProjectITSCS))</f>
        <v>0</v>
      </c>
      <c r="M109" s="358" cm="1">
        <f t="array" ref="M109">SUMPRODUCT(INDEX('Input | Comms &amp; IT'!$J$82:$Q$91,,M$87),(1-ICC_ProjectITSCS))</f>
        <v>150000</v>
      </c>
      <c r="N109" s="358" cm="1">
        <f t="array" ref="N109">SUMPRODUCT(INDEX('Input | Comms &amp; IT'!$J$82:$Q$91,,N$87),(1-ICC_ProjectITSCS))</f>
        <v>0</v>
      </c>
      <c r="O109" s="359" cm="1">
        <f t="array" ref="O109">SUMPRODUCT(INDEX('Input | Comms &amp; IT'!$J$82:$Q$91,,O$87),(1-ICC_ProjectITSCS))</f>
        <v>300000</v>
      </c>
      <c r="P109" s="359" cm="1">
        <f t="array" ref="P109">SUMPRODUCT(INDEX('Input | Comms &amp; IT'!$J$82:$Q$91,,P$87),(1-ICC_ProjectITSCS))</f>
        <v>50000</v>
      </c>
      <c r="Q109" s="359" cm="1">
        <f t="array" ref="Q109">SUMPRODUCT(INDEX('Input | Comms &amp; IT'!$J$82:$Q$91,,Q$87),(1-ICC_ProjectITSCS))</f>
        <v>0</v>
      </c>
    </row>
    <row r="110" spans="2:17" s="88" customFormat="1" ht="13" outlineLevel="1" x14ac:dyDescent="0.3">
      <c r="F110" s="88" t="s">
        <v>190</v>
      </c>
      <c r="G110" s="127" t="s">
        <v>85</v>
      </c>
      <c r="H110" s="128">
        <f>Basis_Capex</f>
        <v>43617</v>
      </c>
      <c r="J110" s="357" cm="1">
        <f t="array" ref="J110">SUMPRODUCT(INDEX('Input | Comms &amp; IT'!$J$82:$Q$91,,J$87),(1-ICC_ProjectITSCS),(ICC_ProjectITOH))</f>
        <v>0</v>
      </c>
      <c r="K110" s="357" cm="1">
        <f t="array" ref="K110">SUMPRODUCT(INDEX('Input | Comms &amp; IT'!$J$82:$Q$91,,K$87),(1-ICC_ProjectITSCS),(ICC_ProjectITOH))</f>
        <v>0</v>
      </c>
      <c r="L110" s="357" cm="1">
        <f t="array" ref="L110">SUMPRODUCT(INDEX('Input | Comms &amp; IT'!$J$82:$Q$91,,L$87),(1-ICC_ProjectITSCS),(ICC_ProjectITOH))</f>
        <v>0</v>
      </c>
      <c r="M110" s="358" cm="1">
        <f t="array" ref="M110">SUMPRODUCT(INDEX('Input | Comms &amp; IT'!$J$82:$Q$91,,M$87),(1-ICC_ProjectITSCS),(ICC_ProjectITOH))</f>
        <v>0</v>
      </c>
      <c r="N110" s="358" cm="1">
        <f t="array" ref="N110">SUMPRODUCT(INDEX('Input | Comms &amp; IT'!$J$82:$Q$91,,N$87),(1-ICC_ProjectITSCS),(ICC_ProjectITOH))</f>
        <v>0</v>
      </c>
      <c r="O110" s="359" cm="1">
        <f t="array" ref="O110">SUMPRODUCT(INDEX('Input | Comms &amp; IT'!$J$82:$Q$91,,O$87),(1-ICC_ProjectITSCS),(ICC_ProjectITOH))</f>
        <v>0</v>
      </c>
      <c r="P110" s="359" cm="1">
        <f t="array" ref="P110">SUMPRODUCT(INDEX('Input | Comms &amp; IT'!$J$82:$Q$91,,P$87),(1-ICC_ProjectITSCS),(ICC_ProjectITOH))</f>
        <v>0</v>
      </c>
      <c r="Q110" s="359" cm="1">
        <f t="array" ref="Q110">SUMPRODUCT(INDEX('Input | Comms &amp; IT'!$J$82:$Q$91,,Q$87),(1-ICC_ProjectITSCS),(ICC_ProjectITOH))</f>
        <v>0</v>
      </c>
    </row>
    <row r="111" spans="2:17" s="88" customFormat="1" ht="13" outlineLevel="1" x14ac:dyDescent="0.3">
      <c r="F111" s="161" t="s">
        <v>17</v>
      </c>
      <c r="G111" s="157" t="s">
        <v>85</v>
      </c>
      <c r="H111" s="165">
        <f>Basis_Capex</f>
        <v>43617</v>
      </c>
      <c r="I111" s="96"/>
      <c r="J111" s="360">
        <f t="shared" ref="J111:K111" si="16">SUM(J109:J110)</f>
        <v>0</v>
      </c>
      <c r="K111" s="360">
        <f t="shared" si="16"/>
        <v>0</v>
      </c>
      <c r="L111" s="360">
        <f t="shared" ref="L111:Q111" si="17">SUM(L109:L110)</f>
        <v>0</v>
      </c>
      <c r="M111" s="232">
        <f t="shared" si="17"/>
        <v>150000</v>
      </c>
      <c r="N111" s="232">
        <f t="shared" si="17"/>
        <v>0</v>
      </c>
      <c r="O111" s="233">
        <f t="shared" si="17"/>
        <v>300000</v>
      </c>
      <c r="P111" s="233">
        <f t="shared" si="17"/>
        <v>50000</v>
      </c>
      <c r="Q111" s="233">
        <f t="shared" si="17"/>
        <v>0</v>
      </c>
    </row>
    <row r="112" spans="2:17" s="88" customFormat="1" ht="13" outlineLevel="1" x14ac:dyDescent="0.3"/>
    <row r="113" spans="1:19" s="88" customFormat="1" ht="13" outlineLevel="1" x14ac:dyDescent="0.3">
      <c r="F113" s="121" t="s">
        <v>147</v>
      </c>
      <c r="G113" s="121" t="s">
        <v>6</v>
      </c>
      <c r="H113" s="121" t="s">
        <v>118</v>
      </c>
      <c r="I113" s="121"/>
      <c r="J113" s="461" t="str">
        <f>'Input | Comms &amp; IT'!J$68</f>
        <v>2017-18</v>
      </c>
      <c r="K113" s="461" t="str">
        <f>'Input | Comms &amp; IT'!K$68</f>
        <v>2018-19</v>
      </c>
      <c r="L113" s="149" t="str">
        <f>'Input | Comms &amp; IT'!L$68</f>
        <v>2019-20</v>
      </c>
      <c r="M113" s="122" t="str">
        <f>'Input | Comms &amp; IT'!M$68</f>
        <v>2020-21</v>
      </c>
      <c r="N113" s="122" t="str">
        <f>'Input | Comms &amp; IT'!N$68</f>
        <v>2021-22</v>
      </c>
      <c r="O113" s="122" t="str">
        <f>'Input | Comms &amp; IT'!O$68</f>
        <v>2022-23</v>
      </c>
      <c r="P113" s="122" t="str">
        <f>'Input | Comms &amp; IT'!P$68</f>
        <v>2023-24</v>
      </c>
      <c r="Q113" s="122" t="str">
        <f>'Input | Comms &amp; IT'!Q$68</f>
        <v>2024-25</v>
      </c>
    </row>
    <row r="114" spans="1:19" s="88" customFormat="1" ht="13" outlineLevel="1" x14ac:dyDescent="0.3">
      <c r="F114" s="88" t="s">
        <v>188</v>
      </c>
      <c r="G114" s="127" t="s">
        <v>85</v>
      </c>
      <c r="H114" s="128">
        <f>Basis_Capex</f>
        <v>43617</v>
      </c>
      <c r="J114" s="357">
        <f>SUMPRODUCT(INDEX('Input | Comms &amp; IT'!$J$82:$Q$91,,J$87),(ICC_ProjectITSCS))</f>
        <v>0</v>
      </c>
      <c r="K114" s="357">
        <f>SUMPRODUCT(INDEX('Input | Comms &amp; IT'!$J$82:$Q$91,,K$87),(ICC_ProjectITSCS))</f>
        <v>0</v>
      </c>
      <c r="L114" s="357">
        <f>SUMPRODUCT(INDEX('Input | Comms &amp; IT'!$J$82:$Q$91,,L$87),(ICC_ProjectITSCS))</f>
        <v>0</v>
      </c>
      <c r="M114" s="358">
        <f>SUMPRODUCT(INDEX('Input | Comms &amp; IT'!$J$82:$Q$91,,M$87),(ICC_ProjectITSCS))</f>
        <v>0</v>
      </c>
      <c r="N114" s="358">
        <f>SUMPRODUCT(INDEX('Input | Comms &amp; IT'!$J$82:$Q$91,,N$87),(ICC_ProjectITSCS))</f>
        <v>0</v>
      </c>
      <c r="O114" s="359">
        <f>SUMPRODUCT(INDEX('Input | Comms &amp; IT'!$J$82:$Q$91,,O$87),(ICC_ProjectITSCS))</f>
        <v>0</v>
      </c>
      <c r="P114" s="359">
        <f>SUMPRODUCT(INDEX('Input | Comms &amp; IT'!$J$82:$Q$91,,P$87),(ICC_ProjectITSCS))</f>
        <v>0</v>
      </c>
      <c r="Q114" s="359">
        <f>SUMPRODUCT(INDEX('Input | Comms &amp; IT'!$J$82:$Q$91,,Q$87),(ICC_ProjectITSCS))</f>
        <v>0</v>
      </c>
    </row>
    <row r="115" spans="1:19" s="88" customFormat="1" ht="13" outlineLevel="1" x14ac:dyDescent="0.3">
      <c r="F115" s="88" t="s">
        <v>190</v>
      </c>
      <c r="G115" s="127" t="s">
        <v>85</v>
      </c>
      <c r="H115" s="128">
        <f>Basis_Capex</f>
        <v>43617</v>
      </c>
      <c r="J115" s="357">
        <f>SUMPRODUCT(INDEX('Input | Comms &amp; IT'!$J$82:$Q$91,,J$87),(ICC_ProjectITSCS),(ICC_ProjectITOH))</f>
        <v>0</v>
      </c>
      <c r="K115" s="357">
        <f>SUMPRODUCT(INDEX('Input | Comms &amp; IT'!$J$82:$Q$91,,K$87),(ICC_ProjectITSCS),(ICC_ProjectITOH))</f>
        <v>0</v>
      </c>
      <c r="L115" s="357">
        <f>SUMPRODUCT(INDEX('Input | Comms &amp; IT'!$J$82:$Q$91,,L$87),(ICC_ProjectITSCS),(ICC_ProjectITOH))</f>
        <v>0</v>
      </c>
      <c r="M115" s="358">
        <f>SUMPRODUCT(INDEX('Input | Comms &amp; IT'!$J$82:$Q$91,,M$87),(ICC_ProjectITSCS),(ICC_ProjectITOH))</f>
        <v>0</v>
      </c>
      <c r="N115" s="358">
        <f>SUMPRODUCT(INDEX('Input | Comms &amp; IT'!$J$82:$Q$91,,N$87),(ICC_ProjectITSCS),(ICC_ProjectITOH))</f>
        <v>0</v>
      </c>
      <c r="O115" s="359">
        <f>SUMPRODUCT(INDEX('Input | Comms &amp; IT'!$J$82:$Q$91,,O$87),(ICC_ProjectITSCS),(ICC_ProjectITOH))</f>
        <v>0</v>
      </c>
      <c r="P115" s="359">
        <f>SUMPRODUCT(INDEX('Input | Comms &amp; IT'!$J$82:$Q$91,,P$87),(ICC_ProjectITSCS),(ICC_ProjectITOH))</f>
        <v>0</v>
      </c>
      <c r="Q115" s="359">
        <f>SUMPRODUCT(INDEX('Input | Comms &amp; IT'!$J$82:$Q$91,,Q$87),(ICC_ProjectITSCS),(ICC_ProjectITOH))</f>
        <v>0</v>
      </c>
    </row>
    <row r="116" spans="1:19" s="88" customFormat="1" ht="13" outlineLevel="1" x14ac:dyDescent="0.3">
      <c r="F116" s="161" t="s">
        <v>17</v>
      </c>
      <c r="G116" s="157" t="s">
        <v>85</v>
      </c>
      <c r="H116" s="162">
        <f>Basis_Capex</f>
        <v>43617</v>
      </c>
      <c r="J116" s="360">
        <f t="shared" ref="J116:K116" si="18">SUM(J114:J115)</f>
        <v>0</v>
      </c>
      <c r="K116" s="360">
        <f t="shared" si="18"/>
        <v>0</v>
      </c>
      <c r="L116" s="360">
        <f t="shared" ref="L116:Q116" si="19">SUM(L114:L115)</f>
        <v>0</v>
      </c>
      <c r="M116" s="232">
        <f t="shared" si="19"/>
        <v>0</v>
      </c>
      <c r="N116" s="232">
        <f t="shared" si="19"/>
        <v>0</v>
      </c>
      <c r="O116" s="233">
        <f t="shared" si="19"/>
        <v>0</v>
      </c>
      <c r="P116" s="233">
        <f t="shared" si="19"/>
        <v>0</v>
      </c>
      <c r="Q116" s="233">
        <f t="shared" si="19"/>
        <v>0</v>
      </c>
    </row>
    <row r="117" spans="1:19" s="88" customFormat="1" ht="13" outlineLevel="1" x14ac:dyDescent="0.3"/>
    <row r="118" spans="1:19" s="88" customFormat="1" ht="13" outlineLevel="1" x14ac:dyDescent="0.3">
      <c r="E118" s="167" t="s">
        <v>189</v>
      </c>
      <c r="F118" s="164" t="s">
        <v>155</v>
      </c>
      <c r="G118" s="167"/>
      <c r="H118" s="167"/>
      <c r="I118" s="167"/>
      <c r="J118" s="167"/>
      <c r="K118" s="167"/>
      <c r="L118" s="363">
        <f t="shared" ref="L118:Q118" si="20">L109+L116</f>
        <v>0</v>
      </c>
      <c r="M118" s="364">
        <f t="shared" si="20"/>
        <v>150000</v>
      </c>
      <c r="N118" s="364">
        <f t="shared" si="20"/>
        <v>0</v>
      </c>
      <c r="O118" s="364">
        <f t="shared" si="20"/>
        <v>300000</v>
      </c>
      <c r="P118" s="364">
        <f t="shared" si="20"/>
        <v>50000</v>
      </c>
      <c r="Q118" s="364">
        <f t="shared" si="20"/>
        <v>0</v>
      </c>
    </row>
    <row r="119" spans="1:19" s="88" customFormat="1" ht="13" x14ac:dyDescent="0.3"/>
    <row r="120" spans="1:19" x14ac:dyDescent="0.25"/>
    <row r="121" spans="1:19" s="88" customFormat="1" ht="13" x14ac:dyDescent="0.3">
      <c r="A121" s="266" t="s">
        <v>279</v>
      </c>
      <c r="B121" s="266"/>
      <c r="C121" s="266"/>
      <c r="D121" s="266"/>
      <c r="E121" s="266"/>
      <c r="F121" s="266"/>
      <c r="G121" s="266"/>
      <c r="H121" s="266"/>
      <c r="I121" s="266"/>
      <c r="J121" s="266"/>
      <c r="K121" s="421"/>
      <c r="L121" s="144"/>
      <c r="M121" s="144"/>
      <c r="N121" s="145"/>
      <c r="O121" s="145"/>
      <c r="P121" s="145"/>
      <c r="Q121" s="145"/>
      <c r="R121" s="145"/>
      <c r="S121" s="145"/>
    </row>
    <row r="122" spans="1:19" s="88" customFormat="1" ht="13" x14ac:dyDescent="0.3"/>
    <row r="123" spans="1:19" s="88" customFormat="1" ht="13" x14ac:dyDescent="0.3">
      <c r="E123" s="92" t="s">
        <v>303</v>
      </c>
    </row>
    <row r="124" spans="1:19" s="88" customFormat="1" ht="13" x14ac:dyDescent="0.3">
      <c r="F124" s="179" t="s">
        <v>148</v>
      </c>
      <c r="G124" s="179" t="s">
        <v>6</v>
      </c>
      <c r="H124" s="179" t="s">
        <v>118</v>
      </c>
      <c r="I124" s="180"/>
      <c r="J124" s="463" t="str">
        <f>'Input | Comms &amp; IT'!J$68</f>
        <v>2017-18</v>
      </c>
      <c r="K124" s="463" t="str">
        <f>'Input | Comms &amp; IT'!K$68</f>
        <v>2018-19</v>
      </c>
      <c r="L124" s="181" t="str">
        <f>'Input | Comms &amp; IT'!L$68</f>
        <v>2019-20</v>
      </c>
      <c r="M124" s="168" t="str">
        <f>'Input | Comms &amp; IT'!M$68</f>
        <v>2020-21</v>
      </c>
      <c r="N124" s="122" t="str">
        <f>'Input | Comms &amp; IT'!N$68</f>
        <v>2021-22</v>
      </c>
      <c r="O124" s="122" t="str">
        <f>'Input | Comms &amp; IT'!O$68</f>
        <v>2022-23</v>
      </c>
      <c r="P124" s="122" t="str">
        <f>'Input | Comms &amp; IT'!P$68</f>
        <v>2023-24</v>
      </c>
      <c r="Q124" s="122" t="str">
        <f>'Input | Comms &amp; IT'!Q$68</f>
        <v>2024-25</v>
      </c>
    </row>
    <row r="125" spans="1:19" s="88" customFormat="1" ht="13" x14ac:dyDescent="0.3">
      <c r="E125" s="180"/>
      <c r="F125" s="182" t="s">
        <v>10</v>
      </c>
      <c r="G125" s="183" t="s">
        <v>85</v>
      </c>
      <c r="H125" s="128">
        <f>Basis_Capex</f>
        <v>43617</v>
      </c>
      <c r="I125" s="180"/>
      <c r="J125" s="357">
        <f>'Calc | Capex Comms &amp; IT'!J96</f>
        <v>0</v>
      </c>
      <c r="K125" s="357">
        <f>'Calc | Capex Comms &amp; IT'!K96</f>
        <v>0</v>
      </c>
      <c r="L125" s="357">
        <f>'Calc | Capex Comms &amp; IT'!L96</f>
        <v>115215.66</v>
      </c>
      <c r="M125" s="358">
        <f>'Calc | Capex Comms &amp; IT'!M96</f>
        <v>429640.26</v>
      </c>
      <c r="N125" s="358">
        <f>'Calc | Capex Comms &amp; IT'!N96</f>
        <v>437359.86</v>
      </c>
      <c r="O125" s="359">
        <f>'Calc | Capex Comms &amp; IT'!O96</f>
        <v>445079.46</v>
      </c>
      <c r="P125" s="359">
        <f>'Calc | Capex Comms &amp; IT'!P96</f>
        <v>452799.06</v>
      </c>
      <c r="Q125" s="359">
        <f>'Calc | Capex Comms &amp; IT'!Q96</f>
        <v>460149.06</v>
      </c>
    </row>
    <row r="126" spans="1:19" s="88" customFormat="1" ht="13" x14ac:dyDescent="0.3">
      <c r="E126" s="180"/>
      <c r="F126" s="182" t="s">
        <v>189</v>
      </c>
      <c r="G126" s="183" t="s">
        <v>85</v>
      </c>
      <c r="H126" s="128">
        <f>Basis_Capex</f>
        <v>43617</v>
      </c>
      <c r="I126" s="180"/>
      <c r="J126" s="357">
        <f>'Calc | Capex Comms &amp; IT'!J111</f>
        <v>0</v>
      </c>
      <c r="K126" s="357">
        <f>'Calc | Capex Comms &amp; IT'!K111</f>
        <v>0</v>
      </c>
      <c r="L126" s="357">
        <f>'Calc | Capex Comms &amp; IT'!L111</f>
        <v>0</v>
      </c>
      <c r="M126" s="358">
        <f>'Calc | Capex Comms &amp; IT'!M111</f>
        <v>150000</v>
      </c>
      <c r="N126" s="358">
        <f>'Calc | Capex Comms &amp; IT'!N111</f>
        <v>0</v>
      </c>
      <c r="O126" s="359">
        <f>'Calc | Capex Comms &amp; IT'!O111</f>
        <v>300000</v>
      </c>
      <c r="P126" s="359">
        <f>'Calc | Capex Comms &amp; IT'!P111</f>
        <v>50000</v>
      </c>
      <c r="Q126" s="359">
        <f>'Calc | Capex Comms &amp; IT'!Q111</f>
        <v>0</v>
      </c>
    </row>
    <row r="127" spans="1:19" s="88" customFormat="1" ht="13" x14ac:dyDescent="0.3">
      <c r="E127" s="180"/>
      <c r="F127" s="184" t="s">
        <v>17</v>
      </c>
      <c r="G127" s="185" t="s">
        <v>85</v>
      </c>
      <c r="H127" s="162">
        <f>Basis_Capex</f>
        <v>43617</v>
      </c>
      <c r="I127" s="180"/>
      <c r="J127" s="232">
        <f t="shared" ref="J127:K127" si="21">J125+J126</f>
        <v>0</v>
      </c>
      <c r="K127" s="232">
        <f t="shared" si="21"/>
        <v>0</v>
      </c>
      <c r="L127" s="360">
        <f t="shared" ref="L127:Q127" si="22">L125+L126</f>
        <v>115215.66</v>
      </c>
      <c r="M127" s="232">
        <f t="shared" si="22"/>
        <v>579640.26</v>
      </c>
      <c r="N127" s="232">
        <f t="shared" si="22"/>
        <v>437359.86</v>
      </c>
      <c r="O127" s="232">
        <f t="shared" si="22"/>
        <v>745079.46</v>
      </c>
      <c r="P127" s="232">
        <f t="shared" si="22"/>
        <v>502799.06</v>
      </c>
      <c r="Q127" s="232">
        <f t="shared" si="22"/>
        <v>460149.06</v>
      </c>
    </row>
    <row r="128" spans="1:19" x14ac:dyDescent="0.25"/>
    <row r="129" x14ac:dyDescent="0.25"/>
  </sheetData>
  <mergeCells count="1">
    <mergeCell ref="A7:J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CA760-99EB-4869-87F5-4EA5BC15A243}">
  <sheetPr codeName="Sheet10">
    <tabColor theme="1"/>
  </sheetPr>
  <dimension ref="A1"/>
  <sheetViews>
    <sheetView topLeftCell="A40" workbookViewId="0"/>
  </sheetViews>
  <sheetFormatPr defaultRowHeight="12.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D14-041B-40EB-9F33-4BEB88CE8B07}">
  <sheetPr codeName="Sheet13">
    <tabColor theme="9" tint="0.39997558519241921"/>
  </sheetPr>
  <dimension ref="A1:W49"/>
  <sheetViews>
    <sheetView showGridLines="0" topLeftCell="E1" zoomScale="115" zoomScaleNormal="115" workbookViewId="0">
      <selection activeCell="B42" sqref="B42"/>
    </sheetView>
  </sheetViews>
  <sheetFormatPr defaultColWidth="0" defaultRowHeight="12.5" zeroHeight="1" x14ac:dyDescent="0.25"/>
  <cols>
    <col min="1" max="2" width="9.1796875" customWidth="1"/>
    <col min="3" max="3" width="11.81640625" customWidth="1"/>
    <col min="4" max="6" width="17.453125" customWidth="1"/>
    <col min="7" max="12" width="16.1796875" customWidth="1"/>
    <col min="13" max="13" width="11.26953125" bestFit="1" customWidth="1"/>
    <col min="14" max="23" width="0" hidden="1" customWidth="1"/>
    <col min="24" max="16384" width="9.1796875" hidden="1"/>
  </cols>
  <sheetData>
    <row r="1" spans="1:13" ht="18" x14ac:dyDescent="0.25">
      <c r="A1" s="67"/>
      <c r="B1" s="67" t="str">
        <f>'Input|General'!B1&amp;" v"&amp;'Input|General'!$D$2</f>
        <v>AER Metering Opex &amp; Capex Forecasting Model DRAFT v1</v>
      </c>
      <c r="C1" s="67"/>
      <c r="D1" s="67"/>
      <c r="E1" s="67"/>
      <c r="F1" s="67"/>
      <c r="G1" s="3"/>
      <c r="H1" s="3"/>
      <c r="I1" s="3"/>
      <c r="J1" s="3"/>
      <c r="K1" s="3"/>
      <c r="L1" s="3"/>
      <c r="M1" s="3"/>
    </row>
    <row r="2" spans="1:13" ht="18" x14ac:dyDescent="0.25">
      <c r="A2" s="55"/>
      <c r="B2" s="68" t="str" cm="1">
        <f t="array" aca="1" ref="B2" ca="1">MID(CELL("filename",A1),FIND("]",CELL("filename",A1))+1,255)</f>
        <v>Output | PTRM</v>
      </c>
      <c r="C2" s="55"/>
      <c r="D2" s="55"/>
      <c r="E2" s="55"/>
      <c r="F2" s="55"/>
      <c r="G2" s="68"/>
      <c r="H2" s="68"/>
      <c r="I2" s="68"/>
      <c r="J2" s="68"/>
      <c r="K2" s="68"/>
      <c r="L2" s="68"/>
      <c r="M2" s="68"/>
    </row>
    <row r="3" spans="1:13" ht="18" x14ac:dyDescent="0.25">
      <c r="A3" s="55"/>
      <c r="B3" s="68"/>
      <c r="C3" s="55"/>
      <c r="D3" s="55"/>
      <c r="E3" s="55"/>
      <c r="F3" s="68"/>
      <c r="G3" s="68"/>
      <c r="H3" s="68"/>
      <c r="I3" s="68"/>
      <c r="J3" s="68"/>
      <c r="K3" s="68"/>
      <c r="L3" s="68"/>
      <c r="M3" s="68"/>
    </row>
    <row r="4" spans="1:13" x14ac:dyDescent="0.25">
      <c r="A4" s="7"/>
      <c r="B4" s="7"/>
      <c r="C4" s="7"/>
      <c r="D4" s="7"/>
      <c r="E4" s="7"/>
      <c r="F4" s="7"/>
      <c r="G4" s="6"/>
      <c r="H4" s="6"/>
      <c r="I4" s="6"/>
      <c r="J4" s="6"/>
      <c r="K4" s="6"/>
      <c r="L4" s="6"/>
      <c r="M4" s="7"/>
    </row>
    <row r="5" spans="1:13" x14ac:dyDescent="0.25">
      <c r="A5" s="410"/>
      <c r="B5" s="410"/>
      <c r="C5" s="410"/>
      <c r="D5" s="410"/>
      <c r="E5" s="410"/>
      <c r="F5" s="410"/>
      <c r="G5" s="411"/>
      <c r="H5" s="411"/>
      <c r="I5" s="411"/>
      <c r="J5" s="411"/>
      <c r="K5" s="411"/>
      <c r="L5" s="411"/>
      <c r="M5" s="410"/>
    </row>
    <row r="6" spans="1:13" ht="13" x14ac:dyDescent="0.3">
      <c r="A6" s="410"/>
      <c r="B6" s="410"/>
      <c r="C6" s="412"/>
      <c r="D6" s="412"/>
      <c r="E6" s="412"/>
      <c r="F6" s="412"/>
      <c r="G6" s="411"/>
      <c r="H6" s="411"/>
      <c r="I6" s="411"/>
      <c r="J6" s="411"/>
      <c r="K6" s="411"/>
      <c r="L6" s="411"/>
      <c r="M6" s="410"/>
    </row>
    <row r="7" spans="1:13" ht="13" x14ac:dyDescent="0.3">
      <c r="A7" s="410"/>
      <c r="B7" s="77" t="s">
        <v>344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410"/>
    </row>
    <row r="8" spans="1:13" x14ac:dyDescent="0.25"/>
    <row r="9" spans="1:13" ht="13" x14ac:dyDescent="0.3">
      <c r="A9" s="410"/>
      <c r="B9" s="69" t="s">
        <v>337</v>
      </c>
      <c r="D9" s="410"/>
      <c r="E9" s="410"/>
      <c r="F9" s="410"/>
      <c r="G9" s="410"/>
      <c r="H9" s="410"/>
      <c r="I9" s="410"/>
      <c r="J9" s="410"/>
      <c r="K9" s="410"/>
      <c r="L9" s="410"/>
      <c r="M9" s="410"/>
    </row>
    <row r="10" spans="1:13" ht="13" x14ac:dyDescent="0.25">
      <c r="A10" s="410"/>
      <c r="B10" s="410"/>
      <c r="C10" s="410"/>
      <c r="D10" s="121" t="s">
        <v>6</v>
      </c>
      <c r="E10" s="121" t="s">
        <v>217</v>
      </c>
      <c r="F10" s="410"/>
      <c r="G10" s="122" t="str">
        <f>FPFirstYear</f>
        <v>2020-21</v>
      </c>
      <c r="H10" s="122" t="str">
        <f>(LEFT(G10,4)+1&amp;IF(MID(G10,5,1)="","","-"&amp;TEXT(MOD(MID(G10,6,2)+1,100),"00")))</f>
        <v>2021-22</v>
      </c>
      <c r="I10" s="122" t="str">
        <f t="shared" ref="I10:K10" si="0">(LEFT(H10,4)+1&amp;IF(MID(H10,5,1)="","","-"&amp;TEXT(MOD(MID(H10,6,2)+1,100),"00")))</f>
        <v>2022-23</v>
      </c>
      <c r="J10" s="122" t="str">
        <f t="shared" si="0"/>
        <v>2023-24</v>
      </c>
      <c r="K10" s="122" t="str">
        <f t="shared" si="0"/>
        <v>2024-25</v>
      </c>
      <c r="L10" s="409" t="s">
        <v>17</v>
      </c>
      <c r="M10" s="410"/>
    </row>
    <row r="11" spans="1:13" ht="13" x14ac:dyDescent="0.25">
      <c r="A11" s="410"/>
      <c r="B11" s="413"/>
      <c r="C11" s="410" t="s">
        <v>199</v>
      </c>
      <c r="D11" s="221" t="s">
        <v>31</v>
      </c>
      <c r="E11" s="222">
        <f>Basis_Ptrm</f>
        <v>44348</v>
      </c>
      <c r="F11" s="410"/>
      <c r="G11" s="353">
        <f>'Calc | Capex Meters'!Q142*
IF('Calc | Capex Meters'!$L$142="$millions",10^6,IF('Calc | Capex Meters'!$L$142="$000",10^3,1))/IF($D11="$millions",10^6,IF($D11="$000",10^3,1))
*'Input| Prices'!L$39</f>
        <v>5.3289332247026788</v>
      </c>
      <c r="H11" s="353">
        <f>'Calc | Capex Meters'!R142*
IF('Calc | Capex Meters'!$L$142="$millions",10^6,IF('Calc | Capex Meters'!$L$142="$000",10^3,1))/IF($D11="$millions",10^6,IF($D11="$000",10^3,1))
*'Input| Prices'!M$39</f>
        <v>5.3467760126654609</v>
      </c>
      <c r="I11" s="353">
        <f>'Calc | Capex Meters'!S142*
IF('Calc | Capex Meters'!$L$142="$millions",10^6,IF('Calc | Capex Meters'!$L$142="$000",10^3,1))/IF($D11="$millions",10^6,IF($D11="$000",10^3,1))
*'Input| Prices'!N$39</f>
        <v>5.3091490780462536</v>
      </c>
      <c r="J11" s="353">
        <f>'Calc | Capex Meters'!T142*
IF('Calc | Capex Meters'!$L$142="$millions",10^6,IF('Calc | Capex Meters'!$L$142="$000",10^3,1))/IF($D11="$millions",10^6,IF($D11="$000",10^3,1))
*'Input| Prices'!O$39</f>
        <v>5.3291306655206441</v>
      </c>
      <c r="K11" s="353">
        <f>'Calc | Capex Meters'!U142*
IF('Calc | Capex Meters'!$L$142="$millions",10^6,IF('Calc | Capex Meters'!$L$142="$000",10^3,1))/IF($D11="$millions",10^6,IF($D11="$000",10^3,1))
*'Input| Prices'!P$39</f>
        <v>5.3552515376836771</v>
      </c>
      <c r="L11" s="354">
        <f>IFERROR(SUM(G11:K11),"")</f>
        <v>26.669240518618714</v>
      </c>
      <c r="M11" s="410"/>
    </row>
    <row r="12" spans="1:13" ht="13" x14ac:dyDescent="0.25">
      <c r="A12" s="410"/>
      <c r="B12" s="413"/>
      <c r="C12" s="410" t="s">
        <v>10</v>
      </c>
      <c r="D12" s="221" t="s">
        <v>31</v>
      </c>
      <c r="E12" s="222">
        <f>Basis_Ptrm</f>
        <v>44348</v>
      </c>
      <c r="F12" s="410"/>
      <c r="G12" s="353">
        <f>'Calc | Capex Comms &amp; IT'!M125*
IF('Calc | Capex Meters'!$L$128="$millions",10^6,IF('Calc | Capex Meters'!$L$128="$000",10^3,1))/IF($D12="$millions",10^6,IF($D12="$000",10^3,1))
*'Input| Prices'!L$39</f>
        <v>0.44303134845769909</v>
      </c>
      <c r="H12" s="353">
        <f>'Calc | Capex Comms &amp; IT'!N125*
IF('Calc | Capex Meters'!$L$128="$millions",10^6,IF('Calc | Capex Meters'!$L$128="$000",10^3,1))/IF($D12="$millions",10^6,IF($D12="$000",10^3,1))
*'Input| Prices'!M$39</f>
        <v>0.4509915540435398</v>
      </c>
      <c r="I12" s="353">
        <f>'Calc | Capex Comms &amp; IT'!O125*
IF('Calc | Capex Meters'!$L$128="$millions",10^6,IF('Calc | Capex Meters'!$L$128="$000",10^3,1))/IF($D12="$millions",10^6,IF($D12="$000",10^3,1))
*'Input| Prices'!N$39</f>
        <v>0.45895175962938056</v>
      </c>
      <c r="J12" s="353">
        <f>'Calc | Capex Comms &amp; IT'!P125*
IF('Calc | Capex Meters'!$L$128="$millions",10^6,IF('Calc | Capex Meters'!$L$128="$000",10^3,1))/IF($D12="$millions",10^6,IF($D12="$000",10^3,1))
*'Input| Prices'!O$39</f>
        <v>0.46691196521522121</v>
      </c>
      <c r="K12" s="353">
        <f>'Calc | Capex Comms &amp; IT'!Q125*
IF('Calc | Capex Meters'!$L$128="$millions",10^6,IF('Calc | Capex Meters'!$L$128="$000",10^3,1))/IF($D12="$millions",10^6,IF($D12="$000",10^3,1))
*'Input| Prices'!P$39</f>
        <v>0.4744910510559292</v>
      </c>
      <c r="L12" s="354">
        <f>IFERROR(SUM(G12:K12),"")</f>
        <v>2.2943776784017698</v>
      </c>
      <c r="M12" s="410"/>
    </row>
    <row r="13" spans="1:13" ht="13" x14ac:dyDescent="0.25">
      <c r="A13" s="410"/>
      <c r="B13" s="413"/>
      <c r="C13" s="410" t="s">
        <v>189</v>
      </c>
      <c r="D13" s="221" t="s">
        <v>31</v>
      </c>
      <c r="E13" s="222">
        <f>Basis_Ptrm</f>
        <v>44348</v>
      </c>
      <c r="F13" s="410"/>
      <c r="G13" s="353">
        <f>'Calc | Capex Comms &amp; IT'!M126*
IF('Calc | Capex Meters'!$L$128="$millions",10^6,IF('Calc | Capex Meters'!$L$128="$000",10^3,1))/IF($D13="$millions",10^6,IF($D13="$000",10^3,1))
*'Input| Prices'!L$39</f>
        <v>0.15467522123893804</v>
      </c>
      <c r="H13" s="353">
        <f>'Calc | Capex Comms &amp; IT'!N126*
IF('Calc | Capex Meters'!$L$128="$millions",10^6,IF('Calc | Capex Meters'!$L$128="$000",10^3,1))/IF($D13="$millions",10^6,IF($D13="$000",10^3,1))
*'Input| Prices'!M$39</f>
        <v>0</v>
      </c>
      <c r="I13" s="353">
        <f>'Calc | Capex Comms &amp; IT'!O126*
IF('Calc | Capex Meters'!$L$128="$millions",10^6,IF('Calc | Capex Meters'!$L$128="$000",10^3,1))/IF($D13="$millions",10^6,IF($D13="$000",10^3,1))
*'Input| Prices'!N$39</f>
        <v>0.30935044247787608</v>
      </c>
      <c r="J13" s="353">
        <f>'Calc | Capex Comms &amp; IT'!P126*
IF('Calc | Capex Meters'!$L$128="$millions",10^6,IF('Calc | Capex Meters'!$L$128="$000",10^3,1))/IF($D13="$millions",10^6,IF($D13="$000",10^3,1))
*'Input| Prices'!O$39</f>
        <v>5.1558407079646019E-2</v>
      </c>
      <c r="K13" s="353">
        <f>'Calc | Capex Comms &amp; IT'!Q126*
IF('Calc | Capex Meters'!$L$128="$millions",10^6,IF('Calc | Capex Meters'!$L$128="$000",10^3,1))/IF($D13="$millions",10^6,IF($D13="$000",10^3,1))
*'Input| Prices'!P$39</f>
        <v>0</v>
      </c>
      <c r="L13" s="354">
        <f>IFERROR(SUM(G13:K13),"")</f>
        <v>0.51558407079646007</v>
      </c>
      <c r="M13" s="410"/>
    </row>
    <row r="14" spans="1:13" ht="13" x14ac:dyDescent="0.25">
      <c r="A14" s="410"/>
      <c r="B14" s="413"/>
      <c r="C14" s="410"/>
      <c r="D14" s="221" t="s">
        <v>31</v>
      </c>
      <c r="E14" s="222">
        <f>Basis_Ptrm</f>
        <v>44348</v>
      </c>
      <c r="F14" s="410"/>
      <c r="G14" s="353"/>
      <c r="H14" s="353"/>
      <c r="I14" s="353"/>
      <c r="J14" s="353"/>
      <c r="K14" s="353"/>
      <c r="L14" s="354"/>
      <c r="M14" s="414"/>
    </row>
    <row r="15" spans="1:13" ht="13" x14ac:dyDescent="0.3">
      <c r="A15" s="410"/>
      <c r="B15" s="410"/>
      <c r="C15" s="69" t="s">
        <v>17</v>
      </c>
      <c r="D15" s="221" t="s">
        <v>31</v>
      </c>
      <c r="E15" s="222">
        <f>Basis_Ptrm</f>
        <v>44348</v>
      </c>
      <c r="F15" s="69"/>
      <c r="G15" s="78">
        <f t="shared" ref="G15:L15" si="1">IFERROR(SUM(G11:G14),"")</f>
        <v>5.9266397943993168</v>
      </c>
      <c r="H15" s="78">
        <f t="shared" si="1"/>
        <v>5.797767566709001</v>
      </c>
      <c r="I15" s="78">
        <f t="shared" si="1"/>
        <v>6.0774512801535101</v>
      </c>
      <c r="J15" s="78">
        <f t="shared" si="1"/>
        <v>5.8476010378155117</v>
      </c>
      <c r="K15" s="82">
        <f t="shared" si="1"/>
        <v>5.8297425887396059</v>
      </c>
      <c r="L15" s="84">
        <f t="shared" si="1"/>
        <v>29.479202267816945</v>
      </c>
      <c r="M15" s="410"/>
    </row>
    <row r="16" spans="1:13" x14ac:dyDescent="0.25">
      <c r="A16" s="70"/>
      <c r="B16" s="70"/>
      <c r="C16" s="70"/>
      <c r="D16" s="70"/>
      <c r="E16" s="70"/>
      <c r="F16" s="70"/>
      <c r="G16" s="416"/>
      <c r="H16" s="416"/>
      <c r="I16" s="416"/>
      <c r="J16" s="416"/>
      <c r="K16" s="416"/>
      <c r="L16" s="415"/>
      <c r="M16" s="410"/>
    </row>
    <row r="17" spans="1:13" ht="13" x14ac:dyDescent="0.3">
      <c r="A17" s="70"/>
      <c r="B17" s="69" t="s">
        <v>335</v>
      </c>
      <c r="C17" s="70"/>
      <c r="D17" s="70"/>
      <c r="E17" s="70"/>
      <c r="F17" s="70"/>
      <c r="G17" s="416"/>
      <c r="H17" s="416"/>
      <c r="I17" s="416"/>
      <c r="J17" s="416"/>
      <c r="K17" s="416"/>
      <c r="L17" s="415"/>
      <c r="M17" s="410"/>
    </row>
    <row r="18" spans="1:13" ht="13" x14ac:dyDescent="0.25">
      <c r="A18" s="70"/>
      <c r="B18" s="410"/>
      <c r="C18" s="410"/>
      <c r="D18" s="121" t="s">
        <v>6</v>
      </c>
      <c r="E18" s="121" t="s">
        <v>217</v>
      </c>
      <c r="F18" s="410"/>
      <c r="G18" s="122" t="str">
        <f>FPFirstYear</f>
        <v>2020-21</v>
      </c>
      <c r="H18" s="122" t="str">
        <f>(LEFT(G18,4)+1&amp;IF(MID(G18,5,1)="","","-"&amp;TEXT(MOD(MID(G18,6,2)+1,100),"00")))</f>
        <v>2021-22</v>
      </c>
      <c r="I18" s="122" t="str">
        <f t="shared" ref="I18" si="2">(LEFT(H18,4)+1&amp;IF(MID(H18,5,1)="","","-"&amp;TEXT(MOD(MID(H18,6,2)+1,100),"00")))</f>
        <v>2022-23</v>
      </c>
      <c r="J18" s="122" t="str">
        <f t="shared" ref="J18" si="3">(LEFT(I18,4)+1&amp;IF(MID(I18,5,1)="","","-"&amp;TEXT(MOD(MID(I18,6,2)+1,100),"00")))</f>
        <v>2023-24</v>
      </c>
      <c r="K18" s="122" t="str">
        <f t="shared" ref="K18" si="4">(LEFT(J18,4)+1&amp;IF(MID(J18,5,1)="","","-"&amp;TEXT(MOD(MID(J18,6,2)+1,100),"00")))</f>
        <v>2024-25</v>
      </c>
      <c r="L18" s="409" t="s">
        <v>17</v>
      </c>
      <c r="M18" s="410"/>
    </row>
    <row r="19" spans="1:13" ht="13" x14ac:dyDescent="0.25">
      <c r="A19" s="70"/>
      <c r="B19" s="413"/>
      <c r="C19" s="410" t="s">
        <v>199</v>
      </c>
      <c r="D19" s="221" t="s">
        <v>31</v>
      </c>
      <c r="E19" s="222">
        <f>Basis_Ptrm</f>
        <v>44348</v>
      </c>
      <c r="F19" s="410"/>
      <c r="G19" s="353">
        <f>'Input | Meters Vols &amp; Costs'!Q62*
IF('Input | Meters Vols &amp; Costs'!$L$62="$millions",10^6,IF('Input | Meters Vols &amp; Costs'!$L$62="$000",10^3,1))/IF($D19="$millions",10^6,IF($D19="$000",10^3,1))*
'Input| Prices'!L$39</f>
        <v>1.0311681415929204E-2</v>
      </c>
      <c r="H19" s="353">
        <f>'Input | Meters Vols &amp; Costs'!R62*
IF('Input | Meters Vols &amp; Costs'!$L$62="$millions",10^6,IF('Input | Meters Vols &amp; Costs'!$L$62="$000",10^3,1))/IF($D19="$millions",10^6,IF($D19="$000",10^3,1))*
'Input| Prices'!M$39</f>
        <v>1.0311681415929204E-2</v>
      </c>
      <c r="I19" s="353">
        <f>'Input | Meters Vols &amp; Costs'!S62*
IF('Input | Meters Vols &amp; Costs'!$L$62="$millions",10^6,IF('Input | Meters Vols &amp; Costs'!$L$62="$000",10^3,1))/IF($D19="$millions",10^6,IF($D19="$000",10^3,1))*
'Input| Prices'!N$39</f>
        <v>1.0311681415929204E-2</v>
      </c>
      <c r="J19" s="353">
        <f>'Input | Meters Vols &amp; Costs'!T62*
IF('Input | Meters Vols &amp; Costs'!$L$62="$millions",10^6,IF('Input | Meters Vols &amp; Costs'!$L$62="$000",10^3,1))/IF($D19="$millions",10^6,IF($D19="$000",10^3,1))*
'Input| Prices'!O$39</f>
        <v>1.0311681415929204E-2</v>
      </c>
      <c r="K19" s="353">
        <f>'Input | Meters Vols &amp; Costs'!U62*
IF('Input | Meters Vols &amp; Costs'!$L$62="$millions",10^6,IF('Input | Meters Vols &amp; Costs'!$L$62="$000",10^3,1))/IF($D19="$millions",10^6,IF($D19="$000",10^3,1))*
'Input| Prices'!P$39</f>
        <v>1.0311681415929204E-2</v>
      </c>
      <c r="L19" s="354">
        <f>IFERROR(SUM(G19:K19),"")</f>
        <v>5.1558407079646019E-2</v>
      </c>
      <c r="M19" s="410"/>
    </row>
    <row r="20" spans="1:13" ht="13" x14ac:dyDescent="0.25">
      <c r="A20" s="70"/>
      <c r="B20" s="413"/>
      <c r="C20" s="410" t="s">
        <v>10</v>
      </c>
      <c r="D20" s="221" t="s">
        <v>31</v>
      </c>
      <c r="E20" s="222">
        <f>Basis_Ptrm</f>
        <v>44348</v>
      </c>
      <c r="F20" s="410"/>
      <c r="G20" s="536"/>
      <c r="H20" s="536"/>
      <c r="I20" s="536"/>
      <c r="J20" s="536"/>
      <c r="K20" s="536"/>
      <c r="L20" s="537"/>
      <c r="M20" s="410"/>
    </row>
    <row r="21" spans="1:13" ht="13" x14ac:dyDescent="0.25">
      <c r="A21" s="70"/>
      <c r="B21" s="413"/>
      <c r="C21" s="410" t="s">
        <v>189</v>
      </c>
      <c r="D21" s="221" t="s">
        <v>31</v>
      </c>
      <c r="E21" s="222">
        <f>Basis_Ptrm</f>
        <v>44348</v>
      </c>
      <c r="F21" s="410"/>
      <c r="G21" s="536"/>
      <c r="H21" s="536"/>
      <c r="I21" s="536"/>
      <c r="J21" s="536"/>
      <c r="K21" s="536"/>
      <c r="L21" s="537"/>
      <c r="M21" s="410"/>
    </row>
    <row r="22" spans="1:13" ht="13" x14ac:dyDescent="0.25">
      <c r="A22" s="70"/>
      <c r="B22" s="413"/>
      <c r="C22" s="410"/>
      <c r="D22" s="221" t="s">
        <v>31</v>
      </c>
      <c r="E22" s="222">
        <f>Basis_Ptrm</f>
        <v>44348</v>
      </c>
      <c r="F22" s="410"/>
      <c r="G22" s="536"/>
      <c r="H22" s="536"/>
      <c r="I22" s="536"/>
      <c r="J22" s="536"/>
      <c r="K22" s="538"/>
      <c r="L22" s="537"/>
      <c r="M22" s="410"/>
    </row>
    <row r="23" spans="1:13" ht="13" x14ac:dyDescent="0.3">
      <c r="A23" s="70"/>
      <c r="B23" s="410"/>
      <c r="C23" s="69" t="s">
        <v>17</v>
      </c>
      <c r="D23" s="221" t="s">
        <v>31</v>
      </c>
      <c r="E23" s="222">
        <f>Basis_Ptrm</f>
        <v>44348</v>
      </c>
      <c r="F23" s="69"/>
      <c r="G23" s="78">
        <f t="shared" ref="G23:L23" si="5">IFERROR(SUM(G19:G22),"")</f>
        <v>1.0311681415929204E-2</v>
      </c>
      <c r="H23" s="78">
        <f t="shared" si="5"/>
        <v>1.0311681415929204E-2</v>
      </c>
      <c r="I23" s="78">
        <f t="shared" si="5"/>
        <v>1.0311681415929204E-2</v>
      </c>
      <c r="J23" s="78">
        <f t="shared" si="5"/>
        <v>1.0311681415929204E-2</v>
      </c>
      <c r="K23" s="82">
        <f t="shared" si="5"/>
        <v>1.0311681415929204E-2</v>
      </c>
      <c r="L23" s="84">
        <f t="shared" si="5"/>
        <v>5.1558407079646019E-2</v>
      </c>
      <c r="M23" s="410"/>
    </row>
    <row r="24" spans="1:13" x14ac:dyDescent="0.25">
      <c r="A24" s="70"/>
      <c r="B24" s="70"/>
      <c r="C24" s="70"/>
      <c r="D24" s="70"/>
      <c r="E24" s="70"/>
      <c r="F24" s="70"/>
      <c r="G24" s="416"/>
      <c r="H24" s="416"/>
      <c r="I24" s="416"/>
      <c r="J24" s="416"/>
      <c r="K24" s="416"/>
      <c r="L24" s="415"/>
      <c r="M24" s="410"/>
    </row>
    <row r="25" spans="1:13" ht="13" x14ac:dyDescent="0.3">
      <c r="A25" s="70"/>
      <c r="B25" s="69" t="s">
        <v>336</v>
      </c>
      <c r="C25" s="70"/>
      <c r="D25" s="70"/>
      <c r="E25" s="70"/>
      <c r="F25" s="70"/>
      <c r="G25" s="416"/>
      <c r="H25" s="416"/>
      <c r="I25" s="416"/>
      <c r="J25" s="416"/>
      <c r="K25" s="416"/>
      <c r="L25" s="415"/>
      <c r="M25" s="410"/>
    </row>
    <row r="26" spans="1:13" ht="13" x14ac:dyDescent="0.25">
      <c r="A26" s="70"/>
      <c r="B26" s="410"/>
      <c r="C26" s="410"/>
      <c r="D26" s="121" t="s">
        <v>6</v>
      </c>
      <c r="E26" s="121" t="s">
        <v>217</v>
      </c>
      <c r="F26" s="410"/>
      <c r="G26" s="122" t="str">
        <f>FPFirstYear</f>
        <v>2020-21</v>
      </c>
      <c r="H26" s="122" t="str">
        <f>(LEFT(G26,4)+1&amp;IF(MID(G26,5,1)="","","-"&amp;TEXT(MOD(MID(G26,6,2)+1,100),"00")))</f>
        <v>2021-22</v>
      </c>
      <c r="I26" s="122" t="str">
        <f t="shared" ref="I26" si="6">(LEFT(H26,4)+1&amp;IF(MID(H26,5,1)="","","-"&amp;TEXT(MOD(MID(H26,6,2)+1,100),"00")))</f>
        <v>2022-23</v>
      </c>
      <c r="J26" s="122" t="str">
        <f t="shared" ref="J26" si="7">(LEFT(I26,4)+1&amp;IF(MID(I26,5,1)="","","-"&amp;TEXT(MOD(MID(I26,6,2)+1,100),"00")))</f>
        <v>2023-24</v>
      </c>
      <c r="K26" s="122" t="str">
        <f t="shared" ref="K26" si="8">(LEFT(J26,4)+1&amp;IF(MID(J26,5,1)="","","-"&amp;TEXT(MOD(MID(J26,6,2)+1,100),"00")))</f>
        <v>2024-25</v>
      </c>
      <c r="L26" s="409" t="s">
        <v>17</v>
      </c>
      <c r="M26" s="410"/>
    </row>
    <row r="27" spans="1:13" ht="13" x14ac:dyDescent="0.25">
      <c r="A27" s="70"/>
      <c r="B27" s="413"/>
      <c r="C27" s="410" t="s">
        <v>199</v>
      </c>
      <c r="D27" s="221" t="s">
        <v>31</v>
      </c>
      <c r="E27" s="222">
        <f>Basis_Ptrm</f>
        <v>44348</v>
      </c>
      <c r="F27" s="410"/>
      <c r="G27" s="353">
        <f>'Input | Meters Vols &amp; Costs'!Q68*
IF('Input | Meters Vols &amp; Costs'!$L$68="$millions",10^6,IF('Input | Meters Vols &amp; Costs'!$L$68="$000",10^3,1))/IF($D27="$millions",10^6,IF($D27="$000",10^3,1))*
'Input| Prices'!L$39</f>
        <v>0</v>
      </c>
      <c r="H27" s="353">
        <f>'Input | Meters Vols &amp; Costs'!R68*
IF('Input | Meters Vols &amp; Costs'!$L$68="$millions",10^6,IF('Input | Meters Vols &amp; Costs'!$L$68="$000",10^3,1))/IF($D27="$millions",10^6,IF($D27="$000",10^3,1))*
'Input| Prices'!M$39</f>
        <v>0</v>
      </c>
      <c r="I27" s="353">
        <f>'Input | Meters Vols &amp; Costs'!S68*
IF('Input | Meters Vols &amp; Costs'!$L$68="$millions",10^6,IF('Input | Meters Vols &amp; Costs'!$L$68="$000",10^3,1))/IF($D27="$millions",10^6,IF($D27="$000",10^3,1))*
'Input| Prices'!N$39</f>
        <v>0</v>
      </c>
      <c r="J27" s="353">
        <f>'Input | Meters Vols &amp; Costs'!T68*
IF('Input | Meters Vols &amp; Costs'!$L$68="$millions",10^6,IF('Input | Meters Vols &amp; Costs'!$L$68="$000",10^3,1))/IF($D27="$millions",10^6,IF($D27="$000",10^3,1))*
'Input| Prices'!O$39</f>
        <v>0</v>
      </c>
      <c r="K27" s="353">
        <f>'Input | Meters Vols &amp; Costs'!U68*
IF('Input | Meters Vols &amp; Costs'!$L$68="$millions",10^6,IF('Input | Meters Vols &amp; Costs'!$L$68="$000",10^3,1))/IF($D27="$millions",10^6,IF($D27="$000",10^3,1))*
'Input| Prices'!P$39</f>
        <v>0</v>
      </c>
      <c r="L27" s="354">
        <f>IFERROR(SUM(G27:K27),"")</f>
        <v>0</v>
      </c>
      <c r="M27" s="410"/>
    </row>
    <row r="28" spans="1:13" ht="13" x14ac:dyDescent="0.25">
      <c r="A28" s="70"/>
      <c r="B28" s="413"/>
      <c r="C28" s="410" t="s">
        <v>10</v>
      </c>
      <c r="D28" s="221" t="s">
        <v>31</v>
      </c>
      <c r="E28" s="222">
        <f>Basis_Ptrm</f>
        <v>44348</v>
      </c>
      <c r="F28" s="410"/>
      <c r="G28" s="536"/>
      <c r="H28" s="536"/>
      <c r="I28" s="536"/>
      <c r="J28" s="536"/>
      <c r="K28" s="536"/>
      <c r="L28" s="537"/>
      <c r="M28" s="410"/>
    </row>
    <row r="29" spans="1:13" ht="13" x14ac:dyDescent="0.25">
      <c r="A29" s="70"/>
      <c r="B29" s="413"/>
      <c r="C29" s="410" t="s">
        <v>189</v>
      </c>
      <c r="D29" s="221" t="s">
        <v>31</v>
      </c>
      <c r="E29" s="222">
        <f>Basis_Ptrm</f>
        <v>44348</v>
      </c>
      <c r="F29" s="410"/>
      <c r="G29" s="536"/>
      <c r="H29" s="536"/>
      <c r="I29" s="536"/>
      <c r="J29" s="536"/>
      <c r="K29" s="536"/>
      <c r="L29" s="537"/>
      <c r="M29" s="410"/>
    </row>
    <row r="30" spans="1:13" ht="13" x14ac:dyDescent="0.25">
      <c r="A30" s="70"/>
      <c r="B30" s="413"/>
      <c r="C30" s="410"/>
      <c r="D30" s="221" t="s">
        <v>31</v>
      </c>
      <c r="E30" s="222">
        <f>Basis_Ptrm</f>
        <v>44348</v>
      </c>
      <c r="F30" s="410"/>
      <c r="G30" s="536"/>
      <c r="H30" s="536"/>
      <c r="I30" s="536"/>
      <c r="J30" s="536"/>
      <c r="K30" s="538"/>
      <c r="L30" s="537"/>
      <c r="M30" s="410"/>
    </row>
    <row r="31" spans="1:13" ht="13" x14ac:dyDescent="0.3">
      <c r="A31" s="70"/>
      <c r="B31" s="410"/>
      <c r="C31" s="69" t="s">
        <v>17</v>
      </c>
      <c r="D31" s="221" t="s">
        <v>31</v>
      </c>
      <c r="E31" s="222">
        <f>Basis_Ptrm</f>
        <v>44348</v>
      </c>
      <c r="F31" s="69"/>
      <c r="G31" s="78">
        <f t="shared" ref="G31:L31" si="9">IFERROR(SUM(G27:G30),"")</f>
        <v>0</v>
      </c>
      <c r="H31" s="78">
        <f t="shared" si="9"/>
        <v>0</v>
      </c>
      <c r="I31" s="78">
        <f t="shared" si="9"/>
        <v>0</v>
      </c>
      <c r="J31" s="78">
        <f t="shared" si="9"/>
        <v>0</v>
      </c>
      <c r="K31" s="82">
        <f t="shared" si="9"/>
        <v>0</v>
      </c>
      <c r="L31" s="84">
        <f t="shared" si="9"/>
        <v>0</v>
      </c>
      <c r="M31" s="410"/>
    </row>
    <row r="32" spans="1:13" x14ac:dyDescent="0.25">
      <c r="A32" s="70"/>
      <c r="B32" s="70"/>
      <c r="C32" s="70"/>
      <c r="D32" s="70"/>
      <c r="E32" s="70"/>
      <c r="F32" s="70"/>
      <c r="G32" s="416"/>
      <c r="H32" s="416"/>
      <c r="I32" s="416"/>
      <c r="J32" s="416"/>
      <c r="K32" s="416"/>
      <c r="L32" s="415"/>
      <c r="M32" s="410"/>
    </row>
    <row r="33" spans="1:13" ht="13" x14ac:dyDescent="0.3">
      <c r="A33" s="70"/>
      <c r="B33" s="69" t="s">
        <v>345</v>
      </c>
      <c r="C33" s="70"/>
      <c r="D33" s="70"/>
      <c r="E33" s="70"/>
      <c r="F33" s="70"/>
      <c r="G33" s="416"/>
      <c r="H33" s="416"/>
      <c r="I33" s="416"/>
      <c r="J33" s="416"/>
      <c r="K33" s="416"/>
      <c r="L33" s="415"/>
      <c r="M33" s="410"/>
    </row>
    <row r="34" spans="1:13" ht="13" x14ac:dyDescent="0.25">
      <c r="A34" s="70"/>
      <c r="B34" s="410"/>
      <c r="C34" s="410"/>
      <c r="D34" s="121" t="s">
        <v>6</v>
      </c>
      <c r="E34" s="121" t="s">
        <v>217</v>
      </c>
      <c r="F34" s="410"/>
      <c r="G34" s="122" t="str">
        <f>FPFirstYear</f>
        <v>2020-21</v>
      </c>
      <c r="H34" s="122" t="str">
        <f>(LEFT(G34,4)+1&amp;IF(MID(G34,5,1)="","","-"&amp;TEXT(MOD(MID(G34,6,2)+1,100),"00")))</f>
        <v>2021-22</v>
      </c>
      <c r="I34" s="122" t="str">
        <f t="shared" ref="I34" si="10">(LEFT(H34,4)+1&amp;IF(MID(H34,5,1)="","","-"&amp;TEXT(MOD(MID(H34,6,2)+1,100),"00")))</f>
        <v>2022-23</v>
      </c>
      <c r="J34" s="122" t="str">
        <f t="shared" ref="J34" si="11">(LEFT(I34,4)+1&amp;IF(MID(I34,5,1)="","","-"&amp;TEXT(MOD(MID(I34,6,2)+1,100),"00")))</f>
        <v>2023-24</v>
      </c>
      <c r="K34" s="122" t="str">
        <f t="shared" ref="K34" si="12">(LEFT(J34,4)+1&amp;IF(MID(J34,5,1)="","","-"&amp;TEXT(MOD(MID(J34,6,2)+1,100),"00")))</f>
        <v>2024-25</v>
      </c>
      <c r="L34" s="409" t="s">
        <v>17</v>
      </c>
      <c r="M34" s="410"/>
    </row>
    <row r="35" spans="1:13" ht="13" x14ac:dyDescent="0.25">
      <c r="A35" s="70"/>
      <c r="B35" s="413"/>
      <c r="C35" s="410" t="s">
        <v>199</v>
      </c>
      <c r="D35" s="221" t="s">
        <v>31</v>
      </c>
      <c r="E35" s="222">
        <f>Basis_Ptrm</f>
        <v>44348</v>
      </c>
      <c r="F35" s="410"/>
      <c r="G35" s="353">
        <f>G11-SUM(G19,G27)</f>
        <v>5.3186215432867492</v>
      </c>
      <c r="H35" s="353">
        <f t="shared" ref="H35:K35" si="13">H11-SUM(H19,H27)</f>
        <v>5.3364643312495312</v>
      </c>
      <c r="I35" s="353">
        <f t="shared" si="13"/>
        <v>5.2988373966303239</v>
      </c>
      <c r="J35" s="353">
        <f t="shared" si="13"/>
        <v>5.3188189841047144</v>
      </c>
      <c r="K35" s="353">
        <f t="shared" si="13"/>
        <v>5.3449398562677475</v>
      </c>
      <c r="L35" s="354">
        <f>IFERROR(SUM(G35:K35),"")</f>
        <v>26.617682111539064</v>
      </c>
      <c r="M35" s="410"/>
    </row>
    <row r="36" spans="1:13" ht="13" x14ac:dyDescent="0.25">
      <c r="A36" s="70"/>
      <c r="B36" s="413"/>
      <c r="C36" s="410" t="s">
        <v>10</v>
      </c>
      <c r="D36" s="221" t="s">
        <v>31</v>
      </c>
      <c r="E36" s="222">
        <f>Basis_Ptrm</f>
        <v>44348</v>
      </c>
      <c r="F36" s="410"/>
      <c r="G36" s="353">
        <f t="shared" ref="G36:K38" si="14">G12-SUM(G20,G28)</f>
        <v>0.44303134845769909</v>
      </c>
      <c r="H36" s="353">
        <f t="shared" si="14"/>
        <v>0.4509915540435398</v>
      </c>
      <c r="I36" s="353">
        <f t="shared" si="14"/>
        <v>0.45895175962938056</v>
      </c>
      <c r="J36" s="353">
        <f t="shared" si="14"/>
        <v>0.46691196521522121</v>
      </c>
      <c r="K36" s="353">
        <f t="shared" si="14"/>
        <v>0.4744910510559292</v>
      </c>
      <c r="L36" s="354">
        <f>IFERROR(SUM(G36:K36),"")</f>
        <v>2.2943776784017698</v>
      </c>
      <c r="M36" s="410"/>
    </row>
    <row r="37" spans="1:13" ht="13" x14ac:dyDescent="0.25">
      <c r="A37" s="70"/>
      <c r="B37" s="413"/>
      <c r="C37" s="410" t="s">
        <v>189</v>
      </c>
      <c r="D37" s="221" t="s">
        <v>31</v>
      </c>
      <c r="E37" s="222">
        <f>Basis_Ptrm</f>
        <v>44348</v>
      </c>
      <c r="F37" s="410"/>
      <c r="G37" s="353">
        <f t="shared" si="14"/>
        <v>0.15467522123893804</v>
      </c>
      <c r="H37" s="353">
        <f t="shared" si="14"/>
        <v>0</v>
      </c>
      <c r="I37" s="353">
        <f t="shared" si="14"/>
        <v>0.30935044247787608</v>
      </c>
      <c r="J37" s="353">
        <f t="shared" si="14"/>
        <v>5.1558407079646019E-2</v>
      </c>
      <c r="K37" s="353">
        <f t="shared" si="14"/>
        <v>0</v>
      </c>
      <c r="L37" s="354">
        <f>IFERROR(SUM(G37:K37),"")</f>
        <v>0.51558407079646007</v>
      </c>
      <c r="M37" s="410"/>
    </row>
    <row r="38" spans="1:13" ht="13" x14ac:dyDescent="0.25">
      <c r="A38" s="70"/>
      <c r="B38" s="413"/>
      <c r="C38" s="410"/>
      <c r="D38" s="221" t="s">
        <v>31</v>
      </c>
      <c r="E38" s="222">
        <f>Basis_Ptrm</f>
        <v>44348</v>
      </c>
      <c r="F38" s="410"/>
      <c r="G38" s="353">
        <f t="shared" si="14"/>
        <v>0</v>
      </c>
      <c r="H38" s="353">
        <f t="shared" si="14"/>
        <v>0</v>
      </c>
      <c r="I38" s="353">
        <f t="shared" si="14"/>
        <v>0</v>
      </c>
      <c r="J38" s="353">
        <f t="shared" si="14"/>
        <v>0</v>
      </c>
      <c r="K38" s="353">
        <f t="shared" si="14"/>
        <v>0</v>
      </c>
      <c r="L38" s="354"/>
      <c r="M38" s="410"/>
    </row>
    <row r="39" spans="1:13" ht="13" x14ac:dyDescent="0.3">
      <c r="A39" s="70"/>
      <c r="B39" s="410"/>
      <c r="C39" s="69" t="s">
        <v>17</v>
      </c>
      <c r="D39" s="221" t="s">
        <v>31</v>
      </c>
      <c r="E39" s="222">
        <f>Basis_Ptrm</f>
        <v>44348</v>
      </c>
      <c r="F39" s="69"/>
      <c r="G39" s="78">
        <f t="shared" ref="G39:L39" si="15">IFERROR(SUM(G35:G38),"")</f>
        <v>5.9163281129833871</v>
      </c>
      <c r="H39" s="78">
        <f t="shared" si="15"/>
        <v>5.7874558852930713</v>
      </c>
      <c r="I39" s="78">
        <f t="shared" si="15"/>
        <v>6.0671395987375805</v>
      </c>
      <c r="J39" s="78">
        <f t="shared" si="15"/>
        <v>5.837289356399582</v>
      </c>
      <c r="K39" s="82">
        <f t="shared" si="15"/>
        <v>5.8194309073236763</v>
      </c>
      <c r="L39" s="84">
        <f t="shared" si="15"/>
        <v>29.427643860737295</v>
      </c>
      <c r="M39" s="410"/>
    </row>
    <row r="40" spans="1:13" x14ac:dyDescent="0.25">
      <c r="A40" s="70"/>
      <c r="B40" s="70"/>
      <c r="C40" s="70"/>
      <c r="D40" s="70"/>
      <c r="E40" s="70"/>
      <c r="F40" s="70"/>
      <c r="G40" s="416"/>
      <c r="H40" s="416"/>
      <c r="I40" s="416"/>
      <c r="J40" s="416"/>
      <c r="K40" s="416"/>
      <c r="L40" s="415"/>
      <c r="M40" s="410"/>
    </row>
    <row r="41" spans="1:13" x14ac:dyDescent="0.25">
      <c r="A41" s="70"/>
      <c r="B41" s="70"/>
      <c r="C41" s="70"/>
      <c r="D41" s="70"/>
      <c r="E41" s="70"/>
      <c r="F41" s="70"/>
      <c r="G41" s="416"/>
      <c r="H41" s="416"/>
      <c r="I41" s="416"/>
      <c r="J41" s="416"/>
      <c r="K41" s="416"/>
      <c r="L41" s="415"/>
      <c r="M41" s="410"/>
    </row>
    <row r="42" spans="1:13" ht="13" x14ac:dyDescent="0.3">
      <c r="A42" s="70"/>
      <c r="B42" s="77" t="s">
        <v>423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410"/>
    </row>
    <row r="43" spans="1:13" ht="13" x14ac:dyDescent="0.25">
      <c r="A43" s="70"/>
      <c r="B43" s="71"/>
      <c r="C43" s="72"/>
      <c r="D43" s="72"/>
      <c r="E43" s="72"/>
      <c r="F43" s="72"/>
      <c r="G43" s="417"/>
      <c r="H43" s="417"/>
      <c r="I43" s="417"/>
      <c r="J43" s="417"/>
      <c r="K43" s="417"/>
      <c r="L43" s="417"/>
      <c r="M43" s="410"/>
    </row>
    <row r="44" spans="1:13" x14ac:dyDescent="0.25">
      <c r="A44" s="70"/>
      <c r="B44" s="71"/>
      <c r="M44" s="70"/>
    </row>
    <row r="45" spans="1:13" ht="13" x14ac:dyDescent="0.25">
      <c r="A45" s="70"/>
      <c r="B45" s="71"/>
      <c r="C45" s="72"/>
      <c r="D45" s="72"/>
      <c r="E45" s="72"/>
      <c r="F45" s="72"/>
      <c r="G45" s="417"/>
      <c r="H45" s="417"/>
      <c r="I45" s="417"/>
      <c r="J45" s="417"/>
      <c r="K45" s="417"/>
      <c r="L45" s="417"/>
      <c r="M45" s="70"/>
    </row>
    <row r="46" spans="1:13" ht="13" x14ac:dyDescent="0.25">
      <c r="A46" s="70"/>
      <c r="B46" s="71"/>
      <c r="C46" s="410"/>
      <c r="D46" s="121" t="s">
        <v>6</v>
      </c>
      <c r="E46" s="121" t="s">
        <v>118</v>
      </c>
      <c r="F46" s="410"/>
      <c r="G46" s="122" t="str">
        <f>G$10</f>
        <v>2020-21</v>
      </c>
      <c r="H46" s="122" t="str">
        <f t="shared" ref="H46:K46" si="16">H$10</f>
        <v>2021-22</v>
      </c>
      <c r="I46" s="122" t="str">
        <f t="shared" si="16"/>
        <v>2022-23</v>
      </c>
      <c r="J46" s="122" t="str">
        <f t="shared" si="16"/>
        <v>2023-24</v>
      </c>
      <c r="K46" s="122" t="str">
        <f t="shared" si="16"/>
        <v>2024-25</v>
      </c>
      <c r="L46" s="409" t="str">
        <f t="shared" ref="L46" si="17">L10</f>
        <v>Total</v>
      </c>
      <c r="M46" s="70"/>
    </row>
    <row r="47" spans="1:13" ht="13" x14ac:dyDescent="0.25">
      <c r="A47" s="70"/>
      <c r="B47" s="71"/>
      <c r="C47" s="410" t="s">
        <v>197</v>
      </c>
      <c r="D47" s="221" t="s">
        <v>31</v>
      </c>
      <c r="E47" s="222">
        <f>Basis_Ptrm</f>
        <v>44348</v>
      </c>
      <c r="F47" s="410"/>
      <c r="G47" s="73">
        <f>'Calc | Opex'!R53*'Input| Prices'!L38</f>
        <v>12.430188249970922</v>
      </c>
      <c r="H47" s="73">
        <f>'Calc | Opex'!S53*'Input| Prices'!M38</f>
        <v>11.90362593684061</v>
      </c>
      <c r="I47" s="73">
        <f>'Calc | Opex'!T53*'Input| Prices'!N38</f>
        <v>11.304470840966555</v>
      </c>
      <c r="J47" s="73">
        <f>'Calc | Opex'!U53*'Input| Prices'!O38</f>
        <v>10.744382830847297</v>
      </c>
      <c r="K47" s="73">
        <f>'Calc | Opex'!V53*'Input| Prices'!P38</f>
        <v>10.226002382979992</v>
      </c>
      <c r="L47" s="83">
        <f>IFERROR(SUM(G47:K47),"")</f>
        <v>56.608670241605374</v>
      </c>
      <c r="M47" s="70"/>
    </row>
    <row r="48" spans="1:13" ht="13" x14ac:dyDescent="0.25">
      <c r="A48" s="70"/>
      <c r="B48" s="71"/>
      <c r="C48" s="72"/>
      <c r="D48" s="72"/>
      <c r="E48" s="72"/>
      <c r="F48" s="72"/>
      <c r="G48" s="417"/>
      <c r="H48" s="417"/>
      <c r="I48" s="417"/>
      <c r="J48" s="417"/>
      <c r="K48" s="417"/>
      <c r="L48" s="417"/>
      <c r="M48" s="70"/>
    </row>
    <row r="49" spans="1:13" x14ac:dyDescent="0.25">
      <c r="A49" s="410"/>
      <c r="B49" s="410"/>
      <c r="C49" s="410"/>
      <c r="D49" s="410"/>
      <c r="E49" s="201"/>
      <c r="F49" s="410"/>
      <c r="G49" s="410"/>
      <c r="H49" s="410"/>
      <c r="I49" s="410"/>
      <c r="J49" s="410"/>
      <c r="K49" s="410"/>
      <c r="L49" s="410"/>
      <c r="M49" s="410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959B6-8580-46DB-8B09-12C3E7FA9FC6}">
  <sheetPr codeName="Sheet21">
    <tabColor theme="9" tint="0.39997558519241921"/>
  </sheetPr>
  <dimension ref="A1:M41"/>
  <sheetViews>
    <sheetView showGridLines="0" topLeftCell="E16" zoomScale="115" zoomScaleNormal="115" workbookViewId="0">
      <selection activeCell="G11" sqref="G11"/>
    </sheetView>
  </sheetViews>
  <sheetFormatPr defaultColWidth="9.1796875" defaultRowHeight="12.5" x14ac:dyDescent="0.25"/>
  <cols>
    <col min="1" max="2" width="9.1796875" customWidth="1"/>
    <col min="3" max="3" width="28.1796875" bestFit="1" customWidth="1"/>
    <col min="4" max="6" width="17.453125" customWidth="1"/>
    <col min="7" max="12" width="16.1796875" customWidth="1"/>
    <col min="13" max="13" width="9.1796875" customWidth="1"/>
  </cols>
  <sheetData>
    <row r="1" spans="1:13" ht="18" x14ac:dyDescent="0.25">
      <c r="A1" s="67"/>
      <c r="B1" s="67" t="str">
        <f>'Input|General'!B1&amp;" v"&amp;'Input|General'!$D$2</f>
        <v>AER Metering Opex &amp; Capex Forecasting Model DRAFT v1</v>
      </c>
      <c r="C1" s="67"/>
      <c r="D1" s="67"/>
      <c r="E1" s="67"/>
      <c r="F1" s="67"/>
      <c r="G1" s="3"/>
      <c r="H1" s="3"/>
      <c r="I1" s="3"/>
      <c r="J1" s="3"/>
      <c r="K1" s="3"/>
      <c r="L1" s="3"/>
      <c r="M1" s="3"/>
    </row>
    <row r="2" spans="1:13" ht="18" x14ac:dyDescent="0.25">
      <c r="A2" s="55"/>
      <c r="B2" s="68" t="str" cm="1">
        <f t="array" aca="1" ref="B2" ca="1">MID(CELL("filename",A1),FIND("]",CELL("filename",A1))+1,255)</f>
        <v>Output | RFM</v>
      </c>
      <c r="C2" s="55"/>
      <c r="D2" s="55"/>
      <c r="E2" s="55"/>
      <c r="F2" s="55"/>
      <c r="G2" s="68"/>
      <c r="H2" s="68"/>
      <c r="I2" s="68"/>
      <c r="J2" s="68"/>
      <c r="K2" s="68"/>
      <c r="L2" s="68"/>
      <c r="M2" s="68"/>
    </row>
    <row r="3" spans="1:13" ht="18" x14ac:dyDescent="0.25">
      <c r="A3" s="55"/>
      <c r="B3" s="68"/>
      <c r="C3" s="55"/>
      <c r="D3" s="55"/>
      <c r="E3" s="55"/>
      <c r="F3" s="68"/>
      <c r="G3" s="68"/>
      <c r="H3" s="68"/>
      <c r="I3" s="68"/>
      <c r="J3" s="68"/>
      <c r="K3" s="68"/>
      <c r="L3" s="68"/>
      <c r="M3" s="68"/>
    </row>
    <row r="4" spans="1:13" x14ac:dyDescent="0.25">
      <c r="A4" s="7"/>
      <c r="B4" s="7"/>
      <c r="C4" s="7"/>
      <c r="D4" s="7"/>
      <c r="E4" s="7"/>
      <c r="F4" s="7"/>
      <c r="G4" s="6"/>
      <c r="H4" s="6"/>
      <c r="I4" s="6"/>
      <c r="J4" s="6"/>
      <c r="K4" s="6"/>
      <c r="L4" s="6"/>
      <c r="M4" s="7"/>
    </row>
    <row r="5" spans="1:13" x14ac:dyDescent="0.25">
      <c r="A5" s="410"/>
      <c r="B5" s="410"/>
      <c r="C5" s="410"/>
      <c r="D5" s="410"/>
      <c r="E5" s="410"/>
      <c r="F5" s="410"/>
      <c r="G5" s="411"/>
      <c r="H5" s="411"/>
      <c r="I5" s="411"/>
      <c r="J5" s="411"/>
      <c r="K5" s="411"/>
      <c r="L5" s="411"/>
      <c r="M5" s="410"/>
    </row>
    <row r="6" spans="1:13" ht="13" x14ac:dyDescent="0.3">
      <c r="A6" s="410"/>
      <c r="B6" s="410"/>
      <c r="C6" s="412"/>
      <c r="D6" s="412"/>
      <c r="E6" s="412"/>
      <c r="F6" s="412"/>
      <c r="G6" s="411"/>
      <c r="H6" s="411"/>
      <c r="I6" s="411"/>
      <c r="J6" s="411"/>
      <c r="K6" s="411"/>
      <c r="L6" s="411"/>
      <c r="M6" s="410"/>
    </row>
    <row r="7" spans="1:13" ht="13" x14ac:dyDescent="0.3">
      <c r="A7" s="410"/>
      <c r="B7" s="77" t="s">
        <v>344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410"/>
    </row>
    <row r="8" spans="1:13" x14ac:dyDescent="0.25">
      <c r="A8" s="410"/>
      <c r="M8" s="410"/>
    </row>
    <row r="9" spans="1:13" ht="13" x14ac:dyDescent="0.3">
      <c r="A9" s="410"/>
      <c r="B9" s="69" t="s">
        <v>337</v>
      </c>
      <c r="D9" s="410"/>
      <c r="E9" s="410"/>
      <c r="F9" s="410"/>
      <c r="G9" s="410"/>
      <c r="H9" s="410"/>
      <c r="I9" s="410"/>
      <c r="J9" s="410"/>
      <c r="K9" s="410"/>
      <c r="L9" s="410"/>
      <c r="M9" s="410"/>
    </row>
    <row r="10" spans="1:13" ht="13" x14ac:dyDescent="0.25">
      <c r="A10" s="410"/>
      <c r="B10" s="410"/>
      <c r="C10" s="410"/>
      <c r="D10" s="121" t="s">
        <v>6</v>
      </c>
      <c r="E10" s="121" t="s">
        <v>217</v>
      </c>
      <c r="F10" s="410"/>
      <c r="G10" s="122" t="str">
        <f>FPFirstYear</f>
        <v>2020-21</v>
      </c>
      <c r="H10" s="122" t="str">
        <f>(LEFT(G10,4)+1&amp;IF(MID(G10,5,1)="","","-"&amp;TEXT(MOD(MID(G10,6,2)+1,100),"00")))</f>
        <v>2021-22</v>
      </c>
      <c r="I10" s="122" t="str">
        <f t="shared" ref="I10:K10" si="0">(LEFT(H10,4)+1&amp;IF(MID(H10,5,1)="","","-"&amp;TEXT(MOD(MID(H10,6,2)+1,100),"00")))</f>
        <v>2022-23</v>
      </c>
      <c r="J10" s="122" t="str">
        <f t="shared" si="0"/>
        <v>2023-24</v>
      </c>
      <c r="K10" s="122" t="str">
        <f t="shared" si="0"/>
        <v>2024-25</v>
      </c>
      <c r="L10" s="409" t="s">
        <v>17</v>
      </c>
      <c r="M10" s="410"/>
    </row>
    <row r="11" spans="1:13" ht="13" x14ac:dyDescent="0.25">
      <c r="A11" s="410"/>
      <c r="B11" s="413"/>
      <c r="C11" s="410" t="s">
        <v>199</v>
      </c>
      <c r="D11" s="221" t="s">
        <v>31</v>
      </c>
      <c r="E11" s="222" t="str">
        <f>Basis_Rfm</f>
        <v>nominal</v>
      </c>
      <c r="F11" s="410"/>
      <c r="G11" s="353">
        <f>'Output | PTRM'!G11*
IF('Output | PTRM'!$D11="$millions",10^6,IF('Output | PTRM'!$D11="$000",10^3,1))/IF($D11="$millions",10^6,IF($D11="$000",10^3,1))*
'Input| Prices'!L$40</f>
        <v>5.3289332247026788</v>
      </c>
      <c r="H11" s="353">
        <f>'Output | PTRM'!H11*
IF('Output | PTRM'!$D11="$millions",10^6,IF('Output | PTRM'!$D11="$000",10^3,1))/IF($D11="$millions",10^6,IF($D11="$000",10^3,1))*
'Input| Prices'!M$40</f>
        <v>5.4537115329187698</v>
      </c>
      <c r="I11" s="353">
        <f>'Output | PTRM'!I11*
IF('Output | PTRM'!$D11="$millions",10^6,IF('Output | PTRM'!$D11="$000",10^3,1))/IF($D11="$millions",10^6,IF($D11="$000",10^3,1))*
'Input| Prices'!N$40</f>
        <v>5.5236387007993235</v>
      </c>
      <c r="J11" s="353">
        <f>'Output | PTRM'!J11*
IF('Output | PTRM'!$D11="$millions",10^6,IF('Output | PTRM'!$D11="$000",10^3,1))/IF($D11="$millions",10^6,IF($D11="$000",10^3,1))*
'Input| Prices'!O$40</f>
        <v>5.6553160952958326</v>
      </c>
      <c r="K11" s="353">
        <f>'Output | PTRM'!K11*
IF('Output | PTRM'!$D11="$millions",10^6,IF('Output | PTRM'!$D11="$000",10^3,1))/IF($D11="$millions",10^6,IF($D11="$000",10^3,1))*
'Input| Prices'!P$40</f>
        <v>5.7966964892782649</v>
      </c>
      <c r="L11" s="354">
        <f>IFERROR(SUM(G11:K11),"")</f>
        <v>27.758296042994868</v>
      </c>
      <c r="M11" s="410"/>
    </row>
    <row r="12" spans="1:13" ht="13" x14ac:dyDescent="0.25">
      <c r="A12" s="410"/>
      <c r="B12" s="413"/>
      <c r="C12" s="410" t="s">
        <v>10</v>
      </c>
      <c r="D12" s="221" t="s">
        <v>31</v>
      </c>
      <c r="E12" s="222" t="str">
        <f>Basis_Rfm</f>
        <v>nominal</v>
      </c>
      <c r="F12" s="410"/>
      <c r="G12" s="353">
        <f>'Output | PTRM'!G12*
IF('Output | PTRM'!$D12="$millions",10^6,IF('Output | PTRM'!$D12="$000",10^3,1))/IF($D12="$millions",10^6,IF($D12="$000",10^3,1))*
'Input| Prices'!L$40</f>
        <v>0.44303134845769909</v>
      </c>
      <c r="H12" s="353">
        <f>'Output | PTRM'!H12*
IF('Output | PTRM'!$D12="$millions",10^6,IF('Output | PTRM'!$D12="$000",10^3,1))/IF($D12="$millions",10^6,IF($D12="$000",10^3,1))*
'Input| Prices'!M$40</f>
        <v>0.46001138512441059</v>
      </c>
      <c r="I12" s="353">
        <f>'Output | PTRM'!I12*
IF('Output | PTRM'!$D12="$millions",10^6,IF('Output | PTRM'!$D12="$000",10^3,1))/IF($D12="$millions",10^6,IF($D12="$000",10^3,1))*
'Input| Prices'!N$40</f>
        <v>0.47749341071840762</v>
      </c>
      <c r="J12" s="353">
        <f>'Output | PTRM'!J12*
IF('Output | PTRM'!$D12="$millions",10^6,IF('Output | PTRM'!$D12="$000",10^3,1))/IF($D12="$millions",10^6,IF($D12="$000",10^3,1))*
'Input| Prices'!O$40</f>
        <v>0.49549071278211454</v>
      </c>
      <c r="K12" s="353">
        <f>'Output | PTRM'!K12*
IF('Output | PTRM'!$D12="$millions",10^6,IF('Output | PTRM'!$D12="$000",10^3,1))/IF($D12="$millions",10^6,IF($D12="$000",10^3,1))*
'Input| Prices'!P$40</f>
        <v>0.51360437329513986</v>
      </c>
      <c r="L12" s="354">
        <f>IFERROR(SUM(G12:K12),"")</f>
        <v>2.3896312303777716</v>
      </c>
      <c r="M12" s="410"/>
    </row>
    <row r="13" spans="1:13" ht="13" x14ac:dyDescent="0.25">
      <c r="A13" s="410"/>
      <c r="B13" s="413"/>
      <c r="C13" s="410" t="s">
        <v>189</v>
      </c>
      <c r="D13" s="221" t="s">
        <v>31</v>
      </c>
      <c r="E13" s="222" t="str">
        <f>Basis_Rfm</f>
        <v>nominal</v>
      </c>
      <c r="F13" s="410"/>
      <c r="G13" s="353">
        <f>'Output | PTRM'!G13*
IF('Output | PTRM'!$D13="$millions",10^6,IF('Output | PTRM'!$D13="$000",10^3,1))/IF($D13="$millions",10^6,IF($D13="$000",10^3,1))*
'Input| Prices'!L$40</f>
        <v>0.15467522123893804</v>
      </c>
      <c r="H13" s="353">
        <f>'Output | PTRM'!H13*
IF('Output | PTRM'!$D13="$millions",10^6,IF('Output | PTRM'!$D13="$000",10^3,1))/IF($D13="$millions",10^6,IF($D13="$000",10^3,1))*
'Input| Prices'!M$40</f>
        <v>0</v>
      </c>
      <c r="I13" s="353">
        <f>'Output | PTRM'!I13*
IF('Output | PTRM'!$D13="$millions",10^6,IF('Output | PTRM'!$D13="$000",10^3,1))/IF($D13="$millions",10^6,IF($D13="$000",10^3,1))*
'Input| Prices'!N$40</f>
        <v>0.32184820035398232</v>
      </c>
      <c r="J13" s="353">
        <f>'Output | PTRM'!J13*
IF('Output | PTRM'!$D13="$millions",10^6,IF('Output | PTRM'!$D13="$000",10^3,1))/IF($D13="$millions",10^6,IF($D13="$000",10^3,1))*
'Input| Prices'!O$40</f>
        <v>5.4714194060177003E-2</v>
      </c>
      <c r="K13" s="353">
        <f>'Output | PTRM'!K13*
IF('Output | PTRM'!$D13="$millions",10^6,IF('Output | PTRM'!$D13="$000",10^3,1))/IF($D13="$millions",10^6,IF($D13="$000",10^3,1))*
'Input| Prices'!P$40</f>
        <v>0</v>
      </c>
      <c r="L13" s="354">
        <f>IFERROR(SUM(G13:K13),"")</f>
        <v>0.53123761565309735</v>
      </c>
      <c r="M13" s="414"/>
    </row>
    <row r="14" spans="1:13" ht="13" x14ac:dyDescent="0.25">
      <c r="A14" s="410"/>
      <c r="B14" s="413"/>
      <c r="C14" s="410"/>
      <c r="D14" s="221" t="s">
        <v>31</v>
      </c>
      <c r="E14" s="222" t="str">
        <f>Basis_Rfm</f>
        <v>nominal</v>
      </c>
      <c r="F14" s="410"/>
      <c r="G14" s="353"/>
      <c r="H14" s="353"/>
      <c r="I14" s="353"/>
      <c r="J14" s="353"/>
      <c r="K14" s="355"/>
      <c r="L14" s="354"/>
      <c r="M14" s="410"/>
    </row>
    <row r="15" spans="1:13" ht="13" x14ac:dyDescent="0.3">
      <c r="A15" s="70"/>
      <c r="B15" s="410"/>
      <c r="C15" s="69" t="s">
        <v>17</v>
      </c>
      <c r="D15" s="221" t="s">
        <v>31</v>
      </c>
      <c r="E15" s="222" t="str">
        <f>Basis_Rfm</f>
        <v>nominal</v>
      </c>
      <c r="F15" s="69"/>
      <c r="G15" s="78">
        <f t="shared" ref="G15:L15" si="1">IFERROR(SUM(G11:G14),"")</f>
        <v>5.9266397943993168</v>
      </c>
      <c r="H15" s="78">
        <f t="shared" si="1"/>
        <v>5.9137229180431801</v>
      </c>
      <c r="I15" s="78">
        <f t="shared" si="1"/>
        <v>6.3229803118717136</v>
      </c>
      <c r="J15" s="78">
        <f t="shared" si="1"/>
        <v>6.2055210021381244</v>
      </c>
      <c r="K15" s="82">
        <f t="shared" si="1"/>
        <v>6.3103008625734045</v>
      </c>
      <c r="L15" s="84">
        <f t="shared" si="1"/>
        <v>30.679164889025735</v>
      </c>
      <c r="M15" s="410"/>
    </row>
    <row r="16" spans="1:13" x14ac:dyDescent="0.25">
      <c r="A16" s="70"/>
      <c r="B16" s="70"/>
      <c r="C16" s="70"/>
      <c r="D16" s="70"/>
      <c r="E16" s="70"/>
      <c r="F16" s="70"/>
      <c r="G16" s="416"/>
      <c r="H16" s="416"/>
      <c r="I16" s="416"/>
      <c r="J16" s="416"/>
      <c r="K16" s="416"/>
      <c r="L16" s="415"/>
      <c r="M16" s="410"/>
    </row>
    <row r="17" spans="1:13" ht="13" x14ac:dyDescent="0.3">
      <c r="A17" s="70"/>
      <c r="B17" s="69" t="s">
        <v>335</v>
      </c>
      <c r="C17" s="70"/>
      <c r="D17" s="70"/>
      <c r="E17" s="70"/>
      <c r="F17" s="70"/>
      <c r="G17" s="416"/>
      <c r="H17" s="416"/>
      <c r="I17" s="416"/>
      <c r="J17" s="416"/>
      <c r="K17" s="416"/>
      <c r="L17" s="415"/>
      <c r="M17" s="410"/>
    </row>
    <row r="18" spans="1:13" ht="13" x14ac:dyDescent="0.25">
      <c r="A18" s="70"/>
      <c r="B18" s="410"/>
      <c r="C18" s="410"/>
      <c r="D18" s="121" t="s">
        <v>6</v>
      </c>
      <c r="E18" s="121" t="s">
        <v>217</v>
      </c>
      <c r="F18" s="410"/>
      <c r="G18" s="122" t="str">
        <f>FPFirstYear</f>
        <v>2020-21</v>
      </c>
      <c r="H18" s="122" t="str">
        <f>(LEFT(G18,4)+1&amp;IF(MID(G18,5,1)="","","-"&amp;TEXT(MOD(MID(G18,6,2)+1,100),"00")))</f>
        <v>2021-22</v>
      </c>
      <c r="I18" s="122" t="str">
        <f t="shared" ref="I18:K18" si="2">(LEFT(H18,4)+1&amp;IF(MID(H18,5,1)="","","-"&amp;TEXT(MOD(MID(H18,6,2)+1,100),"00")))</f>
        <v>2022-23</v>
      </c>
      <c r="J18" s="122" t="str">
        <f t="shared" si="2"/>
        <v>2023-24</v>
      </c>
      <c r="K18" s="122" t="str">
        <f t="shared" si="2"/>
        <v>2024-25</v>
      </c>
      <c r="L18" s="409" t="s">
        <v>17</v>
      </c>
      <c r="M18" s="70"/>
    </row>
    <row r="19" spans="1:13" ht="13" x14ac:dyDescent="0.25">
      <c r="A19" s="70"/>
      <c r="B19" s="413"/>
      <c r="C19" s="410" t="s">
        <v>199</v>
      </c>
      <c r="D19" s="221" t="s">
        <v>31</v>
      </c>
      <c r="E19" s="222" t="str">
        <f>Basis_Rfm</f>
        <v>nominal</v>
      </c>
      <c r="F19" s="410"/>
      <c r="G19" s="353">
        <f>'Output | PTRM'!G19*
IF('Output | PTRM'!$D19="$millions",10^6,IF('Output | PTRM'!$D19="$000",10^3,1))/IF($D19="$millions",10^6,IF($D19="$000",10^3,1))*
'Input| Prices'!L$40</f>
        <v>1.0311681415929204E-2</v>
      </c>
      <c r="H19" s="353">
        <f>'Output | PTRM'!H19*
IF('Output | PTRM'!$D19="$millions",10^6,IF('Output | PTRM'!$D19="$000",10^3,1))/IF($D19="$millions",10^6,IF($D19="$000",10^3,1))*
'Input| Prices'!M$40</f>
        <v>1.0517915044247789E-2</v>
      </c>
      <c r="I19" s="353">
        <f>'Output | PTRM'!I19*
IF('Output | PTRM'!$D19="$millions",10^6,IF('Output | PTRM'!$D19="$000",10^3,1))/IF($D19="$millions",10^6,IF($D19="$000",10^3,1))*
'Input| Prices'!N$40</f>
        <v>1.0728273345132745E-2</v>
      </c>
      <c r="J19" s="353">
        <f>'Output | PTRM'!J19*
IF('Output | PTRM'!$D19="$millions",10^6,IF('Output | PTRM'!$D19="$000",10^3,1))/IF($D19="$millions",10^6,IF($D19="$000",10^3,1))*
'Input| Prices'!O$40</f>
        <v>1.0942838812035401E-2</v>
      </c>
      <c r="K19" s="353">
        <f>'Output | PTRM'!K19*
IF('Output | PTRM'!$D19="$millions",10^6,IF('Output | PTRM'!$D19="$000",10^3,1))/IF($D19="$millions",10^6,IF($D19="$000",10^3,1))*
'Input| Prices'!P$40</f>
        <v>1.1161695588276109E-2</v>
      </c>
      <c r="L19" s="354">
        <f>IFERROR(SUM(G19:K19),"")</f>
        <v>5.3662404205621246E-2</v>
      </c>
      <c r="M19" s="70"/>
    </row>
    <row r="20" spans="1:13" ht="13" x14ac:dyDescent="0.25">
      <c r="A20" s="70"/>
      <c r="B20" s="413"/>
      <c r="C20" s="410" t="s">
        <v>10</v>
      </c>
      <c r="D20" s="221" t="s">
        <v>31</v>
      </c>
      <c r="E20" s="222" t="str">
        <f>Basis_Rfm</f>
        <v>nominal</v>
      </c>
      <c r="F20" s="410"/>
      <c r="G20" s="536"/>
      <c r="H20" s="536"/>
      <c r="I20" s="536"/>
      <c r="J20" s="536"/>
      <c r="K20" s="536"/>
      <c r="L20" s="537"/>
      <c r="M20" s="70"/>
    </row>
    <row r="21" spans="1:13" ht="13" x14ac:dyDescent="0.25">
      <c r="A21" s="70"/>
      <c r="B21" s="413"/>
      <c r="C21" s="410" t="s">
        <v>189</v>
      </c>
      <c r="D21" s="221" t="s">
        <v>31</v>
      </c>
      <c r="E21" s="222" t="str">
        <f>Basis_Rfm</f>
        <v>nominal</v>
      </c>
      <c r="F21" s="410"/>
      <c r="G21" s="536"/>
      <c r="H21" s="536"/>
      <c r="I21" s="536"/>
      <c r="J21" s="536"/>
      <c r="K21" s="536"/>
      <c r="L21" s="537"/>
      <c r="M21" s="70"/>
    </row>
    <row r="22" spans="1:13" ht="13" x14ac:dyDescent="0.25">
      <c r="A22" s="70"/>
      <c r="B22" s="413"/>
      <c r="C22" s="410"/>
      <c r="D22" s="221" t="s">
        <v>31</v>
      </c>
      <c r="E22" s="222" t="str">
        <f>Basis_Rfm</f>
        <v>nominal</v>
      </c>
      <c r="F22" s="410"/>
      <c r="G22" s="536"/>
      <c r="H22" s="536"/>
      <c r="I22" s="536"/>
      <c r="J22" s="536"/>
      <c r="K22" s="538"/>
      <c r="L22" s="537"/>
      <c r="M22" s="70"/>
    </row>
    <row r="23" spans="1:13" ht="13" x14ac:dyDescent="0.3">
      <c r="A23" s="410"/>
      <c r="B23" s="410"/>
      <c r="C23" s="69" t="s">
        <v>17</v>
      </c>
      <c r="D23" s="221" t="s">
        <v>31</v>
      </c>
      <c r="E23" s="222" t="str">
        <f>Basis_Rfm</f>
        <v>nominal</v>
      </c>
      <c r="F23" s="69"/>
      <c r="G23" s="78">
        <f t="shared" ref="G23:L23" si="3">IFERROR(SUM(G19:G22),"")</f>
        <v>1.0311681415929204E-2</v>
      </c>
      <c r="H23" s="78">
        <f t="shared" si="3"/>
        <v>1.0517915044247789E-2</v>
      </c>
      <c r="I23" s="78">
        <f t="shared" si="3"/>
        <v>1.0728273345132745E-2</v>
      </c>
      <c r="J23" s="78">
        <f t="shared" si="3"/>
        <v>1.0942838812035401E-2</v>
      </c>
      <c r="K23" s="82">
        <f t="shared" si="3"/>
        <v>1.1161695588276109E-2</v>
      </c>
      <c r="L23" s="84">
        <f t="shared" si="3"/>
        <v>5.3662404205621246E-2</v>
      </c>
      <c r="M23" s="410"/>
    </row>
    <row r="24" spans="1:13" x14ac:dyDescent="0.25">
      <c r="A24" s="410"/>
      <c r="B24" s="70"/>
      <c r="C24" s="70"/>
      <c r="D24" s="70"/>
      <c r="E24" s="70"/>
      <c r="F24" s="70"/>
      <c r="G24" s="416"/>
      <c r="H24" s="416"/>
      <c r="I24" s="416"/>
      <c r="J24" s="416"/>
      <c r="K24" s="416"/>
      <c r="L24" s="415"/>
      <c r="M24" s="410"/>
    </row>
    <row r="25" spans="1:13" ht="13" x14ac:dyDescent="0.3">
      <c r="A25" s="410"/>
      <c r="B25" s="69" t="s">
        <v>336</v>
      </c>
      <c r="C25" s="70"/>
      <c r="D25" s="70"/>
      <c r="E25" s="70"/>
      <c r="F25" s="70"/>
      <c r="G25" s="416"/>
      <c r="H25" s="416"/>
      <c r="I25" s="416"/>
      <c r="J25" s="416"/>
      <c r="K25" s="416"/>
      <c r="L25" s="415"/>
      <c r="M25" s="410"/>
    </row>
    <row r="26" spans="1:13" ht="13" x14ac:dyDescent="0.25">
      <c r="A26" s="410"/>
      <c r="B26" s="410"/>
      <c r="C26" s="410"/>
      <c r="D26" s="121" t="s">
        <v>6</v>
      </c>
      <c r="E26" s="121" t="s">
        <v>217</v>
      </c>
      <c r="F26" s="410"/>
      <c r="G26" s="122" t="str">
        <f>FPFirstYear</f>
        <v>2020-21</v>
      </c>
      <c r="H26" s="122" t="str">
        <f>(LEFT(G26,4)+1&amp;IF(MID(G26,5,1)="","","-"&amp;TEXT(MOD(MID(G26,6,2)+1,100),"00")))</f>
        <v>2021-22</v>
      </c>
      <c r="I26" s="122" t="str">
        <f t="shared" ref="I26:K26" si="4">(LEFT(H26,4)+1&amp;IF(MID(H26,5,1)="","","-"&amp;TEXT(MOD(MID(H26,6,2)+1,100),"00")))</f>
        <v>2022-23</v>
      </c>
      <c r="J26" s="122" t="str">
        <f t="shared" si="4"/>
        <v>2023-24</v>
      </c>
      <c r="K26" s="122" t="str">
        <f t="shared" si="4"/>
        <v>2024-25</v>
      </c>
      <c r="L26" s="409" t="s">
        <v>17</v>
      </c>
      <c r="M26" s="410"/>
    </row>
    <row r="27" spans="1:13" ht="13" x14ac:dyDescent="0.25">
      <c r="A27" s="410"/>
      <c r="B27" s="413"/>
      <c r="C27" s="410" t="s">
        <v>199</v>
      </c>
      <c r="D27" s="221" t="s">
        <v>31</v>
      </c>
      <c r="E27" s="222" t="str">
        <f>Basis_Rfm</f>
        <v>nominal</v>
      </c>
      <c r="F27" s="410"/>
      <c r="G27" s="353">
        <f>'Output | PTRM'!G27*
IF('Output | PTRM'!$D27="$millions",10^6,IF('Output | PTRM'!$D27="$000",10^3,1))/IF($D27="$millions",10^6,IF($D27="$000",10^3,1))*
'Input| Prices'!L$40</f>
        <v>0</v>
      </c>
      <c r="H27" s="353">
        <f>'Output | PTRM'!H27*
IF('Output | PTRM'!$D27="$millions",10^6,IF('Output | PTRM'!$D27="$000",10^3,1))/IF($D27="$millions",10^6,IF($D27="$000",10^3,1))*
'Input| Prices'!M$40</f>
        <v>0</v>
      </c>
      <c r="I27" s="353">
        <f>'Output | PTRM'!I27*
IF('Output | PTRM'!$D27="$millions",10^6,IF('Output | PTRM'!$D27="$000",10^3,1))/IF($D27="$millions",10^6,IF($D27="$000",10^3,1))*
'Input| Prices'!N$40</f>
        <v>0</v>
      </c>
      <c r="J27" s="353">
        <f>'Output | PTRM'!J27*
IF('Output | PTRM'!$D27="$millions",10^6,IF('Output | PTRM'!$D27="$000",10^3,1))/IF($D27="$millions",10^6,IF($D27="$000",10^3,1))*
'Input| Prices'!O$40</f>
        <v>0</v>
      </c>
      <c r="K27" s="353">
        <f>'Output | PTRM'!K27*
IF('Output | PTRM'!$D27="$millions",10^6,IF('Output | PTRM'!$D27="$000",10^3,1))/IF($D27="$millions",10^6,IF($D27="$000",10^3,1))*
'Input| Prices'!P$40</f>
        <v>0</v>
      </c>
      <c r="L27" s="354">
        <f>IFERROR(SUM(G27:K27),"")</f>
        <v>0</v>
      </c>
      <c r="M27" s="410"/>
    </row>
    <row r="28" spans="1:13" ht="13" x14ac:dyDescent="0.25">
      <c r="A28" s="410"/>
      <c r="B28" s="413"/>
      <c r="C28" s="410" t="s">
        <v>10</v>
      </c>
      <c r="D28" s="221" t="s">
        <v>31</v>
      </c>
      <c r="E28" s="222" t="str">
        <f>Basis_Rfm</f>
        <v>nominal</v>
      </c>
      <c r="F28" s="410"/>
      <c r="G28" s="536"/>
      <c r="H28" s="536"/>
      <c r="I28" s="536"/>
      <c r="J28" s="536"/>
      <c r="K28" s="536"/>
      <c r="L28" s="537"/>
      <c r="M28" s="410"/>
    </row>
    <row r="29" spans="1:13" ht="13" x14ac:dyDescent="0.25">
      <c r="A29" s="410"/>
      <c r="B29" s="413"/>
      <c r="C29" s="410" t="s">
        <v>189</v>
      </c>
      <c r="D29" s="221" t="s">
        <v>31</v>
      </c>
      <c r="E29" s="222" t="str">
        <f>Basis_Rfm</f>
        <v>nominal</v>
      </c>
      <c r="F29" s="410"/>
      <c r="G29" s="536"/>
      <c r="H29" s="536"/>
      <c r="I29" s="536"/>
      <c r="J29" s="536"/>
      <c r="K29" s="536"/>
      <c r="L29" s="537"/>
      <c r="M29" s="410"/>
    </row>
    <row r="30" spans="1:13" ht="13" x14ac:dyDescent="0.25">
      <c r="A30" s="410"/>
      <c r="B30" s="413"/>
      <c r="C30" s="410"/>
      <c r="D30" s="221" t="s">
        <v>31</v>
      </c>
      <c r="E30" s="222" t="str">
        <f>Basis_Rfm</f>
        <v>nominal</v>
      </c>
      <c r="F30" s="410"/>
      <c r="G30" s="536"/>
      <c r="H30" s="536"/>
      <c r="I30" s="536"/>
      <c r="J30" s="536"/>
      <c r="K30" s="538"/>
      <c r="L30" s="537"/>
      <c r="M30" s="410"/>
    </row>
    <row r="31" spans="1:13" ht="13" x14ac:dyDescent="0.3">
      <c r="A31" s="410"/>
      <c r="B31" s="410"/>
      <c r="C31" s="69" t="s">
        <v>17</v>
      </c>
      <c r="D31" s="221" t="s">
        <v>31</v>
      </c>
      <c r="E31" s="222" t="str">
        <f>Basis_Rfm</f>
        <v>nominal</v>
      </c>
      <c r="F31" s="69"/>
      <c r="G31" s="78">
        <f t="shared" ref="G31:L31" si="5">IFERROR(SUM(G27:G30),"")</f>
        <v>0</v>
      </c>
      <c r="H31" s="78">
        <f t="shared" si="5"/>
        <v>0</v>
      </c>
      <c r="I31" s="78">
        <f t="shared" si="5"/>
        <v>0</v>
      </c>
      <c r="J31" s="78">
        <f t="shared" si="5"/>
        <v>0</v>
      </c>
      <c r="K31" s="82">
        <f t="shared" si="5"/>
        <v>0</v>
      </c>
      <c r="L31" s="84">
        <f t="shared" si="5"/>
        <v>0</v>
      </c>
      <c r="M31" s="410"/>
    </row>
    <row r="32" spans="1:13" x14ac:dyDescent="0.25">
      <c r="A32" s="410"/>
      <c r="B32" s="70"/>
      <c r="C32" s="70"/>
      <c r="D32" s="70"/>
      <c r="E32" s="70"/>
      <c r="F32" s="70"/>
      <c r="G32" s="416"/>
      <c r="H32" s="416"/>
      <c r="I32" s="416"/>
      <c r="J32" s="416"/>
      <c r="K32" s="416"/>
      <c r="L32" s="415"/>
      <c r="M32" s="410"/>
    </row>
    <row r="33" spans="1:13" ht="13" x14ac:dyDescent="0.3">
      <c r="A33" s="410"/>
      <c r="B33" s="69" t="s">
        <v>345</v>
      </c>
      <c r="C33" s="70"/>
      <c r="D33" s="70"/>
      <c r="E33" s="70"/>
      <c r="F33" s="70"/>
      <c r="G33" s="416"/>
      <c r="H33" s="416"/>
      <c r="I33" s="416"/>
      <c r="J33" s="416"/>
      <c r="K33" s="416"/>
      <c r="L33" s="415"/>
      <c r="M33" s="410"/>
    </row>
    <row r="34" spans="1:13" ht="13" x14ac:dyDescent="0.25">
      <c r="A34" s="410"/>
      <c r="B34" s="410"/>
      <c r="C34" s="410"/>
      <c r="D34" s="121" t="s">
        <v>6</v>
      </c>
      <c r="E34" s="121" t="s">
        <v>217</v>
      </c>
      <c r="F34" s="410"/>
      <c r="G34" s="122" t="str">
        <f>FPFirstYear</f>
        <v>2020-21</v>
      </c>
      <c r="H34" s="122" t="str">
        <f>(LEFT(G34,4)+1&amp;IF(MID(G34,5,1)="","","-"&amp;TEXT(MOD(MID(G34,6,2)+1,100),"00")))</f>
        <v>2021-22</v>
      </c>
      <c r="I34" s="122" t="str">
        <f t="shared" ref="I34:K34" si="6">(LEFT(H34,4)+1&amp;IF(MID(H34,5,1)="","","-"&amp;TEXT(MOD(MID(H34,6,2)+1,100),"00")))</f>
        <v>2022-23</v>
      </c>
      <c r="J34" s="122" t="str">
        <f t="shared" si="6"/>
        <v>2023-24</v>
      </c>
      <c r="K34" s="122" t="str">
        <f t="shared" si="6"/>
        <v>2024-25</v>
      </c>
      <c r="L34" s="409" t="s">
        <v>17</v>
      </c>
      <c r="M34" s="410"/>
    </row>
    <row r="35" spans="1:13" ht="13" x14ac:dyDescent="0.25">
      <c r="A35" s="410"/>
      <c r="B35" s="413"/>
      <c r="C35" s="410" t="s">
        <v>199</v>
      </c>
      <c r="D35" s="221" t="s">
        <v>31</v>
      </c>
      <c r="E35" s="222" t="str">
        <f>Basis_Rfm</f>
        <v>nominal</v>
      </c>
      <c r="F35" s="410"/>
      <c r="G35" s="353">
        <f>G11-SUM(G19,G27)</f>
        <v>5.3186215432867492</v>
      </c>
      <c r="H35" s="353">
        <f t="shared" ref="H35:K35" si="7">H11-SUM(H19,H27)</f>
        <v>5.4431936178745222</v>
      </c>
      <c r="I35" s="353">
        <f t="shared" si="7"/>
        <v>5.5129104274541909</v>
      </c>
      <c r="J35" s="353">
        <f t="shared" si="7"/>
        <v>5.6443732564837967</v>
      </c>
      <c r="K35" s="353">
        <f t="shared" si="7"/>
        <v>5.7855347936899886</v>
      </c>
      <c r="L35" s="354">
        <f>IFERROR(SUM(G35:K35),"")</f>
        <v>27.704633638789247</v>
      </c>
      <c r="M35" s="410"/>
    </row>
    <row r="36" spans="1:13" ht="13" x14ac:dyDescent="0.25">
      <c r="A36" s="410"/>
      <c r="B36" s="413"/>
      <c r="C36" s="410" t="s">
        <v>10</v>
      </c>
      <c r="D36" s="221" t="s">
        <v>31</v>
      </c>
      <c r="E36" s="222" t="str">
        <f>Basis_Rfm</f>
        <v>nominal</v>
      </c>
      <c r="F36" s="410"/>
      <c r="G36" s="353">
        <f t="shared" ref="G36:K38" si="8">G12-SUM(G20,G28)</f>
        <v>0.44303134845769909</v>
      </c>
      <c r="H36" s="353">
        <f t="shared" si="8"/>
        <v>0.46001138512441059</v>
      </c>
      <c r="I36" s="353">
        <f t="shared" si="8"/>
        <v>0.47749341071840762</v>
      </c>
      <c r="J36" s="353">
        <f t="shared" si="8"/>
        <v>0.49549071278211454</v>
      </c>
      <c r="K36" s="353">
        <f t="shared" si="8"/>
        <v>0.51360437329513986</v>
      </c>
      <c r="L36" s="354">
        <f>IFERROR(SUM(G36:K36),"")</f>
        <v>2.3896312303777716</v>
      </c>
      <c r="M36" s="410"/>
    </row>
    <row r="37" spans="1:13" ht="13" x14ac:dyDescent="0.25">
      <c r="A37" s="410"/>
      <c r="B37" s="413"/>
      <c r="C37" s="410" t="s">
        <v>189</v>
      </c>
      <c r="D37" s="221" t="s">
        <v>31</v>
      </c>
      <c r="E37" s="222" t="str">
        <f>Basis_Rfm</f>
        <v>nominal</v>
      </c>
      <c r="F37" s="410"/>
      <c r="G37" s="353">
        <f t="shared" si="8"/>
        <v>0.15467522123893804</v>
      </c>
      <c r="H37" s="353">
        <f t="shared" si="8"/>
        <v>0</v>
      </c>
      <c r="I37" s="353">
        <f t="shared" si="8"/>
        <v>0.32184820035398232</v>
      </c>
      <c r="J37" s="353">
        <f t="shared" si="8"/>
        <v>5.4714194060177003E-2</v>
      </c>
      <c r="K37" s="353">
        <f t="shared" si="8"/>
        <v>0</v>
      </c>
      <c r="L37" s="354">
        <f>IFERROR(SUM(G37:K37),"")</f>
        <v>0.53123761565309735</v>
      </c>
      <c r="M37" s="410"/>
    </row>
    <row r="38" spans="1:13" ht="13" x14ac:dyDescent="0.25">
      <c r="A38" s="410"/>
      <c r="B38" s="413"/>
      <c r="C38" s="410"/>
      <c r="D38" s="221" t="s">
        <v>31</v>
      </c>
      <c r="E38" s="222" t="str">
        <f>Basis_Rfm</f>
        <v>nominal</v>
      </c>
      <c r="F38" s="410"/>
      <c r="G38" s="353">
        <f t="shared" si="8"/>
        <v>0</v>
      </c>
      <c r="H38" s="353">
        <f t="shared" si="8"/>
        <v>0</v>
      </c>
      <c r="I38" s="353">
        <f t="shared" si="8"/>
        <v>0</v>
      </c>
      <c r="J38" s="353">
        <f t="shared" si="8"/>
        <v>0</v>
      </c>
      <c r="K38" s="353">
        <f t="shared" si="8"/>
        <v>0</v>
      </c>
      <c r="L38" s="354"/>
      <c r="M38" s="410"/>
    </row>
    <row r="39" spans="1:13" ht="13" x14ac:dyDescent="0.3">
      <c r="A39" s="410"/>
      <c r="B39" s="410"/>
      <c r="C39" s="69" t="s">
        <v>17</v>
      </c>
      <c r="D39" s="221" t="s">
        <v>31</v>
      </c>
      <c r="E39" s="222" t="str">
        <f>Basis_Rfm</f>
        <v>nominal</v>
      </c>
      <c r="F39" s="69"/>
      <c r="G39" s="78">
        <f t="shared" ref="G39:L39" si="9">IFERROR(SUM(G35:G38),"")</f>
        <v>5.9163281129833871</v>
      </c>
      <c r="H39" s="78">
        <f t="shared" si="9"/>
        <v>5.9032050029989325</v>
      </c>
      <c r="I39" s="78">
        <f t="shared" si="9"/>
        <v>6.312252038526581</v>
      </c>
      <c r="J39" s="78">
        <f t="shared" si="9"/>
        <v>6.1945781633260886</v>
      </c>
      <c r="K39" s="82">
        <f t="shared" si="9"/>
        <v>6.2991391669851282</v>
      </c>
      <c r="L39" s="84">
        <f t="shared" si="9"/>
        <v>30.625502484820117</v>
      </c>
      <c r="M39" s="410"/>
    </row>
    <row r="40" spans="1:13" x14ac:dyDescent="0.25">
      <c r="A40" s="410"/>
      <c r="B40" s="70"/>
      <c r="C40" s="70"/>
      <c r="D40" s="70"/>
      <c r="E40" s="70"/>
      <c r="F40" s="70"/>
      <c r="G40" s="416"/>
      <c r="H40" s="416"/>
      <c r="I40" s="416"/>
      <c r="J40" s="416"/>
      <c r="K40" s="416"/>
      <c r="L40" s="415"/>
      <c r="M40" s="410"/>
    </row>
    <row r="41" spans="1:13" x14ac:dyDescent="0.25">
      <c r="A41" s="410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410"/>
      <c r="M41" s="410"/>
    </row>
  </sheetData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909D-B0DB-40B6-AF93-0769A94414BA}">
  <sheetPr codeName="Sheet12">
    <tabColor theme="1"/>
  </sheetPr>
  <dimension ref="A1:XER154"/>
  <sheetViews>
    <sheetView showGridLines="0" topLeftCell="A14" zoomScale="140" zoomScaleNormal="140" workbookViewId="0">
      <selection activeCell="G24" sqref="G24"/>
    </sheetView>
  </sheetViews>
  <sheetFormatPr defaultColWidth="0" defaultRowHeight="10" x14ac:dyDescent="0.2"/>
  <cols>
    <col min="1" max="2" width="1.26953125" style="24" customWidth="1"/>
    <col min="3" max="3" width="36" style="24" customWidth="1"/>
    <col min="4" max="4" width="19" style="44" customWidth="1"/>
    <col min="5" max="5" width="13.54296875" style="44" customWidth="1"/>
    <col min="6" max="6" width="9.1796875" style="44" customWidth="1"/>
    <col min="7" max="7" width="12.81640625" style="25" customWidth="1"/>
    <col min="8" max="8" width="17.1796875" style="24" customWidth="1"/>
    <col min="9" max="9" width="12.81640625" style="24" customWidth="1"/>
    <col min="10" max="10" width="9.26953125" style="24" customWidth="1"/>
    <col min="11" max="11" width="18.26953125" style="24" customWidth="1"/>
    <col min="12" max="23" width="9.26953125" style="24" customWidth="1"/>
    <col min="24" max="311" width="9" style="24" hidden="1" customWidth="1"/>
    <col min="312" max="16371" width="9" style="24" hidden="1"/>
    <col min="16372" max="16372" width="0" style="24" hidden="1"/>
    <col min="16373" max="16384" width="9" style="24" hidden="1"/>
  </cols>
  <sheetData>
    <row r="1" spans="1:30" s="11" customFormat="1" ht="15.5" x14ac:dyDescent="0.35">
      <c r="B1" s="12"/>
      <c r="C1" s="12"/>
      <c r="D1" s="12"/>
      <c r="E1" s="12"/>
      <c r="F1" s="13"/>
      <c r="G1" s="13"/>
      <c r="H1" s="13"/>
      <c r="I1" s="13"/>
      <c r="J1"/>
      <c r="L1"/>
      <c r="M1"/>
      <c r="N1"/>
      <c r="O1"/>
      <c r="P1"/>
      <c r="Q1"/>
      <c r="R1"/>
      <c r="S1"/>
      <c r="T1"/>
      <c r="U1"/>
      <c r="V1"/>
      <c r="W1"/>
    </row>
    <row r="2" spans="1:30" s="11" customFormat="1" ht="13" x14ac:dyDescent="0.3">
      <c r="B2"/>
      <c r="C2" s="38"/>
      <c r="D2" s="38"/>
      <c r="E2" s="38"/>
      <c r="F2" s="39"/>
      <c r="G2" s="39"/>
      <c r="H2" s="39"/>
      <c r="I2" s="39"/>
    </row>
    <row r="3" spans="1:30" s="42" customFormat="1" ht="13" x14ac:dyDescent="0.3">
      <c r="A3" s="17"/>
      <c r="B3" s="18"/>
      <c r="C3" s="17"/>
      <c r="D3" s="17"/>
      <c r="E3" s="17"/>
      <c r="F3" s="19"/>
      <c r="G3" s="19"/>
      <c r="H3" s="19"/>
      <c r="I3" s="19"/>
      <c r="J3" s="20"/>
      <c r="K3" s="21"/>
      <c r="L3" s="20"/>
      <c r="M3" s="21"/>
      <c r="N3" s="20"/>
      <c r="O3" s="20"/>
      <c r="P3" s="20"/>
      <c r="Q3" s="20"/>
      <c r="R3" s="20"/>
      <c r="S3" s="20"/>
      <c r="T3" s="20"/>
      <c r="U3" s="20"/>
      <c r="V3" s="21"/>
      <c r="W3" s="21"/>
      <c r="X3" s="40"/>
      <c r="Y3" s="40"/>
      <c r="Z3" s="40"/>
      <c r="AA3" s="40"/>
      <c r="AB3" s="40"/>
      <c r="AC3" s="41"/>
      <c r="AD3" s="41"/>
    </row>
    <row r="4" spans="1:30" s="15" customFormat="1" ht="3" customHeight="1" x14ac:dyDescent="0.2">
      <c r="D4" s="43"/>
      <c r="E4" s="43"/>
    </row>
    <row r="5" spans="1:30" s="15" customFormat="1" ht="9" customHeight="1" x14ac:dyDescent="0.2">
      <c r="D5" s="43"/>
      <c r="E5" s="43"/>
    </row>
    <row r="6" spans="1:30" s="15" customFormat="1" ht="3" customHeight="1" x14ac:dyDescent="0.2">
      <c r="D6" s="43"/>
      <c r="E6" s="43"/>
    </row>
    <row r="7" spans="1:30" s="4" customFormat="1" ht="13" x14ac:dyDescent="0.3">
      <c r="A7" s="17"/>
      <c r="B7" s="18" t="s">
        <v>81</v>
      </c>
      <c r="C7" s="17"/>
      <c r="D7" s="17"/>
      <c r="E7" s="17"/>
      <c r="F7" s="19"/>
      <c r="G7" s="19"/>
      <c r="H7" s="19"/>
      <c r="I7" s="19"/>
      <c r="J7" s="20"/>
      <c r="K7" s="21"/>
      <c r="L7" s="20"/>
      <c r="M7" s="21"/>
      <c r="N7" s="20"/>
      <c r="O7" s="20"/>
      <c r="P7" s="20"/>
      <c r="Q7" s="20"/>
      <c r="R7" s="20"/>
      <c r="S7" s="20"/>
      <c r="T7" s="20"/>
      <c r="U7" s="20"/>
      <c r="V7" s="21"/>
      <c r="W7" s="21"/>
      <c r="X7" s="22"/>
      <c r="Y7" s="22"/>
      <c r="Z7" s="22"/>
      <c r="AA7" s="22"/>
      <c r="AB7" s="22"/>
      <c r="AC7" s="23"/>
      <c r="AD7" s="23"/>
    </row>
    <row r="9" spans="1:30" ht="10.5" x14ac:dyDescent="0.25">
      <c r="C9" s="26" t="str">
        <f>B7</f>
        <v>Unit Denominations</v>
      </c>
      <c r="D9" s="27" t="s">
        <v>62</v>
      </c>
      <c r="E9" s="27"/>
      <c r="F9" s="28"/>
      <c r="G9" s="28" t="s">
        <v>82</v>
      </c>
      <c r="H9" s="28"/>
    </row>
    <row r="10" spans="1:30" x14ac:dyDescent="0.2">
      <c r="C10" s="45" t="s">
        <v>83</v>
      </c>
      <c r="D10" s="25" t="s">
        <v>84</v>
      </c>
      <c r="E10" s="25"/>
      <c r="F10" s="25"/>
      <c r="G10" s="29" t="s">
        <v>85</v>
      </c>
    </row>
    <row r="11" spans="1:30" x14ac:dyDescent="0.2">
      <c r="C11" s="45" t="s">
        <v>86</v>
      </c>
      <c r="D11" s="25" t="s">
        <v>84</v>
      </c>
      <c r="E11" s="25"/>
      <c r="F11" s="25"/>
      <c r="G11" s="29" t="s">
        <v>87</v>
      </c>
    </row>
    <row r="12" spans="1:30" x14ac:dyDescent="0.2">
      <c r="C12" s="45" t="s">
        <v>88</v>
      </c>
      <c r="D12" s="25" t="s">
        <v>84</v>
      </c>
      <c r="E12" s="25"/>
      <c r="F12" s="25"/>
      <c r="G12" s="29" t="s">
        <v>31</v>
      </c>
      <c r="T12" s="46"/>
    </row>
    <row r="13" spans="1:30" x14ac:dyDescent="0.2">
      <c r="F13" s="24"/>
      <c r="G13" s="24"/>
    </row>
    <row r="14" spans="1:30" x14ac:dyDescent="0.2">
      <c r="C14" s="45" t="s">
        <v>78</v>
      </c>
      <c r="D14" s="25" t="s">
        <v>84</v>
      </c>
      <c r="E14" s="25"/>
      <c r="F14" s="25"/>
      <c r="G14" s="29" t="s">
        <v>89</v>
      </c>
    </row>
    <row r="15" spans="1:30" x14ac:dyDescent="0.2">
      <c r="C15" s="45" t="s">
        <v>76</v>
      </c>
      <c r="D15" s="25" t="s">
        <v>84</v>
      </c>
      <c r="E15" s="25"/>
      <c r="F15" s="25"/>
      <c r="G15" s="29" t="s">
        <v>90</v>
      </c>
    </row>
    <row r="16" spans="1:30" x14ac:dyDescent="0.2">
      <c r="C16" s="45" t="s">
        <v>91</v>
      </c>
      <c r="D16" s="25" t="s">
        <v>84</v>
      </c>
      <c r="E16" s="25"/>
      <c r="F16" s="25"/>
      <c r="G16" s="29" t="s">
        <v>92</v>
      </c>
    </row>
    <row r="17" spans="1:30" x14ac:dyDescent="0.2">
      <c r="C17" s="45" t="s">
        <v>93</v>
      </c>
      <c r="D17" s="25" t="s">
        <v>84</v>
      </c>
      <c r="E17" s="25"/>
      <c r="F17" s="25"/>
      <c r="G17" s="29" t="s">
        <v>94</v>
      </c>
    </row>
    <row r="18" spans="1:30" x14ac:dyDescent="0.2">
      <c r="C18" s="45"/>
      <c r="D18" s="25"/>
      <c r="E18" s="25"/>
      <c r="F18" s="25"/>
      <c r="G18" s="24"/>
    </row>
    <row r="19" spans="1:30" x14ac:dyDescent="0.2">
      <c r="C19" s="45" t="s">
        <v>12</v>
      </c>
      <c r="D19" s="25" t="s">
        <v>84</v>
      </c>
      <c r="E19" s="25"/>
      <c r="F19" s="25"/>
      <c r="G19" s="29" t="s">
        <v>12</v>
      </c>
    </row>
    <row r="20" spans="1:30" x14ac:dyDescent="0.2">
      <c r="C20" s="45" t="s">
        <v>95</v>
      </c>
      <c r="D20" s="25" t="s">
        <v>84</v>
      </c>
      <c r="E20" s="25"/>
      <c r="F20" s="25"/>
      <c r="G20" s="29" t="s">
        <v>95</v>
      </c>
    </row>
    <row r="21" spans="1:30" x14ac:dyDescent="0.2">
      <c r="C21" s="45"/>
      <c r="D21" s="25"/>
      <c r="E21" s="25"/>
      <c r="F21" s="25"/>
      <c r="G21" s="24"/>
    </row>
    <row r="22" spans="1:30" s="4" customFormat="1" ht="13" x14ac:dyDescent="0.3">
      <c r="A22" s="17"/>
      <c r="B22" s="18" t="s">
        <v>96</v>
      </c>
      <c r="C22" s="17"/>
      <c r="D22" s="17"/>
      <c r="E22" s="17"/>
      <c r="F22" s="19"/>
      <c r="G22" s="19"/>
      <c r="H22" s="19"/>
      <c r="I22" s="19"/>
      <c r="J22" s="20"/>
      <c r="K22" s="21"/>
      <c r="L22" s="20"/>
      <c r="M22" s="21"/>
      <c r="N22" s="20"/>
      <c r="O22" s="20"/>
      <c r="P22" s="20"/>
      <c r="Q22" s="20"/>
      <c r="R22" s="20"/>
      <c r="S22" s="20"/>
      <c r="T22" s="20"/>
      <c r="U22" s="20"/>
      <c r="V22" s="21"/>
      <c r="W22" s="21"/>
      <c r="X22" s="22"/>
      <c r="Y22" s="22"/>
      <c r="Z22" s="22"/>
      <c r="AA22" s="22"/>
      <c r="AB22" s="22"/>
      <c r="AC22" s="23"/>
      <c r="AD22" s="23"/>
    </row>
    <row r="24" spans="1:30" ht="10.5" x14ac:dyDescent="0.25">
      <c r="C24" s="26" t="str">
        <f>B22</f>
        <v>Months</v>
      </c>
      <c r="D24" s="27" t="s">
        <v>62</v>
      </c>
      <c r="E24" s="27"/>
      <c r="F24" s="28"/>
      <c r="G24" s="28" t="s">
        <v>82</v>
      </c>
      <c r="H24" s="28"/>
    </row>
    <row r="25" spans="1:30" ht="10.5" x14ac:dyDescent="0.25">
      <c r="C25" s="45" t="s">
        <v>97</v>
      </c>
      <c r="D25" s="25" t="s">
        <v>84</v>
      </c>
      <c r="E25" s="25"/>
      <c r="F25" s="25"/>
      <c r="G25" s="30">
        <v>36526</v>
      </c>
      <c r="H25" s="28"/>
    </row>
    <row r="26" spans="1:30" ht="10.5" x14ac:dyDescent="0.25">
      <c r="C26" s="45" t="s">
        <v>98</v>
      </c>
      <c r="D26" s="25" t="s">
        <v>84</v>
      </c>
      <c r="E26" s="25"/>
      <c r="F26" s="25"/>
      <c r="G26" s="30">
        <v>36557</v>
      </c>
      <c r="H26" s="28"/>
    </row>
    <row r="27" spans="1:30" ht="10.5" x14ac:dyDescent="0.25">
      <c r="C27" s="45" t="s">
        <v>99</v>
      </c>
      <c r="D27" s="25" t="s">
        <v>84</v>
      </c>
      <c r="E27" s="25"/>
      <c r="F27" s="25"/>
      <c r="G27" s="30">
        <v>36586</v>
      </c>
      <c r="H27" s="28"/>
    </row>
    <row r="28" spans="1:30" x14ac:dyDescent="0.2">
      <c r="C28" s="45" t="s">
        <v>100</v>
      </c>
      <c r="D28" s="25" t="s">
        <v>84</v>
      </c>
      <c r="E28" s="25"/>
      <c r="F28" s="25"/>
      <c r="G28" s="30">
        <v>36617</v>
      </c>
    </row>
    <row r="29" spans="1:30" x14ac:dyDescent="0.2">
      <c r="C29" s="45" t="s">
        <v>101</v>
      </c>
      <c r="D29" s="25" t="s">
        <v>84</v>
      </c>
      <c r="E29" s="25"/>
      <c r="F29" s="25"/>
      <c r="G29" s="30">
        <v>36647</v>
      </c>
    </row>
    <row r="30" spans="1:30" x14ac:dyDescent="0.2">
      <c r="C30" s="45" t="s">
        <v>102</v>
      </c>
      <c r="D30" s="25" t="s">
        <v>84</v>
      </c>
      <c r="E30" s="25"/>
      <c r="F30" s="25"/>
      <c r="G30" s="30">
        <v>36678</v>
      </c>
      <c r="T30" s="46"/>
    </row>
    <row r="31" spans="1:30" x14ac:dyDescent="0.2">
      <c r="C31" s="45" t="s">
        <v>103</v>
      </c>
      <c r="D31" s="25" t="s">
        <v>84</v>
      </c>
      <c r="E31" s="25"/>
      <c r="F31" s="25"/>
      <c r="G31" s="30">
        <v>36708</v>
      </c>
      <c r="T31" s="46"/>
    </row>
    <row r="32" spans="1:30" x14ac:dyDescent="0.2">
      <c r="C32" s="45" t="s">
        <v>104</v>
      </c>
      <c r="D32" s="25" t="s">
        <v>84</v>
      </c>
      <c r="E32" s="25"/>
      <c r="F32" s="25"/>
      <c r="G32" s="30">
        <v>36739</v>
      </c>
      <c r="T32" s="46"/>
    </row>
    <row r="33" spans="1:30" x14ac:dyDescent="0.2">
      <c r="C33" s="45" t="s">
        <v>105</v>
      </c>
      <c r="D33" s="25" t="s">
        <v>84</v>
      </c>
      <c r="E33" s="25"/>
      <c r="F33" s="25"/>
      <c r="G33" s="30">
        <v>36770</v>
      </c>
      <c r="T33" s="46"/>
    </row>
    <row r="34" spans="1:30" x14ac:dyDescent="0.2">
      <c r="C34" s="45" t="s">
        <v>106</v>
      </c>
      <c r="D34" s="25" t="s">
        <v>84</v>
      </c>
      <c r="E34" s="25"/>
      <c r="F34" s="25"/>
      <c r="G34" s="30">
        <v>36800</v>
      </c>
      <c r="T34" s="46"/>
    </row>
    <row r="35" spans="1:30" x14ac:dyDescent="0.2">
      <c r="C35" s="45" t="s">
        <v>107</v>
      </c>
      <c r="D35" s="25" t="s">
        <v>84</v>
      </c>
      <c r="E35" s="25"/>
      <c r="F35" s="25"/>
      <c r="G35" s="30">
        <v>36831</v>
      </c>
      <c r="T35" s="46"/>
    </row>
    <row r="36" spans="1:30" x14ac:dyDescent="0.2">
      <c r="C36" s="45" t="s">
        <v>108</v>
      </c>
      <c r="D36" s="25" t="s">
        <v>84</v>
      </c>
      <c r="E36" s="25"/>
      <c r="F36" s="25"/>
      <c r="G36" s="30">
        <v>36861</v>
      </c>
      <c r="T36" s="46"/>
    </row>
    <row r="37" spans="1:30" x14ac:dyDescent="0.2">
      <c r="C37" s="45"/>
      <c r="D37" s="25"/>
      <c r="E37" s="25"/>
      <c r="F37" s="25"/>
      <c r="T37" s="46"/>
    </row>
    <row r="38" spans="1:30" s="4" customFormat="1" ht="13" x14ac:dyDescent="0.3">
      <c r="A38" s="17"/>
      <c r="B38" s="18" t="s">
        <v>109</v>
      </c>
      <c r="C38" s="17"/>
      <c r="D38" s="17"/>
      <c r="E38" s="17"/>
      <c r="F38" s="19"/>
      <c r="G38" s="19"/>
      <c r="H38" s="19"/>
      <c r="I38" s="19"/>
      <c r="J38" s="20"/>
      <c r="K38" s="21"/>
      <c r="L38" s="20"/>
      <c r="M38" s="21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2"/>
      <c r="Y38" s="22"/>
      <c r="Z38" s="22"/>
      <c r="AA38" s="22"/>
      <c r="AB38" s="22"/>
      <c r="AC38" s="23"/>
      <c r="AD38" s="23"/>
    </row>
    <row r="40" spans="1:30" ht="10.5" x14ac:dyDescent="0.25">
      <c r="C40" s="26" t="str">
        <f>B38</f>
        <v>Years</v>
      </c>
      <c r="D40" s="27" t="s">
        <v>62</v>
      </c>
      <c r="E40" s="27"/>
      <c r="F40" s="28"/>
      <c r="G40" s="28" t="s">
        <v>110</v>
      </c>
      <c r="H40" s="28" t="s">
        <v>111</v>
      </c>
      <c r="I40" s="28" t="s">
        <v>112</v>
      </c>
    </row>
    <row r="41" spans="1:30" x14ac:dyDescent="0.2">
      <c r="C41" s="47">
        <v>40695</v>
      </c>
      <c r="D41" s="25" t="s">
        <v>84</v>
      </c>
      <c r="E41" s="25"/>
      <c r="F41" s="25"/>
      <c r="G41" s="31">
        <v>2011</v>
      </c>
      <c r="H41" s="48">
        <f>DATE(G41,MONTH('Input|General'!$I$14),1)</f>
        <v>40695</v>
      </c>
      <c r="I41" s="49" t="str">
        <f>G41-1&amp;"-"&amp;RIGHT(G41,2)</f>
        <v>2010-11</v>
      </c>
      <c r="L41" s="75"/>
    </row>
    <row r="42" spans="1:30" x14ac:dyDescent="0.2">
      <c r="C42" s="47">
        <v>41061</v>
      </c>
      <c r="D42" s="25" t="s">
        <v>84</v>
      </c>
      <c r="E42" s="25"/>
      <c r="F42" s="25"/>
      <c r="G42" s="31">
        <v>2012</v>
      </c>
      <c r="H42" s="48">
        <f>DATE(G42,MONTH('Input|General'!$I$14),1)</f>
        <v>41061</v>
      </c>
      <c r="I42" s="49" t="str">
        <f t="shared" ref="I42:I60" si="0">G42-1&amp;"-"&amp;RIGHT(G42,2)</f>
        <v>2011-12</v>
      </c>
    </row>
    <row r="43" spans="1:30" x14ac:dyDescent="0.2">
      <c r="C43" s="47">
        <v>41426</v>
      </c>
      <c r="D43" s="25" t="s">
        <v>84</v>
      </c>
      <c r="E43" s="25"/>
      <c r="F43" s="25"/>
      <c r="G43" s="31">
        <v>2013</v>
      </c>
      <c r="H43" s="48">
        <f>DATE(G43,MONTH('Input|General'!$I$14),1)</f>
        <v>41426</v>
      </c>
      <c r="I43" s="49" t="str">
        <f t="shared" si="0"/>
        <v>2012-13</v>
      </c>
    </row>
    <row r="44" spans="1:30" x14ac:dyDescent="0.2">
      <c r="C44" s="47">
        <v>41791</v>
      </c>
      <c r="D44" s="25" t="s">
        <v>84</v>
      </c>
      <c r="E44" s="25"/>
      <c r="F44" s="25"/>
      <c r="G44" s="31">
        <v>2014</v>
      </c>
      <c r="H44" s="48">
        <f>DATE(G44,MONTH('Input|General'!$I$14),1)</f>
        <v>41791</v>
      </c>
      <c r="I44" s="49" t="str">
        <f t="shared" si="0"/>
        <v>2013-14</v>
      </c>
    </row>
    <row r="45" spans="1:30" x14ac:dyDescent="0.2">
      <c r="C45" s="47">
        <v>42156</v>
      </c>
      <c r="D45" s="25" t="s">
        <v>84</v>
      </c>
      <c r="E45" s="25"/>
      <c r="F45" s="25"/>
      <c r="G45" s="31">
        <v>2015</v>
      </c>
      <c r="H45" s="48">
        <f>DATE(G45,MONTH('Input|General'!$I$14),1)</f>
        <v>42156</v>
      </c>
      <c r="I45" s="49" t="str">
        <f t="shared" si="0"/>
        <v>2014-15</v>
      </c>
      <c r="T45" s="46"/>
    </row>
    <row r="46" spans="1:30" x14ac:dyDescent="0.2">
      <c r="C46" s="47">
        <v>42522</v>
      </c>
      <c r="D46" s="25" t="s">
        <v>84</v>
      </c>
      <c r="E46" s="25"/>
      <c r="F46" s="25"/>
      <c r="G46" s="31">
        <v>2016</v>
      </c>
      <c r="H46" s="48">
        <f>DATE(G46,MONTH('Input|General'!$I$14),1)</f>
        <v>42522</v>
      </c>
      <c r="I46" s="49" t="str">
        <f t="shared" si="0"/>
        <v>2015-16</v>
      </c>
      <c r="T46" s="46"/>
    </row>
    <row r="47" spans="1:30" x14ac:dyDescent="0.2">
      <c r="C47" s="47">
        <v>42887</v>
      </c>
      <c r="D47" s="25" t="s">
        <v>84</v>
      </c>
      <c r="E47" s="25"/>
      <c r="F47" s="25"/>
      <c r="G47" s="31">
        <v>2017</v>
      </c>
      <c r="H47" s="48">
        <f>DATE(G47,MONTH('Input|General'!$I$14),1)</f>
        <v>42887</v>
      </c>
      <c r="I47" s="49" t="str">
        <f t="shared" si="0"/>
        <v>2016-17</v>
      </c>
      <c r="T47" s="46"/>
    </row>
    <row r="48" spans="1:30" x14ac:dyDescent="0.2">
      <c r="C48" s="47">
        <v>43252</v>
      </c>
      <c r="D48" s="25" t="s">
        <v>84</v>
      </c>
      <c r="E48" s="25"/>
      <c r="F48" s="25"/>
      <c r="G48" s="31">
        <v>2018</v>
      </c>
      <c r="H48" s="48">
        <f>DATE(G48,MONTH('Input|General'!$I$14),1)</f>
        <v>43252</v>
      </c>
      <c r="I48" s="49" t="str">
        <f t="shared" si="0"/>
        <v>2017-18</v>
      </c>
      <c r="T48" s="46"/>
    </row>
    <row r="49" spans="1:30" x14ac:dyDescent="0.2">
      <c r="C49" s="47">
        <v>43617</v>
      </c>
      <c r="D49" s="25" t="s">
        <v>84</v>
      </c>
      <c r="E49" s="25"/>
      <c r="F49" s="25"/>
      <c r="G49" s="31">
        <v>2019</v>
      </c>
      <c r="H49" s="48">
        <f>DATE(G49,MONTH('Input|General'!$I$14),1)</f>
        <v>43617</v>
      </c>
      <c r="I49" s="49" t="str">
        <f t="shared" si="0"/>
        <v>2018-19</v>
      </c>
      <c r="T49" s="46"/>
    </row>
    <row r="50" spans="1:30" x14ac:dyDescent="0.2">
      <c r="C50" s="47">
        <v>43983</v>
      </c>
      <c r="D50" s="25" t="s">
        <v>84</v>
      </c>
      <c r="E50" s="25"/>
      <c r="F50" s="25"/>
      <c r="G50" s="31">
        <v>2020</v>
      </c>
      <c r="H50" s="48">
        <f>DATE(G50,MONTH('Input|General'!$I$14),1)</f>
        <v>43983</v>
      </c>
      <c r="I50" s="49" t="str">
        <f t="shared" si="0"/>
        <v>2019-20</v>
      </c>
      <c r="T50" s="46"/>
    </row>
    <row r="51" spans="1:30" x14ac:dyDescent="0.2">
      <c r="C51" s="47">
        <v>44348</v>
      </c>
      <c r="D51" s="25" t="s">
        <v>84</v>
      </c>
      <c r="E51" s="25"/>
      <c r="F51" s="25"/>
      <c r="G51" s="31">
        <v>2021</v>
      </c>
      <c r="H51" s="48">
        <f>DATE(G51,MONTH('Input|General'!$I$14),1)</f>
        <v>44348</v>
      </c>
      <c r="I51" s="49" t="str">
        <f t="shared" si="0"/>
        <v>2020-21</v>
      </c>
      <c r="T51" s="46"/>
    </row>
    <row r="52" spans="1:30" x14ac:dyDescent="0.2">
      <c r="C52" s="47">
        <v>44713</v>
      </c>
      <c r="D52" s="25" t="s">
        <v>84</v>
      </c>
      <c r="E52" s="25"/>
      <c r="F52" s="25"/>
      <c r="G52" s="31">
        <v>2022</v>
      </c>
      <c r="H52" s="48">
        <f>DATE(G52,MONTH('Input|General'!$I$14),1)</f>
        <v>44713</v>
      </c>
      <c r="I52" s="49" t="str">
        <f t="shared" si="0"/>
        <v>2021-22</v>
      </c>
      <c r="T52" s="46"/>
    </row>
    <row r="53" spans="1:30" x14ac:dyDescent="0.2">
      <c r="C53" s="47">
        <v>45078</v>
      </c>
      <c r="D53" s="25" t="s">
        <v>84</v>
      </c>
      <c r="E53" s="25"/>
      <c r="F53" s="25"/>
      <c r="G53" s="31">
        <v>2023</v>
      </c>
      <c r="H53" s="48">
        <f>DATE(G53,MONTH('Input|General'!$I$14),1)</f>
        <v>45078</v>
      </c>
      <c r="I53" s="49" t="str">
        <f t="shared" si="0"/>
        <v>2022-23</v>
      </c>
      <c r="T53" s="46"/>
    </row>
    <row r="54" spans="1:30" x14ac:dyDescent="0.2">
      <c r="C54" s="47">
        <v>45444</v>
      </c>
      <c r="D54" s="25" t="s">
        <v>84</v>
      </c>
      <c r="E54" s="25"/>
      <c r="F54" s="25"/>
      <c r="G54" s="31">
        <v>2024</v>
      </c>
      <c r="H54" s="48">
        <f>DATE(G54,MONTH('Input|General'!$I$14),1)</f>
        <v>45444</v>
      </c>
      <c r="I54" s="49" t="str">
        <f t="shared" si="0"/>
        <v>2023-24</v>
      </c>
      <c r="T54" s="46"/>
    </row>
    <row r="55" spans="1:30" x14ac:dyDescent="0.2">
      <c r="C55" s="47">
        <v>45809</v>
      </c>
      <c r="D55" s="25" t="s">
        <v>84</v>
      </c>
      <c r="E55" s="25"/>
      <c r="F55" s="25"/>
      <c r="G55" s="31">
        <v>2025</v>
      </c>
      <c r="H55" s="48">
        <f>DATE(G55,MONTH('Input|General'!$I$14),1)</f>
        <v>45809</v>
      </c>
      <c r="I55" s="49" t="str">
        <f t="shared" si="0"/>
        <v>2024-25</v>
      </c>
      <c r="T55" s="46"/>
    </row>
    <row r="56" spans="1:30" x14ac:dyDescent="0.2">
      <c r="C56" s="47">
        <v>46174</v>
      </c>
      <c r="D56" s="25" t="s">
        <v>84</v>
      </c>
      <c r="E56" s="25"/>
      <c r="F56" s="25"/>
      <c r="G56" s="31">
        <v>2026</v>
      </c>
      <c r="H56" s="48">
        <f>DATE(G56,MONTH('Input|General'!$I$14),1)</f>
        <v>46174</v>
      </c>
      <c r="I56" s="49" t="str">
        <f t="shared" si="0"/>
        <v>2025-26</v>
      </c>
      <c r="T56" s="46"/>
    </row>
    <row r="57" spans="1:30" x14ac:dyDescent="0.2">
      <c r="C57" s="47">
        <v>46539</v>
      </c>
      <c r="D57" s="25" t="s">
        <v>84</v>
      </c>
      <c r="E57" s="25"/>
      <c r="F57" s="25"/>
      <c r="G57" s="31">
        <v>2027</v>
      </c>
      <c r="H57" s="48">
        <f>DATE(G57,MONTH('Input|General'!$I$14),1)</f>
        <v>46539</v>
      </c>
      <c r="I57" s="49" t="str">
        <f t="shared" si="0"/>
        <v>2026-27</v>
      </c>
      <c r="T57" s="46"/>
    </row>
    <row r="58" spans="1:30" x14ac:dyDescent="0.2">
      <c r="C58" s="47">
        <v>46905</v>
      </c>
      <c r="D58" s="25" t="s">
        <v>84</v>
      </c>
      <c r="E58" s="25"/>
      <c r="F58" s="25"/>
      <c r="G58" s="31">
        <v>2028</v>
      </c>
      <c r="H58" s="48">
        <f>DATE(G58,MONTH('Input|General'!$I$14),1)</f>
        <v>46905</v>
      </c>
      <c r="I58" s="49" t="str">
        <f t="shared" si="0"/>
        <v>2027-28</v>
      </c>
      <c r="T58" s="46"/>
    </row>
    <row r="59" spans="1:30" x14ac:dyDescent="0.2">
      <c r="C59" s="47">
        <v>47270</v>
      </c>
      <c r="D59" s="25" t="s">
        <v>84</v>
      </c>
      <c r="E59" s="25"/>
      <c r="F59" s="25"/>
      <c r="G59" s="31">
        <v>2029</v>
      </c>
      <c r="H59" s="48">
        <f>DATE(G59,MONTH('Input|General'!$I$14),1)</f>
        <v>47270</v>
      </c>
      <c r="I59" s="49" t="str">
        <f t="shared" si="0"/>
        <v>2028-29</v>
      </c>
      <c r="T59" s="46"/>
    </row>
    <row r="60" spans="1:30" x14ac:dyDescent="0.2">
      <c r="C60" s="47">
        <v>47635</v>
      </c>
      <c r="D60" s="25" t="s">
        <v>84</v>
      </c>
      <c r="E60" s="25"/>
      <c r="F60" s="25"/>
      <c r="G60" s="31">
        <v>2030</v>
      </c>
      <c r="H60" s="48">
        <f>DATE(G60,MONTH('Input|General'!$I$14),1)</f>
        <v>47635</v>
      </c>
      <c r="I60" s="49" t="str">
        <f t="shared" si="0"/>
        <v>2029-30</v>
      </c>
      <c r="T60" s="46"/>
    </row>
    <row r="61" spans="1:30" x14ac:dyDescent="0.2">
      <c r="G61" s="24" t="s">
        <v>32</v>
      </c>
      <c r="H61" s="24" t="s">
        <v>32</v>
      </c>
    </row>
    <row r="62" spans="1:30" s="4" customFormat="1" ht="13" x14ac:dyDescent="0.3">
      <c r="A62" s="17"/>
      <c r="B62" s="18" t="s">
        <v>113</v>
      </c>
      <c r="C62" s="17"/>
      <c r="D62" s="17"/>
      <c r="E62" s="17"/>
      <c r="F62" s="19"/>
      <c r="G62" s="19"/>
      <c r="H62" s="19"/>
      <c r="I62" s="19"/>
      <c r="J62" s="20"/>
      <c r="K62" s="21"/>
      <c r="L62" s="20"/>
      <c r="M62" s="21"/>
      <c r="N62" s="20"/>
      <c r="O62" s="20"/>
      <c r="P62" s="20"/>
      <c r="Q62" s="20"/>
      <c r="R62" s="20"/>
      <c r="S62" s="20"/>
      <c r="T62" s="20"/>
      <c r="U62" s="20"/>
      <c r="V62" s="21"/>
      <c r="W62" s="21"/>
      <c r="X62" s="22"/>
      <c r="Y62" s="22"/>
      <c r="Z62" s="22"/>
      <c r="AA62" s="22"/>
      <c r="AB62" s="22"/>
      <c r="AC62" s="23"/>
      <c r="AD62" s="23"/>
    </row>
    <row r="64" spans="1:30" x14ac:dyDescent="0.2">
      <c r="C64" s="45"/>
      <c r="D64" s="25"/>
      <c r="E64" s="25"/>
      <c r="F64" s="25"/>
      <c r="G64" s="51"/>
      <c r="H64" s="52"/>
      <c r="T64" s="46"/>
    </row>
    <row r="65" spans="1:30" ht="10.5" x14ac:dyDescent="0.25">
      <c r="C65" s="85" t="s">
        <v>321</v>
      </c>
      <c r="D65" s="25"/>
      <c r="E65" s="25"/>
      <c r="F65" s="25"/>
      <c r="G65" s="28" t="s">
        <v>57</v>
      </c>
      <c r="H65" s="52"/>
      <c r="T65" s="46"/>
    </row>
    <row r="66" spans="1:30" x14ac:dyDescent="0.2">
      <c r="C66" s="45"/>
      <c r="D66" s="25" t="s">
        <v>114</v>
      </c>
      <c r="E66" s="25"/>
      <c r="F66" s="25"/>
      <c r="G66" s="50">
        <f>G67-1</f>
        <v>2018</v>
      </c>
      <c r="H66" s="52"/>
      <c r="T66" s="46"/>
    </row>
    <row r="67" spans="1:30" x14ac:dyDescent="0.2">
      <c r="C67" s="45"/>
      <c r="D67" s="25" t="s">
        <v>114</v>
      </c>
      <c r="E67" s="25"/>
      <c r="F67" s="25"/>
      <c r="G67" s="50">
        <f>G68-1</f>
        <v>2019</v>
      </c>
      <c r="H67" s="52"/>
      <c r="T67" s="46"/>
    </row>
    <row r="68" spans="1:30" x14ac:dyDescent="0.2">
      <c r="C68" s="45" t="s">
        <v>322</v>
      </c>
      <c r="D68" s="25" t="s">
        <v>114</v>
      </c>
      <c r="E68" s="25"/>
      <c r="F68" s="25"/>
      <c r="G68" s="50">
        <f>IF(MONTH('Input|General'!$I$14)=6,LEFT(PPLastYear,4)+1,PPLastYear)</f>
        <v>2020</v>
      </c>
      <c r="H68" s="52"/>
      <c r="T68" s="46"/>
    </row>
    <row r="69" spans="1:30" x14ac:dyDescent="0.2">
      <c r="C69" s="45"/>
      <c r="D69" s="25"/>
      <c r="E69" s="25"/>
      <c r="F69" s="25"/>
      <c r="G69" s="51"/>
      <c r="H69" s="52"/>
      <c r="T69" s="46"/>
    </row>
    <row r="70" spans="1:30" s="4" customFormat="1" ht="13" x14ac:dyDescent="0.3">
      <c r="A70" s="17"/>
      <c r="B70" s="18" t="s">
        <v>115</v>
      </c>
      <c r="C70" s="17"/>
      <c r="D70" s="17"/>
      <c r="E70" s="17"/>
      <c r="F70" s="19"/>
      <c r="G70" s="19"/>
      <c r="H70" s="19"/>
      <c r="I70" s="19"/>
      <c r="J70" s="20"/>
      <c r="K70" s="21"/>
      <c r="L70" s="20"/>
      <c r="M70" s="21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2"/>
      <c r="Y70" s="22"/>
      <c r="Z70" s="22"/>
      <c r="AA70" s="22"/>
      <c r="AB70" s="22"/>
      <c r="AC70" s="23"/>
      <c r="AD70" s="23"/>
    </row>
    <row r="72" spans="1:30" ht="10.5" x14ac:dyDescent="0.25">
      <c r="C72" s="26" t="str">
        <f>B70</f>
        <v>Rate of change</v>
      </c>
      <c r="D72" s="27" t="s">
        <v>62</v>
      </c>
      <c r="E72" s="27"/>
      <c r="F72" s="28"/>
      <c r="G72" s="28" t="s">
        <v>57</v>
      </c>
      <c r="H72" s="28"/>
    </row>
    <row r="73" spans="1:30" x14ac:dyDescent="0.2">
      <c r="C73" s="45" t="s">
        <v>116</v>
      </c>
      <c r="D73" s="25" t="s">
        <v>84</v>
      </c>
      <c r="E73" s="25"/>
      <c r="F73" s="25"/>
      <c r="G73" s="49" t="s">
        <v>16</v>
      </c>
      <c r="H73" s="52"/>
    </row>
    <row r="74" spans="1:30" x14ac:dyDescent="0.2">
      <c r="C74" s="45" t="s">
        <v>117</v>
      </c>
      <c r="D74" s="25" t="s">
        <v>84</v>
      </c>
      <c r="E74" s="25"/>
      <c r="F74" s="25"/>
      <c r="G74" s="50" t="s">
        <v>25</v>
      </c>
      <c r="H74" s="52"/>
    </row>
    <row r="75" spans="1:30" x14ac:dyDescent="0.2">
      <c r="C75" s="45"/>
      <c r="D75" s="25"/>
      <c r="E75" s="25"/>
      <c r="F75" s="25"/>
      <c r="G75" s="53"/>
      <c r="H75" s="52"/>
    </row>
    <row r="76" spans="1:30" x14ac:dyDescent="0.2">
      <c r="C76" s="45"/>
      <c r="D76" s="25"/>
      <c r="E76" s="25"/>
      <c r="F76" s="25"/>
      <c r="G76" s="53"/>
      <c r="H76" s="52"/>
    </row>
    <row r="77" spans="1:30" ht="10.5" x14ac:dyDescent="0.25">
      <c r="C77" s="85" t="s">
        <v>302</v>
      </c>
      <c r="D77" s="27" t="s">
        <v>57</v>
      </c>
      <c r="E77" s="25"/>
      <c r="F77" s="25"/>
      <c r="G77" s="53"/>
      <c r="H77" s="52"/>
    </row>
    <row r="78" spans="1:30" x14ac:dyDescent="0.2">
      <c r="C78" s="45"/>
      <c r="D78" s="50">
        <f t="shared" ref="D78:D79" si="1">D79-1</f>
        <v>2018</v>
      </c>
      <c r="E78" s="25"/>
      <c r="F78" s="25"/>
      <c r="G78" s="53"/>
      <c r="H78" s="52"/>
    </row>
    <row r="79" spans="1:30" x14ac:dyDescent="0.2">
      <c r="C79" s="45"/>
      <c r="D79" s="50">
        <f t="shared" si="1"/>
        <v>2019</v>
      </c>
      <c r="E79" s="25"/>
      <c r="F79" s="25"/>
      <c r="G79" s="53"/>
      <c r="H79" s="52"/>
    </row>
    <row r="80" spans="1:30" x14ac:dyDescent="0.2">
      <c r="C80" s="45"/>
      <c r="D80" s="50">
        <f>D81-1</f>
        <v>2020</v>
      </c>
      <c r="E80" s="25"/>
      <c r="F80" s="25"/>
      <c r="G80" s="53"/>
      <c r="H80" s="52"/>
    </row>
    <row r="81" spans="1:23" x14ac:dyDescent="0.2">
      <c r="C81" s="45"/>
      <c r="D81" s="50">
        <f>IF(MONTH('Input|General'!$I$14)=6,LEFT(PPLastYear,4)+2,PPLastYear+1)</f>
        <v>2021</v>
      </c>
      <c r="E81" s="25"/>
      <c r="F81" s="25"/>
      <c r="G81" s="53"/>
      <c r="H81" s="52"/>
    </row>
    <row r="82" spans="1:23" x14ac:dyDescent="0.2">
      <c r="C82" s="45"/>
      <c r="D82" s="50" t="s">
        <v>32</v>
      </c>
      <c r="E82" s="25"/>
      <c r="F82" s="25"/>
      <c r="G82" s="53"/>
      <c r="H82" s="52"/>
    </row>
    <row r="83" spans="1:23" x14ac:dyDescent="0.2">
      <c r="C83" s="45"/>
      <c r="D83" s="25"/>
      <c r="E83" s="25"/>
      <c r="F83" s="25"/>
      <c r="G83" s="53"/>
      <c r="H83" s="52"/>
    </row>
    <row r="84" spans="1:23" ht="13" x14ac:dyDescent="0.3">
      <c r="A84" s="17"/>
      <c r="B84" s="18" t="s">
        <v>222</v>
      </c>
      <c r="C84" s="17"/>
      <c r="D84" s="17"/>
      <c r="E84" s="17"/>
      <c r="F84" s="19"/>
      <c r="G84" s="19"/>
      <c r="H84" s="19"/>
      <c r="I84" s="19"/>
      <c r="J84" s="20"/>
      <c r="K84" s="21"/>
      <c r="L84" s="20"/>
      <c r="M84" s="21"/>
      <c r="N84" s="20"/>
      <c r="O84" s="20"/>
      <c r="P84" s="20"/>
      <c r="Q84" s="20"/>
      <c r="R84" s="20"/>
      <c r="S84" s="20"/>
      <c r="T84" s="20"/>
      <c r="U84" s="20"/>
      <c r="V84" s="21"/>
      <c r="W84" s="21"/>
    </row>
    <row r="86" spans="1:23" ht="10.5" x14ac:dyDescent="0.25">
      <c r="C86" s="26" t="str">
        <f>B84</f>
        <v>Capex Inputs</v>
      </c>
      <c r="D86" s="28" t="s">
        <v>140</v>
      </c>
      <c r="E86" s="27"/>
      <c r="F86" s="595" t="s">
        <v>140</v>
      </c>
      <c r="H86" s="28"/>
    </row>
    <row r="87" spans="1:23" x14ac:dyDescent="0.2">
      <c r="C87" s="45"/>
      <c r="D87" s="49" t="s">
        <v>137</v>
      </c>
      <c r="E87" s="25"/>
      <c r="F87" s="49" t="s">
        <v>352</v>
      </c>
      <c r="H87" s="52"/>
    </row>
    <row r="88" spans="1:23" x14ac:dyDescent="0.2">
      <c r="C88" s="45"/>
      <c r="D88" s="49" t="s">
        <v>141</v>
      </c>
      <c r="E88" s="25"/>
      <c r="F88" s="49" t="s">
        <v>353</v>
      </c>
      <c r="H88" s="52"/>
    </row>
    <row r="89" spans="1:23" x14ac:dyDescent="0.2">
      <c r="C89" s="45"/>
      <c r="D89" s="50" t="s">
        <v>138</v>
      </c>
      <c r="E89" s="25"/>
      <c r="F89" s="50" t="s">
        <v>138</v>
      </c>
      <c r="G89" s="53"/>
      <c r="H89" s="52"/>
    </row>
    <row r="90" spans="1:23" x14ac:dyDescent="0.2">
      <c r="C90" s="45"/>
      <c r="D90" s="25"/>
      <c r="E90" s="25"/>
      <c r="F90" s="25"/>
      <c r="G90" s="53"/>
      <c r="H90" s="52"/>
    </row>
    <row r="91" spans="1:23" x14ac:dyDescent="0.2">
      <c r="C91" s="45"/>
      <c r="D91" s="25"/>
      <c r="E91" s="25"/>
      <c r="F91" s="25"/>
      <c r="G91" s="53"/>
      <c r="H91" s="52"/>
    </row>
    <row r="92" spans="1:23" ht="10.5" x14ac:dyDescent="0.25">
      <c r="C92" s="85" t="s">
        <v>229</v>
      </c>
      <c r="D92" s="25"/>
      <c r="E92" s="25"/>
      <c r="F92" s="25"/>
      <c r="G92" s="53"/>
      <c r="H92" s="52"/>
    </row>
    <row r="93" spans="1:23" ht="10.5" x14ac:dyDescent="0.2">
      <c r="C93" s="45"/>
      <c r="D93" s="54" t="s">
        <v>174</v>
      </c>
      <c r="E93" s="25"/>
      <c r="F93" s="25"/>
      <c r="G93" s="53"/>
      <c r="H93" s="52"/>
    </row>
    <row r="94" spans="1:23" ht="20" x14ac:dyDescent="0.2">
      <c r="C94" s="45"/>
      <c r="D94" s="635" t="s">
        <v>173</v>
      </c>
      <c r="E94" s="25"/>
      <c r="F94" s="25"/>
      <c r="G94" s="53"/>
      <c r="H94" s="52"/>
    </row>
    <row r="95" spans="1:23" ht="20" x14ac:dyDescent="0.2">
      <c r="C95" s="45"/>
      <c r="D95" s="635" t="s">
        <v>172</v>
      </c>
      <c r="E95" s="25"/>
      <c r="F95" s="25"/>
      <c r="G95" s="53"/>
      <c r="H95" s="52"/>
    </row>
    <row r="96" spans="1:23" x14ac:dyDescent="0.2">
      <c r="C96" s="45"/>
      <c r="D96" s="635" t="s">
        <v>171</v>
      </c>
      <c r="E96" s="25"/>
      <c r="F96" s="25"/>
      <c r="G96" s="53"/>
      <c r="H96" s="52"/>
    </row>
    <row r="97" spans="3:11" x14ac:dyDescent="0.2">
      <c r="C97" s="45"/>
      <c r="D97" s="25"/>
      <c r="E97" s="25"/>
      <c r="F97" s="25"/>
      <c r="G97" s="53"/>
      <c r="H97" s="52"/>
    </row>
    <row r="98" spans="3:11" ht="10.5" x14ac:dyDescent="0.25">
      <c r="C98" s="85" t="s">
        <v>230</v>
      </c>
      <c r="D98" s="25"/>
      <c r="E98" s="25"/>
      <c r="F98" s="25"/>
      <c r="G98" s="53"/>
      <c r="H98" s="52"/>
    </row>
    <row r="99" spans="3:11" x14ac:dyDescent="0.2">
      <c r="C99" s="45"/>
      <c r="K99" s="175"/>
    </row>
    <row r="100" spans="3:11" ht="10.5" x14ac:dyDescent="0.25">
      <c r="C100" s="45"/>
      <c r="D100" s="27" t="s">
        <v>4</v>
      </c>
      <c r="E100" s="27" t="s">
        <v>237</v>
      </c>
      <c r="F100" s="636" t="s">
        <v>131</v>
      </c>
      <c r="G100" s="176" t="s">
        <v>132</v>
      </c>
      <c r="H100" s="637" t="s">
        <v>133</v>
      </c>
      <c r="I100" s="176" t="s">
        <v>134</v>
      </c>
    </row>
    <row r="101" spans="3:11" ht="30" x14ac:dyDescent="0.2">
      <c r="C101" s="45"/>
      <c r="D101" s="635" t="s">
        <v>238</v>
      </c>
      <c r="E101" s="635" t="s">
        <v>239</v>
      </c>
      <c r="F101" s="635" t="s">
        <v>260</v>
      </c>
      <c r="G101" s="635" t="s">
        <v>261</v>
      </c>
      <c r="H101" s="635" t="s">
        <v>262</v>
      </c>
      <c r="I101" s="635" t="s">
        <v>263</v>
      </c>
    </row>
    <row r="102" spans="3:11" ht="40" x14ac:dyDescent="0.2">
      <c r="C102" s="45"/>
      <c r="D102" s="635" t="s">
        <v>240</v>
      </c>
      <c r="E102" s="635" t="s">
        <v>241</v>
      </c>
      <c r="F102" s="635" t="s">
        <v>265</v>
      </c>
      <c r="G102" s="635" t="s">
        <v>269</v>
      </c>
      <c r="H102" s="635" t="s">
        <v>271</v>
      </c>
      <c r="I102" s="635" t="s">
        <v>264</v>
      </c>
    </row>
    <row r="103" spans="3:11" ht="20" x14ac:dyDescent="0.2">
      <c r="C103" s="45"/>
      <c r="D103" s="635" t="s">
        <v>242</v>
      </c>
      <c r="E103" s="635" t="s">
        <v>243</v>
      </c>
      <c r="F103" s="171"/>
      <c r="G103" s="635" t="s">
        <v>11</v>
      </c>
      <c r="H103" s="635" t="s">
        <v>273</v>
      </c>
      <c r="I103" s="635" t="s">
        <v>266</v>
      </c>
    </row>
    <row r="104" spans="3:11" ht="30.5" x14ac:dyDescent="0.25">
      <c r="C104" s="45"/>
      <c r="D104" s="635" t="s">
        <v>244</v>
      </c>
      <c r="E104" s="635" t="s">
        <v>245</v>
      </c>
      <c r="F104" s="171"/>
      <c r="G104"/>
      <c r="I104" s="635" t="s">
        <v>267</v>
      </c>
    </row>
    <row r="105" spans="3:11" ht="40.5" x14ac:dyDescent="0.25">
      <c r="C105" s="45"/>
      <c r="D105" s="635" t="s">
        <v>246</v>
      </c>
      <c r="E105" s="635" t="s">
        <v>247</v>
      </c>
      <c r="F105" s="171"/>
      <c r="G105"/>
      <c r="I105" s="635" t="s">
        <v>268</v>
      </c>
    </row>
    <row r="106" spans="3:11" ht="50.5" x14ac:dyDescent="0.25">
      <c r="C106" s="45"/>
      <c r="D106" s="635" t="s">
        <v>248</v>
      </c>
      <c r="E106" s="635" t="s">
        <v>249</v>
      </c>
      <c r="F106" s="171"/>
      <c r="G106"/>
      <c r="I106" s="635" t="s">
        <v>270</v>
      </c>
    </row>
    <row r="107" spans="3:11" ht="20.5" x14ac:dyDescent="0.25">
      <c r="C107" s="45"/>
      <c r="D107" s="635" t="s">
        <v>250</v>
      </c>
      <c r="E107" s="635" t="s">
        <v>251</v>
      </c>
      <c r="F107" s="171"/>
      <c r="G107"/>
      <c r="I107" s="635" t="s">
        <v>272</v>
      </c>
    </row>
    <row r="108" spans="3:11" ht="30.5" x14ac:dyDescent="0.25">
      <c r="C108" s="45"/>
      <c r="D108" s="635"/>
      <c r="E108" s="635"/>
      <c r="F108" s="171"/>
      <c r="G108"/>
      <c r="I108" s="635" t="s">
        <v>274</v>
      </c>
    </row>
    <row r="109" spans="3:11" ht="20.5" x14ac:dyDescent="0.25">
      <c r="C109" s="45"/>
      <c r="D109" s="635" t="s">
        <v>252</v>
      </c>
      <c r="E109" s="635" t="s">
        <v>253</v>
      </c>
      <c r="F109" s="171"/>
      <c r="G109"/>
      <c r="I109" s="635" t="s">
        <v>275</v>
      </c>
    </row>
    <row r="110" spans="3:11" ht="50" x14ac:dyDescent="0.2">
      <c r="C110" s="45"/>
      <c r="D110" s="635" t="s">
        <v>254</v>
      </c>
      <c r="E110" s="635" t="s">
        <v>255</v>
      </c>
      <c r="F110" s="171"/>
      <c r="G110" s="172"/>
      <c r="I110" s="635" t="s">
        <v>306</v>
      </c>
    </row>
    <row r="111" spans="3:11" ht="30" x14ac:dyDescent="0.2">
      <c r="C111" s="45"/>
      <c r="D111" s="635"/>
      <c r="E111" s="635"/>
      <c r="F111" s="171"/>
      <c r="G111" s="172"/>
      <c r="I111" s="635" t="s">
        <v>276</v>
      </c>
    </row>
    <row r="112" spans="3:11" ht="50" x14ac:dyDescent="0.2">
      <c r="C112" s="45"/>
      <c r="D112" s="635" t="s">
        <v>256</v>
      </c>
      <c r="E112" s="635" t="s">
        <v>257</v>
      </c>
      <c r="F112" s="171"/>
      <c r="G112" s="172"/>
      <c r="I112" s="635" t="s">
        <v>307</v>
      </c>
    </row>
    <row r="113" spans="1:23" ht="30.5" x14ac:dyDescent="0.25">
      <c r="C113" s="45"/>
      <c r="D113" s="635" t="s">
        <v>258</v>
      </c>
      <c r="E113" s="635" t="s">
        <v>259</v>
      </c>
      <c r="F113" s="171"/>
      <c r="G113" s="172"/>
      <c r="I113" s="170"/>
    </row>
    <row r="114" spans="1:23" x14ac:dyDescent="0.2">
      <c r="C114" s="45"/>
      <c r="E114" s="171"/>
      <c r="F114" s="171"/>
      <c r="G114" s="172"/>
      <c r="H114" s="173"/>
      <c r="I114" s="174"/>
      <c r="J114" s="174"/>
      <c r="K114" s="177"/>
    </row>
    <row r="115" spans="1:23" ht="10.5" x14ac:dyDescent="0.25">
      <c r="C115" s="85" t="s">
        <v>291</v>
      </c>
      <c r="D115" s="171"/>
      <c r="E115" s="171"/>
      <c r="F115" s="171"/>
      <c r="G115" s="172"/>
      <c r="H115" s="173"/>
      <c r="I115" s="174"/>
      <c r="J115" s="174"/>
      <c r="K115" s="177"/>
    </row>
    <row r="116" spans="1:23" x14ac:dyDescent="0.2">
      <c r="C116" s="45"/>
      <c r="D116" s="25" t="s">
        <v>292</v>
      </c>
      <c r="E116" s="171"/>
      <c r="F116" s="171"/>
      <c r="G116" s="172"/>
      <c r="H116" s="173"/>
      <c r="I116" s="174"/>
      <c r="J116" s="174"/>
      <c r="K116" s="177"/>
    </row>
    <row r="117" spans="1:23" x14ac:dyDescent="0.2">
      <c r="C117" s="45"/>
      <c r="D117" s="49" t="s">
        <v>294</v>
      </c>
      <c r="E117" s="25"/>
      <c r="F117" s="25"/>
      <c r="G117" s="53"/>
      <c r="H117" s="52"/>
    </row>
    <row r="118" spans="1:23" x14ac:dyDescent="0.2">
      <c r="C118" s="45"/>
      <c r="D118" s="50" t="s">
        <v>293</v>
      </c>
      <c r="E118" s="25"/>
      <c r="F118" s="25"/>
      <c r="G118" s="53"/>
      <c r="H118" s="52"/>
    </row>
    <row r="119" spans="1:23" x14ac:dyDescent="0.2">
      <c r="C119" s="45"/>
      <c r="D119" s="50" t="s">
        <v>295</v>
      </c>
      <c r="E119" s="25"/>
      <c r="F119" s="25"/>
      <c r="G119" s="53"/>
      <c r="H119" s="52"/>
    </row>
    <row r="120" spans="1:23" x14ac:dyDescent="0.2">
      <c r="C120" s="45"/>
      <c r="E120" s="25"/>
      <c r="F120" s="25"/>
      <c r="G120" s="53"/>
      <c r="H120" s="52"/>
    </row>
    <row r="121" spans="1:23" x14ac:dyDescent="0.2">
      <c r="C121" s="45"/>
      <c r="D121" s="25"/>
      <c r="E121" s="25"/>
      <c r="F121" s="25"/>
      <c r="G121" s="53"/>
      <c r="H121" s="52"/>
    </row>
    <row r="122" spans="1:23" ht="13" x14ac:dyDescent="0.3">
      <c r="A122" s="17"/>
      <c r="B122" s="18" t="s">
        <v>175</v>
      </c>
      <c r="C122" s="17"/>
      <c r="D122" s="17"/>
      <c r="E122" s="17"/>
      <c r="F122" s="19"/>
      <c r="G122" s="19"/>
      <c r="H122" s="19"/>
      <c r="I122" s="19"/>
      <c r="J122" s="20"/>
      <c r="K122" s="21"/>
      <c r="L122" s="20"/>
      <c r="M122" s="21"/>
      <c r="N122" s="20"/>
      <c r="O122" s="20"/>
      <c r="P122" s="20"/>
      <c r="Q122" s="20"/>
      <c r="R122" s="20"/>
      <c r="S122" s="20"/>
      <c r="T122" s="20"/>
      <c r="U122" s="20"/>
      <c r="V122" s="21"/>
      <c r="W122" s="21"/>
    </row>
    <row r="123" spans="1:23" x14ac:dyDescent="0.2">
      <c r="C123" s="45"/>
      <c r="D123" s="25"/>
      <c r="E123" s="25"/>
      <c r="F123" s="25"/>
      <c r="G123" s="53"/>
      <c r="H123" s="52"/>
    </row>
    <row r="124" spans="1:23" ht="10.5" x14ac:dyDescent="0.25">
      <c r="C124" s="45"/>
      <c r="D124" s="28" t="s">
        <v>176</v>
      </c>
      <c r="E124" s="25"/>
      <c r="F124" s="25"/>
      <c r="G124" s="53"/>
      <c r="H124" s="52"/>
    </row>
    <row r="125" spans="1:23" x14ac:dyDescent="0.2">
      <c r="C125" s="45"/>
      <c r="D125" s="49" t="s">
        <v>28</v>
      </c>
      <c r="E125" s="25"/>
      <c r="F125" s="25"/>
      <c r="G125" s="53"/>
      <c r="H125" s="52"/>
    </row>
    <row r="126" spans="1:23" x14ac:dyDescent="0.2">
      <c r="C126" s="45"/>
      <c r="D126" s="49" t="s">
        <v>40</v>
      </c>
      <c r="E126" s="25"/>
      <c r="F126" s="25"/>
      <c r="G126" s="53"/>
      <c r="H126" s="52"/>
    </row>
    <row r="127" spans="1:23" x14ac:dyDescent="0.2">
      <c r="C127" s="45"/>
      <c r="D127" s="25"/>
      <c r="E127" s="25"/>
      <c r="F127" s="25"/>
      <c r="G127" s="53"/>
      <c r="H127" s="52"/>
    </row>
    <row r="128" spans="1:23" x14ac:dyDescent="0.2">
      <c r="C128" s="45"/>
      <c r="D128" s="25"/>
      <c r="E128" s="25"/>
      <c r="F128" s="25"/>
      <c r="G128" s="53"/>
      <c r="H128" s="52"/>
    </row>
    <row r="129" spans="1:30" x14ac:dyDescent="0.2">
      <c r="C129" s="45"/>
      <c r="D129" s="25"/>
      <c r="E129" s="25"/>
      <c r="F129" s="25"/>
      <c r="G129" s="53"/>
      <c r="H129" s="52"/>
    </row>
    <row r="130" spans="1:30" x14ac:dyDescent="0.2">
      <c r="C130" s="45"/>
      <c r="D130" s="25"/>
      <c r="E130" s="25"/>
      <c r="F130" s="25"/>
      <c r="G130" s="53"/>
      <c r="H130" s="52"/>
    </row>
    <row r="131" spans="1:30" x14ac:dyDescent="0.2">
      <c r="C131" s="45"/>
      <c r="D131" s="25"/>
      <c r="E131" s="25"/>
      <c r="F131" s="25"/>
      <c r="G131" s="53"/>
      <c r="H131" s="52"/>
    </row>
    <row r="132" spans="1:30" x14ac:dyDescent="0.2">
      <c r="C132" s="45"/>
      <c r="D132" s="25"/>
      <c r="E132" s="25"/>
      <c r="F132" s="25"/>
      <c r="G132" s="53"/>
      <c r="H132" s="52"/>
    </row>
    <row r="133" spans="1:30" x14ac:dyDescent="0.2">
      <c r="C133" s="45"/>
      <c r="D133" s="25"/>
      <c r="E133" s="25"/>
      <c r="F133" s="25"/>
      <c r="G133" s="53"/>
      <c r="H133" s="52"/>
    </row>
    <row r="134" spans="1:30" x14ac:dyDescent="0.2">
      <c r="C134" s="45"/>
      <c r="D134" s="25"/>
      <c r="E134" s="25"/>
      <c r="F134" s="25"/>
      <c r="G134" s="53"/>
      <c r="H134" s="52"/>
    </row>
    <row r="135" spans="1:30" x14ac:dyDescent="0.2">
      <c r="C135" s="45"/>
      <c r="D135" s="25"/>
      <c r="E135" s="25"/>
      <c r="F135" s="25"/>
      <c r="G135" s="53"/>
      <c r="H135" s="52"/>
    </row>
    <row r="136" spans="1:30" x14ac:dyDescent="0.2">
      <c r="C136" s="45"/>
      <c r="D136" s="25"/>
      <c r="E136" s="25"/>
      <c r="F136" s="25"/>
      <c r="G136" s="53"/>
      <c r="H136" s="52"/>
    </row>
    <row r="138" spans="1:30" s="4" customFormat="1" ht="13" x14ac:dyDescent="0.3">
      <c r="A138" s="17"/>
      <c r="B138" s="18" t="s">
        <v>71</v>
      </c>
      <c r="C138" s="17"/>
      <c r="D138" s="17"/>
      <c r="E138" s="17"/>
      <c r="F138" s="19"/>
      <c r="G138" s="19"/>
      <c r="H138" s="19"/>
      <c r="I138" s="19"/>
      <c r="J138" s="20"/>
      <c r="K138" s="21"/>
      <c r="L138" s="20"/>
      <c r="M138" s="21"/>
      <c r="N138" s="20"/>
      <c r="O138" s="20"/>
      <c r="P138" s="20"/>
      <c r="Q138" s="20"/>
      <c r="R138" s="20"/>
      <c r="S138" s="20"/>
      <c r="T138" s="20"/>
      <c r="U138" s="20"/>
      <c r="V138" s="21"/>
      <c r="W138" s="21"/>
      <c r="X138" s="22"/>
      <c r="Y138" s="22"/>
      <c r="Z138" s="22"/>
      <c r="AA138" s="22"/>
      <c r="AB138" s="22"/>
      <c r="AC138" s="23"/>
      <c r="AD138" s="23"/>
    </row>
    <row r="142" spans="1:30" ht="12.5" x14ac:dyDescent="0.25">
      <c r="C142"/>
      <c r="D142"/>
      <c r="E142"/>
      <c r="F142"/>
    </row>
    <row r="143" spans="1:30" ht="12.5" x14ac:dyDescent="0.25">
      <c r="C143"/>
      <c r="D143"/>
      <c r="E143"/>
      <c r="F143"/>
    </row>
    <row r="144" spans="1:30" ht="12.5" x14ac:dyDescent="0.25">
      <c r="C144"/>
      <c r="D144"/>
      <c r="E144"/>
      <c r="F144"/>
    </row>
    <row r="145" spans="3:6" ht="12.5" x14ac:dyDescent="0.25">
      <c r="C145"/>
      <c r="D145"/>
      <c r="E145"/>
      <c r="F145"/>
    </row>
    <row r="146" spans="3:6" ht="12.5" x14ac:dyDescent="0.25">
      <c r="C146"/>
      <c r="D146"/>
      <c r="E146"/>
      <c r="F146"/>
    </row>
    <row r="147" spans="3:6" ht="12.5" x14ac:dyDescent="0.25">
      <c r="C147"/>
      <c r="D147"/>
      <c r="E147"/>
      <c r="F147"/>
    </row>
    <row r="148" spans="3:6" ht="12.5" x14ac:dyDescent="0.25">
      <c r="C148"/>
      <c r="D148"/>
      <c r="E148"/>
      <c r="F148"/>
    </row>
    <row r="149" spans="3:6" ht="12.5" x14ac:dyDescent="0.25">
      <c r="D149"/>
    </row>
    <row r="150" spans="3:6" ht="12.5" x14ac:dyDescent="0.25">
      <c r="D150"/>
    </row>
    <row r="151" spans="3:6" ht="12.5" x14ac:dyDescent="0.25">
      <c r="D151"/>
    </row>
    <row r="152" spans="3:6" ht="12.5" x14ac:dyDescent="0.25">
      <c r="D152"/>
    </row>
    <row r="153" spans="3:6" ht="12.5" x14ac:dyDescent="0.25">
      <c r="D153"/>
    </row>
    <row r="154" spans="3:6" ht="12.5" x14ac:dyDescent="0.25">
      <c r="D154"/>
    </row>
  </sheetData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76</vt:i4>
      </vt:variant>
    </vt:vector>
  </HeadingPairs>
  <TitlesOfParts>
    <vt:vector size="94" baseType="lpstr">
      <vt:lpstr>Title Page</vt:lpstr>
      <vt:lpstr>Input|General</vt:lpstr>
      <vt:lpstr>Input| Historical Inflation</vt:lpstr>
      <vt:lpstr>Input| Prices</vt:lpstr>
      <vt:lpstr>Opex Specific &gt;</vt:lpstr>
      <vt:lpstr>Input | Meter-Opex BST</vt:lpstr>
      <vt:lpstr>Calc | Opex</vt:lpstr>
      <vt:lpstr>Capex Specific &gt;</vt:lpstr>
      <vt:lpstr>Input | Meters Vols &amp; Costs</vt:lpstr>
      <vt:lpstr>Input | Comms &amp; IT</vt:lpstr>
      <vt:lpstr>Calc | Capex Meters</vt:lpstr>
      <vt:lpstr>Calculations &gt;</vt:lpstr>
      <vt:lpstr>Calc | Meters Detail</vt:lpstr>
      <vt:lpstr>Calc | Capex Comms &amp; IT</vt:lpstr>
      <vt:lpstr>Outputs</vt:lpstr>
      <vt:lpstr>Output | PTRM</vt:lpstr>
      <vt:lpstr>Output | RFM</vt:lpstr>
      <vt:lpstr>Lookup|Tables</vt:lpstr>
      <vt:lpstr>'Input| Historical Inflation'!_FilterDatabase</vt:lpstr>
      <vt:lpstr>'Input|General'!_FilterDatabase</vt:lpstr>
      <vt:lpstr>Basis_Capex</vt:lpstr>
      <vt:lpstr>Basis_CapexEY</vt:lpstr>
      <vt:lpstr>Basis_OpexForecast</vt:lpstr>
      <vt:lpstr>Basis_OpexForecastEY</vt:lpstr>
      <vt:lpstr>Basis_OpexHist</vt:lpstr>
      <vt:lpstr>Basis_OpexHistEY</vt:lpstr>
      <vt:lpstr>Basis_Ptrm</vt:lpstr>
      <vt:lpstr>Basis_PtrmEY</vt:lpstr>
      <vt:lpstr>Basis_Rfm</vt:lpstr>
      <vt:lpstr>Basis_RfmEY</vt:lpstr>
      <vt:lpstr>Capex_BaseYear</vt:lpstr>
      <vt:lpstr>dollars</vt:lpstr>
      <vt:lpstr>factor</vt:lpstr>
      <vt:lpstr>FPFirstYear</vt:lpstr>
      <vt:lpstr>FPLastYear</vt:lpstr>
      <vt:lpstr>ICC_Action</vt:lpstr>
      <vt:lpstr>ICC_ActionAlloc</vt:lpstr>
      <vt:lpstr>ICC_AllocFields</vt:lpstr>
      <vt:lpstr>ICC_Calc_Actions</vt:lpstr>
      <vt:lpstr>ICC_Calc_Equip</vt:lpstr>
      <vt:lpstr>ICC_Calc_Install</vt:lpstr>
      <vt:lpstr>ICC_Calc_Overheads</vt:lpstr>
      <vt:lpstr>ICC_Calc_PopImpact</vt:lpstr>
      <vt:lpstr>ICC_EquipType</vt:lpstr>
      <vt:lpstr>ICC_EquipTypeAlloc</vt:lpstr>
      <vt:lpstr>ICC_InitPop</vt:lpstr>
      <vt:lpstr>ICC_OverheadsRate</vt:lpstr>
      <vt:lpstr>ICC_ProjectComCost</vt:lpstr>
      <vt:lpstr>ICC_ProjectComOH</vt:lpstr>
      <vt:lpstr>ICC_ProjectComSCS</vt:lpstr>
      <vt:lpstr>ICC_ProjectITCost</vt:lpstr>
      <vt:lpstr>ICC_ProjectITOH</vt:lpstr>
      <vt:lpstr>ICC_ProjectITSCS</vt:lpstr>
      <vt:lpstr>ICC_ScsAlloc</vt:lpstr>
      <vt:lpstr>ICC_Vol</vt:lpstr>
      <vt:lpstr>ICC_VolBasis</vt:lpstr>
      <vt:lpstr>ICM_AddMetReq</vt:lpstr>
      <vt:lpstr>ICM_D_TC1</vt:lpstr>
      <vt:lpstr>ICM_D_TC10</vt:lpstr>
      <vt:lpstr>ICM_D_TC2</vt:lpstr>
      <vt:lpstr>ICM_D_TC3</vt:lpstr>
      <vt:lpstr>ICM_D_TC4</vt:lpstr>
      <vt:lpstr>ICM_D_TC5</vt:lpstr>
      <vt:lpstr>ICM_D_TC6</vt:lpstr>
      <vt:lpstr>ICM_D_TC7</vt:lpstr>
      <vt:lpstr>ICM_D_TC8</vt:lpstr>
      <vt:lpstr>ICM_D_TC9</vt:lpstr>
      <vt:lpstr>ICM_Hrs</vt:lpstr>
      <vt:lpstr>ICM_ImpactPop</vt:lpstr>
      <vt:lpstr>ICM_LabourCost</vt:lpstr>
      <vt:lpstr>ICM_Rates</vt:lpstr>
      <vt:lpstr>ICM_UnitCost</vt:lpstr>
      <vt:lpstr>ICM_UnitCostSign</vt:lpstr>
      <vt:lpstr>ICM_Vol1</vt:lpstr>
      <vt:lpstr>ICM_Vol10</vt:lpstr>
      <vt:lpstr>ICM_Vol2</vt:lpstr>
      <vt:lpstr>ICM_Vol3</vt:lpstr>
      <vt:lpstr>ICM_Vol4</vt:lpstr>
      <vt:lpstr>ICM_Vol5</vt:lpstr>
      <vt:lpstr>ICM_Vol6</vt:lpstr>
      <vt:lpstr>ICM_Vol7</vt:lpstr>
      <vt:lpstr>ICM_Vol8</vt:lpstr>
      <vt:lpstr>ICM_Vol9</vt:lpstr>
      <vt:lpstr>LUT_Basis</vt:lpstr>
      <vt:lpstr>LUT_Dollars</vt:lpstr>
      <vt:lpstr>millions</vt:lpstr>
      <vt:lpstr>NSP</vt:lpstr>
      <vt:lpstr>number</vt:lpstr>
      <vt:lpstr>Opex_BaseYear</vt:lpstr>
      <vt:lpstr>'Lookup|Tables'!percent</vt:lpstr>
      <vt:lpstr>PPFirstYear</vt:lpstr>
      <vt:lpstr>PPLastYear</vt:lpstr>
      <vt:lpstr>thousands</vt:lpstr>
      <vt:lpstr>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mckenzie-sell</dc:creator>
  <cp:lastModifiedBy>Thennakoon, Jayanthi</cp:lastModifiedBy>
  <dcterms:created xsi:type="dcterms:W3CDTF">2021-09-02T20:41:46Z</dcterms:created>
  <dcterms:modified xsi:type="dcterms:W3CDTF">2021-10-20T22:31:14Z</dcterms:modified>
</cp:coreProperties>
</file>